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.engel\Desktop\"/>
    </mc:Choice>
  </mc:AlternateContent>
  <xr:revisionPtr revIDLastSave="0" documentId="8_{BDF1999F-FFCC-4624-99BB-E3535BCF578E}" xr6:coauthVersionLast="47" xr6:coauthVersionMax="47" xr10:uidLastSave="{00000000-0000-0000-0000-000000000000}"/>
  <bookViews>
    <workbookView xWindow="-98" yWindow="-98" windowWidth="22695" windowHeight="14595" xr2:uid="{12DFCDEA-8E09-4B0B-AD3D-F83DDC1D1E90}"/>
  </bookViews>
  <sheets>
    <sheet name="#industrie4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34" i="1" l="1"/>
  <c r="E3434" i="1"/>
  <c r="B3434" i="1"/>
  <c r="O3433" i="1"/>
  <c r="E3433" i="1"/>
  <c r="B3433" i="1"/>
  <c r="O3432" i="1"/>
  <c r="E3432" i="1"/>
  <c r="B3432" i="1"/>
  <c r="O3431" i="1"/>
  <c r="E3431" i="1"/>
  <c r="B3431" i="1"/>
  <c r="O3430" i="1"/>
  <c r="E3430" i="1"/>
  <c r="B3430" i="1"/>
  <c r="O3429" i="1"/>
  <c r="E3429" i="1"/>
  <c r="B3429" i="1"/>
  <c r="O3428" i="1"/>
  <c r="E3428" i="1"/>
  <c r="B3428" i="1"/>
  <c r="O3427" i="1"/>
  <c r="E3427" i="1"/>
  <c r="B3427" i="1"/>
  <c r="O3426" i="1"/>
  <c r="E3426" i="1"/>
  <c r="B3426" i="1"/>
  <c r="O3425" i="1"/>
  <c r="E3425" i="1"/>
  <c r="B3425" i="1"/>
  <c r="O3424" i="1"/>
  <c r="E3424" i="1"/>
  <c r="B3424" i="1"/>
  <c r="O3423" i="1"/>
  <c r="E3423" i="1"/>
  <c r="B3423" i="1"/>
  <c r="O3422" i="1"/>
  <c r="E3422" i="1"/>
  <c r="B3422" i="1"/>
  <c r="O3421" i="1"/>
  <c r="E3421" i="1"/>
  <c r="B3421" i="1"/>
  <c r="O3420" i="1"/>
  <c r="E3420" i="1"/>
  <c r="B3420" i="1"/>
  <c r="O3419" i="1"/>
  <c r="E3419" i="1"/>
  <c r="B3419" i="1"/>
  <c r="O3418" i="1"/>
  <c r="E3418" i="1"/>
  <c r="B3418" i="1"/>
  <c r="O3417" i="1"/>
  <c r="E3417" i="1"/>
  <c r="B3417" i="1"/>
  <c r="O3416" i="1"/>
  <c r="E3416" i="1"/>
  <c r="B3416" i="1"/>
  <c r="O3415" i="1"/>
  <c r="E3415" i="1"/>
  <c r="B3415" i="1"/>
  <c r="O3414" i="1"/>
  <c r="E3414" i="1"/>
  <c r="B3414" i="1"/>
  <c r="O3413" i="1"/>
  <c r="E3413" i="1"/>
  <c r="B3413" i="1"/>
  <c r="O3412" i="1"/>
  <c r="E3412" i="1"/>
  <c r="B3412" i="1"/>
  <c r="O3411" i="1"/>
  <c r="E3411" i="1"/>
  <c r="B3411" i="1"/>
  <c r="O3410" i="1"/>
  <c r="E3410" i="1"/>
  <c r="B3410" i="1"/>
  <c r="O3409" i="1"/>
  <c r="E3409" i="1"/>
  <c r="B3409" i="1"/>
  <c r="O3408" i="1"/>
  <c r="E3408" i="1"/>
  <c r="B3408" i="1"/>
  <c r="O3407" i="1"/>
  <c r="E3407" i="1"/>
  <c r="B3407" i="1"/>
  <c r="O3406" i="1"/>
  <c r="E3406" i="1"/>
  <c r="B3406" i="1"/>
  <c r="O3405" i="1"/>
  <c r="E3405" i="1"/>
  <c r="B3405" i="1"/>
  <c r="O3404" i="1"/>
  <c r="E3404" i="1"/>
  <c r="B3404" i="1"/>
  <c r="O3403" i="1"/>
  <c r="E3403" i="1"/>
  <c r="B3403" i="1"/>
  <c r="O3402" i="1"/>
  <c r="E3402" i="1"/>
  <c r="B3402" i="1"/>
  <c r="O3401" i="1"/>
  <c r="E3401" i="1"/>
  <c r="B3401" i="1"/>
  <c r="O3400" i="1"/>
  <c r="E3400" i="1"/>
  <c r="B3400" i="1"/>
  <c r="O3399" i="1"/>
  <c r="E3399" i="1"/>
  <c r="B3399" i="1"/>
  <c r="O3398" i="1"/>
  <c r="E3398" i="1"/>
  <c r="B3398" i="1"/>
  <c r="O3397" i="1"/>
  <c r="E3397" i="1"/>
  <c r="B3397" i="1"/>
  <c r="O3396" i="1"/>
  <c r="E3396" i="1"/>
  <c r="B3396" i="1"/>
  <c r="O3395" i="1"/>
  <c r="E3395" i="1"/>
  <c r="B3395" i="1"/>
  <c r="O3394" i="1"/>
  <c r="E3394" i="1"/>
  <c r="B3394" i="1"/>
  <c r="O3393" i="1"/>
  <c r="E3393" i="1"/>
  <c r="B3393" i="1"/>
  <c r="O3392" i="1"/>
  <c r="E3392" i="1"/>
  <c r="B3392" i="1"/>
  <c r="O3391" i="1"/>
  <c r="E3391" i="1"/>
  <c r="B3391" i="1"/>
  <c r="O3390" i="1"/>
  <c r="E3390" i="1"/>
  <c r="B3390" i="1"/>
  <c r="O3389" i="1"/>
  <c r="E3389" i="1"/>
  <c r="B3389" i="1"/>
  <c r="O3388" i="1"/>
  <c r="E3388" i="1"/>
  <c r="B3388" i="1"/>
  <c r="O3387" i="1"/>
  <c r="E3387" i="1"/>
  <c r="B3387" i="1"/>
  <c r="O3386" i="1"/>
  <c r="E3386" i="1"/>
  <c r="B3386" i="1"/>
  <c r="O3385" i="1"/>
  <c r="E3385" i="1"/>
  <c r="B3385" i="1"/>
  <c r="O3384" i="1"/>
  <c r="E3384" i="1"/>
  <c r="B3384" i="1"/>
  <c r="O3383" i="1"/>
  <c r="E3383" i="1"/>
  <c r="B3383" i="1"/>
  <c r="O3382" i="1"/>
  <c r="E3382" i="1"/>
  <c r="B3382" i="1"/>
  <c r="O3381" i="1"/>
  <c r="E3381" i="1"/>
  <c r="B3381" i="1"/>
  <c r="O3380" i="1"/>
  <c r="E3380" i="1"/>
  <c r="B3380" i="1"/>
  <c r="O3379" i="1"/>
  <c r="E3379" i="1"/>
  <c r="B3379" i="1"/>
  <c r="O3378" i="1"/>
  <c r="E3378" i="1"/>
  <c r="B3378" i="1"/>
  <c r="O3377" i="1"/>
  <c r="E3377" i="1"/>
  <c r="B3377" i="1"/>
  <c r="O3376" i="1"/>
  <c r="E3376" i="1"/>
  <c r="B3376" i="1"/>
  <c r="O3375" i="1"/>
  <c r="E3375" i="1"/>
  <c r="B3375" i="1"/>
  <c r="O3374" i="1"/>
  <c r="E3374" i="1"/>
  <c r="B3374" i="1"/>
  <c r="O3373" i="1"/>
  <c r="E3373" i="1"/>
  <c r="B3373" i="1"/>
  <c r="O3372" i="1"/>
  <c r="E3372" i="1"/>
  <c r="B3372" i="1"/>
  <c r="O3371" i="1"/>
  <c r="E3371" i="1"/>
  <c r="B3371" i="1"/>
  <c r="O3370" i="1"/>
  <c r="E3370" i="1"/>
  <c r="B3370" i="1"/>
  <c r="O3369" i="1"/>
  <c r="E3369" i="1"/>
  <c r="B3369" i="1"/>
  <c r="O3368" i="1"/>
  <c r="E3368" i="1"/>
  <c r="B3368" i="1"/>
  <c r="O3367" i="1"/>
  <c r="E3367" i="1"/>
  <c r="B3367" i="1"/>
  <c r="O3366" i="1"/>
  <c r="E3366" i="1"/>
  <c r="B3366" i="1"/>
  <c r="O3365" i="1"/>
  <c r="E3365" i="1"/>
  <c r="B3365" i="1"/>
  <c r="O3364" i="1"/>
  <c r="E3364" i="1"/>
  <c r="B3364" i="1"/>
  <c r="O3363" i="1"/>
  <c r="E3363" i="1"/>
  <c r="B3363" i="1"/>
  <c r="O3362" i="1"/>
  <c r="E3362" i="1"/>
  <c r="B3362" i="1"/>
  <c r="O3361" i="1"/>
  <c r="E3361" i="1"/>
  <c r="B3361" i="1"/>
  <c r="O3360" i="1"/>
  <c r="E3360" i="1"/>
  <c r="B3360" i="1"/>
  <c r="O3359" i="1"/>
  <c r="E3359" i="1"/>
  <c r="B3359" i="1"/>
  <c r="O3358" i="1"/>
  <c r="E3358" i="1"/>
  <c r="B3358" i="1"/>
  <c r="O3357" i="1"/>
  <c r="E3357" i="1"/>
  <c r="B3357" i="1"/>
  <c r="O3356" i="1"/>
  <c r="E3356" i="1"/>
  <c r="B3356" i="1"/>
  <c r="O3355" i="1"/>
  <c r="E3355" i="1"/>
  <c r="B3355" i="1"/>
  <c r="O3354" i="1"/>
  <c r="E3354" i="1"/>
  <c r="B3354" i="1"/>
  <c r="O3353" i="1"/>
  <c r="E3353" i="1"/>
  <c r="B3353" i="1"/>
  <c r="O3352" i="1"/>
  <c r="E3352" i="1"/>
  <c r="B3352" i="1"/>
  <c r="O3351" i="1"/>
  <c r="E3351" i="1"/>
  <c r="B3351" i="1"/>
  <c r="O3350" i="1"/>
  <c r="E3350" i="1"/>
  <c r="B3350" i="1"/>
  <c r="O3349" i="1"/>
  <c r="E3349" i="1"/>
  <c r="B3349" i="1"/>
  <c r="O3348" i="1"/>
  <c r="E3348" i="1"/>
  <c r="B3348" i="1"/>
  <c r="O3347" i="1"/>
  <c r="E3347" i="1"/>
  <c r="B3347" i="1"/>
  <c r="O3346" i="1"/>
  <c r="E3346" i="1"/>
  <c r="B3346" i="1"/>
  <c r="O3345" i="1"/>
  <c r="E3345" i="1"/>
  <c r="B3345" i="1"/>
  <c r="O3344" i="1"/>
  <c r="E3344" i="1"/>
  <c r="B3344" i="1"/>
  <c r="O3343" i="1"/>
  <c r="E3343" i="1"/>
  <c r="B3343" i="1"/>
  <c r="O3342" i="1"/>
  <c r="E3342" i="1"/>
  <c r="B3342" i="1"/>
  <c r="O3341" i="1"/>
  <c r="E3341" i="1"/>
  <c r="B3341" i="1"/>
  <c r="O3340" i="1"/>
  <c r="E3340" i="1"/>
  <c r="B3340" i="1"/>
  <c r="O3339" i="1"/>
  <c r="E3339" i="1"/>
  <c r="B3339" i="1"/>
  <c r="O3338" i="1"/>
  <c r="E3338" i="1"/>
  <c r="B3338" i="1"/>
  <c r="O3337" i="1"/>
  <c r="E3337" i="1"/>
  <c r="B3337" i="1"/>
  <c r="O3336" i="1"/>
  <c r="E3336" i="1"/>
  <c r="B3336" i="1"/>
  <c r="O3335" i="1"/>
  <c r="E3335" i="1"/>
  <c r="B3335" i="1"/>
  <c r="O3334" i="1"/>
  <c r="E3334" i="1"/>
  <c r="B3334" i="1"/>
  <c r="O3333" i="1"/>
  <c r="E3333" i="1"/>
  <c r="B3333" i="1"/>
  <c r="O3332" i="1"/>
  <c r="E3332" i="1"/>
  <c r="B3332" i="1"/>
  <c r="O3331" i="1"/>
  <c r="E3331" i="1"/>
  <c r="B3331" i="1"/>
  <c r="O3330" i="1"/>
  <c r="E3330" i="1"/>
  <c r="B3330" i="1"/>
  <c r="O3329" i="1"/>
  <c r="E3329" i="1"/>
  <c r="B3329" i="1"/>
  <c r="O3328" i="1"/>
  <c r="E3328" i="1"/>
  <c r="B3328" i="1"/>
  <c r="O3327" i="1"/>
  <c r="E3327" i="1"/>
  <c r="B3327" i="1"/>
  <c r="O3326" i="1"/>
  <c r="E3326" i="1"/>
  <c r="B3326" i="1"/>
  <c r="O3325" i="1"/>
  <c r="E3325" i="1"/>
  <c r="B3325" i="1"/>
  <c r="O3324" i="1"/>
  <c r="E3324" i="1"/>
  <c r="B3324" i="1"/>
  <c r="O3323" i="1"/>
  <c r="E3323" i="1"/>
  <c r="B3323" i="1"/>
  <c r="O3322" i="1"/>
  <c r="E3322" i="1"/>
  <c r="B3322" i="1"/>
  <c r="O3321" i="1"/>
  <c r="E3321" i="1"/>
  <c r="B3321" i="1"/>
  <c r="O3320" i="1"/>
  <c r="E3320" i="1"/>
  <c r="B3320" i="1"/>
  <c r="O3319" i="1"/>
  <c r="E3319" i="1"/>
  <c r="B3319" i="1"/>
  <c r="O3318" i="1"/>
  <c r="E3318" i="1"/>
  <c r="B3318" i="1"/>
  <c r="O3317" i="1"/>
  <c r="E3317" i="1"/>
  <c r="B3317" i="1"/>
  <c r="O3316" i="1"/>
  <c r="E3316" i="1"/>
  <c r="B3316" i="1"/>
  <c r="O3315" i="1"/>
  <c r="E3315" i="1"/>
  <c r="B3315" i="1"/>
  <c r="O3314" i="1"/>
  <c r="E3314" i="1"/>
  <c r="B3314" i="1"/>
  <c r="O3313" i="1"/>
  <c r="E3313" i="1"/>
  <c r="B3313" i="1"/>
  <c r="O3312" i="1"/>
  <c r="E3312" i="1"/>
  <c r="B3312" i="1"/>
  <c r="O3311" i="1"/>
  <c r="E3311" i="1"/>
  <c r="B3311" i="1"/>
  <c r="O3310" i="1"/>
  <c r="E3310" i="1"/>
  <c r="B3310" i="1"/>
  <c r="O3309" i="1"/>
  <c r="E3309" i="1"/>
  <c r="B3309" i="1"/>
  <c r="O3308" i="1"/>
  <c r="E3308" i="1"/>
  <c r="B3308" i="1"/>
  <c r="O3307" i="1"/>
  <c r="E3307" i="1"/>
  <c r="B3307" i="1"/>
  <c r="O3306" i="1"/>
  <c r="E3306" i="1"/>
  <c r="B3306" i="1"/>
  <c r="O3305" i="1"/>
  <c r="E3305" i="1"/>
  <c r="B3305" i="1"/>
  <c r="O3304" i="1"/>
  <c r="E3304" i="1"/>
  <c r="B3304" i="1"/>
  <c r="O3303" i="1"/>
  <c r="E3303" i="1"/>
  <c r="B3303" i="1"/>
  <c r="O3302" i="1"/>
  <c r="E3302" i="1"/>
  <c r="B3302" i="1"/>
  <c r="O3301" i="1"/>
  <c r="E3301" i="1"/>
  <c r="B3301" i="1"/>
  <c r="O3300" i="1"/>
  <c r="E3300" i="1"/>
  <c r="B3300" i="1"/>
  <c r="O3299" i="1"/>
  <c r="E3299" i="1"/>
  <c r="B3299" i="1"/>
  <c r="O3298" i="1"/>
  <c r="E3298" i="1"/>
  <c r="B3298" i="1"/>
  <c r="O3297" i="1"/>
  <c r="E3297" i="1"/>
  <c r="B3297" i="1"/>
  <c r="O3296" i="1"/>
  <c r="E3296" i="1"/>
  <c r="B3296" i="1"/>
  <c r="O3295" i="1"/>
  <c r="E3295" i="1"/>
  <c r="B3295" i="1"/>
  <c r="O3294" i="1"/>
  <c r="E3294" i="1"/>
  <c r="B3294" i="1"/>
  <c r="O3293" i="1"/>
  <c r="E3293" i="1"/>
  <c r="B3293" i="1"/>
  <c r="O3292" i="1"/>
  <c r="E3292" i="1"/>
  <c r="B3292" i="1"/>
  <c r="O3291" i="1"/>
  <c r="E3291" i="1"/>
  <c r="B3291" i="1"/>
  <c r="O3290" i="1"/>
  <c r="E3290" i="1"/>
  <c r="B3290" i="1"/>
  <c r="O3289" i="1"/>
  <c r="E3289" i="1"/>
  <c r="B3289" i="1"/>
  <c r="O3288" i="1"/>
  <c r="E3288" i="1"/>
  <c r="B3288" i="1"/>
  <c r="O3287" i="1"/>
  <c r="E3287" i="1"/>
  <c r="B3287" i="1"/>
  <c r="O3286" i="1"/>
  <c r="E3286" i="1"/>
  <c r="B3286" i="1"/>
  <c r="O3285" i="1"/>
  <c r="E3285" i="1"/>
  <c r="B3285" i="1"/>
  <c r="O3284" i="1"/>
  <c r="E3284" i="1"/>
  <c r="B3284" i="1"/>
  <c r="O3283" i="1"/>
  <c r="E3283" i="1"/>
  <c r="B3283" i="1"/>
  <c r="O3282" i="1"/>
  <c r="E3282" i="1"/>
  <c r="B3282" i="1"/>
  <c r="O3281" i="1"/>
  <c r="E3281" i="1"/>
  <c r="B3281" i="1"/>
  <c r="O3280" i="1"/>
  <c r="E3280" i="1"/>
  <c r="B3280" i="1"/>
  <c r="O3279" i="1"/>
  <c r="E3279" i="1"/>
  <c r="B3279" i="1"/>
  <c r="O3278" i="1"/>
  <c r="E3278" i="1"/>
  <c r="B3278" i="1"/>
  <c r="O3277" i="1"/>
  <c r="E3277" i="1"/>
  <c r="B3277" i="1"/>
  <c r="O3276" i="1"/>
  <c r="E3276" i="1"/>
  <c r="B3276" i="1"/>
  <c r="O3275" i="1"/>
  <c r="E3275" i="1"/>
  <c r="B3275" i="1"/>
  <c r="O3274" i="1"/>
  <c r="E3274" i="1"/>
  <c r="B3274" i="1"/>
  <c r="O3273" i="1"/>
  <c r="E3273" i="1"/>
  <c r="B3273" i="1"/>
  <c r="O3272" i="1"/>
  <c r="E3272" i="1"/>
  <c r="B3272" i="1"/>
  <c r="O3271" i="1"/>
  <c r="E3271" i="1"/>
  <c r="B3271" i="1"/>
  <c r="O3270" i="1"/>
  <c r="E3270" i="1"/>
  <c r="B3270" i="1"/>
  <c r="O3269" i="1"/>
  <c r="E3269" i="1"/>
  <c r="B3269" i="1"/>
  <c r="O3268" i="1"/>
  <c r="E3268" i="1"/>
  <c r="B3268" i="1"/>
  <c r="O3267" i="1"/>
  <c r="E3267" i="1"/>
  <c r="B3267" i="1"/>
  <c r="O3266" i="1"/>
  <c r="E3266" i="1"/>
  <c r="B3266" i="1"/>
  <c r="O3265" i="1"/>
  <c r="E3265" i="1"/>
  <c r="B3265" i="1"/>
  <c r="O3264" i="1"/>
  <c r="E3264" i="1"/>
  <c r="B3264" i="1"/>
  <c r="O3263" i="1"/>
  <c r="E3263" i="1"/>
  <c r="B3263" i="1"/>
  <c r="O3262" i="1"/>
  <c r="E3262" i="1"/>
  <c r="B3262" i="1"/>
  <c r="O3261" i="1"/>
  <c r="E3261" i="1"/>
  <c r="B3261" i="1"/>
  <c r="O3260" i="1"/>
  <c r="E3260" i="1"/>
  <c r="B3260" i="1"/>
  <c r="O3259" i="1"/>
  <c r="E3259" i="1"/>
  <c r="B3259" i="1"/>
  <c r="O3258" i="1"/>
  <c r="E3258" i="1"/>
  <c r="B3258" i="1"/>
  <c r="O3257" i="1"/>
  <c r="E3257" i="1"/>
  <c r="B3257" i="1"/>
  <c r="O3256" i="1"/>
  <c r="E3256" i="1"/>
  <c r="B3256" i="1"/>
  <c r="O3255" i="1"/>
  <c r="E3255" i="1"/>
  <c r="B3255" i="1"/>
  <c r="O3254" i="1"/>
  <c r="E3254" i="1"/>
  <c r="B3254" i="1"/>
  <c r="O3253" i="1"/>
  <c r="E3253" i="1"/>
  <c r="B3253" i="1"/>
  <c r="O3252" i="1"/>
  <c r="E3252" i="1"/>
  <c r="B3252" i="1"/>
  <c r="O3251" i="1"/>
  <c r="E3251" i="1"/>
  <c r="B3251" i="1"/>
  <c r="O3250" i="1"/>
  <c r="E3250" i="1"/>
  <c r="B3250" i="1"/>
  <c r="O3249" i="1"/>
  <c r="E3249" i="1"/>
  <c r="B3249" i="1"/>
  <c r="O3248" i="1"/>
  <c r="E3248" i="1"/>
  <c r="B3248" i="1"/>
  <c r="O3247" i="1"/>
  <c r="E3247" i="1"/>
  <c r="B3247" i="1"/>
  <c r="O3246" i="1"/>
  <c r="E3246" i="1"/>
  <c r="B3246" i="1"/>
  <c r="O3245" i="1"/>
  <c r="E3245" i="1"/>
  <c r="B3245" i="1"/>
  <c r="O3244" i="1"/>
  <c r="E3244" i="1"/>
  <c r="B3244" i="1"/>
  <c r="O3243" i="1"/>
  <c r="E3243" i="1"/>
  <c r="B3243" i="1"/>
  <c r="O3242" i="1"/>
  <c r="E3242" i="1"/>
  <c r="B3242" i="1"/>
  <c r="O3241" i="1"/>
  <c r="E3241" i="1"/>
  <c r="B3241" i="1"/>
  <c r="O3240" i="1"/>
  <c r="E3240" i="1"/>
  <c r="B3240" i="1"/>
  <c r="O3239" i="1"/>
  <c r="E3239" i="1"/>
  <c r="B3239" i="1"/>
  <c r="O3238" i="1"/>
  <c r="E3238" i="1"/>
  <c r="B3238" i="1"/>
  <c r="O3237" i="1"/>
  <c r="E3237" i="1"/>
  <c r="B3237" i="1"/>
  <c r="O3236" i="1"/>
  <c r="E3236" i="1"/>
  <c r="B3236" i="1"/>
  <c r="O3235" i="1"/>
  <c r="E3235" i="1"/>
  <c r="B3235" i="1"/>
  <c r="O3234" i="1"/>
  <c r="E3234" i="1"/>
  <c r="B3234" i="1"/>
  <c r="O3233" i="1"/>
  <c r="E3233" i="1"/>
  <c r="B3233" i="1"/>
  <c r="O3232" i="1"/>
  <c r="E3232" i="1"/>
  <c r="B3232" i="1"/>
  <c r="O3231" i="1"/>
  <c r="E3231" i="1"/>
  <c r="B3231" i="1"/>
  <c r="O3230" i="1"/>
  <c r="E3230" i="1"/>
  <c r="B3230" i="1"/>
  <c r="O3229" i="1"/>
  <c r="E3229" i="1"/>
  <c r="B3229" i="1"/>
  <c r="O3228" i="1"/>
  <c r="E3228" i="1"/>
  <c r="B3228" i="1"/>
  <c r="O3227" i="1"/>
  <c r="E3227" i="1"/>
  <c r="B3227" i="1"/>
  <c r="O3226" i="1"/>
  <c r="E3226" i="1"/>
  <c r="B3226" i="1"/>
  <c r="O3225" i="1"/>
  <c r="E3225" i="1"/>
  <c r="B3225" i="1"/>
  <c r="O3224" i="1"/>
  <c r="E3224" i="1"/>
  <c r="B3224" i="1"/>
  <c r="O3223" i="1"/>
  <c r="E3223" i="1"/>
  <c r="B3223" i="1"/>
  <c r="O3222" i="1"/>
  <c r="E3222" i="1"/>
  <c r="B3222" i="1"/>
  <c r="O3221" i="1"/>
  <c r="E3221" i="1"/>
  <c r="B3221" i="1"/>
  <c r="O3220" i="1"/>
  <c r="E3220" i="1"/>
  <c r="B3220" i="1"/>
  <c r="O3219" i="1"/>
  <c r="E3219" i="1"/>
  <c r="B3219" i="1"/>
  <c r="O3218" i="1"/>
  <c r="E3218" i="1"/>
  <c r="B3218" i="1"/>
  <c r="O3217" i="1"/>
  <c r="E3217" i="1"/>
  <c r="B3217" i="1"/>
  <c r="O3216" i="1"/>
  <c r="E3216" i="1"/>
  <c r="B3216" i="1"/>
  <c r="O3215" i="1"/>
  <c r="E3215" i="1"/>
  <c r="B3215" i="1"/>
  <c r="O3214" i="1"/>
  <c r="E3214" i="1"/>
  <c r="B3214" i="1"/>
  <c r="O3213" i="1"/>
  <c r="E3213" i="1"/>
  <c r="B3213" i="1"/>
  <c r="O3212" i="1"/>
  <c r="E3212" i="1"/>
  <c r="B3212" i="1"/>
  <c r="O3211" i="1"/>
  <c r="E3211" i="1"/>
  <c r="B3211" i="1"/>
  <c r="O3210" i="1"/>
  <c r="E3210" i="1"/>
  <c r="B3210" i="1"/>
  <c r="O3209" i="1"/>
  <c r="E3209" i="1"/>
  <c r="B3209" i="1"/>
  <c r="O3208" i="1"/>
  <c r="E3208" i="1"/>
  <c r="B3208" i="1"/>
  <c r="O3207" i="1"/>
  <c r="E3207" i="1"/>
  <c r="B3207" i="1"/>
  <c r="O3206" i="1"/>
  <c r="E3206" i="1"/>
  <c r="B3206" i="1"/>
  <c r="O3205" i="1"/>
  <c r="E3205" i="1"/>
  <c r="B3205" i="1"/>
  <c r="O3204" i="1"/>
  <c r="E3204" i="1"/>
  <c r="B3204" i="1"/>
  <c r="O3203" i="1"/>
  <c r="E3203" i="1"/>
  <c r="B3203" i="1"/>
  <c r="O3202" i="1"/>
  <c r="E3202" i="1"/>
  <c r="B3202" i="1"/>
  <c r="O3201" i="1"/>
  <c r="E3201" i="1"/>
  <c r="B3201" i="1"/>
  <c r="O3200" i="1"/>
  <c r="E3200" i="1"/>
  <c r="B3200" i="1"/>
  <c r="O3199" i="1"/>
  <c r="E3199" i="1"/>
  <c r="B3199" i="1"/>
  <c r="O3198" i="1"/>
  <c r="E3198" i="1"/>
  <c r="B3198" i="1"/>
  <c r="O3197" i="1"/>
  <c r="E3197" i="1"/>
  <c r="B3197" i="1"/>
  <c r="O3196" i="1"/>
  <c r="E3196" i="1"/>
  <c r="B3196" i="1"/>
  <c r="O3195" i="1"/>
  <c r="E3195" i="1"/>
  <c r="B3195" i="1"/>
  <c r="O3194" i="1"/>
  <c r="E3194" i="1"/>
  <c r="B3194" i="1"/>
  <c r="O3193" i="1"/>
  <c r="E3193" i="1"/>
  <c r="B3193" i="1"/>
  <c r="O3192" i="1"/>
  <c r="E3192" i="1"/>
  <c r="B3192" i="1"/>
  <c r="O3191" i="1"/>
  <c r="E3191" i="1"/>
  <c r="B3191" i="1"/>
  <c r="O3190" i="1"/>
  <c r="E3190" i="1"/>
  <c r="B3190" i="1"/>
  <c r="O3189" i="1"/>
  <c r="E3189" i="1"/>
  <c r="B3189" i="1"/>
  <c r="O3188" i="1"/>
  <c r="E3188" i="1"/>
  <c r="B3188" i="1"/>
  <c r="O3187" i="1"/>
  <c r="E3187" i="1"/>
  <c r="B3187" i="1"/>
  <c r="O3186" i="1"/>
  <c r="E3186" i="1"/>
  <c r="B3186" i="1"/>
  <c r="O3185" i="1"/>
  <c r="E3185" i="1"/>
  <c r="B3185" i="1"/>
  <c r="O3184" i="1"/>
  <c r="E3184" i="1"/>
  <c r="B3184" i="1"/>
  <c r="O3183" i="1"/>
  <c r="E3183" i="1"/>
  <c r="B3183" i="1"/>
  <c r="O3182" i="1"/>
  <c r="E3182" i="1"/>
  <c r="B3182" i="1"/>
  <c r="O3181" i="1"/>
  <c r="E3181" i="1"/>
  <c r="B3181" i="1"/>
  <c r="O3180" i="1"/>
  <c r="E3180" i="1"/>
  <c r="B3180" i="1"/>
  <c r="O3179" i="1"/>
  <c r="E3179" i="1"/>
  <c r="B3179" i="1"/>
  <c r="O3178" i="1"/>
  <c r="E3178" i="1"/>
  <c r="B3178" i="1"/>
  <c r="O3177" i="1"/>
  <c r="E3177" i="1"/>
  <c r="B3177" i="1"/>
  <c r="O3176" i="1"/>
  <c r="E3176" i="1"/>
  <c r="B3176" i="1"/>
  <c r="O3175" i="1"/>
  <c r="E3175" i="1"/>
  <c r="B3175" i="1"/>
  <c r="O3174" i="1"/>
  <c r="E3174" i="1"/>
  <c r="B3174" i="1"/>
  <c r="O3173" i="1"/>
  <c r="E3173" i="1"/>
  <c r="B3173" i="1"/>
  <c r="O3172" i="1"/>
  <c r="E3172" i="1"/>
  <c r="B3172" i="1"/>
  <c r="O3171" i="1"/>
  <c r="E3171" i="1"/>
  <c r="B3171" i="1"/>
  <c r="O3170" i="1"/>
  <c r="E3170" i="1"/>
  <c r="B3170" i="1"/>
  <c r="O3169" i="1"/>
  <c r="E3169" i="1"/>
  <c r="B3169" i="1"/>
  <c r="O3168" i="1"/>
  <c r="E3168" i="1"/>
  <c r="B3168" i="1"/>
  <c r="O3167" i="1"/>
  <c r="E3167" i="1"/>
  <c r="B3167" i="1"/>
  <c r="O3166" i="1"/>
  <c r="E3166" i="1"/>
  <c r="B3166" i="1"/>
  <c r="O3165" i="1"/>
  <c r="E3165" i="1"/>
  <c r="B3165" i="1"/>
  <c r="O3164" i="1"/>
  <c r="E3164" i="1"/>
  <c r="B3164" i="1"/>
  <c r="O3163" i="1"/>
  <c r="E3163" i="1"/>
  <c r="B3163" i="1"/>
  <c r="O3162" i="1"/>
  <c r="E3162" i="1"/>
  <c r="B3162" i="1"/>
  <c r="O3161" i="1"/>
  <c r="E3161" i="1"/>
  <c r="B3161" i="1"/>
  <c r="O3160" i="1"/>
  <c r="E3160" i="1"/>
  <c r="B3160" i="1"/>
  <c r="O3159" i="1"/>
  <c r="E3159" i="1"/>
  <c r="B3159" i="1"/>
  <c r="O3158" i="1"/>
  <c r="E3158" i="1"/>
  <c r="B3158" i="1"/>
  <c r="O3157" i="1"/>
  <c r="E3157" i="1"/>
  <c r="B3157" i="1"/>
  <c r="O3156" i="1"/>
  <c r="E3156" i="1"/>
  <c r="B3156" i="1"/>
  <c r="O3155" i="1"/>
  <c r="E3155" i="1"/>
  <c r="B3155" i="1"/>
  <c r="O3154" i="1"/>
  <c r="E3154" i="1"/>
  <c r="B3154" i="1"/>
  <c r="O3153" i="1"/>
  <c r="E3153" i="1"/>
  <c r="B3153" i="1"/>
  <c r="O3152" i="1"/>
  <c r="E3152" i="1"/>
  <c r="B3152" i="1"/>
  <c r="O3151" i="1"/>
  <c r="E3151" i="1"/>
  <c r="B3151" i="1"/>
  <c r="O3150" i="1"/>
  <c r="E3150" i="1"/>
  <c r="B3150" i="1"/>
  <c r="O3149" i="1"/>
  <c r="E3149" i="1"/>
  <c r="B3149" i="1"/>
  <c r="O3148" i="1"/>
  <c r="E3148" i="1"/>
  <c r="B3148" i="1"/>
  <c r="O3147" i="1"/>
  <c r="E3147" i="1"/>
  <c r="B3147" i="1"/>
  <c r="O3146" i="1"/>
  <c r="E3146" i="1"/>
  <c r="B3146" i="1"/>
  <c r="O3145" i="1"/>
  <c r="E3145" i="1"/>
  <c r="B3145" i="1"/>
  <c r="O3144" i="1"/>
  <c r="E3144" i="1"/>
  <c r="B3144" i="1"/>
  <c r="O3143" i="1"/>
  <c r="E3143" i="1"/>
  <c r="B3143" i="1"/>
  <c r="O3142" i="1"/>
  <c r="E3142" i="1"/>
  <c r="B3142" i="1"/>
  <c r="O3141" i="1"/>
  <c r="E3141" i="1"/>
  <c r="B3141" i="1"/>
  <c r="O3140" i="1"/>
  <c r="E3140" i="1"/>
  <c r="B3140" i="1"/>
  <c r="O3139" i="1"/>
  <c r="E3139" i="1"/>
  <c r="B3139" i="1"/>
  <c r="O3138" i="1"/>
  <c r="E3138" i="1"/>
  <c r="B3138" i="1"/>
  <c r="O3137" i="1"/>
  <c r="E3137" i="1"/>
  <c r="B3137" i="1"/>
  <c r="O3136" i="1"/>
  <c r="E3136" i="1"/>
  <c r="B3136" i="1"/>
  <c r="O3135" i="1"/>
  <c r="E3135" i="1"/>
  <c r="B3135" i="1"/>
  <c r="O3134" i="1"/>
  <c r="E3134" i="1"/>
  <c r="B3134" i="1"/>
  <c r="O3133" i="1"/>
  <c r="E3133" i="1"/>
  <c r="B3133" i="1"/>
  <c r="O3132" i="1"/>
  <c r="E3132" i="1"/>
  <c r="B3132" i="1"/>
  <c r="O3131" i="1"/>
  <c r="E3131" i="1"/>
  <c r="B3131" i="1"/>
  <c r="O3130" i="1"/>
  <c r="E3130" i="1"/>
  <c r="B3130" i="1"/>
  <c r="O3129" i="1"/>
  <c r="E3129" i="1"/>
  <c r="B3129" i="1"/>
  <c r="O3128" i="1"/>
  <c r="E3128" i="1"/>
  <c r="B3128" i="1"/>
  <c r="O3127" i="1"/>
  <c r="E3127" i="1"/>
  <c r="B3127" i="1"/>
  <c r="O3126" i="1"/>
  <c r="E3126" i="1"/>
  <c r="B3126" i="1"/>
  <c r="O3125" i="1"/>
  <c r="E3125" i="1"/>
  <c r="B3125" i="1"/>
  <c r="O3124" i="1"/>
  <c r="E3124" i="1"/>
  <c r="B3124" i="1"/>
  <c r="O3123" i="1"/>
  <c r="E3123" i="1"/>
  <c r="B3123" i="1"/>
  <c r="O3122" i="1"/>
  <c r="E3122" i="1"/>
  <c r="B3122" i="1"/>
  <c r="O3121" i="1"/>
  <c r="E3121" i="1"/>
  <c r="B3121" i="1"/>
  <c r="O3120" i="1"/>
  <c r="E3120" i="1"/>
  <c r="B3120" i="1"/>
  <c r="O3119" i="1"/>
  <c r="E3119" i="1"/>
  <c r="B3119" i="1"/>
  <c r="O3118" i="1"/>
  <c r="E3118" i="1"/>
  <c r="B3118" i="1"/>
  <c r="O3117" i="1"/>
  <c r="E3117" i="1"/>
  <c r="B3117" i="1"/>
  <c r="O3116" i="1"/>
  <c r="E3116" i="1"/>
  <c r="B3116" i="1"/>
  <c r="O3115" i="1"/>
  <c r="E3115" i="1"/>
  <c r="B3115" i="1"/>
  <c r="O3114" i="1"/>
  <c r="E3114" i="1"/>
  <c r="B3114" i="1"/>
  <c r="O3113" i="1"/>
  <c r="E3113" i="1"/>
  <c r="B3113" i="1"/>
  <c r="O3112" i="1"/>
  <c r="E3112" i="1"/>
  <c r="B3112" i="1"/>
  <c r="O3111" i="1"/>
  <c r="E3111" i="1"/>
  <c r="B3111" i="1"/>
  <c r="O3110" i="1"/>
  <c r="E3110" i="1"/>
  <c r="B3110" i="1"/>
  <c r="O3109" i="1"/>
  <c r="E3109" i="1"/>
  <c r="B3109" i="1"/>
  <c r="O3108" i="1"/>
  <c r="E3108" i="1"/>
  <c r="B3108" i="1"/>
  <c r="O3107" i="1"/>
  <c r="E3107" i="1"/>
  <c r="B3107" i="1"/>
  <c r="O3106" i="1"/>
  <c r="E3106" i="1"/>
  <c r="B3106" i="1"/>
  <c r="O3105" i="1"/>
  <c r="E3105" i="1"/>
  <c r="B3105" i="1"/>
  <c r="O3104" i="1"/>
  <c r="E3104" i="1"/>
  <c r="B3104" i="1"/>
  <c r="O3103" i="1"/>
  <c r="E3103" i="1"/>
  <c r="B3103" i="1"/>
  <c r="O3102" i="1"/>
  <c r="E3102" i="1"/>
  <c r="B3102" i="1"/>
  <c r="O3101" i="1"/>
  <c r="E3101" i="1"/>
  <c r="B3101" i="1"/>
  <c r="O3100" i="1"/>
  <c r="E3100" i="1"/>
  <c r="B3100" i="1"/>
  <c r="O3099" i="1"/>
  <c r="E3099" i="1"/>
  <c r="B3099" i="1"/>
  <c r="O3098" i="1"/>
  <c r="E3098" i="1"/>
  <c r="B3098" i="1"/>
  <c r="O3097" i="1"/>
  <c r="E3097" i="1"/>
  <c r="B3097" i="1"/>
  <c r="O3096" i="1"/>
  <c r="E3096" i="1"/>
  <c r="B3096" i="1"/>
  <c r="O3095" i="1"/>
  <c r="E3095" i="1"/>
  <c r="B3095" i="1"/>
  <c r="O3094" i="1"/>
  <c r="E3094" i="1"/>
  <c r="B3094" i="1"/>
  <c r="O3093" i="1"/>
  <c r="E3093" i="1"/>
  <c r="B3093" i="1"/>
  <c r="O3092" i="1"/>
  <c r="E3092" i="1"/>
  <c r="B3092" i="1"/>
  <c r="O3091" i="1"/>
  <c r="E3091" i="1"/>
  <c r="B3091" i="1"/>
  <c r="O3090" i="1"/>
  <c r="E3090" i="1"/>
  <c r="B3090" i="1"/>
  <c r="O3089" i="1"/>
  <c r="E3089" i="1"/>
  <c r="B3089" i="1"/>
  <c r="O3088" i="1"/>
  <c r="E3088" i="1"/>
  <c r="B3088" i="1"/>
  <c r="O3087" i="1"/>
  <c r="E3087" i="1"/>
  <c r="B3087" i="1"/>
  <c r="O3086" i="1"/>
  <c r="E3086" i="1"/>
  <c r="B3086" i="1"/>
  <c r="O3085" i="1"/>
  <c r="E3085" i="1"/>
  <c r="B3085" i="1"/>
  <c r="O3084" i="1"/>
  <c r="E3084" i="1"/>
  <c r="B3084" i="1"/>
  <c r="O3083" i="1"/>
  <c r="E3083" i="1"/>
  <c r="B3083" i="1"/>
  <c r="O3082" i="1"/>
  <c r="E3082" i="1"/>
  <c r="B3082" i="1"/>
  <c r="O3081" i="1"/>
  <c r="E3081" i="1"/>
  <c r="B3081" i="1"/>
  <c r="O3080" i="1"/>
  <c r="E3080" i="1"/>
  <c r="B3080" i="1"/>
  <c r="O3079" i="1"/>
  <c r="E3079" i="1"/>
  <c r="B3079" i="1"/>
  <c r="O3078" i="1"/>
  <c r="E3078" i="1"/>
  <c r="B3078" i="1"/>
  <c r="O3077" i="1"/>
  <c r="E3077" i="1"/>
  <c r="B3077" i="1"/>
  <c r="O3076" i="1"/>
  <c r="E3076" i="1"/>
  <c r="B3076" i="1"/>
  <c r="O3075" i="1"/>
  <c r="E3075" i="1"/>
  <c r="B3075" i="1"/>
  <c r="O3074" i="1"/>
  <c r="E3074" i="1"/>
  <c r="B3074" i="1"/>
  <c r="O3073" i="1"/>
  <c r="E3073" i="1"/>
  <c r="B3073" i="1"/>
  <c r="O3072" i="1"/>
  <c r="E3072" i="1"/>
  <c r="B3072" i="1"/>
  <c r="O3071" i="1"/>
  <c r="E3071" i="1"/>
  <c r="B3071" i="1"/>
  <c r="O3070" i="1"/>
  <c r="E3070" i="1"/>
  <c r="B3070" i="1"/>
  <c r="O3069" i="1"/>
  <c r="E3069" i="1"/>
  <c r="B3069" i="1"/>
  <c r="O3068" i="1"/>
  <c r="E3068" i="1"/>
  <c r="B3068" i="1"/>
  <c r="O3067" i="1"/>
  <c r="E3067" i="1"/>
  <c r="B3067" i="1"/>
  <c r="O3066" i="1"/>
  <c r="E3066" i="1"/>
  <c r="B3066" i="1"/>
  <c r="O3065" i="1"/>
  <c r="E3065" i="1"/>
  <c r="B3065" i="1"/>
  <c r="O3064" i="1"/>
  <c r="E3064" i="1"/>
  <c r="B3064" i="1"/>
  <c r="O3063" i="1"/>
  <c r="E3063" i="1"/>
  <c r="B3063" i="1"/>
  <c r="O3062" i="1"/>
  <c r="E3062" i="1"/>
  <c r="B3062" i="1"/>
  <c r="O3061" i="1"/>
  <c r="E3061" i="1"/>
  <c r="B3061" i="1"/>
  <c r="O3060" i="1"/>
  <c r="E3060" i="1"/>
  <c r="B3060" i="1"/>
  <c r="O3059" i="1"/>
  <c r="E3059" i="1"/>
  <c r="B3059" i="1"/>
  <c r="O3058" i="1"/>
  <c r="E3058" i="1"/>
  <c r="B3058" i="1"/>
  <c r="O3057" i="1"/>
  <c r="E3057" i="1"/>
  <c r="B3057" i="1"/>
  <c r="O3056" i="1"/>
  <c r="E3056" i="1"/>
  <c r="B3056" i="1"/>
  <c r="O3055" i="1"/>
  <c r="E3055" i="1"/>
  <c r="B3055" i="1"/>
  <c r="O3054" i="1"/>
  <c r="E3054" i="1"/>
  <c r="B3054" i="1"/>
  <c r="O3053" i="1"/>
  <c r="E3053" i="1"/>
  <c r="B3053" i="1"/>
  <c r="O3052" i="1"/>
  <c r="E3052" i="1"/>
  <c r="B3052" i="1"/>
  <c r="O3051" i="1"/>
  <c r="E3051" i="1"/>
  <c r="B3051" i="1"/>
  <c r="O3050" i="1"/>
  <c r="E3050" i="1"/>
  <c r="B3050" i="1"/>
  <c r="O3049" i="1"/>
  <c r="E3049" i="1"/>
  <c r="B3049" i="1"/>
  <c r="O3048" i="1"/>
  <c r="E3048" i="1"/>
  <c r="B3048" i="1"/>
  <c r="O3047" i="1"/>
  <c r="E3047" i="1"/>
  <c r="B3047" i="1"/>
  <c r="O3046" i="1"/>
  <c r="E3046" i="1"/>
  <c r="B3046" i="1"/>
  <c r="O3045" i="1"/>
  <c r="E3045" i="1"/>
  <c r="B3045" i="1"/>
  <c r="O3044" i="1"/>
  <c r="E3044" i="1"/>
  <c r="B3044" i="1"/>
  <c r="O3043" i="1"/>
  <c r="E3043" i="1"/>
  <c r="B3043" i="1"/>
  <c r="O3042" i="1"/>
  <c r="E3042" i="1"/>
  <c r="B3042" i="1"/>
  <c r="O3041" i="1"/>
  <c r="E3041" i="1"/>
  <c r="B3041" i="1"/>
  <c r="O3040" i="1"/>
  <c r="E3040" i="1"/>
  <c r="B3040" i="1"/>
  <c r="O3039" i="1"/>
  <c r="E3039" i="1"/>
  <c r="B3039" i="1"/>
  <c r="O3038" i="1"/>
  <c r="E3038" i="1"/>
  <c r="B3038" i="1"/>
  <c r="O3037" i="1"/>
  <c r="E3037" i="1"/>
  <c r="B3037" i="1"/>
  <c r="O3036" i="1"/>
  <c r="E3036" i="1"/>
  <c r="B3036" i="1"/>
  <c r="O3035" i="1"/>
  <c r="E3035" i="1"/>
  <c r="B3035" i="1"/>
  <c r="O3034" i="1"/>
  <c r="E3034" i="1"/>
  <c r="B3034" i="1"/>
  <c r="O3033" i="1"/>
  <c r="E3033" i="1"/>
  <c r="B3033" i="1"/>
  <c r="O3032" i="1"/>
  <c r="E3032" i="1"/>
  <c r="B3032" i="1"/>
  <c r="O3031" i="1"/>
  <c r="E3031" i="1"/>
  <c r="B3031" i="1"/>
  <c r="O3030" i="1"/>
  <c r="E3030" i="1"/>
  <c r="B3030" i="1"/>
  <c r="O3029" i="1"/>
  <c r="E3029" i="1"/>
  <c r="B3029" i="1"/>
  <c r="O3028" i="1"/>
  <c r="E3028" i="1"/>
  <c r="B3028" i="1"/>
  <c r="O3027" i="1"/>
  <c r="E3027" i="1"/>
  <c r="B3027" i="1"/>
  <c r="O3026" i="1"/>
  <c r="E3026" i="1"/>
  <c r="B3026" i="1"/>
  <c r="O3025" i="1"/>
  <c r="E3025" i="1"/>
  <c r="B3025" i="1"/>
  <c r="O3024" i="1"/>
  <c r="E3024" i="1"/>
  <c r="B3024" i="1"/>
  <c r="O3023" i="1"/>
  <c r="E3023" i="1"/>
  <c r="B3023" i="1"/>
  <c r="O3022" i="1"/>
  <c r="E3022" i="1"/>
  <c r="B3022" i="1"/>
  <c r="O3021" i="1"/>
  <c r="E3021" i="1"/>
  <c r="B3021" i="1"/>
  <c r="O3020" i="1"/>
  <c r="E3020" i="1"/>
  <c r="B3020" i="1"/>
  <c r="O3019" i="1"/>
  <c r="E3019" i="1"/>
  <c r="B3019" i="1"/>
  <c r="O3018" i="1"/>
  <c r="E3018" i="1"/>
  <c r="B3018" i="1"/>
  <c r="O3017" i="1"/>
  <c r="E3017" i="1"/>
  <c r="B3017" i="1"/>
  <c r="O3016" i="1"/>
  <c r="E3016" i="1"/>
  <c r="B3016" i="1"/>
  <c r="O3015" i="1"/>
  <c r="E3015" i="1"/>
  <c r="B3015" i="1"/>
  <c r="O3014" i="1"/>
  <c r="E3014" i="1"/>
  <c r="B3014" i="1"/>
  <c r="O3013" i="1"/>
  <c r="E3013" i="1"/>
  <c r="B3013" i="1"/>
  <c r="O3012" i="1"/>
  <c r="E3012" i="1"/>
  <c r="B3012" i="1"/>
  <c r="O3011" i="1"/>
  <c r="E3011" i="1"/>
  <c r="B3011" i="1"/>
  <c r="O3010" i="1"/>
  <c r="E3010" i="1"/>
  <c r="B3010" i="1"/>
  <c r="O3009" i="1"/>
  <c r="E3009" i="1"/>
  <c r="B3009" i="1"/>
  <c r="O3008" i="1"/>
  <c r="E3008" i="1"/>
  <c r="B3008" i="1"/>
  <c r="O3007" i="1"/>
  <c r="E3007" i="1"/>
  <c r="B3007" i="1"/>
  <c r="O3006" i="1"/>
  <c r="E3006" i="1"/>
  <c r="B3006" i="1"/>
  <c r="O3005" i="1"/>
  <c r="E3005" i="1"/>
  <c r="B3005" i="1"/>
  <c r="O3004" i="1"/>
  <c r="E3004" i="1"/>
  <c r="B3004" i="1"/>
  <c r="O3003" i="1"/>
  <c r="E3003" i="1"/>
  <c r="B3003" i="1"/>
  <c r="O3002" i="1"/>
  <c r="E3002" i="1"/>
  <c r="B3002" i="1"/>
  <c r="O3001" i="1"/>
  <c r="E3001" i="1"/>
  <c r="B3001" i="1"/>
  <c r="O3000" i="1"/>
  <c r="E3000" i="1"/>
  <c r="B3000" i="1"/>
  <c r="O2999" i="1"/>
  <c r="E2999" i="1"/>
  <c r="B2999" i="1"/>
  <c r="O2998" i="1"/>
  <c r="E2998" i="1"/>
  <c r="B2998" i="1"/>
  <c r="O2997" i="1"/>
  <c r="E2997" i="1"/>
  <c r="B2997" i="1"/>
  <c r="O2996" i="1"/>
  <c r="E2996" i="1"/>
  <c r="B2996" i="1"/>
  <c r="O2995" i="1"/>
  <c r="E2995" i="1"/>
  <c r="B2995" i="1"/>
  <c r="O2994" i="1"/>
  <c r="E2994" i="1"/>
  <c r="B2994" i="1"/>
  <c r="O2993" i="1"/>
  <c r="E2993" i="1"/>
  <c r="B2993" i="1"/>
  <c r="O2992" i="1"/>
  <c r="E2992" i="1"/>
  <c r="B2992" i="1"/>
  <c r="O2991" i="1"/>
  <c r="E2991" i="1"/>
  <c r="B2991" i="1"/>
  <c r="O2990" i="1"/>
  <c r="E2990" i="1"/>
  <c r="B2990" i="1"/>
  <c r="O2989" i="1"/>
  <c r="E2989" i="1"/>
  <c r="B2989" i="1"/>
  <c r="O2988" i="1"/>
  <c r="E2988" i="1"/>
  <c r="B2988" i="1"/>
  <c r="O2987" i="1"/>
  <c r="E2987" i="1"/>
  <c r="B2987" i="1"/>
  <c r="O2986" i="1"/>
  <c r="E2986" i="1"/>
  <c r="B2986" i="1"/>
  <c r="O2985" i="1"/>
  <c r="E2985" i="1"/>
  <c r="B2985" i="1"/>
  <c r="O2984" i="1"/>
  <c r="E2984" i="1"/>
  <c r="B2984" i="1"/>
  <c r="O2983" i="1"/>
  <c r="E2983" i="1"/>
  <c r="B2983" i="1"/>
  <c r="O2982" i="1"/>
  <c r="E2982" i="1"/>
  <c r="B2982" i="1"/>
  <c r="O2981" i="1"/>
  <c r="E2981" i="1"/>
  <c r="B2981" i="1"/>
  <c r="O2980" i="1"/>
  <c r="E2980" i="1"/>
  <c r="B2980" i="1"/>
  <c r="O2979" i="1"/>
  <c r="E2979" i="1"/>
  <c r="B2979" i="1"/>
  <c r="O2978" i="1"/>
  <c r="E2978" i="1"/>
  <c r="B2978" i="1"/>
  <c r="O2977" i="1"/>
  <c r="E2977" i="1"/>
  <c r="B2977" i="1"/>
  <c r="O2976" i="1"/>
  <c r="E2976" i="1"/>
  <c r="B2976" i="1"/>
  <c r="O2975" i="1"/>
  <c r="E2975" i="1"/>
  <c r="B2975" i="1"/>
  <c r="O2974" i="1"/>
  <c r="E2974" i="1"/>
  <c r="B2974" i="1"/>
  <c r="O2973" i="1"/>
  <c r="E2973" i="1"/>
  <c r="B2973" i="1"/>
  <c r="O2972" i="1"/>
  <c r="E2972" i="1"/>
  <c r="B2972" i="1"/>
  <c r="O2971" i="1"/>
  <c r="E2971" i="1"/>
  <c r="B2971" i="1"/>
  <c r="O2970" i="1"/>
  <c r="E2970" i="1"/>
  <c r="B2970" i="1"/>
  <c r="O2969" i="1"/>
  <c r="E2969" i="1"/>
  <c r="B2969" i="1"/>
  <c r="O2968" i="1"/>
  <c r="E2968" i="1"/>
  <c r="B2968" i="1"/>
  <c r="O2967" i="1"/>
  <c r="E2967" i="1"/>
  <c r="B2967" i="1"/>
  <c r="O2966" i="1"/>
  <c r="E2966" i="1"/>
  <c r="B2966" i="1"/>
  <c r="O2965" i="1"/>
  <c r="E2965" i="1"/>
  <c r="B2965" i="1"/>
  <c r="O2964" i="1"/>
  <c r="E2964" i="1"/>
  <c r="B2964" i="1"/>
  <c r="O2963" i="1"/>
  <c r="E2963" i="1"/>
  <c r="B2963" i="1"/>
  <c r="O2962" i="1"/>
  <c r="E2962" i="1"/>
  <c r="B2962" i="1"/>
  <c r="O2961" i="1"/>
  <c r="E2961" i="1"/>
  <c r="B2961" i="1"/>
  <c r="O2960" i="1"/>
  <c r="E2960" i="1"/>
  <c r="B2960" i="1"/>
  <c r="O2959" i="1"/>
  <c r="E2959" i="1"/>
  <c r="B2959" i="1"/>
  <c r="O2958" i="1"/>
  <c r="E2958" i="1"/>
  <c r="B2958" i="1"/>
  <c r="O2957" i="1"/>
  <c r="E2957" i="1"/>
  <c r="B2957" i="1"/>
  <c r="O2956" i="1"/>
  <c r="E2956" i="1"/>
  <c r="B2956" i="1"/>
  <c r="O2955" i="1"/>
  <c r="E2955" i="1"/>
  <c r="B2955" i="1"/>
  <c r="O2954" i="1"/>
  <c r="E2954" i="1"/>
  <c r="B2954" i="1"/>
  <c r="O2953" i="1"/>
  <c r="E2953" i="1"/>
  <c r="B2953" i="1"/>
  <c r="O2952" i="1"/>
  <c r="E2952" i="1"/>
  <c r="B2952" i="1"/>
  <c r="O2951" i="1"/>
  <c r="E2951" i="1"/>
  <c r="B2951" i="1"/>
  <c r="O2950" i="1"/>
  <c r="E2950" i="1"/>
  <c r="B2950" i="1"/>
  <c r="O2949" i="1"/>
  <c r="E2949" i="1"/>
  <c r="B2949" i="1"/>
  <c r="O2948" i="1"/>
  <c r="E2948" i="1"/>
  <c r="B2948" i="1"/>
  <c r="O2947" i="1"/>
  <c r="E2947" i="1"/>
  <c r="B2947" i="1"/>
  <c r="O2946" i="1"/>
  <c r="E2946" i="1"/>
  <c r="B2946" i="1"/>
  <c r="O2945" i="1"/>
  <c r="E2945" i="1"/>
  <c r="B2945" i="1"/>
  <c r="O2944" i="1"/>
  <c r="E2944" i="1"/>
  <c r="B2944" i="1"/>
  <c r="O2943" i="1"/>
  <c r="E2943" i="1"/>
  <c r="B2943" i="1"/>
  <c r="O2942" i="1"/>
  <c r="E2942" i="1"/>
  <c r="B2942" i="1"/>
  <c r="O2941" i="1"/>
  <c r="E2941" i="1"/>
  <c r="B2941" i="1"/>
  <c r="O2940" i="1"/>
  <c r="E2940" i="1"/>
  <c r="B2940" i="1"/>
  <c r="O2939" i="1"/>
  <c r="E2939" i="1"/>
  <c r="B2939" i="1"/>
  <c r="O2938" i="1"/>
  <c r="E2938" i="1"/>
  <c r="B2938" i="1"/>
  <c r="O2937" i="1"/>
  <c r="E2937" i="1"/>
  <c r="B2937" i="1"/>
  <c r="O2936" i="1"/>
  <c r="E2936" i="1"/>
  <c r="B2936" i="1"/>
  <c r="O2935" i="1"/>
  <c r="E2935" i="1"/>
  <c r="B2935" i="1"/>
  <c r="O2934" i="1"/>
  <c r="E2934" i="1"/>
  <c r="B2934" i="1"/>
  <c r="O2933" i="1"/>
  <c r="E2933" i="1"/>
  <c r="B2933" i="1"/>
  <c r="O2932" i="1"/>
  <c r="E2932" i="1"/>
  <c r="B2932" i="1"/>
  <c r="O2931" i="1"/>
  <c r="E2931" i="1"/>
  <c r="B2931" i="1"/>
  <c r="O2930" i="1"/>
  <c r="E2930" i="1"/>
  <c r="B2930" i="1"/>
  <c r="O2929" i="1"/>
  <c r="E2929" i="1"/>
  <c r="B2929" i="1"/>
  <c r="O2928" i="1"/>
  <c r="E2928" i="1"/>
  <c r="B2928" i="1"/>
  <c r="O2927" i="1"/>
  <c r="E2927" i="1"/>
  <c r="B2927" i="1"/>
  <c r="O2926" i="1"/>
  <c r="E2926" i="1"/>
  <c r="B2926" i="1"/>
  <c r="O2925" i="1"/>
  <c r="E2925" i="1"/>
  <c r="B2925" i="1"/>
  <c r="O2924" i="1"/>
  <c r="E2924" i="1"/>
  <c r="B2924" i="1"/>
  <c r="O2923" i="1"/>
  <c r="E2923" i="1"/>
  <c r="B2923" i="1"/>
  <c r="O2922" i="1"/>
  <c r="E2922" i="1"/>
  <c r="B2922" i="1"/>
  <c r="O2921" i="1"/>
  <c r="E2921" i="1"/>
  <c r="B2921" i="1"/>
  <c r="O2920" i="1"/>
  <c r="E2920" i="1"/>
  <c r="B2920" i="1"/>
  <c r="O2919" i="1"/>
  <c r="E2919" i="1"/>
  <c r="B2919" i="1"/>
  <c r="O2918" i="1"/>
  <c r="E2918" i="1"/>
  <c r="B2918" i="1"/>
  <c r="O2917" i="1"/>
  <c r="E2917" i="1"/>
  <c r="B2917" i="1"/>
  <c r="O2916" i="1"/>
  <c r="E2916" i="1"/>
  <c r="B2916" i="1"/>
  <c r="O2915" i="1"/>
  <c r="E2915" i="1"/>
  <c r="B2915" i="1"/>
  <c r="O2914" i="1"/>
  <c r="E2914" i="1"/>
  <c r="B2914" i="1"/>
  <c r="O2913" i="1"/>
  <c r="E2913" i="1"/>
  <c r="B2913" i="1"/>
  <c r="O2912" i="1"/>
  <c r="E2912" i="1"/>
  <c r="B2912" i="1"/>
  <c r="O2911" i="1"/>
  <c r="E2911" i="1"/>
  <c r="B2911" i="1"/>
  <c r="O2910" i="1"/>
  <c r="E2910" i="1"/>
  <c r="B2910" i="1"/>
  <c r="O2909" i="1"/>
  <c r="E2909" i="1"/>
  <c r="B2909" i="1"/>
  <c r="O2908" i="1"/>
  <c r="E2908" i="1"/>
  <c r="B2908" i="1"/>
  <c r="O2907" i="1"/>
  <c r="E2907" i="1"/>
  <c r="B2907" i="1"/>
  <c r="O2906" i="1"/>
  <c r="E2906" i="1"/>
  <c r="B2906" i="1"/>
  <c r="O2905" i="1"/>
  <c r="E2905" i="1"/>
  <c r="B2905" i="1"/>
  <c r="O2904" i="1"/>
  <c r="E2904" i="1"/>
  <c r="B2904" i="1"/>
  <c r="O2903" i="1"/>
  <c r="E2903" i="1"/>
  <c r="B2903" i="1"/>
  <c r="O2902" i="1"/>
  <c r="E2902" i="1"/>
  <c r="B2902" i="1"/>
  <c r="O2901" i="1"/>
  <c r="E2901" i="1"/>
  <c r="B2901" i="1"/>
  <c r="O2900" i="1"/>
  <c r="E2900" i="1"/>
  <c r="B2900" i="1"/>
  <c r="O2899" i="1"/>
  <c r="E2899" i="1"/>
  <c r="B2899" i="1"/>
  <c r="O2898" i="1"/>
  <c r="E2898" i="1"/>
  <c r="B2898" i="1"/>
  <c r="O2897" i="1"/>
  <c r="E2897" i="1"/>
  <c r="B2897" i="1"/>
  <c r="O2896" i="1"/>
  <c r="E2896" i="1"/>
  <c r="B2896" i="1"/>
  <c r="O2895" i="1"/>
  <c r="E2895" i="1"/>
  <c r="B2895" i="1"/>
  <c r="O2894" i="1"/>
  <c r="E2894" i="1"/>
  <c r="B2894" i="1"/>
  <c r="O2893" i="1"/>
  <c r="E2893" i="1"/>
  <c r="B2893" i="1"/>
  <c r="O2892" i="1"/>
  <c r="E2892" i="1"/>
  <c r="B2892" i="1"/>
  <c r="O2891" i="1"/>
  <c r="E2891" i="1"/>
  <c r="B2891" i="1"/>
  <c r="O2890" i="1"/>
  <c r="E2890" i="1"/>
  <c r="B2890" i="1"/>
  <c r="O2889" i="1"/>
  <c r="E2889" i="1"/>
  <c r="B2889" i="1"/>
  <c r="O2888" i="1"/>
  <c r="E2888" i="1"/>
  <c r="B2888" i="1"/>
  <c r="O2887" i="1"/>
  <c r="E2887" i="1"/>
  <c r="B2887" i="1"/>
  <c r="O2886" i="1"/>
  <c r="E2886" i="1"/>
  <c r="B2886" i="1"/>
  <c r="O2885" i="1"/>
  <c r="E2885" i="1"/>
  <c r="B2885" i="1"/>
  <c r="O2884" i="1"/>
  <c r="E2884" i="1"/>
  <c r="B2884" i="1"/>
  <c r="O2883" i="1"/>
  <c r="E2883" i="1"/>
  <c r="B2883" i="1"/>
  <c r="O2882" i="1"/>
  <c r="E2882" i="1"/>
  <c r="B2882" i="1"/>
  <c r="O2881" i="1"/>
  <c r="E2881" i="1"/>
  <c r="B2881" i="1"/>
  <c r="O2880" i="1"/>
  <c r="E2880" i="1"/>
  <c r="B2880" i="1"/>
  <c r="O2879" i="1"/>
  <c r="E2879" i="1"/>
  <c r="B2879" i="1"/>
  <c r="O2878" i="1"/>
  <c r="E2878" i="1"/>
  <c r="B2878" i="1"/>
  <c r="O2877" i="1"/>
  <c r="E2877" i="1"/>
  <c r="B2877" i="1"/>
  <c r="O2876" i="1"/>
  <c r="E2876" i="1"/>
  <c r="B2876" i="1"/>
  <c r="O2875" i="1"/>
  <c r="E2875" i="1"/>
  <c r="B2875" i="1"/>
  <c r="O2874" i="1"/>
  <c r="E2874" i="1"/>
  <c r="B2874" i="1"/>
  <c r="O2873" i="1"/>
  <c r="E2873" i="1"/>
  <c r="B2873" i="1"/>
  <c r="O2872" i="1"/>
  <c r="E2872" i="1"/>
  <c r="B2872" i="1"/>
  <c r="O2871" i="1"/>
  <c r="E2871" i="1"/>
  <c r="B2871" i="1"/>
  <c r="O2870" i="1"/>
  <c r="E2870" i="1"/>
  <c r="B2870" i="1"/>
  <c r="O2869" i="1"/>
  <c r="E2869" i="1"/>
  <c r="B2869" i="1"/>
  <c r="O2868" i="1"/>
  <c r="E2868" i="1"/>
  <c r="B2868" i="1"/>
  <c r="O2867" i="1"/>
  <c r="E2867" i="1"/>
  <c r="B2867" i="1"/>
  <c r="O2866" i="1"/>
  <c r="E2866" i="1"/>
  <c r="B2866" i="1"/>
  <c r="O2865" i="1"/>
  <c r="E2865" i="1"/>
  <c r="B2865" i="1"/>
  <c r="O2864" i="1"/>
  <c r="E2864" i="1"/>
  <c r="B2864" i="1"/>
  <c r="O2863" i="1"/>
  <c r="E2863" i="1"/>
  <c r="B2863" i="1"/>
  <c r="O2862" i="1"/>
  <c r="E2862" i="1"/>
  <c r="B2862" i="1"/>
  <c r="O2861" i="1"/>
  <c r="E2861" i="1"/>
  <c r="B2861" i="1"/>
  <c r="O2860" i="1"/>
  <c r="E2860" i="1"/>
  <c r="B2860" i="1"/>
  <c r="O2859" i="1"/>
  <c r="E2859" i="1"/>
  <c r="B2859" i="1"/>
  <c r="O2858" i="1"/>
  <c r="E2858" i="1"/>
  <c r="B2858" i="1"/>
  <c r="O2857" i="1"/>
  <c r="E2857" i="1"/>
  <c r="B2857" i="1"/>
  <c r="O2856" i="1"/>
  <c r="E2856" i="1"/>
  <c r="B2856" i="1"/>
  <c r="O2855" i="1"/>
  <c r="E2855" i="1"/>
  <c r="B2855" i="1"/>
  <c r="O2854" i="1"/>
  <c r="E2854" i="1"/>
  <c r="B2854" i="1"/>
  <c r="O2853" i="1"/>
  <c r="E2853" i="1"/>
  <c r="B2853" i="1"/>
  <c r="O2852" i="1"/>
  <c r="E2852" i="1"/>
  <c r="B2852" i="1"/>
  <c r="O2851" i="1"/>
  <c r="E2851" i="1"/>
  <c r="B2851" i="1"/>
  <c r="O2850" i="1"/>
  <c r="E2850" i="1"/>
  <c r="B2850" i="1"/>
  <c r="O2849" i="1"/>
  <c r="E2849" i="1"/>
  <c r="B2849" i="1"/>
  <c r="O2848" i="1"/>
  <c r="E2848" i="1"/>
  <c r="B2848" i="1"/>
  <c r="O2847" i="1"/>
  <c r="E2847" i="1"/>
  <c r="B2847" i="1"/>
  <c r="O2846" i="1"/>
  <c r="E2846" i="1"/>
  <c r="B2846" i="1"/>
  <c r="O2845" i="1"/>
  <c r="E2845" i="1"/>
  <c r="B2845" i="1"/>
  <c r="O2844" i="1"/>
  <c r="E2844" i="1"/>
  <c r="B2844" i="1"/>
  <c r="O2843" i="1"/>
  <c r="E2843" i="1"/>
  <c r="B2843" i="1"/>
  <c r="O2842" i="1"/>
  <c r="E2842" i="1"/>
  <c r="B2842" i="1"/>
  <c r="O2841" i="1"/>
  <c r="E2841" i="1"/>
  <c r="B2841" i="1"/>
  <c r="O2840" i="1"/>
  <c r="E2840" i="1"/>
  <c r="B2840" i="1"/>
  <c r="O2839" i="1"/>
  <c r="E2839" i="1"/>
  <c r="B2839" i="1"/>
  <c r="O2838" i="1"/>
  <c r="E2838" i="1"/>
  <c r="B2838" i="1"/>
  <c r="O2837" i="1"/>
  <c r="E2837" i="1"/>
  <c r="B2837" i="1"/>
  <c r="O2836" i="1"/>
  <c r="E2836" i="1"/>
  <c r="B2836" i="1"/>
  <c r="O2835" i="1"/>
  <c r="E2835" i="1"/>
  <c r="B2835" i="1"/>
  <c r="O2834" i="1"/>
  <c r="E2834" i="1"/>
  <c r="B2834" i="1"/>
  <c r="O2833" i="1"/>
  <c r="E2833" i="1"/>
  <c r="B2833" i="1"/>
  <c r="O2832" i="1"/>
  <c r="E2832" i="1"/>
  <c r="B2832" i="1"/>
  <c r="O2831" i="1"/>
  <c r="E2831" i="1"/>
  <c r="B2831" i="1"/>
  <c r="O2830" i="1"/>
  <c r="E2830" i="1"/>
  <c r="B2830" i="1"/>
  <c r="O2829" i="1"/>
  <c r="E2829" i="1"/>
  <c r="B2829" i="1"/>
  <c r="O2828" i="1"/>
  <c r="E2828" i="1"/>
  <c r="B2828" i="1"/>
  <c r="O2827" i="1"/>
  <c r="E2827" i="1"/>
  <c r="B2827" i="1"/>
  <c r="O2826" i="1"/>
  <c r="E2826" i="1"/>
  <c r="B2826" i="1"/>
  <c r="O2825" i="1"/>
  <c r="E2825" i="1"/>
  <c r="B2825" i="1"/>
  <c r="O2824" i="1"/>
  <c r="E2824" i="1"/>
  <c r="B2824" i="1"/>
  <c r="O2823" i="1"/>
  <c r="E2823" i="1"/>
  <c r="B2823" i="1"/>
  <c r="O2822" i="1"/>
  <c r="E2822" i="1"/>
  <c r="B2822" i="1"/>
  <c r="O2821" i="1"/>
  <c r="E2821" i="1"/>
  <c r="B2821" i="1"/>
  <c r="O2820" i="1"/>
  <c r="E2820" i="1"/>
  <c r="B2820" i="1"/>
  <c r="O2819" i="1"/>
  <c r="E2819" i="1"/>
  <c r="B2819" i="1"/>
  <c r="O2818" i="1"/>
  <c r="E2818" i="1"/>
  <c r="B2818" i="1"/>
  <c r="O2817" i="1"/>
  <c r="E2817" i="1"/>
  <c r="B2817" i="1"/>
  <c r="O2816" i="1"/>
  <c r="E2816" i="1"/>
  <c r="B2816" i="1"/>
  <c r="O2815" i="1"/>
  <c r="E2815" i="1"/>
  <c r="B2815" i="1"/>
  <c r="O2814" i="1"/>
  <c r="E2814" i="1"/>
  <c r="B2814" i="1"/>
  <c r="O2813" i="1"/>
  <c r="E2813" i="1"/>
  <c r="B2813" i="1"/>
  <c r="O2812" i="1"/>
  <c r="E2812" i="1"/>
  <c r="B2812" i="1"/>
  <c r="O2811" i="1"/>
  <c r="E2811" i="1"/>
  <c r="B2811" i="1"/>
  <c r="O2810" i="1"/>
  <c r="E2810" i="1"/>
  <c r="B2810" i="1"/>
  <c r="O2809" i="1"/>
  <c r="E2809" i="1"/>
  <c r="B2809" i="1"/>
  <c r="O2808" i="1"/>
  <c r="E2808" i="1"/>
  <c r="B2808" i="1"/>
  <c r="O2807" i="1"/>
  <c r="E2807" i="1"/>
  <c r="B2807" i="1"/>
  <c r="O2806" i="1"/>
  <c r="E2806" i="1"/>
  <c r="B2806" i="1"/>
  <c r="O2805" i="1"/>
  <c r="E2805" i="1"/>
  <c r="B2805" i="1"/>
  <c r="O2804" i="1"/>
  <c r="E2804" i="1"/>
  <c r="B2804" i="1"/>
  <c r="O2803" i="1"/>
  <c r="E2803" i="1"/>
  <c r="B2803" i="1"/>
  <c r="O2802" i="1"/>
  <c r="E2802" i="1"/>
  <c r="B2802" i="1"/>
  <c r="O2801" i="1"/>
  <c r="E2801" i="1"/>
  <c r="B2801" i="1"/>
  <c r="O2800" i="1"/>
  <c r="E2800" i="1"/>
  <c r="B2800" i="1"/>
  <c r="O2799" i="1"/>
  <c r="E2799" i="1"/>
  <c r="B2799" i="1"/>
  <c r="O2798" i="1"/>
  <c r="E2798" i="1"/>
  <c r="B2798" i="1"/>
  <c r="O2797" i="1"/>
  <c r="E2797" i="1"/>
  <c r="B2797" i="1"/>
  <c r="O2796" i="1"/>
  <c r="E2796" i="1"/>
  <c r="B2796" i="1"/>
  <c r="O2795" i="1"/>
  <c r="E2795" i="1"/>
  <c r="B2795" i="1"/>
  <c r="O2794" i="1"/>
  <c r="E2794" i="1"/>
  <c r="B2794" i="1"/>
  <c r="O2793" i="1"/>
  <c r="E2793" i="1"/>
  <c r="B2793" i="1"/>
  <c r="O2792" i="1"/>
  <c r="E2792" i="1"/>
  <c r="B2792" i="1"/>
  <c r="O2791" i="1"/>
  <c r="E2791" i="1"/>
  <c r="B2791" i="1"/>
  <c r="O2790" i="1"/>
  <c r="E2790" i="1"/>
  <c r="B2790" i="1"/>
  <c r="O2789" i="1"/>
  <c r="E2789" i="1"/>
  <c r="B2789" i="1"/>
  <c r="O2788" i="1"/>
  <c r="E2788" i="1"/>
  <c r="B2788" i="1"/>
  <c r="O2787" i="1"/>
  <c r="E2787" i="1"/>
  <c r="B2787" i="1"/>
  <c r="O2786" i="1"/>
  <c r="E2786" i="1"/>
  <c r="B2786" i="1"/>
  <c r="O2785" i="1"/>
  <c r="E2785" i="1"/>
  <c r="B2785" i="1"/>
  <c r="O2784" i="1"/>
  <c r="E2784" i="1"/>
  <c r="B2784" i="1"/>
  <c r="O2783" i="1"/>
  <c r="E2783" i="1"/>
  <c r="B2783" i="1"/>
  <c r="O2782" i="1"/>
  <c r="E2782" i="1"/>
  <c r="B2782" i="1"/>
  <c r="O2781" i="1"/>
  <c r="E2781" i="1"/>
  <c r="B2781" i="1"/>
  <c r="O2780" i="1"/>
  <c r="E2780" i="1"/>
  <c r="B2780" i="1"/>
  <c r="O2779" i="1"/>
  <c r="E2779" i="1"/>
  <c r="B2779" i="1"/>
  <c r="O2778" i="1"/>
  <c r="E2778" i="1"/>
  <c r="B2778" i="1"/>
  <c r="O2777" i="1"/>
  <c r="E2777" i="1"/>
  <c r="B2777" i="1"/>
  <c r="O2776" i="1"/>
  <c r="E2776" i="1"/>
  <c r="B2776" i="1"/>
  <c r="O2775" i="1"/>
  <c r="E2775" i="1"/>
  <c r="B2775" i="1"/>
  <c r="O2774" i="1"/>
  <c r="E2774" i="1"/>
  <c r="B2774" i="1"/>
  <c r="O2773" i="1"/>
  <c r="E2773" i="1"/>
  <c r="B2773" i="1"/>
  <c r="O2772" i="1"/>
  <c r="E2772" i="1"/>
  <c r="B2772" i="1"/>
  <c r="O2771" i="1"/>
  <c r="E2771" i="1"/>
  <c r="B2771" i="1"/>
  <c r="O2770" i="1"/>
  <c r="E2770" i="1"/>
  <c r="B2770" i="1"/>
  <c r="O2769" i="1"/>
  <c r="E2769" i="1"/>
  <c r="B2769" i="1"/>
  <c r="O2768" i="1"/>
  <c r="E2768" i="1"/>
  <c r="B2768" i="1"/>
  <c r="O2767" i="1"/>
  <c r="E2767" i="1"/>
  <c r="B2767" i="1"/>
  <c r="O2766" i="1"/>
  <c r="E2766" i="1"/>
  <c r="B2766" i="1"/>
  <c r="O2765" i="1"/>
  <c r="E2765" i="1"/>
  <c r="B2765" i="1"/>
  <c r="O2764" i="1"/>
  <c r="E2764" i="1"/>
  <c r="B2764" i="1"/>
  <c r="O2763" i="1"/>
  <c r="E2763" i="1"/>
  <c r="B2763" i="1"/>
  <c r="O2762" i="1"/>
  <c r="E2762" i="1"/>
  <c r="B2762" i="1"/>
  <c r="O2761" i="1"/>
  <c r="E2761" i="1"/>
  <c r="B2761" i="1"/>
  <c r="O2760" i="1"/>
  <c r="E2760" i="1"/>
  <c r="B2760" i="1"/>
  <c r="O2759" i="1"/>
  <c r="E2759" i="1"/>
  <c r="B2759" i="1"/>
  <c r="O2758" i="1"/>
  <c r="E2758" i="1"/>
  <c r="B2758" i="1"/>
  <c r="O2757" i="1"/>
  <c r="E2757" i="1"/>
  <c r="B2757" i="1"/>
  <c r="O2756" i="1"/>
  <c r="E2756" i="1"/>
  <c r="B2756" i="1"/>
  <c r="O2755" i="1"/>
  <c r="E2755" i="1"/>
  <c r="B2755" i="1"/>
  <c r="O2754" i="1"/>
  <c r="E2754" i="1"/>
  <c r="B2754" i="1"/>
  <c r="O2753" i="1"/>
  <c r="E2753" i="1"/>
  <c r="B2753" i="1"/>
  <c r="O2752" i="1"/>
  <c r="E2752" i="1"/>
  <c r="B2752" i="1"/>
  <c r="O2751" i="1"/>
  <c r="E2751" i="1"/>
  <c r="B2751" i="1"/>
  <c r="O2750" i="1"/>
  <c r="E2750" i="1"/>
  <c r="B2750" i="1"/>
  <c r="O2749" i="1"/>
  <c r="E2749" i="1"/>
  <c r="B2749" i="1"/>
  <c r="O2748" i="1"/>
  <c r="E2748" i="1"/>
  <c r="B2748" i="1"/>
  <c r="O2747" i="1"/>
  <c r="E2747" i="1"/>
  <c r="B2747" i="1"/>
  <c r="O2746" i="1"/>
  <c r="E2746" i="1"/>
  <c r="B2746" i="1"/>
  <c r="O2745" i="1"/>
  <c r="E2745" i="1"/>
  <c r="B2745" i="1"/>
  <c r="O2744" i="1"/>
  <c r="E2744" i="1"/>
  <c r="B2744" i="1"/>
  <c r="O2743" i="1"/>
  <c r="E2743" i="1"/>
  <c r="B2743" i="1"/>
  <c r="O2742" i="1"/>
  <c r="E2742" i="1"/>
  <c r="B2742" i="1"/>
  <c r="O2741" i="1"/>
  <c r="E2741" i="1"/>
  <c r="B2741" i="1"/>
  <c r="O2740" i="1"/>
  <c r="E2740" i="1"/>
  <c r="B2740" i="1"/>
  <c r="O2739" i="1"/>
  <c r="E2739" i="1"/>
  <c r="B2739" i="1"/>
  <c r="O2738" i="1"/>
  <c r="E2738" i="1"/>
  <c r="B2738" i="1"/>
  <c r="O2737" i="1"/>
  <c r="E2737" i="1"/>
  <c r="B2737" i="1"/>
  <c r="O2736" i="1"/>
  <c r="E2736" i="1"/>
  <c r="B2736" i="1"/>
  <c r="O2735" i="1"/>
  <c r="E2735" i="1"/>
  <c r="B2735" i="1"/>
  <c r="O2734" i="1"/>
  <c r="E2734" i="1"/>
  <c r="B2734" i="1"/>
  <c r="O2733" i="1"/>
  <c r="E2733" i="1"/>
  <c r="B2733" i="1"/>
  <c r="O2732" i="1"/>
  <c r="E2732" i="1"/>
  <c r="B2732" i="1"/>
  <c r="O2731" i="1"/>
  <c r="E2731" i="1"/>
  <c r="B2731" i="1"/>
  <c r="O2730" i="1"/>
  <c r="E2730" i="1"/>
  <c r="B2730" i="1"/>
  <c r="O2729" i="1"/>
  <c r="E2729" i="1"/>
  <c r="B2729" i="1"/>
  <c r="O2728" i="1"/>
  <c r="E2728" i="1"/>
  <c r="B2728" i="1"/>
  <c r="O2727" i="1"/>
  <c r="E2727" i="1"/>
  <c r="B2727" i="1"/>
  <c r="O2726" i="1"/>
  <c r="E2726" i="1"/>
  <c r="B2726" i="1"/>
  <c r="O2725" i="1"/>
  <c r="E2725" i="1"/>
  <c r="B2725" i="1"/>
  <c r="O2724" i="1"/>
  <c r="E2724" i="1"/>
  <c r="B2724" i="1"/>
  <c r="O2723" i="1"/>
  <c r="E2723" i="1"/>
  <c r="B2723" i="1"/>
  <c r="O2722" i="1"/>
  <c r="E2722" i="1"/>
  <c r="B2722" i="1"/>
  <c r="O2721" i="1"/>
  <c r="E2721" i="1"/>
  <c r="B2721" i="1"/>
  <c r="O2720" i="1"/>
  <c r="E2720" i="1"/>
  <c r="B2720" i="1"/>
  <c r="O2719" i="1"/>
  <c r="E2719" i="1"/>
  <c r="B2719" i="1"/>
  <c r="O2718" i="1"/>
  <c r="E2718" i="1"/>
  <c r="B2718" i="1"/>
  <c r="O2717" i="1"/>
  <c r="E2717" i="1"/>
  <c r="B2717" i="1"/>
  <c r="O2716" i="1"/>
  <c r="E2716" i="1"/>
  <c r="B2716" i="1"/>
  <c r="O2715" i="1"/>
  <c r="E2715" i="1"/>
  <c r="B2715" i="1"/>
  <c r="O2714" i="1"/>
  <c r="E2714" i="1"/>
  <c r="B2714" i="1"/>
  <c r="O2713" i="1"/>
  <c r="E2713" i="1"/>
  <c r="B2713" i="1"/>
  <c r="O2712" i="1"/>
  <c r="E2712" i="1"/>
  <c r="B2712" i="1"/>
  <c r="O2711" i="1"/>
  <c r="E2711" i="1"/>
  <c r="B2711" i="1"/>
  <c r="O2710" i="1"/>
  <c r="E2710" i="1"/>
  <c r="B2710" i="1"/>
  <c r="O2709" i="1"/>
  <c r="E2709" i="1"/>
  <c r="B2709" i="1"/>
  <c r="O2708" i="1"/>
  <c r="E2708" i="1"/>
  <c r="B2708" i="1"/>
  <c r="O2707" i="1"/>
  <c r="E2707" i="1"/>
  <c r="B2707" i="1"/>
  <c r="O2706" i="1"/>
  <c r="E2706" i="1"/>
  <c r="B2706" i="1"/>
  <c r="O2705" i="1"/>
  <c r="E2705" i="1"/>
  <c r="B2705" i="1"/>
  <c r="O2704" i="1"/>
  <c r="E2704" i="1"/>
  <c r="B2704" i="1"/>
  <c r="O2703" i="1"/>
  <c r="E2703" i="1"/>
  <c r="B2703" i="1"/>
  <c r="O2702" i="1"/>
  <c r="E2702" i="1"/>
  <c r="B2702" i="1"/>
  <c r="O2701" i="1"/>
  <c r="E2701" i="1"/>
  <c r="B2701" i="1"/>
  <c r="O2700" i="1"/>
  <c r="E2700" i="1"/>
  <c r="B2700" i="1"/>
  <c r="O2699" i="1"/>
  <c r="E2699" i="1"/>
  <c r="B2699" i="1"/>
  <c r="O2698" i="1"/>
  <c r="E2698" i="1"/>
  <c r="B2698" i="1"/>
  <c r="O2697" i="1"/>
  <c r="E2697" i="1"/>
  <c r="B2697" i="1"/>
  <c r="O2696" i="1"/>
  <c r="E2696" i="1"/>
  <c r="B2696" i="1"/>
  <c r="O2695" i="1"/>
  <c r="E2695" i="1"/>
  <c r="B2695" i="1"/>
  <c r="O2694" i="1"/>
  <c r="E2694" i="1"/>
  <c r="B2694" i="1"/>
  <c r="O2693" i="1"/>
  <c r="E2693" i="1"/>
  <c r="B2693" i="1"/>
  <c r="O2692" i="1"/>
  <c r="E2692" i="1"/>
  <c r="B2692" i="1"/>
  <c r="O2691" i="1"/>
  <c r="E2691" i="1"/>
  <c r="B2691" i="1"/>
  <c r="O2690" i="1"/>
  <c r="E2690" i="1"/>
  <c r="B2690" i="1"/>
  <c r="O2689" i="1"/>
  <c r="E2689" i="1"/>
  <c r="B2689" i="1"/>
  <c r="O2688" i="1"/>
  <c r="E2688" i="1"/>
  <c r="B2688" i="1"/>
  <c r="O2687" i="1"/>
  <c r="E2687" i="1"/>
  <c r="B2687" i="1"/>
  <c r="O2686" i="1"/>
  <c r="E2686" i="1"/>
  <c r="B2686" i="1"/>
  <c r="O2685" i="1"/>
  <c r="E2685" i="1"/>
  <c r="B2685" i="1"/>
  <c r="O2684" i="1"/>
  <c r="E2684" i="1"/>
  <c r="B2684" i="1"/>
  <c r="O2683" i="1"/>
  <c r="E2683" i="1"/>
  <c r="B2683" i="1"/>
  <c r="O2682" i="1"/>
  <c r="E2682" i="1"/>
  <c r="B2682" i="1"/>
  <c r="O2681" i="1"/>
  <c r="E2681" i="1"/>
  <c r="B2681" i="1"/>
  <c r="O2680" i="1"/>
  <c r="E2680" i="1"/>
  <c r="B2680" i="1"/>
  <c r="O2679" i="1"/>
  <c r="E2679" i="1"/>
  <c r="B2679" i="1"/>
  <c r="O2678" i="1"/>
  <c r="E2678" i="1"/>
  <c r="B2678" i="1"/>
  <c r="O2677" i="1"/>
  <c r="E2677" i="1"/>
  <c r="B2677" i="1"/>
  <c r="O2676" i="1"/>
  <c r="E2676" i="1"/>
  <c r="B2676" i="1"/>
  <c r="O2675" i="1"/>
  <c r="E2675" i="1"/>
  <c r="B2675" i="1"/>
  <c r="O2674" i="1"/>
  <c r="E2674" i="1"/>
  <c r="B2674" i="1"/>
  <c r="O2673" i="1"/>
  <c r="E2673" i="1"/>
  <c r="B2673" i="1"/>
  <c r="O2672" i="1"/>
  <c r="E2672" i="1"/>
  <c r="B2672" i="1"/>
  <c r="O2671" i="1"/>
  <c r="E2671" i="1"/>
  <c r="B2671" i="1"/>
  <c r="O2670" i="1"/>
  <c r="E2670" i="1"/>
  <c r="B2670" i="1"/>
  <c r="O2669" i="1"/>
  <c r="E2669" i="1"/>
  <c r="B2669" i="1"/>
  <c r="O2668" i="1"/>
  <c r="E2668" i="1"/>
  <c r="B2668" i="1"/>
  <c r="O2667" i="1"/>
  <c r="E2667" i="1"/>
  <c r="B2667" i="1"/>
  <c r="O2666" i="1"/>
  <c r="E2666" i="1"/>
  <c r="B2666" i="1"/>
  <c r="O2665" i="1"/>
  <c r="E2665" i="1"/>
  <c r="B2665" i="1"/>
  <c r="O2664" i="1"/>
  <c r="E2664" i="1"/>
  <c r="B2664" i="1"/>
  <c r="O2663" i="1"/>
  <c r="E2663" i="1"/>
  <c r="B2663" i="1"/>
  <c r="O2662" i="1"/>
  <c r="E2662" i="1"/>
  <c r="B2662" i="1"/>
  <c r="O2661" i="1"/>
  <c r="E2661" i="1"/>
  <c r="B2661" i="1"/>
  <c r="O2660" i="1"/>
  <c r="E2660" i="1"/>
  <c r="B2660" i="1"/>
  <c r="O2659" i="1"/>
  <c r="E2659" i="1"/>
  <c r="B2659" i="1"/>
  <c r="O2658" i="1"/>
  <c r="E2658" i="1"/>
  <c r="B2658" i="1"/>
  <c r="O2657" i="1"/>
  <c r="E2657" i="1"/>
  <c r="B2657" i="1"/>
  <c r="O2656" i="1"/>
  <c r="E2656" i="1"/>
  <c r="B2656" i="1"/>
  <c r="O2655" i="1"/>
  <c r="E2655" i="1"/>
  <c r="B2655" i="1"/>
  <c r="O2654" i="1"/>
  <c r="E2654" i="1"/>
  <c r="B2654" i="1"/>
  <c r="O2653" i="1"/>
  <c r="E2653" i="1"/>
  <c r="B2653" i="1"/>
  <c r="O2652" i="1"/>
  <c r="E2652" i="1"/>
  <c r="B2652" i="1"/>
  <c r="O2651" i="1"/>
  <c r="E2651" i="1"/>
  <c r="B2651" i="1"/>
  <c r="O2650" i="1"/>
  <c r="E2650" i="1"/>
  <c r="B2650" i="1"/>
  <c r="O2649" i="1"/>
  <c r="E2649" i="1"/>
  <c r="B2649" i="1"/>
  <c r="O2648" i="1"/>
  <c r="E2648" i="1"/>
  <c r="B2648" i="1"/>
  <c r="O2647" i="1"/>
  <c r="E2647" i="1"/>
  <c r="B2647" i="1"/>
  <c r="O2646" i="1"/>
  <c r="E2646" i="1"/>
  <c r="B2646" i="1"/>
  <c r="O2645" i="1"/>
  <c r="E2645" i="1"/>
  <c r="B2645" i="1"/>
  <c r="O2644" i="1"/>
  <c r="E2644" i="1"/>
  <c r="B2644" i="1"/>
  <c r="O2643" i="1"/>
  <c r="E2643" i="1"/>
  <c r="B2643" i="1"/>
  <c r="O2642" i="1"/>
  <c r="E2642" i="1"/>
  <c r="B2642" i="1"/>
  <c r="O2641" i="1"/>
  <c r="E2641" i="1"/>
  <c r="B2641" i="1"/>
  <c r="O2640" i="1"/>
  <c r="E2640" i="1"/>
  <c r="B2640" i="1"/>
  <c r="O2639" i="1"/>
  <c r="E2639" i="1"/>
  <c r="B2639" i="1"/>
  <c r="O2638" i="1"/>
  <c r="E2638" i="1"/>
  <c r="B2638" i="1"/>
  <c r="O2637" i="1"/>
  <c r="E2637" i="1"/>
  <c r="B2637" i="1"/>
  <c r="O2636" i="1"/>
  <c r="E2636" i="1"/>
  <c r="B2636" i="1"/>
  <c r="O2635" i="1"/>
  <c r="E2635" i="1"/>
  <c r="B2635" i="1"/>
  <c r="O2634" i="1"/>
  <c r="E2634" i="1"/>
  <c r="B2634" i="1"/>
  <c r="O2633" i="1"/>
  <c r="E2633" i="1"/>
  <c r="B2633" i="1"/>
  <c r="O2632" i="1"/>
  <c r="E2632" i="1"/>
  <c r="B2632" i="1"/>
  <c r="O2631" i="1"/>
  <c r="E2631" i="1"/>
  <c r="B2631" i="1"/>
  <c r="O2630" i="1"/>
  <c r="E2630" i="1"/>
  <c r="B2630" i="1"/>
  <c r="O2629" i="1"/>
  <c r="E2629" i="1"/>
  <c r="B2629" i="1"/>
  <c r="O2628" i="1"/>
  <c r="E2628" i="1"/>
  <c r="B2628" i="1"/>
  <c r="O2627" i="1"/>
  <c r="E2627" i="1"/>
  <c r="B2627" i="1"/>
  <c r="O2626" i="1"/>
  <c r="E2626" i="1"/>
  <c r="B2626" i="1"/>
  <c r="O2625" i="1"/>
  <c r="E2625" i="1"/>
  <c r="B2625" i="1"/>
  <c r="O2624" i="1"/>
  <c r="E2624" i="1"/>
  <c r="B2624" i="1"/>
  <c r="O2623" i="1"/>
  <c r="E2623" i="1"/>
  <c r="B2623" i="1"/>
  <c r="O2622" i="1"/>
  <c r="E2622" i="1"/>
  <c r="B2622" i="1"/>
  <c r="O2621" i="1"/>
  <c r="E2621" i="1"/>
  <c r="B2621" i="1"/>
  <c r="O2620" i="1"/>
  <c r="E2620" i="1"/>
  <c r="B2620" i="1"/>
  <c r="O2619" i="1"/>
  <c r="E2619" i="1"/>
  <c r="B2619" i="1"/>
  <c r="O2618" i="1"/>
  <c r="E2618" i="1"/>
  <c r="B2618" i="1"/>
  <c r="O2617" i="1"/>
  <c r="E2617" i="1"/>
  <c r="B2617" i="1"/>
  <c r="O2616" i="1"/>
  <c r="E2616" i="1"/>
  <c r="B2616" i="1"/>
  <c r="O2615" i="1"/>
  <c r="E2615" i="1"/>
  <c r="B2615" i="1"/>
  <c r="O2614" i="1"/>
  <c r="E2614" i="1"/>
  <c r="B2614" i="1"/>
  <c r="O2613" i="1"/>
  <c r="E2613" i="1"/>
  <c r="B2613" i="1"/>
  <c r="O2612" i="1"/>
  <c r="E2612" i="1"/>
  <c r="B2612" i="1"/>
  <c r="O2611" i="1"/>
  <c r="E2611" i="1"/>
  <c r="B2611" i="1"/>
  <c r="O2610" i="1"/>
  <c r="E2610" i="1"/>
  <c r="B2610" i="1"/>
  <c r="O2609" i="1"/>
  <c r="E2609" i="1"/>
  <c r="B2609" i="1"/>
  <c r="O2608" i="1"/>
  <c r="E2608" i="1"/>
  <c r="B2608" i="1"/>
  <c r="O2607" i="1"/>
  <c r="E2607" i="1"/>
  <c r="B2607" i="1"/>
  <c r="O2606" i="1"/>
  <c r="E2606" i="1"/>
  <c r="B2606" i="1"/>
  <c r="O2605" i="1"/>
  <c r="E2605" i="1"/>
  <c r="B2605" i="1"/>
  <c r="O2604" i="1"/>
  <c r="E2604" i="1"/>
  <c r="B2604" i="1"/>
  <c r="O2603" i="1"/>
  <c r="E2603" i="1"/>
  <c r="B2603" i="1"/>
  <c r="O2602" i="1"/>
  <c r="E2602" i="1"/>
  <c r="B2602" i="1"/>
  <c r="O2601" i="1"/>
  <c r="E2601" i="1"/>
  <c r="B2601" i="1"/>
  <c r="O2600" i="1"/>
  <c r="E2600" i="1"/>
  <c r="B2600" i="1"/>
  <c r="O2599" i="1"/>
  <c r="E2599" i="1"/>
  <c r="B2599" i="1"/>
  <c r="O2598" i="1"/>
  <c r="E2598" i="1"/>
  <c r="B2598" i="1"/>
  <c r="O2597" i="1"/>
  <c r="E2597" i="1"/>
  <c r="B2597" i="1"/>
  <c r="O2596" i="1"/>
  <c r="E2596" i="1"/>
  <c r="B2596" i="1"/>
  <c r="O2595" i="1"/>
  <c r="E2595" i="1"/>
  <c r="B2595" i="1"/>
  <c r="O2594" i="1"/>
  <c r="E2594" i="1"/>
  <c r="B2594" i="1"/>
  <c r="O2593" i="1"/>
  <c r="E2593" i="1"/>
  <c r="B2593" i="1"/>
  <c r="O2592" i="1"/>
  <c r="E2592" i="1"/>
  <c r="B2592" i="1"/>
  <c r="O2591" i="1"/>
  <c r="E2591" i="1"/>
  <c r="B2591" i="1"/>
  <c r="O2590" i="1"/>
  <c r="E2590" i="1"/>
  <c r="B2590" i="1"/>
  <c r="O2589" i="1"/>
  <c r="E2589" i="1"/>
  <c r="B2589" i="1"/>
  <c r="O2588" i="1"/>
  <c r="E2588" i="1"/>
  <c r="B2588" i="1"/>
  <c r="O2587" i="1"/>
  <c r="E2587" i="1"/>
  <c r="B2587" i="1"/>
  <c r="O2586" i="1"/>
  <c r="E2586" i="1"/>
  <c r="B2586" i="1"/>
  <c r="O2585" i="1"/>
  <c r="E2585" i="1"/>
  <c r="B2585" i="1"/>
  <c r="O2584" i="1"/>
  <c r="E2584" i="1"/>
  <c r="B2584" i="1"/>
  <c r="O2583" i="1"/>
  <c r="E2583" i="1"/>
  <c r="B2583" i="1"/>
  <c r="O2582" i="1"/>
  <c r="E2582" i="1"/>
  <c r="B2582" i="1"/>
  <c r="O2581" i="1"/>
  <c r="E2581" i="1"/>
  <c r="B2581" i="1"/>
  <c r="O2580" i="1"/>
  <c r="E2580" i="1"/>
  <c r="B2580" i="1"/>
  <c r="O2579" i="1"/>
  <c r="E2579" i="1"/>
  <c r="B2579" i="1"/>
  <c r="O2578" i="1"/>
  <c r="E2578" i="1"/>
  <c r="B2578" i="1"/>
  <c r="O2577" i="1"/>
  <c r="E2577" i="1"/>
  <c r="B2577" i="1"/>
  <c r="O2576" i="1"/>
  <c r="E2576" i="1"/>
  <c r="B2576" i="1"/>
  <c r="O2575" i="1"/>
  <c r="E2575" i="1"/>
  <c r="B2575" i="1"/>
  <c r="O2574" i="1"/>
  <c r="E2574" i="1"/>
  <c r="B2574" i="1"/>
  <c r="O2573" i="1"/>
  <c r="E2573" i="1"/>
  <c r="B2573" i="1"/>
  <c r="O2572" i="1"/>
  <c r="E2572" i="1"/>
  <c r="B2572" i="1"/>
  <c r="O2571" i="1"/>
  <c r="E2571" i="1"/>
  <c r="B2571" i="1"/>
  <c r="O2570" i="1"/>
  <c r="E2570" i="1"/>
  <c r="B2570" i="1"/>
  <c r="O2569" i="1"/>
  <c r="E2569" i="1"/>
  <c r="B2569" i="1"/>
  <c r="O2568" i="1"/>
  <c r="E2568" i="1"/>
  <c r="B2568" i="1"/>
  <c r="O2567" i="1"/>
  <c r="E2567" i="1"/>
  <c r="B2567" i="1"/>
  <c r="O2566" i="1"/>
  <c r="E2566" i="1"/>
  <c r="B2566" i="1"/>
  <c r="O2565" i="1"/>
  <c r="E2565" i="1"/>
  <c r="B2565" i="1"/>
  <c r="O2564" i="1"/>
  <c r="E2564" i="1"/>
  <c r="B2564" i="1"/>
  <c r="O2563" i="1"/>
  <c r="E2563" i="1"/>
  <c r="B2563" i="1"/>
  <c r="O2562" i="1"/>
  <c r="E2562" i="1"/>
  <c r="B2562" i="1"/>
  <c r="O2561" i="1"/>
  <c r="E2561" i="1"/>
  <c r="B2561" i="1"/>
  <c r="O2560" i="1"/>
  <c r="E2560" i="1"/>
  <c r="B2560" i="1"/>
  <c r="O2559" i="1"/>
  <c r="E2559" i="1"/>
  <c r="B2559" i="1"/>
  <c r="O2558" i="1"/>
  <c r="E2558" i="1"/>
  <c r="B2558" i="1"/>
  <c r="O2557" i="1"/>
  <c r="E2557" i="1"/>
  <c r="B2557" i="1"/>
  <c r="O2556" i="1"/>
  <c r="E2556" i="1"/>
  <c r="B2556" i="1"/>
  <c r="O2555" i="1"/>
  <c r="E2555" i="1"/>
  <c r="B2555" i="1"/>
  <c r="O2554" i="1"/>
  <c r="E2554" i="1"/>
  <c r="B2554" i="1"/>
  <c r="O2553" i="1"/>
  <c r="E2553" i="1"/>
  <c r="B2553" i="1"/>
  <c r="O2552" i="1"/>
  <c r="E2552" i="1"/>
  <c r="B2552" i="1"/>
  <c r="O2551" i="1"/>
  <c r="E2551" i="1"/>
  <c r="B2551" i="1"/>
  <c r="O2550" i="1"/>
  <c r="E2550" i="1"/>
  <c r="B2550" i="1"/>
  <c r="O2549" i="1"/>
  <c r="E2549" i="1"/>
  <c r="B2549" i="1"/>
  <c r="O2548" i="1"/>
  <c r="E2548" i="1"/>
  <c r="B2548" i="1"/>
  <c r="O2547" i="1"/>
  <c r="E2547" i="1"/>
  <c r="B2547" i="1"/>
  <c r="O2546" i="1"/>
  <c r="E2546" i="1"/>
  <c r="B2546" i="1"/>
  <c r="O2545" i="1"/>
  <c r="E2545" i="1"/>
  <c r="B2545" i="1"/>
  <c r="O2544" i="1"/>
  <c r="E2544" i="1"/>
  <c r="B2544" i="1"/>
  <c r="O2543" i="1"/>
  <c r="E2543" i="1"/>
  <c r="B2543" i="1"/>
  <c r="O2542" i="1"/>
  <c r="E2542" i="1"/>
  <c r="B2542" i="1"/>
  <c r="O2541" i="1"/>
  <c r="E2541" i="1"/>
  <c r="B2541" i="1"/>
  <c r="O2540" i="1"/>
  <c r="E2540" i="1"/>
  <c r="B2540" i="1"/>
  <c r="O2539" i="1"/>
  <c r="E2539" i="1"/>
  <c r="B2539" i="1"/>
  <c r="O2538" i="1"/>
  <c r="E2538" i="1"/>
  <c r="B2538" i="1"/>
  <c r="O2537" i="1"/>
  <c r="E2537" i="1"/>
  <c r="B2537" i="1"/>
  <c r="O2536" i="1"/>
  <c r="E2536" i="1"/>
  <c r="B2536" i="1"/>
  <c r="O2535" i="1"/>
  <c r="E2535" i="1"/>
  <c r="B2535" i="1"/>
  <c r="O2534" i="1"/>
  <c r="E2534" i="1"/>
  <c r="B2534" i="1"/>
  <c r="O2533" i="1"/>
  <c r="E2533" i="1"/>
  <c r="B2533" i="1"/>
  <c r="O2532" i="1"/>
  <c r="E2532" i="1"/>
  <c r="B2532" i="1"/>
  <c r="O2531" i="1"/>
  <c r="E2531" i="1"/>
  <c r="B2531" i="1"/>
  <c r="O2530" i="1"/>
  <c r="E2530" i="1"/>
  <c r="B2530" i="1"/>
  <c r="O2529" i="1"/>
  <c r="E2529" i="1"/>
  <c r="B2529" i="1"/>
  <c r="O2528" i="1"/>
  <c r="E2528" i="1"/>
  <c r="B2528" i="1"/>
  <c r="O2527" i="1"/>
  <c r="E2527" i="1"/>
  <c r="B2527" i="1"/>
  <c r="O2526" i="1"/>
  <c r="E2526" i="1"/>
  <c r="B2526" i="1"/>
  <c r="O2525" i="1"/>
  <c r="E2525" i="1"/>
  <c r="B2525" i="1"/>
  <c r="O2524" i="1"/>
  <c r="E2524" i="1"/>
  <c r="B2524" i="1"/>
  <c r="O2523" i="1"/>
  <c r="E2523" i="1"/>
  <c r="B2523" i="1"/>
  <c r="O2522" i="1"/>
  <c r="E2522" i="1"/>
  <c r="B2522" i="1"/>
  <c r="O2521" i="1"/>
  <c r="E2521" i="1"/>
  <c r="B2521" i="1"/>
  <c r="O2520" i="1"/>
  <c r="E2520" i="1"/>
  <c r="B2520" i="1"/>
  <c r="O2519" i="1"/>
  <c r="E2519" i="1"/>
  <c r="B2519" i="1"/>
  <c r="O2518" i="1"/>
  <c r="E2518" i="1"/>
  <c r="B2518" i="1"/>
  <c r="O2517" i="1"/>
  <c r="E2517" i="1"/>
  <c r="B2517" i="1"/>
  <c r="O2516" i="1"/>
  <c r="E2516" i="1"/>
  <c r="B2516" i="1"/>
  <c r="O2515" i="1"/>
  <c r="E2515" i="1"/>
  <c r="B2515" i="1"/>
  <c r="O2514" i="1"/>
  <c r="E2514" i="1"/>
  <c r="B2514" i="1"/>
  <c r="O2513" i="1"/>
  <c r="E2513" i="1"/>
  <c r="B2513" i="1"/>
  <c r="O2512" i="1"/>
  <c r="E2512" i="1"/>
  <c r="B2512" i="1"/>
  <c r="O2511" i="1"/>
  <c r="E2511" i="1"/>
  <c r="B2511" i="1"/>
  <c r="O2510" i="1"/>
  <c r="E2510" i="1"/>
  <c r="B2510" i="1"/>
  <c r="O2509" i="1"/>
  <c r="E2509" i="1"/>
  <c r="B2509" i="1"/>
  <c r="O2508" i="1"/>
  <c r="E2508" i="1"/>
  <c r="B2508" i="1"/>
  <c r="O2507" i="1"/>
  <c r="E2507" i="1"/>
  <c r="B2507" i="1"/>
  <c r="O2506" i="1"/>
  <c r="E2506" i="1"/>
  <c r="B2506" i="1"/>
  <c r="O2505" i="1"/>
  <c r="E2505" i="1"/>
  <c r="B2505" i="1"/>
  <c r="O2504" i="1"/>
  <c r="E2504" i="1"/>
  <c r="B2504" i="1"/>
  <c r="O2503" i="1"/>
  <c r="E2503" i="1"/>
  <c r="B2503" i="1"/>
  <c r="O2502" i="1"/>
  <c r="E2502" i="1"/>
  <c r="B2502" i="1"/>
  <c r="O2501" i="1"/>
  <c r="E2501" i="1"/>
  <c r="B2501" i="1"/>
  <c r="O2500" i="1"/>
  <c r="E2500" i="1"/>
  <c r="B2500" i="1"/>
  <c r="O2499" i="1"/>
  <c r="E2499" i="1"/>
  <c r="B2499" i="1"/>
  <c r="O2498" i="1"/>
  <c r="E2498" i="1"/>
  <c r="B2498" i="1"/>
  <c r="O2497" i="1"/>
  <c r="E2497" i="1"/>
  <c r="B2497" i="1"/>
  <c r="O2496" i="1"/>
  <c r="E2496" i="1"/>
  <c r="B2496" i="1"/>
  <c r="O2495" i="1"/>
  <c r="E2495" i="1"/>
  <c r="B2495" i="1"/>
  <c r="O2494" i="1"/>
  <c r="E2494" i="1"/>
  <c r="B2494" i="1"/>
  <c r="O2493" i="1"/>
  <c r="E2493" i="1"/>
  <c r="B2493" i="1"/>
  <c r="O2492" i="1"/>
  <c r="E2492" i="1"/>
  <c r="B2492" i="1"/>
  <c r="O2491" i="1"/>
  <c r="E2491" i="1"/>
  <c r="B2491" i="1"/>
  <c r="O2490" i="1"/>
  <c r="E2490" i="1"/>
  <c r="B2490" i="1"/>
  <c r="O2489" i="1"/>
  <c r="E2489" i="1"/>
  <c r="B2489" i="1"/>
  <c r="O2488" i="1"/>
  <c r="E2488" i="1"/>
  <c r="B2488" i="1"/>
  <c r="O2487" i="1"/>
  <c r="E2487" i="1"/>
  <c r="B2487" i="1"/>
  <c r="O2486" i="1"/>
  <c r="E2486" i="1"/>
  <c r="B2486" i="1"/>
  <c r="O2485" i="1"/>
  <c r="E2485" i="1"/>
  <c r="B2485" i="1"/>
  <c r="O2484" i="1"/>
  <c r="E2484" i="1"/>
  <c r="B2484" i="1"/>
  <c r="O2483" i="1"/>
  <c r="E2483" i="1"/>
  <c r="B2483" i="1"/>
  <c r="O2482" i="1"/>
  <c r="E2482" i="1"/>
  <c r="B2482" i="1"/>
  <c r="O2481" i="1"/>
  <c r="E2481" i="1"/>
  <c r="B2481" i="1"/>
  <c r="O2480" i="1"/>
  <c r="E2480" i="1"/>
  <c r="B2480" i="1"/>
  <c r="O2479" i="1"/>
  <c r="E2479" i="1"/>
  <c r="B2479" i="1"/>
  <c r="O2478" i="1"/>
  <c r="E2478" i="1"/>
  <c r="B2478" i="1"/>
  <c r="O2477" i="1"/>
  <c r="E2477" i="1"/>
  <c r="B2477" i="1"/>
  <c r="O2476" i="1"/>
  <c r="E2476" i="1"/>
  <c r="B2476" i="1"/>
  <c r="O2475" i="1"/>
  <c r="E2475" i="1"/>
  <c r="B2475" i="1"/>
  <c r="O2474" i="1"/>
  <c r="E2474" i="1"/>
  <c r="B2474" i="1"/>
  <c r="O2473" i="1"/>
  <c r="E2473" i="1"/>
  <c r="B2473" i="1"/>
  <c r="O2472" i="1"/>
  <c r="E2472" i="1"/>
  <c r="B2472" i="1"/>
  <c r="O2471" i="1"/>
  <c r="E2471" i="1"/>
  <c r="B2471" i="1"/>
  <c r="O2470" i="1"/>
  <c r="E2470" i="1"/>
  <c r="B2470" i="1"/>
  <c r="O2469" i="1"/>
  <c r="E2469" i="1"/>
  <c r="B2469" i="1"/>
  <c r="O2468" i="1"/>
  <c r="E2468" i="1"/>
  <c r="B2468" i="1"/>
  <c r="O2467" i="1"/>
  <c r="E2467" i="1"/>
  <c r="B2467" i="1"/>
  <c r="O2466" i="1"/>
  <c r="E2466" i="1"/>
  <c r="B2466" i="1"/>
  <c r="O2465" i="1"/>
  <c r="E2465" i="1"/>
  <c r="B2465" i="1"/>
  <c r="O2464" i="1"/>
  <c r="E2464" i="1"/>
  <c r="B2464" i="1"/>
  <c r="O2463" i="1"/>
  <c r="E2463" i="1"/>
  <c r="B2463" i="1"/>
  <c r="O2462" i="1"/>
  <c r="E2462" i="1"/>
  <c r="B2462" i="1"/>
  <c r="O2461" i="1"/>
  <c r="E2461" i="1"/>
  <c r="B2461" i="1"/>
  <c r="O2460" i="1"/>
  <c r="E2460" i="1"/>
  <c r="B2460" i="1"/>
  <c r="O2459" i="1"/>
  <c r="E2459" i="1"/>
  <c r="B2459" i="1"/>
  <c r="O2458" i="1"/>
  <c r="E2458" i="1"/>
  <c r="B2458" i="1"/>
  <c r="O2457" i="1"/>
  <c r="E2457" i="1"/>
  <c r="B2457" i="1"/>
  <c r="O2456" i="1"/>
  <c r="E2456" i="1"/>
  <c r="B2456" i="1"/>
  <c r="O2455" i="1"/>
  <c r="E2455" i="1"/>
  <c r="B2455" i="1"/>
  <c r="O2454" i="1"/>
  <c r="E2454" i="1"/>
  <c r="B2454" i="1"/>
  <c r="O2453" i="1"/>
  <c r="E2453" i="1"/>
  <c r="B2453" i="1"/>
  <c r="O2452" i="1"/>
  <c r="E2452" i="1"/>
  <c r="B2452" i="1"/>
  <c r="O2451" i="1"/>
  <c r="E2451" i="1"/>
  <c r="B2451" i="1"/>
  <c r="O2450" i="1"/>
  <c r="E2450" i="1"/>
  <c r="B2450" i="1"/>
  <c r="O2449" i="1"/>
  <c r="E2449" i="1"/>
  <c r="B2449" i="1"/>
  <c r="O2448" i="1"/>
  <c r="E2448" i="1"/>
  <c r="B2448" i="1"/>
  <c r="O2447" i="1"/>
  <c r="E2447" i="1"/>
  <c r="B2447" i="1"/>
  <c r="O2446" i="1"/>
  <c r="E2446" i="1"/>
  <c r="B2446" i="1"/>
  <c r="O2445" i="1"/>
  <c r="E2445" i="1"/>
  <c r="B2445" i="1"/>
  <c r="O2444" i="1"/>
  <c r="E2444" i="1"/>
  <c r="B2444" i="1"/>
  <c r="O2443" i="1"/>
  <c r="E2443" i="1"/>
  <c r="B2443" i="1"/>
  <c r="O2442" i="1"/>
  <c r="E2442" i="1"/>
  <c r="B2442" i="1"/>
  <c r="O2441" i="1"/>
  <c r="E2441" i="1"/>
  <c r="B2441" i="1"/>
  <c r="O2440" i="1"/>
  <c r="E2440" i="1"/>
  <c r="B2440" i="1"/>
  <c r="O2439" i="1"/>
  <c r="E2439" i="1"/>
  <c r="B2439" i="1"/>
  <c r="O2438" i="1"/>
  <c r="E2438" i="1"/>
  <c r="B2438" i="1"/>
  <c r="O2437" i="1"/>
  <c r="E2437" i="1"/>
  <c r="B2437" i="1"/>
  <c r="O2436" i="1"/>
  <c r="E2436" i="1"/>
  <c r="B2436" i="1"/>
  <c r="O2435" i="1"/>
  <c r="E2435" i="1"/>
  <c r="B2435" i="1"/>
  <c r="O2434" i="1"/>
  <c r="E2434" i="1"/>
  <c r="B2434" i="1"/>
  <c r="O2433" i="1"/>
  <c r="E2433" i="1"/>
  <c r="B2433" i="1"/>
  <c r="O2432" i="1"/>
  <c r="E2432" i="1"/>
  <c r="B2432" i="1"/>
  <c r="O2431" i="1"/>
  <c r="E2431" i="1"/>
  <c r="B2431" i="1"/>
  <c r="O2430" i="1"/>
  <c r="E2430" i="1"/>
  <c r="B2430" i="1"/>
  <c r="O2429" i="1"/>
  <c r="E2429" i="1"/>
  <c r="B2429" i="1"/>
  <c r="O2428" i="1"/>
  <c r="E2428" i="1"/>
  <c r="B2428" i="1"/>
  <c r="O2427" i="1"/>
  <c r="E2427" i="1"/>
  <c r="B2427" i="1"/>
  <c r="O2426" i="1"/>
  <c r="E2426" i="1"/>
  <c r="B2426" i="1"/>
  <c r="O2425" i="1"/>
  <c r="E2425" i="1"/>
  <c r="B2425" i="1"/>
  <c r="O2424" i="1"/>
  <c r="E2424" i="1"/>
  <c r="B2424" i="1"/>
  <c r="O2423" i="1"/>
  <c r="E2423" i="1"/>
  <c r="B2423" i="1"/>
  <c r="O2422" i="1"/>
  <c r="E2422" i="1"/>
  <c r="B2422" i="1"/>
  <c r="O2421" i="1"/>
  <c r="E2421" i="1"/>
  <c r="B2421" i="1"/>
  <c r="O2420" i="1"/>
  <c r="E2420" i="1"/>
  <c r="B2420" i="1"/>
  <c r="O2419" i="1"/>
  <c r="E2419" i="1"/>
  <c r="B2419" i="1"/>
  <c r="O2418" i="1"/>
  <c r="E2418" i="1"/>
  <c r="B2418" i="1"/>
  <c r="O2417" i="1"/>
  <c r="E2417" i="1"/>
  <c r="B2417" i="1"/>
  <c r="O2416" i="1"/>
  <c r="E2416" i="1"/>
  <c r="B2416" i="1"/>
  <c r="O2415" i="1"/>
  <c r="E2415" i="1"/>
  <c r="B2415" i="1"/>
  <c r="O2414" i="1"/>
  <c r="E2414" i="1"/>
  <c r="B2414" i="1"/>
  <c r="O2413" i="1"/>
  <c r="E2413" i="1"/>
  <c r="B2413" i="1"/>
  <c r="O2412" i="1"/>
  <c r="E2412" i="1"/>
  <c r="B2412" i="1"/>
  <c r="O2411" i="1"/>
  <c r="E2411" i="1"/>
  <c r="B2411" i="1"/>
  <c r="O2410" i="1"/>
  <c r="E2410" i="1"/>
  <c r="B2410" i="1"/>
  <c r="O2409" i="1"/>
  <c r="E2409" i="1"/>
  <c r="B2409" i="1"/>
  <c r="O2408" i="1"/>
  <c r="E2408" i="1"/>
  <c r="B2408" i="1"/>
  <c r="O2407" i="1"/>
  <c r="E2407" i="1"/>
  <c r="B2407" i="1"/>
  <c r="O2406" i="1"/>
  <c r="E2406" i="1"/>
  <c r="B2406" i="1"/>
  <c r="O2405" i="1"/>
  <c r="E2405" i="1"/>
  <c r="B2405" i="1"/>
  <c r="O2404" i="1"/>
  <c r="E2404" i="1"/>
  <c r="B2404" i="1"/>
  <c r="O2403" i="1"/>
  <c r="E2403" i="1"/>
  <c r="B2403" i="1"/>
  <c r="O2402" i="1"/>
  <c r="E2402" i="1"/>
  <c r="B2402" i="1"/>
  <c r="O2401" i="1"/>
  <c r="E2401" i="1"/>
  <c r="B2401" i="1"/>
  <c r="O2400" i="1"/>
  <c r="E2400" i="1"/>
  <c r="B2400" i="1"/>
  <c r="O2399" i="1"/>
  <c r="E2399" i="1"/>
  <c r="B2399" i="1"/>
  <c r="O2398" i="1"/>
  <c r="E2398" i="1"/>
  <c r="B2398" i="1"/>
  <c r="O2397" i="1"/>
  <c r="E2397" i="1"/>
  <c r="B2397" i="1"/>
  <c r="O2396" i="1"/>
  <c r="E2396" i="1"/>
  <c r="B2396" i="1"/>
  <c r="O2395" i="1"/>
  <c r="E2395" i="1"/>
  <c r="B2395" i="1"/>
  <c r="O2394" i="1"/>
  <c r="E2394" i="1"/>
  <c r="B2394" i="1"/>
  <c r="O2393" i="1"/>
  <c r="E2393" i="1"/>
  <c r="B2393" i="1"/>
  <c r="O2392" i="1"/>
  <c r="E2392" i="1"/>
  <c r="B2392" i="1"/>
  <c r="O2391" i="1"/>
  <c r="E2391" i="1"/>
  <c r="B2391" i="1"/>
  <c r="O2390" i="1"/>
  <c r="E2390" i="1"/>
  <c r="B2390" i="1"/>
  <c r="O2389" i="1"/>
  <c r="E2389" i="1"/>
  <c r="B2389" i="1"/>
  <c r="O2388" i="1"/>
  <c r="E2388" i="1"/>
  <c r="B2388" i="1"/>
  <c r="O2387" i="1"/>
  <c r="E2387" i="1"/>
  <c r="B2387" i="1"/>
  <c r="O2386" i="1"/>
  <c r="E2386" i="1"/>
  <c r="B2386" i="1"/>
  <c r="O2385" i="1"/>
  <c r="E2385" i="1"/>
  <c r="B2385" i="1"/>
  <c r="O2384" i="1"/>
  <c r="E2384" i="1"/>
  <c r="B2384" i="1"/>
  <c r="O2383" i="1"/>
  <c r="E2383" i="1"/>
  <c r="B2383" i="1"/>
  <c r="O2382" i="1"/>
  <c r="E2382" i="1"/>
  <c r="B2382" i="1"/>
  <c r="O2381" i="1"/>
  <c r="E2381" i="1"/>
  <c r="B2381" i="1"/>
  <c r="O2380" i="1"/>
  <c r="E2380" i="1"/>
  <c r="B2380" i="1"/>
  <c r="O2379" i="1"/>
  <c r="E2379" i="1"/>
  <c r="B2379" i="1"/>
  <c r="O2378" i="1"/>
  <c r="E2378" i="1"/>
  <c r="B2378" i="1"/>
  <c r="O2377" i="1"/>
  <c r="E2377" i="1"/>
  <c r="B2377" i="1"/>
  <c r="O2376" i="1"/>
  <c r="E2376" i="1"/>
  <c r="B2376" i="1"/>
  <c r="O2375" i="1"/>
  <c r="E2375" i="1"/>
  <c r="B2375" i="1"/>
  <c r="O2374" i="1"/>
  <c r="E2374" i="1"/>
  <c r="B2374" i="1"/>
  <c r="O2373" i="1"/>
  <c r="E2373" i="1"/>
  <c r="B2373" i="1"/>
  <c r="O2372" i="1"/>
  <c r="E2372" i="1"/>
  <c r="B2372" i="1"/>
  <c r="O2371" i="1"/>
  <c r="E2371" i="1"/>
  <c r="B2371" i="1"/>
  <c r="O2370" i="1"/>
  <c r="E2370" i="1"/>
  <c r="B2370" i="1"/>
  <c r="O2369" i="1"/>
  <c r="E2369" i="1"/>
  <c r="B2369" i="1"/>
  <c r="O2368" i="1"/>
  <c r="E2368" i="1"/>
  <c r="B2368" i="1"/>
  <c r="O2367" i="1"/>
  <c r="E2367" i="1"/>
  <c r="B2367" i="1"/>
  <c r="O2366" i="1"/>
  <c r="E2366" i="1"/>
  <c r="B2366" i="1"/>
  <c r="O2365" i="1"/>
  <c r="E2365" i="1"/>
  <c r="B2365" i="1"/>
  <c r="O2364" i="1"/>
  <c r="E2364" i="1"/>
  <c r="B2364" i="1"/>
  <c r="O2363" i="1"/>
  <c r="E2363" i="1"/>
  <c r="B2363" i="1"/>
  <c r="O2362" i="1"/>
  <c r="E2362" i="1"/>
  <c r="B2362" i="1"/>
  <c r="O2361" i="1"/>
  <c r="E2361" i="1"/>
  <c r="B2361" i="1"/>
  <c r="O2360" i="1"/>
  <c r="E2360" i="1"/>
  <c r="B2360" i="1"/>
  <c r="O2359" i="1"/>
  <c r="E2359" i="1"/>
  <c r="B2359" i="1"/>
  <c r="O2358" i="1"/>
  <c r="E2358" i="1"/>
  <c r="B2358" i="1"/>
  <c r="O2357" i="1"/>
  <c r="E2357" i="1"/>
  <c r="B2357" i="1"/>
  <c r="O2356" i="1"/>
  <c r="E2356" i="1"/>
  <c r="B2356" i="1"/>
  <c r="O2355" i="1"/>
  <c r="E2355" i="1"/>
  <c r="B2355" i="1"/>
  <c r="O2354" i="1"/>
  <c r="E2354" i="1"/>
  <c r="B2354" i="1"/>
  <c r="O2353" i="1"/>
  <c r="E2353" i="1"/>
  <c r="B2353" i="1"/>
  <c r="O2352" i="1"/>
  <c r="E2352" i="1"/>
  <c r="B2352" i="1"/>
  <c r="O2351" i="1"/>
  <c r="E2351" i="1"/>
  <c r="B2351" i="1"/>
  <c r="O2350" i="1"/>
  <c r="E2350" i="1"/>
  <c r="B2350" i="1"/>
  <c r="O2349" i="1"/>
  <c r="E2349" i="1"/>
  <c r="B2349" i="1"/>
  <c r="O2348" i="1"/>
  <c r="E2348" i="1"/>
  <c r="B2348" i="1"/>
  <c r="O2347" i="1"/>
  <c r="E2347" i="1"/>
  <c r="B2347" i="1"/>
  <c r="O2346" i="1"/>
  <c r="E2346" i="1"/>
  <c r="B2346" i="1"/>
  <c r="O2345" i="1"/>
  <c r="E2345" i="1"/>
  <c r="B2345" i="1"/>
  <c r="O2344" i="1"/>
  <c r="E2344" i="1"/>
  <c r="B2344" i="1"/>
  <c r="O2343" i="1"/>
  <c r="E2343" i="1"/>
  <c r="B2343" i="1"/>
  <c r="O2342" i="1"/>
  <c r="E2342" i="1"/>
  <c r="B2342" i="1"/>
  <c r="O2341" i="1"/>
  <c r="E2341" i="1"/>
  <c r="B2341" i="1"/>
  <c r="O2340" i="1"/>
  <c r="E2340" i="1"/>
  <c r="B2340" i="1"/>
  <c r="O2339" i="1"/>
  <c r="E2339" i="1"/>
  <c r="B2339" i="1"/>
  <c r="O2338" i="1"/>
  <c r="E2338" i="1"/>
  <c r="B2338" i="1"/>
  <c r="O2337" i="1"/>
  <c r="E2337" i="1"/>
  <c r="B2337" i="1"/>
  <c r="O2336" i="1"/>
  <c r="E2336" i="1"/>
  <c r="B2336" i="1"/>
  <c r="O2335" i="1"/>
  <c r="E2335" i="1"/>
  <c r="B2335" i="1"/>
  <c r="O2334" i="1"/>
  <c r="E2334" i="1"/>
  <c r="B2334" i="1"/>
  <c r="O2333" i="1"/>
  <c r="E2333" i="1"/>
  <c r="B2333" i="1"/>
  <c r="O2332" i="1"/>
  <c r="E2332" i="1"/>
  <c r="B2332" i="1"/>
  <c r="O2331" i="1"/>
  <c r="E2331" i="1"/>
  <c r="B2331" i="1"/>
  <c r="O2330" i="1"/>
  <c r="E2330" i="1"/>
  <c r="B2330" i="1"/>
  <c r="O2329" i="1"/>
  <c r="E2329" i="1"/>
  <c r="B2329" i="1"/>
  <c r="O2328" i="1"/>
  <c r="E2328" i="1"/>
  <c r="B2328" i="1"/>
  <c r="O2327" i="1"/>
  <c r="E2327" i="1"/>
  <c r="B2327" i="1"/>
  <c r="O2326" i="1"/>
  <c r="E2326" i="1"/>
  <c r="B2326" i="1"/>
  <c r="O2325" i="1"/>
  <c r="E2325" i="1"/>
  <c r="B2325" i="1"/>
  <c r="O2324" i="1"/>
  <c r="E2324" i="1"/>
  <c r="B2324" i="1"/>
  <c r="O2323" i="1"/>
  <c r="E2323" i="1"/>
  <c r="B2323" i="1"/>
  <c r="O2322" i="1"/>
  <c r="E2322" i="1"/>
  <c r="B2322" i="1"/>
  <c r="O2321" i="1"/>
  <c r="E2321" i="1"/>
  <c r="B2321" i="1"/>
  <c r="O2320" i="1"/>
  <c r="E2320" i="1"/>
  <c r="B2320" i="1"/>
  <c r="O2319" i="1"/>
  <c r="E2319" i="1"/>
  <c r="B2319" i="1"/>
  <c r="O2318" i="1"/>
  <c r="E2318" i="1"/>
  <c r="B2318" i="1"/>
  <c r="O2317" i="1"/>
  <c r="E2317" i="1"/>
  <c r="B2317" i="1"/>
  <c r="O2316" i="1"/>
  <c r="E2316" i="1"/>
  <c r="B2316" i="1"/>
  <c r="O2315" i="1"/>
  <c r="E2315" i="1"/>
  <c r="B2315" i="1"/>
  <c r="O2314" i="1"/>
  <c r="E2314" i="1"/>
  <c r="B2314" i="1"/>
  <c r="O2313" i="1"/>
  <c r="E2313" i="1"/>
  <c r="B2313" i="1"/>
  <c r="O2312" i="1"/>
  <c r="E2312" i="1"/>
  <c r="B2312" i="1"/>
  <c r="O2311" i="1"/>
  <c r="E2311" i="1"/>
  <c r="B2311" i="1"/>
  <c r="O2310" i="1"/>
  <c r="E2310" i="1"/>
  <c r="B2310" i="1"/>
  <c r="O2309" i="1"/>
  <c r="E2309" i="1"/>
  <c r="B2309" i="1"/>
  <c r="O2308" i="1"/>
  <c r="E2308" i="1"/>
  <c r="B2308" i="1"/>
  <c r="O2307" i="1"/>
  <c r="E2307" i="1"/>
  <c r="B2307" i="1"/>
  <c r="O2306" i="1"/>
  <c r="E2306" i="1"/>
  <c r="B2306" i="1"/>
  <c r="O2305" i="1"/>
  <c r="E2305" i="1"/>
  <c r="B2305" i="1"/>
  <c r="O2304" i="1"/>
  <c r="E2304" i="1"/>
  <c r="B2304" i="1"/>
  <c r="O2303" i="1"/>
  <c r="E2303" i="1"/>
  <c r="B2303" i="1"/>
  <c r="O2302" i="1"/>
  <c r="E2302" i="1"/>
  <c r="B2302" i="1"/>
  <c r="O2301" i="1"/>
  <c r="E2301" i="1"/>
  <c r="B2301" i="1"/>
  <c r="O2300" i="1"/>
  <c r="E2300" i="1"/>
  <c r="B2300" i="1"/>
  <c r="O2299" i="1"/>
  <c r="E2299" i="1"/>
  <c r="B2299" i="1"/>
  <c r="O2298" i="1"/>
  <c r="E2298" i="1"/>
  <c r="B2298" i="1"/>
  <c r="O2297" i="1"/>
  <c r="E2297" i="1"/>
  <c r="B2297" i="1"/>
  <c r="O2296" i="1"/>
  <c r="E2296" i="1"/>
  <c r="B2296" i="1"/>
  <c r="O2295" i="1"/>
  <c r="E2295" i="1"/>
  <c r="B2295" i="1"/>
  <c r="O2294" i="1"/>
  <c r="E2294" i="1"/>
  <c r="B2294" i="1"/>
  <c r="O2293" i="1"/>
  <c r="E2293" i="1"/>
  <c r="B2293" i="1"/>
  <c r="O2292" i="1"/>
  <c r="E2292" i="1"/>
  <c r="B2292" i="1"/>
  <c r="O2291" i="1"/>
  <c r="E2291" i="1"/>
  <c r="B2291" i="1"/>
  <c r="O2290" i="1"/>
  <c r="E2290" i="1"/>
  <c r="B2290" i="1"/>
  <c r="O2289" i="1"/>
  <c r="E2289" i="1"/>
  <c r="B2289" i="1"/>
  <c r="O2288" i="1"/>
  <c r="E2288" i="1"/>
  <c r="B2288" i="1"/>
  <c r="O2287" i="1"/>
  <c r="E2287" i="1"/>
  <c r="B2287" i="1"/>
  <c r="O2286" i="1"/>
  <c r="E2286" i="1"/>
  <c r="B2286" i="1"/>
  <c r="O2285" i="1"/>
  <c r="E2285" i="1"/>
  <c r="B2285" i="1"/>
  <c r="O2284" i="1"/>
  <c r="E2284" i="1"/>
  <c r="B2284" i="1"/>
  <c r="O2283" i="1"/>
  <c r="E2283" i="1"/>
  <c r="B2283" i="1"/>
  <c r="O2282" i="1"/>
  <c r="E2282" i="1"/>
  <c r="B2282" i="1"/>
  <c r="O2281" i="1"/>
  <c r="E2281" i="1"/>
  <c r="B2281" i="1"/>
  <c r="O2280" i="1"/>
  <c r="E2280" i="1"/>
  <c r="B2280" i="1"/>
  <c r="O2279" i="1"/>
  <c r="E2279" i="1"/>
  <c r="B2279" i="1"/>
  <c r="O2278" i="1"/>
  <c r="E2278" i="1"/>
  <c r="B2278" i="1"/>
  <c r="O2277" i="1"/>
  <c r="E2277" i="1"/>
  <c r="B2277" i="1"/>
  <c r="O2276" i="1"/>
  <c r="E2276" i="1"/>
  <c r="B2276" i="1"/>
  <c r="O2275" i="1"/>
  <c r="E2275" i="1"/>
  <c r="B2275" i="1"/>
  <c r="O2274" i="1"/>
  <c r="E2274" i="1"/>
  <c r="B2274" i="1"/>
  <c r="O2273" i="1"/>
  <c r="E2273" i="1"/>
  <c r="B2273" i="1"/>
  <c r="O2272" i="1"/>
  <c r="E2272" i="1"/>
  <c r="B2272" i="1"/>
  <c r="O2271" i="1"/>
  <c r="E2271" i="1"/>
  <c r="B2271" i="1"/>
  <c r="O2270" i="1"/>
  <c r="E2270" i="1"/>
  <c r="B2270" i="1"/>
  <c r="O2269" i="1"/>
  <c r="E2269" i="1"/>
  <c r="B2269" i="1"/>
  <c r="O2268" i="1"/>
  <c r="E2268" i="1"/>
  <c r="B2268" i="1"/>
  <c r="O2267" i="1"/>
  <c r="E2267" i="1"/>
  <c r="B2267" i="1"/>
  <c r="O2266" i="1"/>
  <c r="E2266" i="1"/>
  <c r="B2266" i="1"/>
  <c r="O2265" i="1"/>
  <c r="E2265" i="1"/>
  <c r="B2265" i="1"/>
  <c r="O2264" i="1"/>
  <c r="E2264" i="1"/>
  <c r="B2264" i="1"/>
  <c r="O2263" i="1"/>
  <c r="E2263" i="1"/>
  <c r="B2263" i="1"/>
  <c r="O2262" i="1"/>
  <c r="E2262" i="1"/>
  <c r="B2262" i="1"/>
  <c r="O2261" i="1"/>
  <c r="E2261" i="1"/>
  <c r="B2261" i="1"/>
  <c r="O2260" i="1"/>
  <c r="E2260" i="1"/>
  <c r="B2260" i="1"/>
  <c r="O2259" i="1"/>
  <c r="E2259" i="1"/>
  <c r="B2259" i="1"/>
  <c r="O2258" i="1"/>
  <c r="E2258" i="1"/>
  <c r="B2258" i="1"/>
  <c r="O2257" i="1"/>
  <c r="E2257" i="1"/>
  <c r="B2257" i="1"/>
  <c r="O2256" i="1"/>
  <c r="E2256" i="1"/>
  <c r="B2256" i="1"/>
  <c r="O2255" i="1"/>
  <c r="E2255" i="1"/>
  <c r="B2255" i="1"/>
  <c r="O2254" i="1"/>
  <c r="E2254" i="1"/>
  <c r="B2254" i="1"/>
  <c r="O2253" i="1"/>
  <c r="E2253" i="1"/>
  <c r="B2253" i="1"/>
  <c r="O2252" i="1"/>
  <c r="E2252" i="1"/>
  <c r="B2252" i="1"/>
  <c r="O2251" i="1"/>
  <c r="E2251" i="1"/>
  <c r="B2251" i="1"/>
  <c r="O2250" i="1"/>
  <c r="E2250" i="1"/>
  <c r="B2250" i="1"/>
  <c r="O2249" i="1"/>
  <c r="E2249" i="1"/>
  <c r="B2249" i="1"/>
  <c r="O2248" i="1"/>
  <c r="E2248" i="1"/>
  <c r="B2248" i="1"/>
  <c r="O2247" i="1"/>
  <c r="E2247" i="1"/>
  <c r="B2247" i="1"/>
  <c r="O2246" i="1"/>
  <c r="E2246" i="1"/>
  <c r="B2246" i="1"/>
  <c r="O2245" i="1"/>
  <c r="E2245" i="1"/>
  <c r="B2245" i="1"/>
  <c r="O2244" i="1"/>
  <c r="E2244" i="1"/>
  <c r="B2244" i="1"/>
  <c r="O2243" i="1"/>
  <c r="E2243" i="1"/>
  <c r="B2243" i="1"/>
  <c r="O2242" i="1"/>
  <c r="E2242" i="1"/>
  <c r="B2242" i="1"/>
  <c r="O2241" i="1"/>
  <c r="E2241" i="1"/>
  <c r="B2241" i="1"/>
  <c r="O2240" i="1"/>
  <c r="E2240" i="1"/>
  <c r="B2240" i="1"/>
  <c r="O2239" i="1"/>
  <c r="E2239" i="1"/>
  <c r="B2239" i="1"/>
  <c r="O2238" i="1"/>
  <c r="E2238" i="1"/>
  <c r="B2238" i="1"/>
  <c r="O2237" i="1"/>
  <c r="E2237" i="1"/>
  <c r="B2237" i="1"/>
  <c r="O2236" i="1"/>
  <c r="E2236" i="1"/>
  <c r="B2236" i="1"/>
  <c r="O2235" i="1"/>
  <c r="E2235" i="1"/>
  <c r="B2235" i="1"/>
  <c r="O2234" i="1"/>
  <c r="E2234" i="1"/>
  <c r="B2234" i="1"/>
  <c r="O2233" i="1"/>
  <c r="E2233" i="1"/>
  <c r="B2233" i="1"/>
  <c r="O2232" i="1"/>
  <c r="E2232" i="1"/>
  <c r="B2232" i="1"/>
  <c r="O2231" i="1"/>
  <c r="E2231" i="1"/>
  <c r="B2231" i="1"/>
  <c r="O2230" i="1"/>
  <c r="E2230" i="1"/>
  <c r="B2230" i="1"/>
  <c r="O2229" i="1"/>
  <c r="E2229" i="1"/>
  <c r="B2229" i="1"/>
  <c r="O2228" i="1"/>
  <c r="E2228" i="1"/>
  <c r="B2228" i="1"/>
  <c r="O2227" i="1"/>
  <c r="E2227" i="1"/>
  <c r="B2227" i="1"/>
  <c r="O2226" i="1"/>
  <c r="E2226" i="1"/>
  <c r="B2226" i="1"/>
  <c r="O2225" i="1"/>
  <c r="E2225" i="1"/>
  <c r="B2225" i="1"/>
  <c r="O2224" i="1"/>
  <c r="E2224" i="1"/>
  <c r="B2224" i="1"/>
  <c r="O2223" i="1"/>
  <c r="E2223" i="1"/>
  <c r="B2223" i="1"/>
  <c r="O2222" i="1"/>
  <c r="E2222" i="1"/>
  <c r="B2222" i="1"/>
  <c r="O2221" i="1"/>
  <c r="E2221" i="1"/>
  <c r="B2221" i="1"/>
  <c r="O2220" i="1"/>
  <c r="E2220" i="1"/>
  <c r="B2220" i="1"/>
  <c r="O2219" i="1"/>
  <c r="E2219" i="1"/>
  <c r="B2219" i="1"/>
  <c r="O2218" i="1"/>
  <c r="E2218" i="1"/>
  <c r="B2218" i="1"/>
  <c r="O2217" i="1"/>
  <c r="E2217" i="1"/>
  <c r="B2217" i="1"/>
  <c r="O2216" i="1"/>
  <c r="E2216" i="1"/>
  <c r="B2216" i="1"/>
  <c r="O2215" i="1"/>
  <c r="E2215" i="1"/>
  <c r="B2215" i="1"/>
  <c r="O2214" i="1"/>
  <c r="E2214" i="1"/>
  <c r="B2214" i="1"/>
  <c r="O2213" i="1"/>
  <c r="E2213" i="1"/>
  <c r="B2213" i="1"/>
  <c r="O2212" i="1"/>
  <c r="E2212" i="1"/>
  <c r="B2212" i="1"/>
  <c r="O2211" i="1"/>
  <c r="E2211" i="1"/>
  <c r="B2211" i="1"/>
  <c r="O2210" i="1"/>
  <c r="E2210" i="1"/>
  <c r="B2210" i="1"/>
  <c r="O2209" i="1"/>
  <c r="E2209" i="1"/>
  <c r="B2209" i="1"/>
  <c r="O2208" i="1"/>
  <c r="E2208" i="1"/>
  <c r="B2208" i="1"/>
  <c r="O2207" i="1"/>
  <c r="E2207" i="1"/>
  <c r="B2207" i="1"/>
  <c r="O2206" i="1"/>
  <c r="E2206" i="1"/>
  <c r="B2206" i="1"/>
  <c r="O2205" i="1"/>
  <c r="E2205" i="1"/>
  <c r="B2205" i="1"/>
  <c r="O2204" i="1"/>
  <c r="E2204" i="1"/>
  <c r="B2204" i="1"/>
  <c r="O2203" i="1"/>
  <c r="E2203" i="1"/>
  <c r="B2203" i="1"/>
  <c r="O2202" i="1"/>
  <c r="E2202" i="1"/>
  <c r="B2202" i="1"/>
  <c r="O2201" i="1"/>
  <c r="E2201" i="1"/>
  <c r="B2201" i="1"/>
  <c r="O2200" i="1"/>
  <c r="E2200" i="1"/>
  <c r="B2200" i="1"/>
  <c r="O2199" i="1"/>
  <c r="E2199" i="1"/>
  <c r="B2199" i="1"/>
  <c r="O2198" i="1"/>
  <c r="E2198" i="1"/>
  <c r="B2198" i="1"/>
  <c r="O2197" i="1"/>
  <c r="E2197" i="1"/>
  <c r="B2197" i="1"/>
  <c r="O2196" i="1"/>
  <c r="E2196" i="1"/>
  <c r="B2196" i="1"/>
  <c r="O2195" i="1"/>
  <c r="E2195" i="1"/>
  <c r="B2195" i="1"/>
  <c r="O2194" i="1"/>
  <c r="E2194" i="1"/>
  <c r="B2194" i="1"/>
  <c r="O2193" i="1"/>
  <c r="E2193" i="1"/>
  <c r="B2193" i="1"/>
  <c r="O2192" i="1"/>
  <c r="E2192" i="1"/>
  <c r="B2192" i="1"/>
  <c r="O2191" i="1"/>
  <c r="E2191" i="1"/>
  <c r="B2191" i="1"/>
  <c r="O2190" i="1"/>
  <c r="E2190" i="1"/>
  <c r="B2190" i="1"/>
  <c r="O2189" i="1"/>
  <c r="E2189" i="1"/>
  <c r="B2189" i="1"/>
  <c r="O2188" i="1"/>
  <c r="E2188" i="1"/>
  <c r="B2188" i="1"/>
  <c r="O2187" i="1"/>
  <c r="E2187" i="1"/>
  <c r="B2187" i="1"/>
  <c r="O2186" i="1"/>
  <c r="E2186" i="1"/>
  <c r="B2186" i="1"/>
  <c r="O2185" i="1"/>
  <c r="E2185" i="1"/>
  <c r="B2185" i="1"/>
  <c r="O2184" i="1"/>
  <c r="E2184" i="1"/>
  <c r="B2184" i="1"/>
  <c r="O2183" i="1"/>
  <c r="E2183" i="1"/>
  <c r="B2183" i="1"/>
  <c r="O2182" i="1"/>
  <c r="E2182" i="1"/>
  <c r="B2182" i="1"/>
  <c r="O2181" i="1"/>
  <c r="E2181" i="1"/>
  <c r="B2181" i="1"/>
  <c r="O2180" i="1"/>
  <c r="E2180" i="1"/>
  <c r="B2180" i="1"/>
  <c r="O2179" i="1"/>
  <c r="E2179" i="1"/>
  <c r="B2179" i="1"/>
  <c r="O2178" i="1"/>
  <c r="E2178" i="1"/>
  <c r="B2178" i="1"/>
  <c r="O2177" i="1"/>
  <c r="E2177" i="1"/>
  <c r="B2177" i="1"/>
  <c r="O2176" i="1"/>
  <c r="E2176" i="1"/>
  <c r="B2176" i="1"/>
  <c r="O2175" i="1"/>
  <c r="E2175" i="1"/>
  <c r="B2175" i="1"/>
  <c r="O2174" i="1"/>
  <c r="E2174" i="1"/>
  <c r="B2174" i="1"/>
  <c r="O2173" i="1"/>
  <c r="E2173" i="1"/>
  <c r="B2173" i="1"/>
  <c r="O2172" i="1"/>
  <c r="E2172" i="1"/>
  <c r="B2172" i="1"/>
  <c r="O2171" i="1"/>
  <c r="E2171" i="1"/>
  <c r="B2171" i="1"/>
  <c r="O2170" i="1"/>
  <c r="E2170" i="1"/>
  <c r="B2170" i="1"/>
  <c r="O2169" i="1"/>
  <c r="E2169" i="1"/>
  <c r="B2169" i="1"/>
  <c r="O2168" i="1"/>
  <c r="E2168" i="1"/>
  <c r="B2168" i="1"/>
  <c r="O2167" i="1"/>
  <c r="E2167" i="1"/>
  <c r="B2167" i="1"/>
  <c r="O2166" i="1"/>
  <c r="E2166" i="1"/>
  <c r="B2166" i="1"/>
  <c r="O2165" i="1"/>
  <c r="E2165" i="1"/>
  <c r="B2165" i="1"/>
  <c r="O2164" i="1"/>
  <c r="E2164" i="1"/>
  <c r="B2164" i="1"/>
  <c r="O2163" i="1"/>
  <c r="E2163" i="1"/>
  <c r="B2163" i="1"/>
  <c r="O2162" i="1"/>
  <c r="E2162" i="1"/>
  <c r="B2162" i="1"/>
  <c r="O2161" i="1"/>
  <c r="E2161" i="1"/>
  <c r="B2161" i="1"/>
  <c r="O2160" i="1"/>
  <c r="E2160" i="1"/>
  <c r="B2160" i="1"/>
  <c r="O2159" i="1"/>
  <c r="E2159" i="1"/>
  <c r="B2159" i="1"/>
  <c r="O2158" i="1"/>
  <c r="E2158" i="1"/>
  <c r="B2158" i="1"/>
  <c r="O2157" i="1"/>
  <c r="E2157" i="1"/>
  <c r="B2157" i="1"/>
  <c r="O2156" i="1"/>
  <c r="E2156" i="1"/>
  <c r="B2156" i="1"/>
  <c r="O2155" i="1"/>
  <c r="E2155" i="1"/>
  <c r="B2155" i="1"/>
  <c r="O2154" i="1"/>
  <c r="E2154" i="1"/>
  <c r="B2154" i="1"/>
  <c r="O2153" i="1"/>
  <c r="E2153" i="1"/>
  <c r="B2153" i="1"/>
  <c r="O2152" i="1"/>
  <c r="E2152" i="1"/>
  <c r="B2152" i="1"/>
  <c r="O2151" i="1"/>
  <c r="E2151" i="1"/>
  <c r="B2151" i="1"/>
  <c r="O2150" i="1"/>
  <c r="E2150" i="1"/>
  <c r="B2150" i="1"/>
  <c r="O2149" i="1"/>
  <c r="E2149" i="1"/>
  <c r="B2149" i="1"/>
  <c r="O2148" i="1"/>
  <c r="E2148" i="1"/>
  <c r="B2148" i="1"/>
  <c r="O2147" i="1"/>
  <c r="E2147" i="1"/>
  <c r="B2147" i="1"/>
  <c r="O2146" i="1"/>
  <c r="E2146" i="1"/>
  <c r="B2146" i="1"/>
  <c r="O2145" i="1"/>
  <c r="E2145" i="1"/>
  <c r="B2145" i="1"/>
  <c r="O2144" i="1"/>
  <c r="E2144" i="1"/>
  <c r="B2144" i="1"/>
  <c r="O2143" i="1"/>
  <c r="E2143" i="1"/>
  <c r="B2143" i="1"/>
  <c r="O2142" i="1"/>
  <c r="E2142" i="1"/>
  <c r="B2142" i="1"/>
  <c r="O2141" i="1"/>
  <c r="E2141" i="1"/>
  <c r="B2141" i="1"/>
  <c r="O2140" i="1"/>
  <c r="E2140" i="1"/>
  <c r="B2140" i="1"/>
  <c r="O2139" i="1"/>
  <c r="E2139" i="1"/>
  <c r="B2139" i="1"/>
  <c r="O2138" i="1"/>
  <c r="E2138" i="1"/>
  <c r="B2138" i="1"/>
  <c r="O2137" i="1"/>
  <c r="E2137" i="1"/>
  <c r="B2137" i="1"/>
  <c r="O2136" i="1"/>
  <c r="E2136" i="1"/>
  <c r="B2136" i="1"/>
  <c r="O2135" i="1"/>
  <c r="E2135" i="1"/>
  <c r="B2135" i="1"/>
  <c r="O2134" i="1"/>
  <c r="E2134" i="1"/>
  <c r="B2134" i="1"/>
  <c r="O2133" i="1"/>
  <c r="E2133" i="1"/>
  <c r="B2133" i="1"/>
  <c r="O2132" i="1"/>
  <c r="E2132" i="1"/>
  <c r="B2132" i="1"/>
  <c r="O2131" i="1"/>
  <c r="E2131" i="1"/>
  <c r="B2131" i="1"/>
  <c r="O2130" i="1"/>
  <c r="E2130" i="1"/>
  <c r="B2130" i="1"/>
  <c r="O2129" i="1"/>
  <c r="E2129" i="1"/>
  <c r="B2129" i="1"/>
  <c r="O2128" i="1"/>
  <c r="E2128" i="1"/>
  <c r="B2128" i="1"/>
  <c r="O2127" i="1"/>
  <c r="E2127" i="1"/>
  <c r="B2127" i="1"/>
  <c r="O2126" i="1"/>
  <c r="E2126" i="1"/>
  <c r="B2126" i="1"/>
  <c r="O2125" i="1"/>
  <c r="E2125" i="1"/>
  <c r="B2125" i="1"/>
  <c r="O2124" i="1"/>
  <c r="E2124" i="1"/>
  <c r="B2124" i="1"/>
  <c r="O2123" i="1"/>
  <c r="E2123" i="1"/>
  <c r="B2123" i="1"/>
  <c r="O2122" i="1"/>
  <c r="E2122" i="1"/>
  <c r="B2122" i="1"/>
  <c r="O2121" i="1"/>
  <c r="E2121" i="1"/>
  <c r="B2121" i="1"/>
  <c r="O2120" i="1"/>
  <c r="E2120" i="1"/>
  <c r="B2120" i="1"/>
  <c r="O2119" i="1"/>
  <c r="E2119" i="1"/>
  <c r="B2119" i="1"/>
  <c r="O2118" i="1"/>
  <c r="E2118" i="1"/>
  <c r="B2118" i="1"/>
  <c r="O2117" i="1"/>
  <c r="E2117" i="1"/>
  <c r="B2117" i="1"/>
  <c r="O2116" i="1"/>
  <c r="E2116" i="1"/>
  <c r="B2116" i="1"/>
  <c r="O2115" i="1"/>
  <c r="E2115" i="1"/>
  <c r="B2115" i="1"/>
  <c r="O2114" i="1"/>
  <c r="E2114" i="1"/>
  <c r="B2114" i="1"/>
  <c r="O2113" i="1"/>
  <c r="E2113" i="1"/>
  <c r="B2113" i="1"/>
  <c r="O2112" i="1"/>
  <c r="E2112" i="1"/>
  <c r="B2112" i="1"/>
  <c r="O2111" i="1"/>
  <c r="E2111" i="1"/>
  <c r="B2111" i="1"/>
  <c r="O2110" i="1"/>
  <c r="E2110" i="1"/>
  <c r="B2110" i="1"/>
  <c r="O2109" i="1"/>
  <c r="E2109" i="1"/>
  <c r="B2109" i="1"/>
  <c r="O2108" i="1"/>
  <c r="E2108" i="1"/>
  <c r="B2108" i="1"/>
  <c r="O2107" i="1"/>
  <c r="E2107" i="1"/>
  <c r="B2107" i="1"/>
  <c r="O2106" i="1"/>
  <c r="E2106" i="1"/>
  <c r="B2106" i="1"/>
  <c r="O2105" i="1"/>
  <c r="E2105" i="1"/>
  <c r="B2105" i="1"/>
  <c r="O2104" i="1"/>
  <c r="E2104" i="1"/>
  <c r="B2104" i="1"/>
  <c r="O2103" i="1"/>
  <c r="E2103" i="1"/>
  <c r="B2103" i="1"/>
  <c r="O2102" i="1"/>
  <c r="E2102" i="1"/>
  <c r="B2102" i="1"/>
  <c r="O2101" i="1"/>
  <c r="E2101" i="1"/>
  <c r="B2101" i="1"/>
  <c r="O2100" i="1"/>
  <c r="E2100" i="1"/>
  <c r="B2100" i="1"/>
  <c r="O2099" i="1"/>
  <c r="E2099" i="1"/>
  <c r="B2099" i="1"/>
  <c r="O2098" i="1"/>
  <c r="E2098" i="1"/>
  <c r="B2098" i="1"/>
  <c r="O2097" i="1"/>
  <c r="E2097" i="1"/>
  <c r="B2097" i="1"/>
  <c r="O2096" i="1"/>
  <c r="E2096" i="1"/>
  <c r="B2096" i="1"/>
  <c r="O2095" i="1"/>
  <c r="E2095" i="1"/>
  <c r="B2095" i="1"/>
  <c r="O2094" i="1"/>
  <c r="E2094" i="1"/>
  <c r="B2094" i="1"/>
  <c r="O2093" i="1"/>
  <c r="E2093" i="1"/>
  <c r="B2093" i="1"/>
  <c r="O2092" i="1"/>
  <c r="E2092" i="1"/>
  <c r="B2092" i="1"/>
  <c r="O2091" i="1"/>
  <c r="E2091" i="1"/>
  <c r="B2091" i="1"/>
  <c r="O2090" i="1"/>
  <c r="E2090" i="1"/>
  <c r="B2090" i="1"/>
  <c r="O2089" i="1"/>
  <c r="E2089" i="1"/>
  <c r="B2089" i="1"/>
  <c r="O2088" i="1"/>
  <c r="E2088" i="1"/>
  <c r="B2088" i="1"/>
  <c r="O2087" i="1"/>
  <c r="E2087" i="1"/>
  <c r="B2087" i="1"/>
  <c r="O2086" i="1"/>
  <c r="E2086" i="1"/>
  <c r="B2086" i="1"/>
  <c r="O2085" i="1"/>
  <c r="E2085" i="1"/>
  <c r="B2085" i="1"/>
  <c r="O2084" i="1"/>
  <c r="E2084" i="1"/>
  <c r="B2084" i="1"/>
  <c r="O2083" i="1"/>
  <c r="E2083" i="1"/>
  <c r="B2083" i="1"/>
  <c r="O2082" i="1"/>
  <c r="E2082" i="1"/>
  <c r="B2082" i="1"/>
  <c r="O2081" i="1"/>
  <c r="E2081" i="1"/>
  <c r="B2081" i="1"/>
  <c r="O2080" i="1"/>
  <c r="E2080" i="1"/>
  <c r="B2080" i="1"/>
  <c r="O2079" i="1"/>
  <c r="E2079" i="1"/>
  <c r="B2079" i="1"/>
  <c r="O2078" i="1"/>
  <c r="E2078" i="1"/>
  <c r="B2078" i="1"/>
  <c r="O2077" i="1"/>
  <c r="E2077" i="1"/>
  <c r="B2077" i="1"/>
  <c r="O2076" i="1"/>
  <c r="E2076" i="1"/>
  <c r="B2076" i="1"/>
  <c r="O2075" i="1"/>
  <c r="E2075" i="1"/>
  <c r="B2075" i="1"/>
  <c r="O2074" i="1"/>
  <c r="E2074" i="1"/>
  <c r="B2074" i="1"/>
  <c r="O2073" i="1"/>
  <c r="E2073" i="1"/>
  <c r="B2073" i="1"/>
  <c r="O2072" i="1"/>
  <c r="E2072" i="1"/>
  <c r="B2072" i="1"/>
  <c r="O2071" i="1"/>
  <c r="E2071" i="1"/>
  <c r="B2071" i="1"/>
  <c r="O2070" i="1"/>
  <c r="E2070" i="1"/>
  <c r="B2070" i="1"/>
  <c r="O2069" i="1"/>
  <c r="E2069" i="1"/>
  <c r="B2069" i="1"/>
  <c r="O2068" i="1"/>
  <c r="E2068" i="1"/>
  <c r="B2068" i="1"/>
  <c r="O2067" i="1"/>
  <c r="E2067" i="1"/>
  <c r="B2067" i="1"/>
  <c r="O2066" i="1"/>
  <c r="E2066" i="1"/>
  <c r="B2066" i="1"/>
  <c r="O2065" i="1"/>
  <c r="E2065" i="1"/>
  <c r="B2065" i="1"/>
  <c r="O2064" i="1"/>
  <c r="E2064" i="1"/>
  <c r="B2064" i="1"/>
  <c r="O2063" i="1"/>
  <c r="E2063" i="1"/>
  <c r="B2063" i="1"/>
  <c r="O2062" i="1"/>
  <c r="E2062" i="1"/>
  <c r="B2062" i="1"/>
  <c r="O2061" i="1"/>
  <c r="E2061" i="1"/>
  <c r="B2061" i="1"/>
  <c r="O2060" i="1"/>
  <c r="E2060" i="1"/>
  <c r="B2060" i="1"/>
  <c r="O2059" i="1"/>
  <c r="E2059" i="1"/>
  <c r="B2059" i="1"/>
  <c r="O2058" i="1"/>
  <c r="E2058" i="1"/>
  <c r="B2058" i="1"/>
  <c r="O2057" i="1"/>
  <c r="E2057" i="1"/>
  <c r="B2057" i="1"/>
  <c r="O2056" i="1"/>
  <c r="E2056" i="1"/>
  <c r="B2056" i="1"/>
  <c r="O2055" i="1"/>
  <c r="E2055" i="1"/>
  <c r="B2055" i="1"/>
  <c r="O2054" i="1"/>
  <c r="E2054" i="1"/>
  <c r="B2054" i="1"/>
  <c r="O2053" i="1"/>
  <c r="E2053" i="1"/>
  <c r="B2053" i="1"/>
  <c r="O2052" i="1"/>
  <c r="E2052" i="1"/>
  <c r="B2052" i="1"/>
  <c r="O2051" i="1"/>
  <c r="E2051" i="1"/>
  <c r="B2051" i="1"/>
  <c r="O2050" i="1"/>
  <c r="E2050" i="1"/>
  <c r="B2050" i="1"/>
  <c r="O2049" i="1"/>
  <c r="E2049" i="1"/>
  <c r="B2049" i="1"/>
  <c r="O2048" i="1"/>
  <c r="E2048" i="1"/>
  <c r="B2048" i="1"/>
  <c r="O2047" i="1"/>
  <c r="E2047" i="1"/>
  <c r="B2047" i="1"/>
  <c r="O2046" i="1"/>
  <c r="E2046" i="1"/>
  <c r="B2046" i="1"/>
  <c r="O2045" i="1"/>
  <c r="E2045" i="1"/>
  <c r="B2045" i="1"/>
  <c r="O2044" i="1"/>
  <c r="E2044" i="1"/>
  <c r="B2044" i="1"/>
  <c r="O2043" i="1"/>
  <c r="E2043" i="1"/>
  <c r="B2043" i="1"/>
  <c r="O2042" i="1"/>
  <c r="E2042" i="1"/>
  <c r="B2042" i="1"/>
  <c r="O2041" i="1"/>
  <c r="E2041" i="1"/>
  <c r="B2041" i="1"/>
  <c r="O2040" i="1"/>
  <c r="E2040" i="1"/>
  <c r="B2040" i="1"/>
  <c r="O2039" i="1"/>
  <c r="E2039" i="1"/>
  <c r="B2039" i="1"/>
  <c r="O2038" i="1"/>
  <c r="E2038" i="1"/>
  <c r="B2038" i="1"/>
  <c r="O2037" i="1"/>
  <c r="E2037" i="1"/>
  <c r="B2037" i="1"/>
  <c r="O2036" i="1"/>
  <c r="E2036" i="1"/>
  <c r="B2036" i="1"/>
  <c r="O2035" i="1"/>
  <c r="E2035" i="1"/>
  <c r="B2035" i="1"/>
  <c r="O2034" i="1"/>
  <c r="E2034" i="1"/>
  <c r="B2034" i="1"/>
  <c r="O2033" i="1"/>
  <c r="E2033" i="1"/>
  <c r="B2033" i="1"/>
  <c r="O2032" i="1"/>
  <c r="E2032" i="1"/>
  <c r="B2032" i="1"/>
  <c r="O2031" i="1"/>
  <c r="E2031" i="1"/>
  <c r="B2031" i="1"/>
  <c r="O2030" i="1"/>
  <c r="E2030" i="1"/>
  <c r="B2030" i="1"/>
  <c r="O2029" i="1"/>
  <c r="E2029" i="1"/>
  <c r="B2029" i="1"/>
  <c r="O2028" i="1"/>
  <c r="E2028" i="1"/>
  <c r="B2028" i="1"/>
  <c r="O2027" i="1"/>
  <c r="E2027" i="1"/>
  <c r="B2027" i="1"/>
  <c r="O2026" i="1"/>
  <c r="E2026" i="1"/>
  <c r="B2026" i="1"/>
  <c r="O2025" i="1"/>
  <c r="E2025" i="1"/>
  <c r="B2025" i="1"/>
  <c r="O2024" i="1"/>
  <c r="E2024" i="1"/>
  <c r="B2024" i="1"/>
  <c r="O2023" i="1"/>
  <c r="E2023" i="1"/>
  <c r="B2023" i="1"/>
  <c r="O2022" i="1"/>
  <c r="E2022" i="1"/>
  <c r="B2022" i="1"/>
  <c r="O2021" i="1"/>
  <c r="E2021" i="1"/>
  <c r="B2021" i="1"/>
  <c r="O2020" i="1"/>
  <c r="E2020" i="1"/>
  <c r="B2020" i="1"/>
  <c r="O2019" i="1"/>
  <c r="E2019" i="1"/>
  <c r="B2019" i="1"/>
  <c r="O2018" i="1"/>
  <c r="E2018" i="1"/>
  <c r="B2018" i="1"/>
  <c r="O2017" i="1"/>
  <c r="E2017" i="1"/>
  <c r="B2017" i="1"/>
  <c r="O2016" i="1"/>
  <c r="E2016" i="1"/>
  <c r="B2016" i="1"/>
  <c r="O2015" i="1"/>
  <c r="E2015" i="1"/>
  <c r="B2015" i="1"/>
  <c r="O2014" i="1"/>
  <c r="E2014" i="1"/>
  <c r="B2014" i="1"/>
  <c r="O2013" i="1"/>
  <c r="E2013" i="1"/>
  <c r="B2013" i="1"/>
  <c r="O2012" i="1"/>
  <c r="E2012" i="1"/>
  <c r="B2012" i="1"/>
  <c r="O2011" i="1"/>
  <c r="E2011" i="1"/>
  <c r="B2011" i="1"/>
  <c r="O2010" i="1"/>
  <c r="E2010" i="1"/>
  <c r="B2010" i="1"/>
  <c r="O2009" i="1"/>
  <c r="E2009" i="1"/>
  <c r="B2009" i="1"/>
  <c r="O2008" i="1"/>
  <c r="E2008" i="1"/>
  <c r="B2008" i="1"/>
  <c r="O2007" i="1"/>
  <c r="E2007" i="1"/>
  <c r="B2007" i="1"/>
  <c r="O2006" i="1"/>
  <c r="E2006" i="1"/>
  <c r="B2006" i="1"/>
  <c r="O2005" i="1"/>
  <c r="E2005" i="1"/>
  <c r="B2005" i="1"/>
  <c r="O2004" i="1"/>
  <c r="E2004" i="1"/>
  <c r="B2004" i="1"/>
  <c r="O2003" i="1"/>
  <c r="E2003" i="1"/>
  <c r="B2003" i="1"/>
  <c r="O2002" i="1"/>
  <c r="E2002" i="1"/>
  <c r="B2002" i="1"/>
  <c r="O2001" i="1"/>
  <c r="E2001" i="1"/>
  <c r="B2001" i="1"/>
  <c r="O2000" i="1"/>
  <c r="E2000" i="1"/>
  <c r="B2000" i="1"/>
  <c r="O1999" i="1"/>
  <c r="E1999" i="1"/>
  <c r="B1999" i="1"/>
  <c r="O1998" i="1"/>
  <c r="E1998" i="1"/>
  <c r="B1998" i="1"/>
  <c r="O1997" i="1"/>
  <c r="E1997" i="1"/>
  <c r="B1997" i="1"/>
  <c r="O1996" i="1"/>
  <c r="E1996" i="1"/>
  <c r="B1996" i="1"/>
  <c r="O1995" i="1"/>
  <c r="E1995" i="1"/>
  <c r="B1995" i="1"/>
  <c r="O1994" i="1"/>
  <c r="E1994" i="1"/>
  <c r="B1994" i="1"/>
  <c r="O1993" i="1"/>
  <c r="E1993" i="1"/>
  <c r="B1993" i="1"/>
  <c r="O1992" i="1"/>
  <c r="E1992" i="1"/>
  <c r="B1992" i="1"/>
  <c r="O1991" i="1"/>
  <c r="E1991" i="1"/>
  <c r="B1991" i="1"/>
  <c r="O1990" i="1"/>
  <c r="E1990" i="1"/>
  <c r="B1990" i="1"/>
  <c r="O1989" i="1"/>
  <c r="E1989" i="1"/>
  <c r="B1989" i="1"/>
  <c r="O1988" i="1"/>
  <c r="E1988" i="1"/>
  <c r="B1988" i="1"/>
  <c r="O1987" i="1"/>
  <c r="E1987" i="1"/>
  <c r="B1987" i="1"/>
  <c r="O1986" i="1"/>
  <c r="E1986" i="1"/>
  <c r="B1986" i="1"/>
  <c r="O1985" i="1"/>
  <c r="E1985" i="1"/>
  <c r="B1985" i="1"/>
  <c r="O1984" i="1"/>
  <c r="E1984" i="1"/>
  <c r="B1984" i="1"/>
  <c r="O1983" i="1"/>
  <c r="E1983" i="1"/>
  <c r="B1983" i="1"/>
  <c r="O1982" i="1"/>
  <c r="E1982" i="1"/>
  <c r="B1982" i="1"/>
  <c r="O1981" i="1"/>
  <c r="E1981" i="1"/>
  <c r="B1981" i="1"/>
  <c r="O1980" i="1"/>
  <c r="E1980" i="1"/>
  <c r="B1980" i="1"/>
  <c r="O1979" i="1"/>
  <c r="E1979" i="1"/>
  <c r="B1979" i="1"/>
  <c r="O1978" i="1"/>
  <c r="E1978" i="1"/>
  <c r="B1978" i="1"/>
  <c r="O1977" i="1"/>
  <c r="E1977" i="1"/>
  <c r="B1977" i="1"/>
  <c r="O1976" i="1"/>
  <c r="E1976" i="1"/>
  <c r="B1976" i="1"/>
  <c r="O1975" i="1"/>
  <c r="E1975" i="1"/>
  <c r="B1975" i="1"/>
  <c r="O1974" i="1"/>
  <c r="E1974" i="1"/>
  <c r="B1974" i="1"/>
  <c r="O1973" i="1"/>
  <c r="E1973" i="1"/>
  <c r="B1973" i="1"/>
  <c r="O1972" i="1"/>
  <c r="E1972" i="1"/>
  <c r="B1972" i="1"/>
  <c r="O1971" i="1"/>
  <c r="E1971" i="1"/>
  <c r="B1971" i="1"/>
  <c r="O1970" i="1"/>
  <c r="E1970" i="1"/>
  <c r="B1970" i="1"/>
  <c r="O1969" i="1"/>
  <c r="E1969" i="1"/>
  <c r="B1969" i="1"/>
  <c r="O1968" i="1"/>
  <c r="E1968" i="1"/>
  <c r="B1968" i="1"/>
  <c r="O1967" i="1"/>
  <c r="E1967" i="1"/>
  <c r="B1967" i="1"/>
  <c r="O1966" i="1"/>
  <c r="E1966" i="1"/>
  <c r="B1966" i="1"/>
  <c r="O1965" i="1"/>
  <c r="E1965" i="1"/>
  <c r="B1965" i="1"/>
  <c r="O1964" i="1"/>
  <c r="E1964" i="1"/>
  <c r="B1964" i="1"/>
  <c r="O1963" i="1"/>
  <c r="E1963" i="1"/>
  <c r="B1963" i="1"/>
  <c r="O1962" i="1"/>
  <c r="E1962" i="1"/>
  <c r="B1962" i="1"/>
  <c r="O1961" i="1"/>
  <c r="E1961" i="1"/>
  <c r="B1961" i="1"/>
  <c r="O1960" i="1"/>
  <c r="E1960" i="1"/>
  <c r="B1960" i="1"/>
  <c r="O1959" i="1"/>
  <c r="E1959" i="1"/>
  <c r="B1959" i="1"/>
  <c r="O1958" i="1"/>
  <c r="E1958" i="1"/>
  <c r="B1958" i="1"/>
  <c r="O1957" i="1"/>
  <c r="E1957" i="1"/>
  <c r="B1957" i="1"/>
  <c r="O1956" i="1"/>
  <c r="E1956" i="1"/>
  <c r="B1956" i="1"/>
  <c r="O1955" i="1"/>
  <c r="E1955" i="1"/>
  <c r="B1955" i="1"/>
  <c r="O1954" i="1"/>
  <c r="E1954" i="1"/>
  <c r="B1954" i="1"/>
  <c r="O1953" i="1"/>
  <c r="E1953" i="1"/>
  <c r="B1953" i="1"/>
  <c r="O1952" i="1"/>
  <c r="E1952" i="1"/>
  <c r="B1952" i="1"/>
  <c r="O1951" i="1"/>
  <c r="E1951" i="1"/>
  <c r="B1951" i="1"/>
  <c r="O1950" i="1"/>
  <c r="E1950" i="1"/>
  <c r="B1950" i="1"/>
  <c r="O1949" i="1"/>
  <c r="E1949" i="1"/>
  <c r="B1949" i="1"/>
  <c r="O1948" i="1"/>
  <c r="E1948" i="1"/>
  <c r="B1948" i="1"/>
  <c r="O1947" i="1"/>
  <c r="E1947" i="1"/>
  <c r="B1947" i="1"/>
  <c r="O1946" i="1"/>
  <c r="E1946" i="1"/>
  <c r="B1946" i="1"/>
  <c r="O1945" i="1"/>
  <c r="E1945" i="1"/>
  <c r="B1945" i="1"/>
  <c r="O1944" i="1"/>
  <c r="E1944" i="1"/>
  <c r="B1944" i="1"/>
  <c r="O1943" i="1"/>
  <c r="E1943" i="1"/>
  <c r="B1943" i="1"/>
  <c r="O1942" i="1"/>
  <c r="E1942" i="1"/>
  <c r="B1942" i="1"/>
  <c r="O1941" i="1"/>
  <c r="E1941" i="1"/>
  <c r="B1941" i="1"/>
  <c r="O1940" i="1"/>
  <c r="E1940" i="1"/>
  <c r="B1940" i="1"/>
  <c r="O1939" i="1"/>
  <c r="E1939" i="1"/>
  <c r="B1939" i="1"/>
  <c r="O1938" i="1"/>
  <c r="E1938" i="1"/>
  <c r="B1938" i="1"/>
  <c r="O1937" i="1"/>
  <c r="E1937" i="1"/>
  <c r="B1937" i="1"/>
  <c r="O1936" i="1"/>
  <c r="E1936" i="1"/>
  <c r="B1936" i="1"/>
  <c r="O1935" i="1"/>
  <c r="E1935" i="1"/>
  <c r="B1935" i="1"/>
  <c r="O1934" i="1"/>
  <c r="E1934" i="1"/>
  <c r="B1934" i="1"/>
  <c r="O1933" i="1"/>
  <c r="E1933" i="1"/>
  <c r="B1933" i="1"/>
  <c r="O1932" i="1"/>
  <c r="E1932" i="1"/>
  <c r="B1932" i="1"/>
  <c r="O1931" i="1"/>
  <c r="E1931" i="1"/>
  <c r="B1931" i="1"/>
  <c r="O1930" i="1"/>
  <c r="E1930" i="1"/>
  <c r="B1930" i="1"/>
  <c r="O1929" i="1"/>
  <c r="E1929" i="1"/>
  <c r="B1929" i="1"/>
  <c r="O1928" i="1"/>
  <c r="E1928" i="1"/>
  <c r="B1928" i="1"/>
  <c r="O1927" i="1"/>
  <c r="E1927" i="1"/>
  <c r="B1927" i="1"/>
  <c r="O1926" i="1"/>
  <c r="E1926" i="1"/>
  <c r="B1926" i="1"/>
  <c r="O1925" i="1"/>
  <c r="E1925" i="1"/>
  <c r="B1925" i="1"/>
  <c r="O1924" i="1"/>
  <c r="E1924" i="1"/>
  <c r="B1924" i="1"/>
  <c r="O1923" i="1"/>
  <c r="E1923" i="1"/>
  <c r="B1923" i="1"/>
  <c r="O1922" i="1"/>
  <c r="E1922" i="1"/>
  <c r="B1922" i="1"/>
  <c r="O1921" i="1"/>
  <c r="E1921" i="1"/>
  <c r="B1921" i="1"/>
  <c r="O1920" i="1"/>
  <c r="E1920" i="1"/>
  <c r="B1920" i="1"/>
  <c r="O1919" i="1"/>
  <c r="E1919" i="1"/>
  <c r="B1919" i="1"/>
  <c r="O1918" i="1"/>
  <c r="E1918" i="1"/>
  <c r="B1918" i="1"/>
  <c r="O1917" i="1"/>
  <c r="E1917" i="1"/>
  <c r="B1917" i="1"/>
  <c r="O1916" i="1"/>
  <c r="E1916" i="1"/>
  <c r="B1916" i="1"/>
  <c r="O1915" i="1"/>
  <c r="E1915" i="1"/>
  <c r="B1915" i="1"/>
  <c r="O1914" i="1"/>
  <c r="E1914" i="1"/>
  <c r="B1914" i="1"/>
  <c r="O1913" i="1"/>
  <c r="E1913" i="1"/>
  <c r="B1913" i="1"/>
  <c r="O1912" i="1"/>
  <c r="E1912" i="1"/>
  <c r="B1912" i="1"/>
  <c r="O1911" i="1"/>
  <c r="E1911" i="1"/>
  <c r="B1911" i="1"/>
  <c r="O1910" i="1"/>
  <c r="E1910" i="1"/>
  <c r="B1910" i="1"/>
  <c r="O1909" i="1"/>
  <c r="E1909" i="1"/>
  <c r="B1909" i="1"/>
  <c r="O1908" i="1"/>
  <c r="E1908" i="1"/>
  <c r="B1908" i="1"/>
  <c r="O1907" i="1"/>
  <c r="E1907" i="1"/>
  <c r="B1907" i="1"/>
  <c r="O1906" i="1"/>
  <c r="E1906" i="1"/>
  <c r="B1906" i="1"/>
  <c r="O1905" i="1"/>
  <c r="E1905" i="1"/>
  <c r="B1905" i="1"/>
  <c r="O1904" i="1"/>
  <c r="E1904" i="1"/>
  <c r="B1904" i="1"/>
  <c r="O1903" i="1"/>
  <c r="E1903" i="1"/>
  <c r="B1903" i="1"/>
  <c r="O1902" i="1"/>
  <c r="E1902" i="1"/>
  <c r="B1902" i="1"/>
  <c r="O1901" i="1"/>
  <c r="E1901" i="1"/>
  <c r="B1901" i="1"/>
  <c r="O1900" i="1"/>
  <c r="E1900" i="1"/>
  <c r="B1900" i="1"/>
  <c r="O1899" i="1"/>
  <c r="E1899" i="1"/>
  <c r="B1899" i="1"/>
  <c r="O1898" i="1"/>
  <c r="E1898" i="1"/>
  <c r="B1898" i="1"/>
  <c r="O1897" i="1"/>
  <c r="E1897" i="1"/>
  <c r="B1897" i="1"/>
  <c r="O1896" i="1"/>
  <c r="E1896" i="1"/>
  <c r="B1896" i="1"/>
  <c r="O1895" i="1"/>
  <c r="E1895" i="1"/>
  <c r="B1895" i="1"/>
  <c r="O1894" i="1"/>
  <c r="E1894" i="1"/>
  <c r="B1894" i="1"/>
  <c r="O1893" i="1"/>
  <c r="E1893" i="1"/>
  <c r="B1893" i="1"/>
  <c r="O1892" i="1"/>
  <c r="E1892" i="1"/>
  <c r="B1892" i="1"/>
  <c r="O1891" i="1"/>
  <c r="E1891" i="1"/>
  <c r="B1891" i="1"/>
  <c r="O1890" i="1"/>
  <c r="E1890" i="1"/>
  <c r="B1890" i="1"/>
  <c r="O1889" i="1"/>
  <c r="E1889" i="1"/>
  <c r="B1889" i="1"/>
  <c r="O1888" i="1"/>
  <c r="E1888" i="1"/>
  <c r="B1888" i="1"/>
  <c r="O1887" i="1"/>
  <c r="E1887" i="1"/>
  <c r="B1887" i="1"/>
  <c r="O1886" i="1"/>
  <c r="E1886" i="1"/>
  <c r="B1886" i="1"/>
  <c r="O1885" i="1"/>
  <c r="E1885" i="1"/>
  <c r="B1885" i="1"/>
  <c r="O1884" i="1"/>
  <c r="E1884" i="1"/>
  <c r="B1884" i="1"/>
  <c r="O1883" i="1"/>
  <c r="E1883" i="1"/>
  <c r="B1883" i="1"/>
  <c r="O1882" i="1"/>
  <c r="E1882" i="1"/>
  <c r="B1882" i="1"/>
  <c r="O1881" i="1"/>
  <c r="E1881" i="1"/>
  <c r="B1881" i="1"/>
  <c r="O1880" i="1"/>
  <c r="E1880" i="1"/>
  <c r="B1880" i="1"/>
  <c r="O1879" i="1"/>
  <c r="E1879" i="1"/>
  <c r="B1879" i="1"/>
  <c r="O1878" i="1"/>
  <c r="E1878" i="1"/>
  <c r="B1878" i="1"/>
  <c r="O1877" i="1"/>
  <c r="E1877" i="1"/>
  <c r="B1877" i="1"/>
  <c r="O1876" i="1"/>
  <c r="E1876" i="1"/>
  <c r="B1876" i="1"/>
  <c r="O1875" i="1"/>
  <c r="E1875" i="1"/>
  <c r="B1875" i="1"/>
  <c r="O1874" i="1"/>
  <c r="E1874" i="1"/>
  <c r="B1874" i="1"/>
  <c r="O1873" i="1"/>
  <c r="E1873" i="1"/>
  <c r="B1873" i="1"/>
  <c r="O1872" i="1"/>
  <c r="E1872" i="1"/>
  <c r="B1872" i="1"/>
  <c r="O1871" i="1"/>
  <c r="E1871" i="1"/>
  <c r="B1871" i="1"/>
  <c r="O1870" i="1"/>
  <c r="E1870" i="1"/>
  <c r="B1870" i="1"/>
  <c r="O1869" i="1"/>
  <c r="E1869" i="1"/>
  <c r="B1869" i="1"/>
  <c r="O1868" i="1"/>
  <c r="E1868" i="1"/>
  <c r="B1868" i="1"/>
  <c r="O1867" i="1"/>
  <c r="E1867" i="1"/>
  <c r="B1867" i="1"/>
  <c r="O1866" i="1"/>
  <c r="E1866" i="1"/>
  <c r="B1866" i="1"/>
  <c r="O1865" i="1"/>
  <c r="E1865" i="1"/>
  <c r="B1865" i="1"/>
  <c r="O1864" i="1"/>
  <c r="E1864" i="1"/>
  <c r="B1864" i="1"/>
  <c r="O1863" i="1"/>
  <c r="E1863" i="1"/>
  <c r="B1863" i="1"/>
  <c r="O1862" i="1"/>
  <c r="E1862" i="1"/>
  <c r="B1862" i="1"/>
  <c r="O1861" i="1"/>
  <c r="E1861" i="1"/>
  <c r="B1861" i="1"/>
  <c r="O1860" i="1"/>
  <c r="E1860" i="1"/>
  <c r="B1860" i="1"/>
  <c r="O1859" i="1"/>
  <c r="E1859" i="1"/>
  <c r="B1859" i="1"/>
  <c r="O1858" i="1"/>
  <c r="E1858" i="1"/>
  <c r="B1858" i="1"/>
  <c r="O1857" i="1"/>
  <c r="E1857" i="1"/>
  <c r="B1857" i="1"/>
  <c r="O1856" i="1"/>
  <c r="E1856" i="1"/>
  <c r="B1856" i="1"/>
  <c r="O1855" i="1"/>
  <c r="E1855" i="1"/>
  <c r="B1855" i="1"/>
  <c r="O1854" i="1"/>
  <c r="E1854" i="1"/>
  <c r="B1854" i="1"/>
  <c r="O1853" i="1"/>
  <c r="E1853" i="1"/>
  <c r="B1853" i="1"/>
  <c r="O1852" i="1"/>
  <c r="E1852" i="1"/>
  <c r="B1852" i="1"/>
  <c r="O1851" i="1"/>
  <c r="E1851" i="1"/>
  <c r="B1851" i="1"/>
  <c r="O1850" i="1"/>
  <c r="E1850" i="1"/>
  <c r="B1850" i="1"/>
  <c r="O1849" i="1"/>
  <c r="E1849" i="1"/>
  <c r="B1849" i="1"/>
  <c r="O1848" i="1"/>
  <c r="E1848" i="1"/>
  <c r="B1848" i="1"/>
  <c r="O1847" i="1"/>
  <c r="E1847" i="1"/>
  <c r="B1847" i="1"/>
  <c r="O1846" i="1"/>
  <c r="E1846" i="1"/>
  <c r="B1846" i="1"/>
  <c r="O1845" i="1"/>
  <c r="E1845" i="1"/>
  <c r="B1845" i="1"/>
  <c r="O1844" i="1"/>
  <c r="E1844" i="1"/>
  <c r="B1844" i="1"/>
  <c r="O1843" i="1"/>
  <c r="E1843" i="1"/>
  <c r="B1843" i="1"/>
  <c r="O1842" i="1"/>
  <c r="E1842" i="1"/>
  <c r="B1842" i="1"/>
  <c r="O1841" i="1"/>
  <c r="E1841" i="1"/>
  <c r="B1841" i="1"/>
  <c r="O1840" i="1"/>
  <c r="E1840" i="1"/>
  <c r="B1840" i="1"/>
  <c r="O1839" i="1"/>
  <c r="E1839" i="1"/>
  <c r="B1839" i="1"/>
  <c r="O1838" i="1"/>
  <c r="E1838" i="1"/>
  <c r="B1838" i="1"/>
  <c r="O1837" i="1"/>
  <c r="E1837" i="1"/>
  <c r="B1837" i="1"/>
  <c r="O1836" i="1"/>
  <c r="E1836" i="1"/>
  <c r="B1836" i="1"/>
  <c r="O1835" i="1"/>
  <c r="E1835" i="1"/>
  <c r="B1835" i="1"/>
  <c r="O1834" i="1"/>
  <c r="E1834" i="1"/>
  <c r="B1834" i="1"/>
  <c r="O1833" i="1"/>
  <c r="E1833" i="1"/>
  <c r="B1833" i="1"/>
  <c r="O1832" i="1"/>
  <c r="E1832" i="1"/>
  <c r="B1832" i="1"/>
  <c r="O1831" i="1"/>
  <c r="E1831" i="1"/>
  <c r="B1831" i="1"/>
  <c r="O1830" i="1"/>
  <c r="E1830" i="1"/>
  <c r="B1830" i="1"/>
  <c r="O1829" i="1"/>
  <c r="E1829" i="1"/>
  <c r="B1829" i="1"/>
  <c r="O1828" i="1"/>
  <c r="E1828" i="1"/>
  <c r="B1828" i="1"/>
  <c r="O1827" i="1"/>
  <c r="E1827" i="1"/>
  <c r="B1827" i="1"/>
  <c r="O1826" i="1"/>
  <c r="E1826" i="1"/>
  <c r="B1826" i="1"/>
  <c r="O1825" i="1"/>
  <c r="E1825" i="1"/>
  <c r="B1825" i="1"/>
  <c r="O1824" i="1"/>
  <c r="E1824" i="1"/>
  <c r="B1824" i="1"/>
  <c r="O1823" i="1"/>
  <c r="E1823" i="1"/>
  <c r="B1823" i="1"/>
  <c r="O1822" i="1"/>
  <c r="E1822" i="1"/>
  <c r="B1822" i="1"/>
  <c r="O1821" i="1"/>
  <c r="E1821" i="1"/>
  <c r="B1821" i="1"/>
  <c r="O1820" i="1"/>
  <c r="E1820" i="1"/>
  <c r="B1820" i="1"/>
  <c r="O1819" i="1"/>
  <c r="E1819" i="1"/>
  <c r="B1819" i="1"/>
  <c r="O1818" i="1"/>
  <c r="E1818" i="1"/>
  <c r="B1818" i="1"/>
  <c r="O1817" i="1"/>
  <c r="E1817" i="1"/>
  <c r="B1817" i="1"/>
  <c r="O1816" i="1"/>
  <c r="E1816" i="1"/>
  <c r="B1816" i="1"/>
  <c r="O1815" i="1"/>
  <c r="E1815" i="1"/>
  <c r="B1815" i="1"/>
  <c r="O1814" i="1"/>
  <c r="E1814" i="1"/>
  <c r="B1814" i="1"/>
  <c r="O1813" i="1"/>
  <c r="E1813" i="1"/>
  <c r="B1813" i="1"/>
  <c r="O1812" i="1"/>
  <c r="E1812" i="1"/>
  <c r="B1812" i="1"/>
  <c r="O1811" i="1"/>
  <c r="E1811" i="1"/>
  <c r="B1811" i="1"/>
  <c r="O1810" i="1"/>
  <c r="E1810" i="1"/>
  <c r="B1810" i="1"/>
  <c r="O1809" i="1"/>
  <c r="E1809" i="1"/>
  <c r="B1809" i="1"/>
  <c r="O1808" i="1"/>
  <c r="E1808" i="1"/>
  <c r="B1808" i="1"/>
  <c r="O1807" i="1"/>
  <c r="E1807" i="1"/>
  <c r="B1807" i="1"/>
  <c r="O1806" i="1"/>
  <c r="E1806" i="1"/>
  <c r="B1806" i="1"/>
  <c r="O1805" i="1"/>
  <c r="E1805" i="1"/>
  <c r="B1805" i="1"/>
  <c r="O1804" i="1"/>
  <c r="E1804" i="1"/>
  <c r="B1804" i="1"/>
  <c r="O1803" i="1"/>
  <c r="E1803" i="1"/>
  <c r="B1803" i="1"/>
  <c r="O1802" i="1"/>
  <c r="E1802" i="1"/>
  <c r="B1802" i="1"/>
  <c r="O1801" i="1"/>
  <c r="E1801" i="1"/>
  <c r="B1801" i="1"/>
  <c r="O1800" i="1"/>
  <c r="E1800" i="1"/>
  <c r="B1800" i="1"/>
  <c r="O1799" i="1"/>
  <c r="E1799" i="1"/>
  <c r="B1799" i="1"/>
  <c r="O1798" i="1"/>
  <c r="E1798" i="1"/>
  <c r="B1798" i="1"/>
  <c r="O1797" i="1"/>
  <c r="E1797" i="1"/>
  <c r="B1797" i="1"/>
  <c r="O1796" i="1"/>
  <c r="E1796" i="1"/>
  <c r="B1796" i="1"/>
  <c r="O1795" i="1"/>
  <c r="E1795" i="1"/>
  <c r="B1795" i="1"/>
  <c r="O1794" i="1"/>
  <c r="E1794" i="1"/>
  <c r="B1794" i="1"/>
  <c r="O1793" i="1"/>
  <c r="E1793" i="1"/>
  <c r="B1793" i="1"/>
  <c r="O1792" i="1"/>
  <c r="E1792" i="1"/>
  <c r="B1792" i="1"/>
  <c r="O1791" i="1"/>
  <c r="E1791" i="1"/>
  <c r="B1791" i="1"/>
  <c r="O1790" i="1"/>
  <c r="E1790" i="1"/>
  <c r="B1790" i="1"/>
  <c r="O1789" i="1"/>
  <c r="E1789" i="1"/>
  <c r="B1789" i="1"/>
  <c r="O1788" i="1"/>
  <c r="E1788" i="1"/>
  <c r="B1788" i="1"/>
  <c r="O1787" i="1"/>
  <c r="E1787" i="1"/>
  <c r="B1787" i="1"/>
  <c r="O1786" i="1"/>
  <c r="E1786" i="1"/>
  <c r="B1786" i="1"/>
  <c r="O1785" i="1"/>
  <c r="E1785" i="1"/>
  <c r="B1785" i="1"/>
  <c r="O1784" i="1"/>
  <c r="E1784" i="1"/>
  <c r="B1784" i="1"/>
  <c r="O1783" i="1"/>
  <c r="E1783" i="1"/>
  <c r="B1783" i="1"/>
  <c r="O1782" i="1"/>
  <c r="E1782" i="1"/>
  <c r="B1782" i="1"/>
  <c r="O1781" i="1"/>
  <c r="E1781" i="1"/>
  <c r="B1781" i="1"/>
  <c r="O1780" i="1"/>
  <c r="E1780" i="1"/>
  <c r="B1780" i="1"/>
  <c r="O1779" i="1"/>
  <c r="E1779" i="1"/>
  <c r="B1779" i="1"/>
  <c r="O1778" i="1"/>
  <c r="E1778" i="1"/>
  <c r="B1778" i="1"/>
  <c r="O1777" i="1"/>
  <c r="E1777" i="1"/>
  <c r="B1777" i="1"/>
  <c r="O1776" i="1"/>
  <c r="E1776" i="1"/>
  <c r="B1776" i="1"/>
  <c r="O1775" i="1"/>
  <c r="E1775" i="1"/>
  <c r="B1775" i="1"/>
  <c r="O1774" i="1"/>
  <c r="E1774" i="1"/>
  <c r="B1774" i="1"/>
  <c r="O1773" i="1"/>
  <c r="E1773" i="1"/>
  <c r="B1773" i="1"/>
  <c r="O1772" i="1"/>
  <c r="E1772" i="1"/>
  <c r="B1772" i="1"/>
  <c r="O1771" i="1"/>
  <c r="E1771" i="1"/>
  <c r="B1771" i="1"/>
  <c r="O1770" i="1"/>
  <c r="E1770" i="1"/>
  <c r="B1770" i="1"/>
  <c r="O1769" i="1"/>
  <c r="E1769" i="1"/>
  <c r="B1769" i="1"/>
  <c r="O1768" i="1"/>
  <c r="E1768" i="1"/>
  <c r="B1768" i="1"/>
  <c r="O1767" i="1"/>
  <c r="E1767" i="1"/>
  <c r="B1767" i="1"/>
  <c r="O1766" i="1"/>
  <c r="E1766" i="1"/>
  <c r="B1766" i="1"/>
  <c r="O1765" i="1"/>
  <c r="E1765" i="1"/>
  <c r="B1765" i="1"/>
  <c r="O1764" i="1"/>
  <c r="E1764" i="1"/>
  <c r="B1764" i="1"/>
  <c r="O1763" i="1"/>
  <c r="E1763" i="1"/>
  <c r="B1763" i="1"/>
  <c r="O1762" i="1"/>
  <c r="E1762" i="1"/>
  <c r="B1762" i="1"/>
  <c r="O1761" i="1"/>
  <c r="E1761" i="1"/>
  <c r="B1761" i="1"/>
  <c r="O1760" i="1"/>
  <c r="E1760" i="1"/>
  <c r="B1760" i="1"/>
  <c r="O1759" i="1"/>
  <c r="E1759" i="1"/>
  <c r="B1759" i="1"/>
  <c r="O1758" i="1"/>
  <c r="E1758" i="1"/>
  <c r="B1758" i="1"/>
  <c r="O1757" i="1"/>
  <c r="E1757" i="1"/>
  <c r="B1757" i="1"/>
  <c r="O1756" i="1"/>
  <c r="E1756" i="1"/>
  <c r="B1756" i="1"/>
  <c r="O1755" i="1"/>
  <c r="E1755" i="1"/>
  <c r="B1755" i="1"/>
  <c r="O1754" i="1"/>
  <c r="E1754" i="1"/>
  <c r="B1754" i="1"/>
  <c r="O1753" i="1"/>
  <c r="E1753" i="1"/>
  <c r="B1753" i="1"/>
  <c r="O1752" i="1"/>
  <c r="E1752" i="1"/>
  <c r="B1752" i="1"/>
  <c r="O1751" i="1"/>
  <c r="E1751" i="1"/>
  <c r="B1751" i="1"/>
  <c r="O1750" i="1"/>
  <c r="E1750" i="1"/>
  <c r="B1750" i="1"/>
  <c r="O1749" i="1"/>
  <c r="E1749" i="1"/>
  <c r="B1749" i="1"/>
  <c r="O1748" i="1"/>
  <c r="E1748" i="1"/>
  <c r="B1748" i="1"/>
  <c r="O1747" i="1"/>
  <c r="E1747" i="1"/>
  <c r="B1747" i="1"/>
  <c r="O1746" i="1"/>
  <c r="E1746" i="1"/>
  <c r="B1746" i="1"/>
  <c r="O1745" i="1"/>
  <c r="E1745" i="1"/>
  <c r="B1745" i="1"/>
  <c r="O1744" i="1"/>
  <c r="E1744" i="1"/>
  <c r="B1744" i="1"/>
  <c r="O1743" i="1"/>
  <c r="E1743" i="1"/>
  <c r="B1743" i="1"/>
  <c r="O1742" i="1"/>
  <c r="E1742" i="1"/>
  <c r="B1742" i="1"/>
  <c r="O1741" i="1"/>
  <c r="E1741" i="1"/>
  <c r="B1741" i="1"/>
  <c r="O1740" i="1"/>
  <c r="E1740" i="1"/>
  <c r="B1740" i="1"/>
  <c r="O1739" i="1"/>
  <c r="E1739" i="1"/>
  <c r="B1739" i="1"/>
  <c r="O1738" i="1"/>
  <c r="E1738" i="1"/>
  <c r="B1738" i="1"/>
  <c r="O1737" i="1"/>
  <c r="E1737" i="1"/>
  <c r="B1737" i="1"/>
  <c r="O1736" i="1"/>
  <c r="E1736" i="1"/>
  <c r="B1736" i="1"/>
  <c r="O1735" i="1"/>
  <c r="E1735" i="1"/>
  <c r="B1735" i="1"/>
  <c r="O1734" i="1"/>
  <c r="E1734" i="1"/>
  <c r="B1734" i="1"/>
  <c r="O1733" i="1"/>
  <c r="E1733" i="1"/>
  <c r="B1733" i="1"/>
  <c r="O1732" i="1"/>
  <c r="E1732" i="1"/>
  <c r="B1732" i="1"/>
  <c r="O1731" i="1"/>
  <c r="E1731" i="1"/>
  <c r="B1731" i="1"/>
  <c r="O1730" i="1"/>
  <c r="E1730" i="1"/>
  <c r="B1730" i="1"/>
  <c r="O1729" i="1"/>
  <c r="E1729" i="1"/>
  <c r="B1729" i="1"/>
  <c r="O1728" i="1"/>
  <c r="E1728" i="1"/>
  <c r="B1728" i="1"/>
  <c r="O1727" i="1"/>
  <c r="E1727" i="1"/>
  <c r="B1727" i="1"/>
  <c r="O1726" i="1"/>
  <c r="E1726" i="1"/>
  <c r="B1726" i="1"/>
  <c r="O1725" i="1"/>
  <c r="E1725" i="1"/>
  <c r="B1725" i="1"/>
  <c r="O1724" i="1"/>
  <c r="E1724" i="1"/>
  <c r="B1724" i="1"/>
  <c r="O1723" i="1"/>
  <c r="E1723" i="1"/>
  <c r="B1723" i="1"/>
  <c r="O1722" i="1"/>
  <c r="E1722" i="1"/>
  <c r="B1722" i="1"/>
  <c r="O1721" i="1"/>
  <c r="E1721" i="1"/>
  <c r="B1721" i="1"/>
  <c r="O1720" i="1"/>
  <c r="E1720" i="1"/>
  <c r="B1720" i="1"/>
  <c r="O1719" i="1"/>
  <c r="E1719" i="1"/>
  <c r="B1719" i="1"/>
  <c r="O1718" i="1"/>
  <c r="E1718" i="1"/>
  <c r="B1718" i="1"/>
  <c r="O1717" i="1"/>
  <c r="E1717" i="1"/>
  <c r="B1717" i="1"/>
  <c r="O1716" i="1"/>
  <c r="E1716" i="1"/>
  <c r="B1716" i="1"/>
  <c r="O1715" i="1"/>
  <c r="E1715" i="1"/>
  <c r="B1715" i="1"/>
  <c r="O1714" i="1"/>
  <c r="E1714" i="1"/>
  <c r="B1714" i="1"/>
  <c r="O1713" i="1"/>
  <c r="E1713" i="1"/>
  <c r="B1713" i="1"/>
  <c r="O1712" i="1"/>
  <c r="E1712" i="1"/>
  <c r="B1712" i="1"/>
  <c r="O1711" i="1"/>
  <c r="E1711" i="1"/>
  <c r="B1711" i="1"/>
  <c r="O1710" i="1"/>
  <c r="E1710" i="1"/>
  <c r="B1710" i="1"/>
  <c r="O1709" i="1"/>
  <c r="E1709" i="1"/>
  <c r="B1709" i="1"/>
  <c r="O1708" i="1"/>
  <c r="E1708" i="1"/>
  <c r="B1708" i="1"/>
  <c r="O1707" i="1"/>
  <c r="E1707" i="1"/>
  <c r="B1707" i="1"/>
  <c r="O1706" i="1"/>
  <c r="E1706" i="1"/>
  <c r="B1706" i="1"/>
  <c r="O1705" i="1"/>
  <c r="E1705" i="1"/>
  <c r="B1705" i="1"/>
  <c r="O1704" i="1"/>
  <c r="E1704" i="1"/>
  <c r="B1704" i="1"/>
  <c r="O1703" i="1"/>
  <c r="E1703" i="1"/>
  <c r="B1703" i="1"/>
  <c r="O1702" i="1"/>
  <c r="E1702" i="1"/>
  <c r="B1702" i="1"/>
  <c r="O1701" i="1"/>
  <c r="E1701" i="1"/>
  <c r="B1701" i="1"/>
  <c r="O1700" i="1"/>
  <c r="E1700" i="1"/>
  <c r="B1700" i="1"/>
  <c r="O1699" i="1"/>
  <c r="E1699" i="1"/>
  <c r="B1699" i="1"/>
  <c r="O1698" i="1"/>
  <c r="E1698" i="1"/>
  <c r="B1698" i="1"/>
  <c r="O1697" i="1"/>
  <c r="E1697" i="1"/>
  <c r="B1697" i="1"/>
  <c r="O1696" i="1"/>
  <c r="E1696" i="1"/>
  <c r="B1696" i="1"/>
  <c r="O1695" i="1"/>
  <c r="E1695" i="1"/>
  <c r="B1695" i="1"/>
  <c r="O1694" i="1"/>
  <c r="E1694" i="1"/>
  <c r="B1694" i="1"/>
  <c r="O1693" i="1"/>
  <c r="E1693" i="1"/>
  <c r="B1693" i="1"/>
  <c r="O1692" i="1"/>
  <c r="E1692" i="1"/>
  <c r="B1692" i="1"/>
  <c r="O1691" i="1"/>
  <c r="E1691" i="1"/>
  <c r="B1691" i="1"/>
  <c r="O1690" i="1"/>
  <c r="E1690" i="1"/>
  <c r="B1690" i="1"/>
  <c r="O1689" i="1"/>
  <c r="E1689" i="1"/>
  <c r="B1689" i="1"/>
  <c r="O1688" i="1"/>
  <c r="E1688" i="1"/>
  <c r="B1688" i="1"/>
  <c r="O1687" i="1"/>
  <c r="E1687" i="1"/>
  <c r="B1687" i="1"/>
  <c r="O1686" i="1"/>
  <c r="E1686" i="1"/>
  <c r="B1686" i="1"/>
  <c r="O1685" i="1"/>
  <c r="E1685" i="1"/>
  <c r="B1685" i="1"/>
  <c r="O1684" i="1"/>
  <c r="E1684" i="1"/>
  <c r="B1684" i="1"/>
  <c r="O1683" i="1"/>
  <c r="E1683" i="1"/>
  <c r="B1683" i="1"/>
  <c r="O1682" i="1"/>
  <c r="E1682" i="1"/>
  <c r="B1682" i="1"/>
  <c r="O1681" i="1"/>
  <c r="E1681" i="1"/>
  <c r="B1681" i="1"/>
  <c r="O1680" i="1"/>
  <c r="E1680" i="1"/>
  <c r="B1680" i="1"/>
  <c r="O1679" i="1"/>
  <c r="E1679" i="1"/>
  <c r="B1679" i="1"/>
  <c r="O1678" i="1"/>
  <c r="E1678" i="1"/>
  <c r="B1678" i="1"/>
  <c r="O1677" i="1"/>
  <c r="E1677" i="1"/>
  <c r="B1677" i="1"/>
  <c r="O1676" i="1"/>
  <c r="E1676" i="1"/>
  <c r="B1676" i="1"/>
  <c r="O1675" i="1"/>
  <c r="E1675" i="1"/>
  <c r="B1675" i="1"/>
  <c r="O1674" i="1"/>
  <c r="E1674" i="1"/>
  <c r="B1674" i="1"/>
  <c r="O1673" i="1"/>
  <c r="E1673" i="1"/>
  <c r="B1673" i="1"/>
  <c r="O1672" i="1"/>
  <c r="E1672" i="1"/>
  <c r="B1672" i="1"/>
  <c r="O1671" i="1"/>
  <c r="E1671" i="1"/>
  <c r="B1671" i="1"/>
  <c r="O1670" i="1"/>
  <c r="E1670" i="1"/>
  <c r="B1670" i="1"/>
  <c r="O1669" i="1"/>
  <c r="E1669" i="1"/>
  <c r="B1669" i="1"/>
  <c r="O1668" i="1"/>
  <c r="E1668" i="1"/>
  <c r="B1668" i="1"/>
  <c r="O1667" i="1"/>
  <c r="E1667" i="1"/>
  <c r="B1667" i="1"/>
  <c r="O1666" i="1"/>
  <c r="E1666" i="1"/>
  <c r="B1666" i="1"/>
  <c r="O1665" i="1"/>
  <c r="E1665" i="1"/>
  <c r="B1665" i="1"/>
  <c r="O1664" i="1"/>
  <c r="E1664" i="1"/>
  <c r="B1664" i="1"/>
  <c r="O1663" i="1"/>
  <c r="E1663" i="1"/>
  <c r="B1663" i="1"/>
  <c r="O1662" i="1"/>
  <c r="E1662" i="1"/>
  <c r="B1662" i="1"/>
  <c r="O1661" i="1"/>
  <c r="E1661" i="1"/>
  <c r="B1661" i="1"/>
  <c r="O1660" i="1"/>
  <c r="E1660" i="1"/>
  <c r="B1660" i="1"/>
  <c r="O1659" i="1"/>
  <c r="E1659" i="1"/>
  <c r="B1659" i="1"/>
  <c r="O1658" i="1"/>
  <c r="E1658" i="1"/>
  <c r="B1658" i="1"/>
  <c r="O1657" i="1"/>
  <c r="E1657" i="1"/>
  <c r="B1657" i="1"/>
  <c r="O1656" i="1"/>
  <c r="E1656" i="1"/>
  <c r="B1656" i="1"/>
  <c r="O1655" i="1"/>
  <c r="E1655" i="1"/>
  <c r="B1655" i="1"/>
  <c r="O1654" i="1"/>
  <c r="E1654" i="1"/>
  <c r="B1654" i="1"/>
  <c r="O1653" i="1"/>
  <c r="E1653" i="1"/>
  <c r="B1653" i="1"/>
  <c r="O1652" i="1"/>
  <c r="E1652" i="1"/>
  <c r="B1652" i="1"/>
  <c r="O1651" i="1"/>
  <c r="E1651" i="1"/>
  <c r="B1651" i="1"/>
  <c r="O1650" i="1"/>
  <c r="E1650" i="1"/>
  <c r="B1650" i="1"/>
  <c r="O1649" i="1"/>
  <c r="E1649" i="1"/>
  <c r="B1649" i="1"/>
  <c r="O1648" i="1"/>
  <c r="E1648" i="1"/>
  <c r="B1648" i="1"/>
  <c r="O1647" i="1"/>
  <c r="E1647" i="1"/>
  <c r="B1647" i="1"/>
  <c r="O1646" i="1"/>
  <c r="E1646" i="1"/>
  <c r="B1646" i="1"/>
  <c r="O1645" i="1"/>
  <c r="E1645" i="1"/>
  <c r="B1645" i="1"/>
  <c r="O1644" i="1"/>
  <c r="E1644" i="1"/>
  <c r="B1644" i="1"/>
  <c r="O1643" i="1"/>
  <c r="E1643" i="1"/>
  <c r="B1643" i="1"/>
  <c r="O1642" i="1"/>
  <c r="E1642" i="1"/>
  <c r="B1642" i="1"/>
  <c r="O1641" i="1"/>
  <c r="E1641" i="1"/>
  <c r="B1641" i="1"/>
  <c r="O1640" i="1"/>
  <c r="E1640" i="1"/>
  <c r="B1640" i="1"/>
  <c r="O1639" i="1"/>
  <c r="E1639" i="1"/>
  <c r="B1639" i="1"/>
  <c r="O1638" i="1"/>
  <c r="E1638" i="1"/>
  <c r="B1638" i="1"/>
  <c r="O1637" i="1"/>
  <c r="E1637" i="1"/>
  <c r="B1637" i="1"/>
  <c r="O1636" i="1"/>
  <c r="E1636" i="1"/>
  <c r="B1636" i="1"/>
  <c r="O1635" i="1"/>
  <c r="E1635" i="1"/>
  <c r="B1635" i="1"/>
  <c r="O1634" i="1"/>
  <c r="E1634" i="1"/>
  <c r="B1634" i="1"/>
  <c r="O1633" i="1"/>
  <c r="E1633" i="1"/>
  <c r="B1633" i="1"/>
  <c r="O1632" i="1"/>
  <c r="E1632" i="1"/>
  <c r="B1632" i="1"/>
  <c r="O1631" i="1"/>
  <c r="E1631" i="1"/>
  <c r="B1631" i="1"/>
  <c r="O1630" i="1"/>
  <c r="E1630" i="1"/>
  <c r="B1630" i="1"/>
  <c r="O1629" i="1"/>
  <c r="E1629" i="1"/>
  <c r="B1629" i="1"/>
  <c r="O1628" i="1"/>
  <c r="E1628" i="1"/>
  <c r="B1628" i="1"/>
  <c r="O1627" i="1"/>
  <c r="E1627" i="1"/>
  <c r="B1627" i="1"/>
  <c r="O1626" i="1"/>
  <c r="E1626" i="1"/>
  <c r="B1626" i="1"/>
  <c r="O1625" i="1"/>
  <c r="E1625" i="1"/>
  <c r="B1625" i="1"/>
  <c r="O1624" i="1"/>
  <c r="E1624" i="1"/>
  <c r="B1624" i="1"/>
  <c r="O1623" i="1"/>
  <c r="E1623" i="1"/>
  <c r="B1623" i="1"/>
  <c r="O1622" i="1"/>
  <c r="E1622" i="1"/>
  <c r="B1622" i="1"/>
  <c r="O1621" i="1"/>
  <c r="E1621" i="1"/>
  <c r="B1621" i="1"/>
  <c r="O1620" i="1"/>
  <c r="E1620" i="1"/>
  <c r="B1620" i="1"/>
  <c r="O1619" i="1"/>
  <c r="E1619" i="1"/>
  <c r="B1619" i="1"/>
  <c r="O1618" i="1"/>
  <c r="E1618" i="1"/>
  <c r="B1618" i="1"/>
  <c r="O1617" i="1"/>
  <c r="E1617" i="1"/>
  <c r="B1617" i="1"/>
  <c r="O1616" i="1"/>
  <c r="E1616" i="1"/>
  <c r="B1616" i="1"/>
  <c r="O1615" i="1"/>
  <c r="E1615" i="1"/>
  <c r="B1615" i="1"/>
  <c r="O1614" i="1"/>
  <c r="E1614" i="1"/>
  <c r="B1614" i="1"/>
  <c r="O1613" i="1"/>
  <c r="E1613" i="1"/>
  <c r="B1613" i="1"/>
  <c r="O1612" i="1"/>
  <c r="E1612" i="1"/>
  <c r="B1612" i="1"/>
  <c r="O1611" i="1"/>
  <c r="E1611" i="1"/>
  <c r="B1611" i="1"/>
  <c r="O1610" i="1"/>
  <c r="E1610" i="1"/>
  <c r="B1610" i="1"/>
  <c r="O1609" i="1"/>
  <c r="E1609" i="1"/>
  <c r="B1609" i="1"/>
  <c r="O1608" i="1"/>
  <c r="E1608" i="1"/>
  <c r="B1608" i="1"/>
  <c r="O1607" i="1"/>
  <c r="E1607" i="1"/>
  <c r="B1607" i="1"/>
  <c r="O1606" i="1"/>
  <c r="E1606" i="1"/>
  <c r="B1606" i="1"/>
  <c r="O1605" i="1"/>
  <c r="E1605" i="1"/>
  <c r="B1605" i="1"/>
  <c r="O1604" i="1"/>
  <c r="E1604" i="1"/>
  <c r="B1604" i="1"/>
  <c r="O1603" i="1"/>
  <c r="E1603" i="1"/>
  <c r="B1603" i="1"/>
  <c r="O1602" i="1"/>
  <c r="E1602" i="1"/>
  <c r="B1602" i="1"/>
  <c r="O1601" i="1"/>
  <c r="E1601" i="1"/>
  <c r="B1601" i="1"/>
  <c r="O1600" i="1"/>
  <c r="E1600" i="1"/>
  <c r="B1600" i="1"/>
  <c r="O1599" i="1"/>
  <c r="E1599" i="1"/>
  <c r="B1599" i="1"/>
  <c r="O1598" i="1"/>
  <c r="E1598" i="1"/>
  <c r="B1598" i="1"/>
  <c r="O1597" i="1"/>
  <c r="E1597" i="1"/>
  <c r="B1597" i="1"/>
  <c r="O1596" i="1"/>
  <c r="E1596" i="1"/>
  <c r="B1596" i="1"/>
  <c r="O1595" i="1"/>
  <c r="E1595" i="1"/>
  <c r="B1595" i="1"/>
  <c r="O1594" i="1"/>
  <c r="E1594" i="1"/>
  <c r="B1594" i="1"/>
  <c r="O1593" i="1"/>
  <c r="E1593" i="1"/>
  <c r="B1593" i="1"/>
  <c r="O1592" i="1"/>
  <c r="E1592" i="1"/>
  <c r="B1592" i="1"/>
  <c r="O1591" i="1"/>
  <c r="E1591" i="1"/>
  <c r="B1591" i="1"/>
  <c r="O1590" i="1"/>
  <c r="E1590" i="1"/>
  <c r="B1590" i="1"/>
  <c r="O1589" i="1"/>
  <c r="E1589" i="1"/>
  <c r="B1589" i="1"/>
  <c r="O1588" i="1"/>
  <c r="E1588" i="1"/>
  <c r="B1588" i="1"/>
  <c r="O1587" i="1"/>
  <c r="E1587" i="1"/>
  <c r="B1587" i="1"/>
  <c r="O1586" i="1"/>
  <c r="E1586" i="1"/>
  <c r="B1586" i="1"/>
  <c r="O1585" i="1"/>
  <c r="E1585" i="1"/>
  <c r="B1585" i="1"/>
  <c r="O1584" i="1"/>
  <c r="E1584" i="1"/>
  <c r="B1584" i="1"/>
  <c r="O1583" i="1"/>
  <c r="E1583" i="1"/>
  <c r="B1583" i="1"/>
  <c r="O1582" i="1"/>
  <c r="E1582" i="1"/>
  <c r="B1582" i="1"/>
  <c r="O1581" i="1"/>
  <c r="E1581" i="1"/>
  <c r="B1581" i="1"/>
  <c r="O1580" i="1"/>
  <c r="E1580" i="1"/>
  <c r="B1580" i="1"/>
  <c r="O1579" i="1"/>
  <c r="E1579" i="1"/>
  <c r="B1579" i="1"/>
  <c r="O1578" i="1"/>
  <c r="E1578" i="1"/>
  <c r="B1578" i="1"/>
  <c r="O1577" i="1"/>
  <c r="E1577" i="1"/>
  <c r="B1577" i="1"/>
  <c r="O1576" i="1"/>
  <c r="E1576" i="1"/>
  <c r="B1576" i="1"/>
  <c r="O1575" i="1"/>
  <c r="E1575" i="1"/>
  <c r="B1575" i="1"/>
  <c r="O1574" i="1"/>
  <c r="E1574" i="1"/>
  <c r="B1574" i="1"/>
  <c r="O1573" i="1"/>
  <c r="E1573" i="1"/>
  <c r="B1573" i="1"/>
  <c r="O1572" i="1"/>
  <c r="E1572" i="1"/>
  <c r="B1572" i="1"/>
  <c r="O1571" i="1"/>
  <c r="E1571" i="1"/>
  <c r="B1571" i="1"/>
  <c r="O1570" i="1"/>
  <c r="E1570" i="1"/>
  <c r="B1570" i="1"/>
  <c r="O1569" i="1"/>
  <c r="E1569" i="1"/>
  <c r="B1569" i="1"/>
  <c r="O1568" i="1"/>
  <c r="E1568" i="1"/>
  <c r="B1568" i="1"/>
  <c r="O1567" i="1"/>
  <c r="E1567" i="1"/>
  <c r="B1567" i="1"/>
  <c r="O1566" i="1"/>
  <c r="E1566" i="1"/>
  <c r="B1566" i="1"/>
  <c r="O1565" i="1"/>
  <c r="E1565" i="1"/>
  <c r="B1565" i="1"/>
  <c r="O1564" i="1"/>
  <c r="E1564" i="1"/>
  <c r="B1564" i="1"/>
  <c r="O1563" i="1"/>
  <c r="E1563" i="1"/>
  <c r="B1563" i="1"/>
  <c r="O1562" i="1"/>
  <c r="E1562" i="1"/>
  <c r="B1562" i="1"/>
  <c r="O1561" i="1"/>
  <c r="E1561" i="1"/>
  <c r="B1561" i="1"/>
  <c r="O1560" i="1"/>
  <c r="E1560" i="1"/>
  <c r="B1560" i="1"/>
  <c r="O1559" i="1"/>
  <c r="E1559" i="1"/>
  <c r="B1559" i="1"/>
  <c r="O1558" i="1"/>
  <c r="E1558" i="1"/>
  <c r="B1558" i="1"/>
  <c r="O1557" i="1"/>
  <c r="E1557" i="1"/>
  <c r="B1557" i="1"/>
  <c r="O1556" i="1"/>
  <c r="E1556" i="1"/>
  <c r="B1556" i="1"/>
  <c r="O1555" i="1"/>
  <c r="E1555" i="1"/>
  <c r="B1555" i="1"/>
  <c r="O1554" i="1"/>
  <c r="E1554" i="1"/>
  <c r="B1554" i="1"/>
  <c r="O1553" i="1"/>
  <c r="E1553" i="1"/>
  <c r="B1553" i="1"/>
  <c r="O1552" i="1"/>
  <c r="E1552" i="1"/>
  <c r="B1552" i="1"/>
  <c r="O1551" i="1"/>
  <c r="E1551" i="1"/>
  <c r="B1551" i="1"/>
  <c r="O1550" i="1"/>
  <c r="E1550" i="1"/>
  <c r="B1550" i="1"/>
  <c r="O1549" i="1"/>
  <c r="E1549" i="1"/>
  <c r="B1549" i="1"/>
  <c r="O1548" i="1"/>
  <c r="E1548" i="1"/>
  <c r="B1548" i="1"/>
  <c r="O1547" i="1"/>
  <c r="E1547" i="1"/>
  <c r="B1547" i="1"/>
  <c r="O1546" i="1"/>
  <c r="E1546" i="1"/>
  <c r="B1546" i="1"/>
  <c r="O1545" i="1"/>
  <c r="E1545" i="1"/>
  <c r="B1545" i="1"/>
  <c r="O1544" i="1"/>
  <c r="E1544" i="1"/>
  <c r="B1544" i="1"/>
  <c r="O1543" i="1"/>
  <c r="E1543" i="1"/>
  <c r="B1543" i="1"/>
  <c r="O1542" i="1"/>
  <c r="E1542" i="1"/>
  <c r="B1542" i="1"/>
  <c r="O1541" i="1"/>
  <c r="E1541" i="1"/>
  <c r="B1541" i="1"/>
  <c r="O1540" i="1"/>
  <c r="E1540" i="1"/>
  <c r="B1540" i="1"/>
  <c r="O1539" i="1"/>
  <c r="E1539" i="1"/>
  <c r="B1539" i="1"/>
  <c r="O1538" i="1"/>
  <c r="E1538" i="1"/>
  <c r="B1538" i="1"/>
  <c r="O1537" i="1"/>
  <c r="E1537" i="1"/>
  <c r="B1537" i="1"/>
  <c r="O1536" i="1"/>
  <c r="E1536" i="1"/>
  <c r="B1536" i="1"/>
  <c r="O1535" i="1"/>
  <c r="E1535" i="1"/>
  <c r="B1535" i="1"/>
  <c r="O1534" i="1"/>
  <c r="E1534" i="1"/>
  <c r="B1534" i="1"/>
  <c r="O1533" i="1"/>
  <c r="E1533" i="1"/>
  <c r="B1533" i="1"/>
  <c r="O1532" i="1"/>
  <c r="E1532" i="1"/>
  <c r="B1532" i="1"/>
  <c r="O1531" i="1"/>
  <c r="E1531" i="1"/>
  <c r="B1531" i="1"/>
  <c r="O1530" i="1"/>
  <c r="E1530" i="1"/>
  <c r="B1530" i="1"/>
  <c r="O1529" i="1"/>
  <c r="E1529" i="1"/>
  <c r="B1529" i="1"/>
  <c r="O1528" i="1"/>
  <c r="E1528" i="1"/>
  <c r="B1528" i="1"/>
  <c r="O1527" i="1"/>
  <c r="E1527" i="1"/>
  <c r="B1527" i="1"/>
  <c r="O1526" i="1"/>
  <c r="E1526" i="1"/>
  <c r="B1526" i="1"/>
  <c r="O1525" i="1"/>
  <c r="E1525" i="1"/>
  <c r="B1525" i="1"/>
  <c r="O1524" i="1"/>
  <c r="E1524" i="1"/>
  <c r="B1524" i="1"/>
  <c r="O1523" i="1"/>
  <c r="E1523" i="1"/>
  <c r="B1523" i="1"/>
  <c r="O1522" i="1"/>
  <c r="E1522" i="1"/>
  <c r="B1522" i="1"/>
  <c r="O1521" i="1"/>
  <c r="E1521" i="1"/>
  <c r="B1521" i="1"/>
  <c r="O1520" i="1"/>
  <c r="E1520" i="1"/>
  <c r="B1520" i="1"/>
  <c r="O1519" i="1"/>
  <c r="E1519" i="1"/>
  <c r="B1519" i="1"/>
  <c r="O1518" i="1"/>
  <c r="E1518" i="1"/>
  <c r="B1518" i="1"/>
  <c r="O1517" i="1"/>
  <c r="E1517" i="1"/>
  <c r="B1517" i="1"/>
  <c r="O1516" i="1"/>
  <c r="E1516" i="1"/>
  <c r="B1516" i="1"/>
  <c r="O1515" i="1"/>
  <c r="E1515" i="1"/>
  <c r="B1515" i="1"/>
  <c r="O1514" i="1"/>
  <c r="E1514" i="1"/>
  <c r="B1514" i="1"/>
  <c r="O1513" i="1"/>
  <c r="E1513" i="1"/>
  <c r="B1513" i="1"/>
  <c r="O1512" i="1"/>
  <c r="E1512" i="1"/>
  <c r="B1512" i="1"/>
  <c r="O1511" i="1"/>
  <c r="E1511" i="1"/>
  <c r="B1511" i="1"/>
  <c r="O1510" i="1"/>
  <c r="E1510" i="1"/>
  <c r="B1510" i="1"/>
  <c r="O1509" i="1"/>
  <c r="E1509" i="1"/>
  <c r="B1509" i="1"/>
  <c r="O1508" i="1"/>
  <c r="E1508" i="1"/>
  <c r="B1508" i="1"/>
  <c r="O1507" i="1"/>
  <c r="E1507" i="1"/>
  <c r="B1507" i="1"/>
  <c r="O1506" i="1"/>
  <c r="E1506" i="1"/>
  <c r="B1506" i="1"/>
  <c r="O1505" i="1"/>
  <c r="E1505" i="1"/>
  <c r="B1505" i="1"/>
  <c r="O1504" i="1"/>
  <c r="E1504" i="1"/>
  <c r="B1504" i="1"/>
  <c r="O1503" i="1"/>
  <c r="E1503" i="1"/>
  <c r="B1503" i="1"/>
  <c r="O1502" i="1"/>
  <c r="E1502" i="1"/>
  <c r="B1502" i="1"/>
  <c r="O1501" i="1"/>
  <c r="E1501" i="1"/>
  <c r="B1501" i="1"/>
  <c r="O1500" i="1"/>
  <c r="E1500" i="1"/>
  <c r="B1500" i="1"/>
  <c r="O1499" i="1"/>
  <c r="E1499" i="1"/>
  <c r="B1499" i="1"/>
  <c r="O1498" i="1"/>
  <c r="E1498" i="1"/>
  <c r="B1498" i="1"/>
  <c r="O1497" i="1"/>
  <c r="E1497" i="1"/>
  <c r="B1497" i="1"/>
  <c r="O1496" i="1"/>
  <c r="E1496" i="1"/>
  <c r="B1496" i="1"/>
  <c r="O1495" i="1"/>
  <c r="E1495" i="1"/>
  <c r="B1495" i="1"/>
  <c r="O1494" i="1"/>
  <c r="E1494" i="1"/>
  <c r="B1494" i="1"/>
  <c r="O1493" i="1"/>
  <c r="E1493" i="1"/>
  <c r="B1493" i="1"/>
  <c r="O1492" i="1"/>
  <c r="E1492" i="1"/>
  <c r="B1492" i="1"/>
  <c r="O1491" i="1"/>
  <c r="E1491" i="1"/>
  <c r="B1491" i="1"/>
  <c r="O1490" i="1"/>
  <c r="E1490" i="1"/>
  <c r="B1490" i="1"/>
  <c r="O1489" i="1"/>
  <c r="E1489" i="1"/>
  <c r="B1489" i="1"/>
  <c r="O1488" i="1"/>
  <c r="E1488" i="1"/>
  <c r="B1488" i="1"/>
  <c r="O1487" i="1"/>
  <c r="E1487" i="1"/>
  <c r="B1487" i="1"/>
  <c r="O1486" i="1"/>
  <c r="E1486" i="1"/>
  <c r="B1486" i="1"/>
  <c r="O1485" i="1"/>
  <c r="E1485" i="1"/>
  <c r="B1485" i="1"/>
  <c r="O1484" i="1"/>
  <c r="E1484" i="1"/>
  <c r="B1484" i="1"/>
  <c r="O1483" i="1"/>
  <c r="E1483" i="1"/>
  <c r="B1483" i="1"/>
  <c r="O1482" i="1"/>
  <c r="E1482" i="1"/>
  <c r="B1482" i="1"/>
  <c r="O1481" i="1"/>
  <c r="E1481" i="1"/>
  <c r="B1481" i="1"/>
  <c r="O1480" i="1"/>
  <c r="E1480" i="1"/>
  <c r="B1480" i="1"/>
  <c r="O1479" i="1"/>
  <c r="E1479" i="1"/>
  <c r="B1479" i="1"/>
  <c r="O1478" i="1"/>
  <c r="E1478" i="1"/>
  <c r="B1478" i="1"/>
  <c r="O1477" i="1"/>
  <c r="E1477" i="1"/>
  <c r="B1477" i="1"/>
  <c r="P1476" i="1"/>
  <c r="O1476" i="1"/>
  <c r="E1476" i="1"/>
  <c r="B1476" i="1"/>
  <c r="O1475" i="1"/>
  <c r="E1475" i="1"/>
  <c r="B1475" i="1"/>
  <c r="O1474" i="1"/>
  <c r="E1474" i="1"/>
  <c r="B1474" i="1"/>
  <c r="O1473" i="1"/>
  <c r="E1473" i="1"/>
  <c r="B1473" i="1"/>
  <c r="O1472" i="1"/>
  <c r="E1472" i="1"/>
  <c r="B1472" i="1"/>
  <c r="O1471" i="1"/>
  <c r="E1471" i="1"/>
  <c r="B1471" i="1"/>
  <c r="O1470" i="1"/>
  <c r="E1470" i="1"/>
  <c r="B1470" i="1"/>
  <c r="O1469" i="1"/>
  <c r="E1469" i="1"/>
  <c r="B1469" i="1"/>
  <c r="O1468" i="1"/>
  <c r="E1468" i="1"/>
  <c r="B1468" i="1"/>
  <c r="O1467" i="1"/>
  <c r="E1467" i="1"/>
  <c r="B1467" i="1"/>
  <c r="O1466" i="1"/>
  <c r="E1466" i="1"/>
  <c r="B1466" i="1"/>
  <c r="O1465" i="1"/>
  <c r="E1465" i="1"/>
  <c r="B1465" i="1"/>
  <c r="O1464" i="1"/>
  <c r="E1464" i="1"/>
  <c r="B1464" i="1"/>
  <c r="O1463" i="1"/>
  <c r="E1463" i="1"/>
  <c r="B1463" i="1"/>
  <c r="O1462" i="1"/>
  <c r="E1462" i="1"/>
  <c r="B1462" i="1"/>
  <c r="O1461" i="1"/>
  <c r="E1461" i="1"/>
  <c r="B1461" i="1"/>
  <c r="O1460" i="1"/>
  <c r="E1460" i="1"/>
  <c r="B1460" i="1"/>
  <c r="O1459" i="1"/>
  <c r="E1459" i="1"/>
  <c r="B1459" i="1"/>
  <c r="O1458" i="1"/>
  <c r="E1458" i="1"/>
  <c r="B1458" i="1"/>
  <c r="O1457" i="1"/>
  <c r="E1457" i="1"/>
  <c r="B1457" i="1"/>
  <c r="O1456" i="1"/>
  <c r="E1456" i="1"/>
  <c r="B1456" i="1"/>
  <c r="O1455" i="1"/>
  <c r="E1455" i="1"/>
  <c r="B1455" i="1"/>
  <c r="O1454" i="1"/>
  <c r="E1454" i="1"/>
  <c r="B1454" i="1"/>
  <c r="O1453" i="1"/>
  <c r="E1453" i="1"/>
  <c r="B1453" i="1"/>
  <c r="O1452" i="1"/>
  <c r="E1452" i="1"/>
  <c r="B1452" i="1"/>
  <c r="O1451" i="1"/>
  <c r="E1451" i="1"/>
  <c r="B1451" i="1"/>
  <c r="O1450" i="1"/>
  <c r="E1450" i="1"/>
  <c r="B1450" i="1"/>
  <c r="O1449" i="1"/>
  <c r="E1449" i="1"/>
  <c r="B1449" i="1"/>
  <c r="O1448" i="1"/>
  <c r="E1448" i="1"/>
  <c r="B1448" i="1"/>
  <c r="O1447" i="1"/>
  <c r="E1447" i="1"/>
  <c r="B1447" i="1"/>
  <c r="O1446" i="1"/>
  <c r="E1446" i="1"/>
  <c r="B1446" i="1"/>
  <c r="O1445" i="1"/>
  <c r="E1445" i="1"/>
  <c r="B1445" i="1"/>
  <c r="O1444" i="1"/>
  <c r="E1444" i="1"/>
  <c r="B1444" i="1"/>
  <c r="O1443" i="1"/>
  <c r="E1443" i="1"/>
  <c r="B1443" i="1"/>
  <c r="O1442" i="1"/>
  <c r="E1442" i="1"/>
  <c r="B1442" i="1"/>
  <c r="O1441" i="1"/>
  <c r="E1441" i="1"/>
  <c r="B1441" i="1"/>
  <c r="O1440" i="1"/>
  <c r="E1440" i="1"/>
  <c r="B1440" i="1"/>
  <c r="O1439" i="1"/>
  <c r="E1439" i="1"/>
  <c r="B1439" i="1"/>
  <c r="O1438" i="1"/>
  <c r="E1438" i="1"/>
  <c r="B1438" i="1"/>
  <c r="O1437" i="1"/>
  <c r="E1437" i="1"/>
  <c r="B1437" i="1"/>
  <c r="O1436" i="1"/>
  <c r="E1436" i="1"/>
  <c r="B1436" i="1"/>
  <c r="O1435" i="1"/>
  <c r="E1435" i="1"/>
  <c r="B1435" i="1"/>
  <c r="O1434" i="1"/>
  <c r="E1434" i="1"/>
  <c r="B1434" i="1"/>
  <c r="O1433" i="1"/>
  <c r="E1433" i="1"/>
  <c r="B1433" i="1"/>
  <c r="O1432" i="1"/>
  <c r="E1432" i="1"/>
  <c r="B1432" i="1"/>
  <c r="O1431" i="1"/>
  <c r="E1431" i="1"/>
  <c r="B1431" i="1"/>
  <c r="O1430" i="1"/>
  <c r="E1430" i="1"/>
  <c r="B1430" i="1"/>
  <c r="O1429" i="1"/>
  <c r="E1429" i="1"/>
  <c r="B1429" i="1"/>
  <c r="O1428" i="1"/>
  <c r="E1428" i="1"/>
  <c r="B1428" i="1"/>
  <c r="O1427" i="1"/>
  <c r="E1427" i="1"/>
  <c r="B1427" i="1"/>
  <c r="O1426" i="1"/>
  <c r="E1426" i="1"/>
  <c r="B1426" i="1"/>
  <c r="O1425" i="1"/>
  <c r="E1425" i="1"/>
  <c r="B1425" i="1"/>
  <c r="O1424" i="1"/>
  <c r="E1424" i="1"/>
  <c r="B1424" i="1"/>
  <c r="O1423" i="1"/>
  <c r="E1423" i="1"/>
  <c r="B1423" i="1"/>
  <c r="O1422" i="1"/>
  <c r="E1422" i="1"/>
  <c r="B1422" i="1"/>
  <c r="O1421" i="1"/>
  <c r="E1421" i="1"/>
  <c r="B1421" i="1"/>
  <c r="O1420" i="1"/>
  <c r="E1420" i="1"/>
  <c r="B1420" i="1"/>
  <c r="O1419" i="1"/>
  <c r="E1419" i="1"/>
  <c r="B1419" i="1"/>
  <c r="O1418" i="1"/>
  <c r="E1418" i="1"/>
  <c r="B1418" i="1"/>
  <c r="O1417" i="1"/>
  <c r="E1417" i="1"/>
  <c r="B1417" i="1"/>
  <c r="O1416" i="1"/>
  <c r="E1416" i="1"/>
  <c r="B1416" i="1"/>
  <c r="O1415" i="1"/>
  <c r="E1415" i="1"/>
  <c r="B1415" i="1"/>
  <c r="O1414" i="1"/>
  <c r="E1414" i="1"/>
  <c r="B1414" i="1"/>
  <c r="O1413" i="1"/>
  <c r="E1413" i="1"/>
  <c r="B1413" i="1"/>
  <c r="O1412" i="1"/>
  <c r="E1412" i="1"/>
  <c r="B1412" i="1"/>
  <c r="O1411" i="1"/>
  <c r="E1411" i="1"/>
  <c r="B1411" i="1"/>
  <c r="O1410" i="1"/>
  <c r="E1410" i="1"/>
  <c r="B1410" i="1"/>
  <c r="O1409" i="1"/>
  <c r="E1409" i="1"/>
  <c r="B1409" i="1"/>
  <c r="O1408" i="1"/>
  <c r="E1408" i="1"/>
  <c r="B1408" i="1"/>
  <c r="O1407" i="1"/>
  <c r="E1407" i="1"/>
  <c r="B1407" i="1"/>
  <c r="O1406" i="1"/>
  <c r="E1406" i="1"/>
  <c r="B1406" i="1"/>
  <c r="O1405" i="1"/>
  <c r="E1405" i="1"/>
  <c r="B1405" i="1"/>
  <c r="O1404" i="1"/>
  <c r="E1404" i="1"/>
  <c r="B1404" i="1"/>
  <c r="O1403" i="1"/>
  <c r="E1403" i="1"/>
  <c r="B1403" i="1"/>
  <c r="O1402" i="1"/>
  <c r="E1402" i="1"/>
  <c r="B1402" i="1"/>
  <c r="O1401" i="1"/>
  <c r="E1401" i="1"/>
  <c r="B1401" i="1"/>
  <c r="O1400" i="1"/>
  <c r="E1400" i="1"/>
  <c r="B1400" i="1"/>
  <c r="O1399" i="1"/>
  <c r="E1399" i="1"/>
  <c r="B1399" i="1"/>
  <c r="O1398" i="1"/>
  <c r="E1398" i="1"/>
  <c r="B1398" i="1"/>
  <c r="O1397" i="1"/>
  <c r="E1397" i="1"/>
  <c r="B1397" i="1"/>
  <c r="O1396" i="1"/>
  <c r="E1396" i="1"/>
  <c r="B1396" i="1"/>
  <c r="O1395" i="1"/>
  <c r="E1395" i="1"/>
  <c r="B1395" i="1"/>
  <c r="O1394" i="1"/>
  <c r="E1394" i="1"/>
  <c r="B1394" i="1"/>
  <c r="O1393" i="1"/>
  <c r="E1393" i="1"/>
  <c r="B1393" i="1"/>
  <c r="O1392" i="1"/>
  <c r="E1392" i="1"/>
  <c r="B1392" i="1"/>
  <c r="O1391" i="1"/>
  <c r="E1391" i="1"/>
  <c r="B1391" i="1"/>
  <c r="O1390" i="1"/>
  <c r="E1390" i="1"/>
  <c r="B1390" i="1"/>
  <c r="O1389" i="1"/>
  <c r="E1389" i="1"/>
  <c r="B1389" i="1"/>
  <c r="O1388" i="1"/>
  <c r="E1388" i="1"/>
  <c r="B1388" i="1"/>
  <c r="O1387" i="1"/>
  <c r="E1387" i="1"/>
  <c r="B1387" i="1"/>
  <c r="O1386" i="1"/>
  <c r="E1386" i="1"/>
  <c r="B1386" i="1"/>
  <c r="O1385" i="1"/>
  <c r="E1385" i="1"/>
  <c r="B1385" i="1"/>
  <c r="O1384" i="1"/>
  <c r="E1384" i="1"/>
  <c r="B1384" i="1"/>
  <c r="O1383" i="1"/>
  <c r="E1383" i="1"/>
  <c r="B1383" i="1"/>
  <c r="O1382" i="1"/>
  <c r="E1382" i="1"/>
  <c r="B1382" i="1"/>
  <c r="O1381" i="1"/>
  <c r="E1381" i="1"/>
  <c r="B1381" i="1"/>
  <c r="O1380" i="1"/>
  <c r="E1380" i="1"/>
  <c r="B1380" i="1"/>
  <c r="O1379" i="1"/>
  <c r="E1379" i="1"/>
  <c r="B1379" i="1"/>
  <c r="O1378" i="1"/>
  <c r="E1378" i="1"/>
  <c r="B1378" i="1"/>
  <c r="O1377" i="1"/>
  <c r="E1377" i="1"/>
  <c r="B1377" i="1"/>
  <c r="O1376" i="1"/>
  <c r="E1376" i="1"/>
  <c r="B1376" i="1"/>
  <c r="O1375" i="1"/>
  <c r="E1375" i="1"/>
  <c r="B1375" i="1"/>
  <c r="O1374" i="1"/>
  <c r="E1374" i="1"/>
  <c r="B1374" i="1"/>
  <c r="O1373" i="1"/>
  <c r="E1373" i="1"/>
  <c r="B1373" i="1"/>
  <c r="O1372" i="1"/>
  <c r="E1372" i="1"/>
  <c r="B1372" i="1"/>
  <c r="O1371" i="1"/>
  <c r="E1371" i="1"/>
  <c r="B1371" i="1"/>
  <c r="O1370" i="1"/>
  <c r="E1370" i="1"/>
  <c r="B1370" i="1"/>
  <c r="O1369" i="1"/>
  <c r="E1369" i="1"/>
  <c r="B1369" i="1"/>
  <c r="O1368" i="1"/>
  <c r="E1368" i="1"/>
  <c r="B1368" i="1"/>
  <c r="O1367" i="1"/>
  <c r="E1367" i="1"/>
  <c r="B1367" i="1"/>
  <c r="O1366" i="1"/>
  <c r="E1366" i="1"/>
  <c r="B1366" i="1"/>
  <c r="O1365" i="1"/>
  <c r="E1365" i="1"/>
  <c r="B1365" i="1"/>
  <c r="O1364" i="1"/>
  <c r="E1364" i="1"/>
  <c r="B1364" i="1"/>
  <c r="O1363" i="1"/>
  <c r="E1363" i="1"/>
  <c r="B1363" i="1"/>
  <c r="O1362" i="1"/>
  <c r="E1362" i="1"/>
  <c r="B1362" i="1"/>
  <c r="O1361" i="1"/>
  <c r="E1361" i="1"/>
  <c r="B1361" i="1"/>
  <c r="O1360" i="1"/>
  <c r="E1360" i="1"/>
  <c r="B1360" i="1"/>
  <c r="O1359" i="1"/>
  <c r="E1359" i="1"/>
  <c r="B1359" i="1"/>
  <c r="O1358" i="1"/>
  <c r="E1358" i="1"/>
  <c r="B1358" i="1"/>
  <c r="O1357" i="1"/>
  <c r="E1357" i="1"/>
  <c r="B1357" i="1"/>
  <c r="O1356" i="1"/>
  <c r="E1356" i="1"/>
  <c r="B1356" i="1"/>
  <c r="O1355" i="1"/>
  <c r="E1355" i="1"/>
  <c r="B1355" i="1"/>
  <c r="O1354" i="1"/>
  <c r="E1354" i="1"/>
  <c r="B1354" i="1"/>
  <c r="O1353" i="1"/>
  <c r="E1353" i="1"/>
  <c r="B1353" i="1"/>
  <c r="O1352" i="1"/>
  <c r="E1352" i="1"/>
  <c r="B1352" i="1"/>
  <c r="O1351" i="1"/>
  <c r="E1351" i="1"/>
  <c r="B1351" i="1"/>
  <c r="O1350" i="1"/>
  <c r="E1350" i="1"/>
  <c r="B1350" i="1"/>
  <c r="O1349" i="1"/>
  <c r="E1349" i="1"/>
  <c r="B1349" i="1"/>
  <c r="O1348" i="1"/>
  <c r="E1348" i="1"/>
  <c r="B1348" i="1"/>
  <c r="O1347" i="1"/>
  <c r="E1347" i="1"/>
  <c r="B1347" i="1"/>
  <c r="O1346" i="1"/>
  <c r="E1346" i="1"/>
  <c r="B1346" i="1"/>
  <c r="O1345" i="1"/>
  <c r="E1345" i="1"/>
  <c r="B1345" i="1"/>
  <c r="O1344" i="1"/>
  <c r="E1344" i="1"/>
  <c r="B1344" i="1"/>
  <c r="O1343" i="1"/>
  <c r="E1343" i="1"/>
  <c r="B1343" i="1"/>
  <c r="O1342" i="1"/>
  <c r="E1342" i="1"/>
  <c r="B1342" i="1"/>
  <c r="O1341" i="1"/>
  <c r="E1341" i="1"/>
  <c r="B1341" i="1"/>
  <c r="O1340" i="1"/>
  <c r="E1340" i="1"/>
  <c r="B1340" i="1"/>
  <c r="O1339" i="1"/>
  <c r="E1339" i="1"/>
  <c r="B1339" i="1"/>
  <c r="O1338" i="1"/>
  <c r="E1338" i="1"/>
  <c r="B1338" i="1"/>
  <c r="O1337" i="1"/>
  <c r="E1337" i="1"/>
  <c r="B1337" i="1"/>
  <c r="O1336" i="1"/>
  <c r="E1336" i="1"/>
  <c r="B1336" i="1"/>
  <c r="O1335" i="1"/>
  <c r="E1335" i="1"/>
  <c r="B1335" i="1"/>
  <c r="O1334" i="1"/>
  <c r="E1334" i="1"/>
  <c r="B1334" i="1"/>
  <c r="O1333" i="1"/>
  <c r="E1333" i="1"/>
  <c r="B1333" i="1"/>
  <c r="O1332" i="1"/>
  <c r="E1332" i="1"/>
  <c r="B1332" i="1"/>
  <c r="O1331" i="1"/>
  <c r="E1331" i="1"/>
  <c r="B1331" i="1"/>
  <c r="O1330" i="1"/>
  <c r="E1330" i="1"/>
  <c r="B1330" i="1"/>
  <c r="O1329" i="1"/>
  <c r="E1329" i="1"/>
  <c r="B1329" i="1"/>
  <c r="O1328" i="1"/>
  <c r="E1328" i="1"/>
  <c r="B1328" i="1"/>
  <c r="O1327" i="1"/>
  <c r="E1327" i="1"/>
  <c r="B1327" i="1"/>
  <c r="O1326" i="1"/>
  <c r="E1326" i="1"/>
  <c r="B1326" i="1"/>
  <c r="O1325" i="1"/>
  <c r="E1325" i="1"/>
  <c r="B1325" i="1"/>
  <c r="O1324" i="1"/>
  <c r="E1324" i="1"/>
  <c r="B1324" i="1"/>
  <c r="O1323" i="1"/>
  <c r="E1323" i="1"/>
  <c r="B1323" i="1"/>
  <c r="O1322" i="1"/>
  <c r="E1322" i="1"/>
  <c r="B1322" i="1"/>
  <c r="O1321" i="1"/>
  <c r="E1321" i="1"/>
  <c r="B1321" i="1"/>
  <c r="O1320" i="1"/>
  <c r="E1320" i="1"/>
  <c r="B1320" i="1"/>
  <c r="O1319" i="1"/>
  <c r="E1319" i="1"/>
  <c r="B1319" i="1"/>
  <c r="O1318" i="1"/>
  <c r="E1318" i="1"/>
  <c r="B1318" i="1"/>
  <c r="O1317" i="1"/>
  <c r="E1317" i="1"/>
  <c r="B1317" i="1"/>
  <c r="O1316" i="1"/>
  <c r="E1316" i="1"/>
  <c r="B1316" i="1"/>
  <c r="O1315" i="1"/>
  <c r="E1315" i="1"/>
  <c r="B1315" i="1"/>
  <c r="O1314" i="1"/>
  <c r="E1314" i="1"/>
  <c r="B1314" i="1"/>
  <c r="O1313" i="1"/>
  <c r="E1313" i="1"/>
  <c r="B1313" i="1"/>
  <c r="O1312" i="1"/>
  <c r="E1312" i="1"/>
  <c r="B1312" i="1"/>
  <c r="O1311" i="1"/>
  <c r="E1311" i="1"/>
  <c r="B1311" i="1"/>
  <c r="O1310" i="1"/>
  <c r="E1310" i="1"/>
  <c r="B1310" i="1"/>
  <c r="O1309" i="1"/>
  <c r="E1309" i="1"/>
  <c r="B1309" i="1"/>
  <c r="O1308" i="1"/>
  <c r="E1308" i="1"/>
  <c r="B1308" i="1"/>
  <c r="O1307" i="1"/>
  <c r="E1307" i="1"/>
  <c r="B1307" i="1"/>
  <c r="O1306" i="1"/>
  <c r="E1306" i="1"/>
  <c r="B1306" i="1"/>
  <c r="O1305" i="1"/>
  <c r="E1305" i="1"/>
  <c r="B1305" i="1"/>
  <c r="O1304" i="1"/>
  <c r="E1304" i="1"/>
  <c r="B1304" i="1"/>
  <c r="O1303" i="1"/>
  <c r="E1303" i="1"/>
  <c r="B1303" i="1"/>
  <c r="O1302" i="1"/>
  <c r="E1302" i="1"/>
  <c r="B1302" i="1"/>
  <c r="O1301" i="1"/>
  <c r="E1301" i="1"/>
  <c r="B1301" i="1"/>
  <c r="O1300" i="1"/>
  <c r="E1300" i="1"/>
  <c r="B1300" i="1"/>
  <c r="O1299" i="1"/>
  <c r="E1299" i="1"/>
  <c r="B1299" i="1"/>
  <c r="O1298" i="1"/>
  <c r="E1298" i="1"/>
  <c r="B1298" i="1"/>
  <c r="O1297" i="1"/>
  <c r="E1297" i="1"/>
  <c r="B1297" i="1"/>
  <c r="O1296" i="1"/>
  <c r="E1296" i="1"/>
  <c r="B1296" i="1"/>
  <c r="O1295" i="1"/>
  <c r="E1295" i="1"/>
  <c r="B1295" i="1"/>
  <c r="O1294" i="1"/>
  <c r="E1294" i="1"/>
  <c r="B1294" i="1"/>
  <c r="O1293" i="1"/>
  <c r="E1293" i="1"/>
  <c r="B1293" i="1"/>
  <c r="O1292" i="1"/>
  <c r="E1292" i="1"/>
  <c r="B1292" i="1"/>
  <c r="O1291" i="1"/>
  <c r="E1291" i="1"/>
  <c r="B1291" i="1"/>
  <c r="O1290" i="1"/>
  <c r="E1290" i="1"/>
  <c r="B1290" i="1"/>
  <c r="O1289" i="1"/>
  <c r="E1289" i="1"/>
  <c r="B1289" i="1"/>
  <c r="O1288" i="1"/>
  <c r="E1288" i="1"/>
  <c r="B1288" i="1"/>
  <c r="O1287" i="1"/>
  <c r="E1287" i="1"/>
  <c r="B1287" i="1"/>
  <c r="O1286" i="1"/>
  <c r="E1286" i="1"/>
  <c r="B1286" i="1"/>
  <c r="O1285" i="1"/>
  <c r="E1285" i="1"/>
  <c r="B1285" i="1"/>
  <c r="O1284" i="1"/>
  <c r="E1284" i="1"/>
  <c r="B1284" i="1"/>
  <c r="O1283" i="1"/>
  <c r="E1283" i="1"/>
  <c r="B1283" i="1"/>
  <c r="O1282" i="1"/>
  <c r="E1282" i="1"/>
  <c r="B1282" i="1"/>
  <c r="O1281" i="1"/>
  <c r="E1281" i="1"/>
  <c r="B1281" i="1"/>
  <c r="O1280" i="1"/>
  <c r="E1280" i="1"/>
  <c r="B1280" i="1"/>
  <c r="O1279" i="1"/>
  <c r="E1279" i="1"/>
  <c r="B1279" i="1"/>
  <c r="O1278" i="1"/>
  <c r="E1278" i="1"/>
  <c r="B1278" i="1"/>
  <c r="O1277" i="1"/>
  <c r="E1277" i="1"/>
  <c r="B1277" i="1"/>
  <c r="O1276" i="1"/>
  <c r="E1276" i="1"/>
  <c r="B1276" i="1"/>
  <c r="O1275" i="1"/>
  <c r="E1275" i="1"/>
  <c r="B1275" i="1"/>
  <c r="O1274" i="1"/>
  <c r="E1274" i="1"/>
  <c r="B1274" i="1"/>
  <c r="O1273" i="1"/>
  <c r="E1273" i="1"/>
  <c r="B1273" i="1"/>
  <c r="O1272" i="1"/>
  <c r="E1272" i="1"/>
  <c r="B1272" i="1"/>
  <c r="O1271" i="1"/>
  <c r="E1271" i="1"/>
  <c r="B1271" i="1"/>
  <c r="O1270" i="1"/>
  <c r="E1270" i="1"/>
  <c r="B1270" i="1"/>
  <c r="O1269" i="1"/>
  <c r="E1269" i="1"/>
  <c r="B1269" i="1"/>
  <c r="O1268" i="1"/>
  <c r="E1268" i="1"/>
  <c r="B1268" i="1"/>
  <c r="O1267" i="1"/>
  <c r="E1267" i="1"/>
  <c r="B1267" i="1"/>
  <c r="O1266" i="1"/>
  <c r="E1266" i="1"/>
  <c r="B1266" i="1"/>
  <c r="O1265" i="1"/>
  <c r="E1265" i="1"/>
  <c r="B1265" i="1"/>
  <c r="O1264" i="1"/>
  <c r="E1264" i="1"/>
  <c r="B1264" i="1"/>
  <c r="O1263" i="1"/>
  <c r="E1263" i="1"/>
  <c r="B1263" i="1"/>
  <c r="O1262" i="1"/>
  <c r="E1262" i="1"/>
  <c r="B1262" i="1"/>
  <c r="O1261" i="1"/>
  <c r="E1261" i="1"/>
  <c r="B1261" i="1"/>
  <c r="O1260" i="1"/>
  <c r="E1260" i="1"/>
  <c r="B1260" i="1"/>
  <c r="O1259" i="1"/>
  <c r="E1259" i="1"/>
  <c r="B1259" i="1"/>
  <c r="O1258" i="1"/>
  <c r="E1258" i="1"/>
  <c r="B1258" i="1"/>
  <c r="O1257" i="1"/>
  <c r="E1257" i="1"/>
  <c r="B1257" i="1"/>
  <c r="O1256" i="1"/>
  <c r="E1256" i="1"/>
  <c r="B1256" i="1"/>
  <c r="O1255" i="1"/>
  <c r="E1255" i="1"/>
  <c r="B1255" i="1"/>
  <c r="O1254" i="1"/>
  <c r="E1254" i="1"/>
  <c r="B1254" i="1"/>
  <c r="O1253" i="1"/>
  <c r="E1253" i="1"/>
  <c r="B1253" i="1"/>
  <c r="O1252" i="1"/>
  <c r="E1252" i="1"/>
  <c r="B1252" i="1"/>
  <c r="O1251" i="1"/>
  <c r="E1251" i="1"/>
  <c r="B1251" i="1"/>
  <c r="O1250" i="1"/>
  <c r="E1250" i="1"/>
  <c r="B1250" i="1"/>
  <c r="O1249" i="1"/>
  <c r="E1249" i="1"/>
  <c r="B1249" i="1"/>
  <c r="O1248" i="1"/>
  <c r="E1248" i="1"/>
  <c r="B1248" i="1"/>
  <c r="O1247" i="1"/>
  <c r="E1247" i="1"/>
  <c r="B1247" i="1"/>
  <c r="O1246" i="1"/>
  <c r="E1246" i="1"/>
  <c r="B1246" i="1"/>
  <c r="O1245" i="1"/>
  <c r="E1245" i="1"/>
  <c r="B1245" i="1"/>
  <c r="O1244" i="1"/>
  <c r="E1244" i="1"/>
  <c r="B1244" i="1"/>
  <c r="O1243" i="1"/>
  <c r="E1243" i="1"/>
  <c r="B1243" i="1"/>
  <c r="O1242" i="1"/>
  <c r="E1242" i="1"/>
  <c r="B1242" i="1"/>
  <c r="O1241" i="1"/>
  <c r="E1241" i="1"/>
  <c r="B1241" i="1"/>
  <c r="O1240" i="1"/>
  <c r="E1240" i="1"/>
  <c r="B1240" i="1"/>
  <c r="O1239" i="1"/>
  <c r="E1239" i="1"/>
  <c r="B1239" i="1"/>
  <c r="O1238" i="1"/>
  <c r="E1238" i="1"/>
  <c r="B1238" i="1"/>
  <c r="O1237" i="1"/>
  <c r="E1237" i="1"/>
  <c r="B1237" i="1"/>
  <c r="O1236" i="1"/>
  <c r="E1236" i="1"/>
  <c r="B1236" i="1"/>
  <c r="O1235" i="1"/>
  <c r="E1235" i="1"/>
  <c r="B1235" i="1"/>
  <c r="O1234" i="1"/>
  <c r="E1234" i="1"/>
  <c r="B1234" i="1"/>
  <c r="O1233" i="1"/>
  <c r="E1233" i="1"/>
  <c r="B1233" i="1"/>
  <c r="O1232" i="1"/>
  <c r="E1232" i="1"/>
  <c r="B1232" i="1"/>
  <c r="O1231" i="1"/>
  <c r="E1231" i="1"/>
  <c r="B1231" i="1"/>
  <c r="O1230" i="1"/>
  <c r="E1230" i="1"/>
  <c r="B1230" i="1"/>
  <c r="O1229" i="1"/>
  <c r="E1229" i="1"/>
  <c r="B1229" i="1"/>
  <c r="O1228" i="1"/>
  <c r="E1228" i="1"/>
  <c r="B1228" i="1"/>
  <c r="O1227" i="1"/>
  <c r="E1227" i="1"/>
  <c r="B1227" i="1"/>
  <c r="O1226" i="1"/>
  <c r="E1226" i="1"/>
  <c r="B1226" i="1"/>
  <c r="O1225" i="1"/>
  <c r="E1225" i="1"/>
  <c r="B1225" i="1"/>
  <c r="O1224" i="1"/>
  <c r="E1224" i="1"/>
  <c r="B1224" i="1"/>
  <c r="O1223" i="1"/>
  <c r="E1223" i="1"/>
  <c r="B1223" i="1"/>
  <c r="O1222" i="1"/>
  <c r="E1222" i="1"/>
  <c r="B1222" i="1"/>
  <c r="O1221" i="1"/>
  <c r="E1221" i="1"/>
  <c r="B1221" i="1"/>
  <c r="O1220" i="1"/>
  <c r="E1220" i="1"/>
  <c r="B1220" i="1"/>
  <c r="O1219" i="1"/>
  <c r="E1219" i="1"/>
  <c r="B1219" i="1"/>
  <c r="O1218" i="1"/>
  <c r="E1218" i="1"/>
  <c r="B1218" i="1"/>
  <c r="O1217" i="1"/>
  <c r="E1217" i="1"/>
  <c r="B1217" i="1"/>
  <c r="O1216" i="1"/>
  <c r="E1216" i="1"/>
  <c r="B1216" i="1"/>
  <c r="O1215" i="1"/>
  <c r="E1215" i="1"/>
  <c r="B1215" i="1"/>
  <c r="O1214" i="1"/>
  <c r="E1214" i="1"/>
  <c r="B1214" i="1"/>
  <c r="O1213" i="1"/>
  <c r="E1213" i="1"/>
  <c r="B1213" i="1"/>
  <c r="O1212" i="1"/>
  <c r="E1212" i="1"/>
  <c r="B1212" i="1"/>
  <c r="O1211" i="1"/>
  <c r="E1211" i="1"/>
  <c r="B1211" i="1"/>
  <c r="O1210" i="1"/>
  <c r="E1210" i="1"/>
  <c r="B1210" i="1"/>
  <c r="O1209" i="1"/>
  <c r="E1209" i="1"/>
  <c r="B1209" i="1"/>
  <c r="O1208" i="1"/>
  <c r="E1208" i="1"/>
  <c r="B1208" i="1"/>
  <c r="O1207" i="1"/>
  <c r="E1207" i="1"/>
  <c r="B1207" i="1"/>
  <c r="O1206" i="1"/>
  <c r="E1206" i="1"/>
  <c r="B1206" i="1"/>
  <c r="O1205" i="1"/>
  <c r="E1205" i="1"/>
  <c r="B1205" i="1"/>
  <c r="O1204" i="1"/>
  <c r="E1204" i="1"/>
  <c r="B1204" i="1"/>
  <c r="O1203" i="1"/>
  <c r="E1203" i="1"/>
  <c r="B1203" i="1"/>
  <c r="O1202" i="1"/>
  <c r="E1202" i="1"/>
  <c r="B1202" i="1"/>
  <c r="O1201" i="1"/>
  <c r="E1201" i="1"/>
  <c r="B1201" i="1"/>
  <c r="O1200" i="1"/>
  <c r="E1200" i="1"/>
  <c r="B1200" i="1"/>
  <c r="O1199" i="1"/>
  <c r="E1199" i="1"/>
  <c r="B1199" i="1"/>
  <c r="O1198" i="1"/>
  <c r="E1198" i="1"/>
  <c r="B1198" i="1"/>
  <c r="O1197" i="1"/>
  <c r="E1197" i="1"/>
  <c r="B1197" i="1"/>
  <c r="O1196" i="1"/>
  <c r="E1196" i="1"/>
  <c r="B1196" i="1"/>
  <c r="O1195" i="1"/>
  <c r="E1195" i="1"/>
  <c r="B1195" i="1"/>
  <c r="O1194" i="1"/>
  <c r="E1194" i="1"/>
  <c r="B1194" i="1"/>
  <c r="O1193" i="1"/>
  <c r="E1193" i="1"/>
  <c r="B1193" i="1"/>
  <c r="O1192" i="1"/>
  <c r="E1192" i="1"/>
  <c r="B1192" i="1"/>
  <c r="O1191" i="1"/>
  <c r="E1191" i="1"/>
  <c r="B1191" i="1"/>
  <c r="O1190" i="1"/>
  <c r="E1190" i="1"/>
  <c r="B1190" i="1"/>
  <c r="O1189" i="1"/>
  <c r="E1189" i="1"/>
  <c r="B1189" i="1"/>
  <c r="O1188" i="1"/>
  <c r="E1188" i="1"/>
  <c r="B1188" i="1"/>
  <c r="O1187" i="1"/>
  <c r="E1187" i="1"/>
  <c r="B1187" i="1"/>
  <c r="O1186" i="1"/>
  <c r="E1186" i="1"/>
  <c r="B1186" i="1"/>
  <c r="O1185" i="1"/>
  <c r="E1185" i="1"/>
  <c r="B1185" i="1"/>
  <c r="O1184" i="1"/>
  <c r="E1184" i="1"/>
  <c r="B1184" i="1"/>
  <c r="O1183" i="1"/>
  <c r="E1183" i="1"/>
  <c r="B1183" i="1"/>
  <c r="O1182" i="1"/>
  <c r="E1182" i="1"/>
  <c r="B1182" i="1"/>
  <c r="O1181" i="1"/>
  <c r="E1181" i="1"/>
  <c r="B1181" i="1"/>
  <c r="O1180" i="1"/>
  <c r="E1180" i="1"/>
  <c r="B1180" i="1"/>
  <c r="O1179" i="1"/>
  <c r="E1179" i="1"/>
  <c r="B1179" i="1"/>
  <c r="O1178" i="1"/>
  <c r="E1178" i="1"/>
  <c r="B1178" i="1"/>
  <c r="O1177" i="1"/>
  <c r="E1177" i="1"/>
  <c r="B1177" i="1"/>
  <c r="O1176" i="1"/>
  <c r="E1176" i="1"/>
  <c r="B1176" i="1"/>
  <c r="O1175" i="1"/>
  <c r="E1175" i="1"/>
  <c r="B1175" i="1"/>
  <c r="O1174" i="1"/>
  <c r="E1174" i="1"/>
  <c r="B1174" i="1"/>
  <c r="O1173" i="1"/>
  <c r="E1173" i="1"/>
  <c r="B1173" i="1"/>
  <c r="O1172" i="1"/>
  <c r="E1172" i="1"/>
  <c r="B1172" i="1"/>
  <c r="O1171" i="1"/>
  <c r="E1171" i="1"/>
  <c r="B1171" i="1"/>
  <c r="O1170" i="1"/>
  <c r="E1170" i="1"/>
  <c r="B1170" i="1"/>
  <c r="O1169" i="1"/>
  <c r="E1169" i="1"/>
  <c r="B1169" i="1"/>
  <c r="O1168" i="1"/>
  <c r="E1168" i="1"/>
  <c r="B1168" i="1"/>
  <c r="O1167" i="1"/>
  <c r="E1167" i="1"/>
  <c r="B1167" i="1"/>
  <c r="O1166" i="1"/>
  <c r="E1166" i="1"/>
  <c r="B1166" i="1"/>
  <c r="O1165" i="1"/>
  <c r="E1165" i="1"/>
  <c r="B1165" i="1"/>
  <c r="O1164" i="1"/>
  <c r="E1164" i="1"/>
  <c r="B1164" i="1"/>
  <c r="O1163" i="1"/>
  <c r="E1163" i="1"/>
  <c r="B1163" i="1"/>
  <c r="O1162" i="1"/>
  <c r="E1162" i="1"/>
  <c r="B1162" i="1"/>
  <c r="O1161" i="1"/>
  <c r="E1161" i="1"/>
  <c r="B1161" i="1"/>
  <c r="O1160" i="1"/>
  <c r="E1160" i="1"/>
  <c r="B1160" i="1"/>
  <c r="O1159" i="1"/>
  <c r="E1159" i="1"/>
  <c r="B1159" i="1"/>
  <c r="O1158" i="1"/>
  <c r="E1158" i="1"/>
  <c r="B1158" i="1"/>
  <c r="O1157" i="1"/>
  <c r="E1157" i="1"/>
  <c r="B1157" i="1"/>
  <c r="O1156" i="1"/>
  <c r="E1156" i="1"/>
  <c r="B1156" i="1"/>
  <c r="O1155" i="1"/>
  <c r="E1155" i="1"/>
  <c r="B1155" i="1"/>
  <c r="O1154" i="1"/>
  <c r="E1154" i="1"/>
  <c r="B1154" i="1"/>
  <c r="O1153" i="1"/>
  <c r="E1153" i="1"/>
  <c r="B1153" i="1"/>
  <c r="O1152" i="1"/>
  <c r="E1152" i="1"/>
  <c r="B1152" i="1"/>
  <c r="O1151" i="1"/>
  <c r="E1151" i="1"/>
  <c r="B1151" i="1"/>
  <c r="O1150" i="1"/>
  <c r="E1150" i="1"/>
  <c r="B1150" i="1"/>
  <c r="O1149" i="1"/>
  <c r="E1149" i="1"/>
  <c r="B1149" i="1"/>
  <c r="O1148" i="1"/>
  <c r="E1148" i="1"/>
  <c r="B1148" i="1"/>
  <c r="O1147" i="1"/>
  <c r="E1147" i="1"/>
  <c r="B1147" i="1"/>
  <c r="O1146" i="1"/>
  <c r="E1146" i="1"/>
  <c r="B1146" i="1"/>
  <c r="O1145" i="1"/>
  <c r="E1145" i="1"/>
  <c r="B1145" i="1"/>
  <c r="O1144" i="1"/>
  <c r="E1144" i="1"/>
  <c r="B1144" i="1"/>
  <c r="O1143" i="1"/>
  <c r="E1143" i="1"/>
  <c r="B1143" i="1"/>
  <c r="O1142" i="1"/>
  <c r="E1142" i="1"/>
  <c r="B1142" i="1"/>
  <c r="O1141" i="1"/>
  <c r="E1141" i="1"/>
  <c r="B1141" i="1"/>
  <c r="O1140" i="1"/>
  <c r="E1140" i="1"/>
  <c r="B1140" i="1"/>
  <c r="O1139" i="1"/>
  <c r="E1139" i="1"/>
  <c r="B1139" i="1"/>
  <c r="O1138" i="1"/>
  <c r="E1138" i="1"/>
  <c r="B1138" i="1"/>
  <c r="O1137" i="1"/>
  <c r="E1137" i="1"/>
  <c r="B1137" i="1"/>
  <c r="O1136" i="1"/>
  <c r="E1136" i="1"/>
  <c r="B1136" i="1"/>
  <c r="O1135" i="1"/>
  <c r="E1135" i="1"/>
  <c r="B1135" i="1"/>
  <c r="O1134" i="1"/>
  <c r="E1134" i="1"/>
  <c r="B1134" i="1"/>
  <c r="O1133" i="1"/>
  <c r="E1133" i="1"/>
  <c r="B1133" i="1"/>
  <c r="O1132" i="1"/>
  <c r="E1132" i="1"/>
  <c r="B1132" i="1"/>
  <c r="O1131" i="1"/>
  <c r="E1131" i="1"/>
  <c r="B1131" i="1"/>
  <c r="O1130" i="1"/>
  <c r="E1130" i="1"/>
  <c r="B1130" i="1"/>
  <c r="O1129" i="1"/>
  <c r="E1129" i="1"/>
  <c r="B1129" i="1"/>
  <c r="O1128" i="1"/>
  <c r="E1128" i="1"/>
  <c r="B1128" i="1"/>
  <c r="O1127" i="1"/>
  <c r="E1127" i="1"/>
  <c r="B1127" i="1"/>
  <c r="O1126" i="1"/>
  <c r="E1126" i="1"/>
  <c r="B1126" i="1"/>
  <c r="O1125" i="1"/>
  <c r="E1125" i="1"/>
  <c r="B1125" i="1"/>
  <c r="O1124" i="1"/>
  <c r="E1124" i="1"/>
  <c r="B1124" i="1"/>
  <c r="O1123" i="1"/>
  <c r="E1123" i="1"/>
  <c r="B1123" i="1"/>
  <c r="O1122" i="1"/>
  <c r="E1122" i="1"/>
  <c r="B1122" i="1"/>
  <c r="O1121" i="1"/>
  <c r="E1121" i="1"/>
  <c r="B1121" i="1"/>
  <c r="O1120" i="1"/>
  <c r="E1120" i="1"/>
  <c r="B1120" i="1"/>
  <c r="O1119" i="1"/>
  <c r="E1119" i="1"/>
  <c r="B1119" i="1"/>
  <c r="O1118" i="1"/>
  <c r="E1118" i="1"/>
  <c r="B1118" i="1"/>
  <c r="O1117" i="1"/>
  <c r="E1117" i="1"/>
  <c r="B1117" i="1"/>
  <c r="O1116" i="1"/>
  <c r="E1116" i="1"/>
  <c r="B1116" i="1"/>
  <c r="O1115" i="1"/>
  <c r="E1115" i="1"/>
  <c r="B1115" i="1"/>
  <c r="O1114" i="1"/>
  <c r="E1114" i="1"/>
  <c r="B1114" i="1"/>
  <c r="O1113" i="1"/>
  <c r="E1113" i="1"/>
  <c r="B1113" i="1"/>
  <c r="O1112" i="1"/>
  <c r="E1112" i="1"/>
  <c r="B1112" i="1"/>
  <c r="O1111" i="1"/>
  <c r="E1111" i="1"/>
  <c r="B1111" i="1"/>
  <c r="O1110" i="1"/>
  <c r="E1110" i="1"/>
  <c r="B1110" i="1"/>
  <c r="O1109" i="1"/>
  <c r="E1109" i="1"/>
  <c r="B1109" i="1"/>
  <c r="O1108" i="1"/>
  <c r="E1108" i="1"/>
  <c r="B1108" i="1"/>
  <c r="O1107" i="1"/>
  <c r="E1107" i="1"/>
  <c r="B1107" i="1"/>
  <c r="O1106" i="1"/>
  <c r="E1106" i="1"/>
  <c r="B1106" i="1"/>
  <c r="O1105" i="1"/>
  <c r="E1105" i="1"/>
  <c r="B1105" i="1"/>
  <c r="O1104" i="1"/>
  <c r="E1104" i="1"/>
  <c r="B1104" i="1"/>
  <c r="O1103" i="1"/>
  <c r="E1103" i="1"/>
  <c r="B1103" i="1"/>
  <c r="O1102" i="1"/>
  <c r="E1102" i="1"/>
  <c r="B1102" i="1"/>
  <c r="O1101" i="1"/>
  <c r="E1101" i="1"/>
  <c r="B1101" i="1"/>
  <c r="O1100" i="1"/>
  <c r="E1100" i="1"/>
  <c r="B1100" i="1"/>
  <c r="O1099" i="1"/>
  <c r="E1099" i="1"/>
  <c r="B1099" i="1"/>
  <c r="O1098" i="1"/>
  <c r="E1098" i="1"/>
  <c r="B1098" i="1"/>
  <c r="O1097" i="1"/>
  <c r="E1097" i="1"/>
  <c r="B1097" i="1"/>
  <c r="O1096" i="1"/>
  <c r="E1096" i="1"/>
  <c r="B1096" i="1"/>
  <c r="O1095" i="1"/>
  <c r="E1095" i="1"/>
  <c r="B1095" i="1"/>
  <c r="O1094" i="1"/>
  <c r="E1094" i="1"/>
  <c r="B1094" i="1"/>
  <c r="O1093" i="1"/>
  <c r="E1093" i="1"/>
  <c r="B1093" i="1"/>
  <c r="O1092" i="1"/>
  <c r="E1092" i="1"/>
  <c r="B1092" i="1"/>
  <c r="O1091" i="1"/>
  <c r="E1091" i="1"/>
  <c r="B1091" i="1"/>
  <c r="O1090" i="1"/>
  <c r="E1090" i="1"/>
  <c r="B1090" i="1"/>
  <c r="O1089" i="1"/>
  <c r="E1089" i="1"/>
  <c r="B1089" i="1"/>
  <c r="O1088" i="1"/>
  <c r="E1088" i="1"/>
  <c r="B1088" i="1"/>
  <c r="O1087" i="1"/>
  <c r="E1087" i="1"/>
  <c r="B1087" i="1"/>
  <c r="O1086" i="1"/>
  <c r="E1086" i="1"/>
  <c r="B1086" i="1"/>
  <c r="O1085" i="1"/>
  <c r="E1085" i="1"/>
  <c r="B1085" i="1"/>
  <c r="O1084" i="1"/>
  <c r="E1084" i="1"/>
  <c r="B1084" i="1"/>
  <c r="O1083" i="1"/>
  <c r="E1083" i="1"/>
  <c r="B1083" i="1"/>
  <c r="O1082" i="1"/>
  <c r="E1082" i="1"/>
  <c r="B1082" i="1"/>
  <c r="O1081" i="1"/>
  <c r="E1081" i="1"/>
  <c r="B1081" i="1"/>
  <c r="O1080" i="1"/>
  <c r="E1080" i="1"/>
  <c r="B1080" i="1"/>
  <c r="O1079" i="1"/>
  <c r="E1079" i="1"/>
  <c r="B1079" i="1"/>
  <c r="O1078" i="1"/>
  <c r="E1078" i="1"/>
  <c r="B1078" i="1"/>
  <c r="O1077" i="1"/>
  <c r="E1077" i="1"/>
  <c r="B1077" i="1"/>
  <c r="O1076" i="1"/>
  <c r="E1076" i="1"/>
  <c r="B1076" i="1"/>
  <c r="O1075" i="1"/>
  <c r="E1075" i="1"/>
  <c r="B1075" i="1"/>
  <c r="O1074" i="1"/>
  <c r="E1074" i="1"/>
  <c r="B1074" i="1"/>
  <c r="O1073" i="1"/>
  <c r="E1073" i="1"/>
  <c r="B1073" i="1"/>
  <c r="O1072" i="1"/>
  <c r="E1072" i="1"/>
  <c r="B1072" i="1"/>
  <c r="O1071" i="1"/>
  <c r="E1071" i="1"/>
  <c r="B1071" i="1"/>
  <c r="O1070" i="1"/>
  <c r="E1070" i="1"/>
  <c r="B1070" i="1"/>
  <c r="O1069" i="1"/>
  <c r="E1069" i="1"/>
  <c r="B1069" i="1"/>
  <c r="O1068" i="1"/>
  <c r="E1068" i="1"/>
  <c r="B1068" i="1"/>
  <c r="O1067" i="1"/>
  <c r="E1067" i="1"/>
  <c r="B1067" i="1"/>
  <c r="O1066" i="1"/>
  <c r="E1066" i="1"/>
  <c r="B1066" i="1"/>
  <c r="O1065" i="1"/>
  <c r="E1065" i="1"/>
  <c r="B1065" i="1"/>
  <c r="O1064" i="1"/>
  <c r="E1064" i="1"/>
  <c r="B1064" i="1"/>
  <c r="O1063" i="1"/>
  <c r="E1063" i="1"/>
  <c r="B1063" i="1"/>
  <c r="O1062" i="1"/>
  <c r="E1062" i="1"/>
  <c r="B1062" i="1"/>
  <c r="O1061" i="1"/>
  <c r="E1061" i="1"/>
  <c r="B1061" i="1"/>
  <c r="O1060" i="1"/>
  <c r="E1060" i="1"/>
  <c r="B1060" i="1"/>
  <c r="O1059" i="1"/>
  <c r="E1059" i="1"/>
  <c r="B1059" i="1"/>
  <c r="O1058" i="1"/>
  <c r="E1058" i="1"/>
  <c r="B1058" i="1"/>
  <c r="O1057" i="1"/>
  <c r="E1057" i="1"/>
  <c r="B1057" i="1"/>
  <c r="O1056" i="1"/>
  <c r="E1056" i="1"/>
  <c r="B1056" i="1"/>
  <c r="O1055" i="1"/>
  <c r="E1055" i="1"/>
  <c r="B1055" i="1"/>
  <c r="O1054" i="1"/>
  <c r="E1054" i="1"/>
  <c r="B1054" i="1"/>
  <c r="O1053" i="1"/>
  <c r="E1053" i="1"/>
  <c r="B1053" i="1"/>
  <c r="O1052" i="1"/>
  <c r="E1052" i="1"/>
  <c r="B1052" i="1"/>
  <c r="O1051" i="1"/>
  <c r="E1051" i="1"/>
  <c r="B1051" i="1"/>
  <c r="O1050" i="1"/>
  <c r="E1050" i="1"/>
  <c r="B1050" i="1"/>
  <c r="O1049" i="1"/>
  <c r="E1049" i="1"/>
  <c r="B1049" i="1"/>
  <c r="O1048" i="1"/>
  <c r="E1048" i="1"/>
  <c r="B1048" i="1"/>
  <c r="O1047" i="1"/>
  <c r="E1047" i="1"/>
  <c r="B1047" i="1"/>
  <c r="O1046" i="1"/>
  <c r="E1046" i="1"/>
  <c r="B1046" i="1"/>
  <c r="O1045" i="1"/>
  <c r="E1045" i="1"/>
  <c r="B1045" i="1"/>
  <c r="O1044" i="1"/>
  <c r="E1044" i="1"/>
  <c r="B1044" i="1"/>
  <c r="O1043" i="1"/>
  <c r="E1043" i="1"/>
  <c r="B1043" i="1"/>
  <c r="O1042" i="1"/>
  <c r="E1042" i="1"/>
  <c r="B1042" i="1"/>
  <c r="O1041" i="1"/>
  <c r="E1041" i="1"/>
  <c r="B1041" i="1"/>
  <c r="O1040" i="1"/>
  <c r="E1040" i="1"/>
  <c r="B1040" i="1"/>
  <c r="O1039" i="1"/>
  <c r="E1039" i="1"/>
  <c r="B1039" i="1"/>
  <c r="O1038" i="1"/>
  <c r="E1038" i="1"/>
  <c r="B1038" i="1"/>
  <c r="O1037" i="1"/>
  <c r="E1037" i="1"/>
  <c r="B1037" i="1"/>
  <c r="O1036" i="1"/>
  <c r="E1036" i="1"/>
  <c r="B1036" i="1"/>
  <c r="O1035" i="1"/>
  <c r="E1035" i="1"/>
  <c r="B1035" i="1"/>
  <c r="O1034" i="1"/>
  <c r="E1034" i="1"/>
  <c r="B1034" i="1"/>
  <c r="O1033" i="1"/>
  <c r="E1033" i="1"/>
  <c r="B1033" i="1"/>
  <c r="O1032" i="1"/>
  <c r="E1032" i="1"/>
  <c r="B1032" i="1"/>
  <c r="O1031" i="1"/>
  <c r="E1031" i="1"/>
  <c r="B1031" i="1"/>
  <c r="O1030" i="1"/>
  <c r="E1030" i="1"/>
  <c r="B1030" i="1"/>
  <c r="O1029" i="1"/>
  <c r="E1029" i="1"/>
  <c r="B1029" i="1"/>
  <c r="O1028" i="1"/>
  <c r="E1028" i="1"/>
  <c r="B1028" i="1"/>
  <c r="O1027" i="1"/>
  <c r="E1027" i="1"/>
  <c r="B1027" i="1"/>
  <c r="O1026" i="1"/>
  <c r="E1026" i="1"/>
  <c r="B1026" i="1"/>
  <c r="O1025" i="1"/>
  <c r="E1025" i="1"/>
  <c r="B1025" i="1"/>
  <c r="O1024" i="1"/>
  <c r="E1024" i="1"/>
  <c r="B1024" i="1"/>
  <c r="O1023" i="1"/>
  <c r="E1023" i="1"/>
  <c r="B1023" i="1"/>
  <c r="O1022" i="1"/>
  <c r="E1022" i="1"/>
  <c r="B1022" i="1"/>
  <c r="O1021" i="1"/>
  <c r="E1021" i="1"/>
  <c r="B1021" i="1"/>
  <c r="O1020" i="1"/>
  <c r="E1020" i="1"/>
  <c r="B1020" i="1"/>
  <c r="O1019" i="1"/>
  <c r="E1019" i="1"/>
  <c r="B1019" i="1"/>
  <c r="O1018" i="1"/>
  <c r="E1018" i="1"/>
  <c r="B1018" i="1"/>
  <c r="O1017" i="1"/>
  <c r="E1017" i="1"/>
  <c r="B1017" i="1"/>
  <c r="O1016" i="1"/>
  <c r="E1016" i="1"/>
  <c r="B1016" i="1"/>
  <c r="O1015" i="1"/>
  <c r="E1015" i="1"/>
  <c r="B1015" i="1"/>
  <c r="O1014" i="1"/>
  <c r="E1014" i="1"/>
  <c r="B1014" i="1"/>
  <c r="O1013" i="1"/>
  <c r="E1013" i="1"/>
  <c r="B1013" i="1"/>
  <c r="O1012" i="1"/>
  <c r="E1012" i="1"/>
  <c r="B1012" i="1"/>
  <c r="O1011" i="1"/>
  <c r="E1011" i="1"/>
  <c r="B1011" i="1"/>
  <c r="O1010" i="1"/>
  <c r="E1010" i="1"/>
  <c r="B1010" i="1"/>
  <c r="O1009" i="1"/>
  <c r="E1009" i="1"/>
  <c r="B1009" i="1"/>
  <c r="O1008" i="1"/>
  <c r="E1008" i="1"/>
  <c r="B1008" i="1"/>
  <c r="O1007" i="1"/>
  <c r="E1007" i="1"/>
  <c r="B1007" i="1"/>
  <c r="O1006" i="1"/>
  <c r="E1006" i="1"/>
  <c r="B1006" i="1"/>
  <c r="O1005" i="1"/>
  <c r="E1005" i="1"/>
  <c r="B1005" i="1"/>
  <c r="O1004" i="1"/>
  <c r="E1004" i="1"/>
  <c r="B1004" i="1"/>
  <c r="O1003" i="1"/>
  <c r="E1003" i="1"/>
  <c r="B1003" i="1"/>
  <c r="O1002" i="1"/>
  <c r="E1002" i="1"/>
  <c r="B1002" i="1"/>
  <c r="O1001" i="1"/>
  <c r="E1001" i="1"/>
  <c r="B1001" i="1"/>
  <c r="O1000" i="1"/>
  <c r="E1000" i="1"/>
  <c r="B1000" i="1"/>
  <c r="O999" i="1"/>
  <c r="E999" i="1"/>
  <c r="B999" i="1"/>
  <c r="O998" i="1"/>
  <c r="E998" i="1"/>
  <c r="B998" i="1"/>
  <c r="O997" i="1"/>
  <c r="E997" i="1"/>
  <c r="B997" i="1"/>
  <c r="O996" i="1"/>
  <c r="E996" i="1"/>
  <c r="B996" i="1"/>
  <c r="O995" i="1"/>
  <c r="E995" i="1"/>
  <c r="B995" i="1"/>
  <c r="O994" i="1"/>
  <c r="E994" i="1"/>
  <c r="B994" i="1"/>
  <c r="O993" i="1"/>
  <c r="E993" i="1"/>
  <c r="B993" i="1"/>
  <c r="O992" i="1"/>
  <c r="E992" i="1"/>
  <c r="B992" i="1"/>
  <c r="O991" i="1"/>
  <c r="E991" i="1"/>
  <c r="B991" i="1"/>
  <c r="O990" i="1"/>
  <c r="E990" i="1"/>
  <c r="B990" i="1"/>
  <c r="O989" i="1"/>
  <c r="E989" i="1"/>
  <c r="B989" i="1"/>
  <c r="O988" i="1"/>
  <c r="E988" i="1"/>
  <c r="B988" i="1"/>
  <c r="O987" i="1"/>
  <c r="E987" i="1"/>
  <c r="B987" i="1"/>
  <c r="O986" i="1"/>
  <c r="E986" i="1"/>
  <c r="B986" i="1"/>
  <c r="O985" i="1"/>
  <c r="E985" i="1"/>
  <c r="B985" i="1"/>
  <c r="O984" i="1"/>
  <c r="E984" i="1"/>
  <c r="B984" i="1"/>
  <c r="O983" i="1"/>
  <c r="E983" i="1"/>
  <c r="B983" i="1"/>
  <c r="O982" i="1"/>
  <c r="E982" i="1"/>
  <c r="B982" i="1"/>
  <c r="O981" i="1"/>
  <c r="E981" i="1"/>
  <c r="B981" i="1"/>
  <c r="O980" i="1"/>
  <c r="E980" i="1"/>
  <c r="B980" i="1"/>
  <c r="O979" i="1"/>
  <c r="E979" i="1"/>
  <c r="B979" i="1"/>
  <c r="O978" i="1"/>
  <c r="E978" i="1"/>
  <c r="B978" i="1"/>
  <c r="O977" i="1"/>
  <c r="E977" i="1"/>
  <c r="B977" i="1"/>
  <c r="O976" i="1"/>
  <c r="E976" i="1"/>
  <c r="B976" i="1"/>
  <c r="O975" i="1"/>
  <c r="E975" i="1"/>
  <c r="B975" i="1"/>
  <c r="O974" i="1"/>
  <c r="E974" i="1"/>
  <c r="B974" i="1"/>
  <c r="O973" i="1"/>
  <c r="E973" i="1"/>
  <c r="B973" i="1"/>
  <c r="O972" i="1"/>
  <c r="E972" i="1"/>
  <c r="B972" i="1"/>
  <c r="O971" i="1"/>
  <c r="E971" i="1"/>
  <c r="B971" i="1"/>
  <c r="O970" i="1"/>
  <c r="E970" i="1"/>
  <c r="B970" i="1"/>
  <c r="O969" i="1"/>
  <c r="E969" i="1"/>
  <c r="B969" i="1"/>
  <c r="O968" i="1"/>
  <c r="E968" i="1"/>
  <c r="B968" i="1"/>
  <c r="O967" i="1"/>
  <c r="E967" i="1"/>
  <c r="B967" i="1"/>
  <c r="O966" i="1"/>
  <c r="E966" i="1"/>
  <c r="B966" i="1"/>
  <c r="O965" i="1"/>
  <c r="E965" i="1"/>
  <c r="B965" i="1"/>
  <c r="O964" i="1"/>
  <c r="E964" i="1"/>
  <c r="B964" i="1"/>
  <c r="O963" i="1"/>
  <c r="E963" i="1"/>
  <c r="B963" i="1"/>
  <c r="O962" i="1"/>
  <c r="E962" i="1"/>
  <c r="B962" i="1"/>
  <c r="O961" i="1"/>
  <c r="E961" i="1"/>
  <c r="B961" i="1"/>
  <c r="O960" i="1"/>
  <c r="E960" i="1"/>
  <c r="B960" i="1"/>
  <c r="O959" i="1"/>
  <c r="E959" i="1"/>
  <c r="B959" i="1"/>
  <c r="O958" i="1"/>
  <c r="E958" i="1"/>
  <c r="B958" i="1"/>
  <c r="O957" i="1"/>
  <c r="E957" i="1"/>
  <c r="B957" i="1"/>
  <c r="O956" i="1"/>
  <c r="E956" i="1"/>
  <c r="B956" i="1"/>
  <c r="O955" i="1"/>
  <c r="E955" i="1"/>
  <c r="B955" i="1"/>
  <c r="O954" i="1"/>
  <c r="E954" i="1"/>
  <c r="B954" i="1"/>
  <c r="O953" i="1"/>
  <c r="E953" i="1"/>
  <c r="B953" i="1"/>
  <c r="O952" i="1"/>
  <c r="E952" i="1"/>
  <c r="B952" i="1"/>
  <c r="O951" i="1"/>
  <c r="E951" i="1"/>
  <c r="B951" i="1"/>
  <c r="O950" i="1"/>
  <c r="E950" i="1"/>
  <c r="B950" i="1"/>
  <c r="O949" i="1"/>
  <c r="E949" i="1"/>
  <c r="B949" i="1"/>
  <c r="O948" i="1"/>
  <c r="E948" i="1"/>
  <c r="B948" i="1"/>
  <c r="O947" i="1"/>
  <c r="E947" i="1"/>
  <c r="B947" i="1"/>
  <c r="O946" i="1"/>
  <c r="E946" i="1"/>
  <c r="B946" i="1"/>
  <c r="O945" i="1"/>
  <c r="E945" i="1"/>
  <c r="B945" i="1"/>
  <c r="O944" i="1"/>
  <c r="E944" i="1"/>
  <c r="B944" i="1"/>
  <c r="O943" i="1"/>
  <c r="E943" i="1"/>
  <c r="B943" i="1"/>
  <c r="O942" i="1"/>
  <c r="E942" i="1"/>
  <c r="B942" i="1"/>
  <c r="O941" i="1"/>
  <c r="E941" i="1"/>
  <c r="B941" i="1"/>
  <c r="O940" i="1"/>
  <c r="E940" i="1"/>
  <c r="B940" i="1"/>
  <c r="O939" i="1"/>
  <c r="E939" i="1"/>
  <c r="B939" i="1"/>
  <c r="O938" i="1"/>
  <c r="E938" i="1"/>
  <c r="B938" i="1"/>
  <c r="O937" i="1"/>
  <c r="E937" i="1"/>
  <c r="B937" i="1"/>
  <c r="O936" i="1"/>
  <c r="E936" i="1"/>
  <c r="B936" i="1"/>
  <c r="O935" i="1"/>
  <c r="E935" i="1"/>
  <c r="B935" i="1"/>
  <c r="O934" i="1"/>
  <c r="E934" i="1"/>
  <c r="B934" i="1"/>
  <c r="O933" i="1"/>
  <c r="E933" i="1"/>
  <c r="B933" i="1"/>
  <c r="O932" i="1"/>
  <c r="E932" i="1"/>
  <c r="B932" i="1"/>
  <c r="O931" i="1"/>
  <c r="E931" i="1"/>
  <c r="B931" i="1"/>
  <c r="O930" i="1"/>
  <c r="E930" i="1"/>
  <c r="B930" i="1"/>
  <c r="O929" i="1"/>
  <c r="E929" i="1"/>
  <c r="B929" i="1"/>
  <c r="O928" i="1"/>
  <c r="E928" i="1"/>
  <c r="B928" i="1"/>
  <c r="O927" i="1"/>
  <c r="E927" i="1"/>
  <c r="B927" i="1"/>
  <c r="O926" i="1"/>
  <c r="E926" i="1"/>
  <c r="B926" i="1"/>
  <c r="O925" i="1"/>
  <c r="E925" i="1"/>
  <c r="B925" i="1"/>
  <c r="O924" i="1"/>
  <c r="E924" i="1"/>
  <c r="B924" i="1"/>
  <c r="O923" i="1"/>
  <c r="E923" i="1"/>
  <c r="B923" i="1"/>
  <c r="O922" i="1"/>
  <c r="E922" i="1"/>
  <c r="B922" i="1"/>
  <c r="O921" i="1"/>
  <c r="E921" i="1"/>
  <c r="B921" i="1"/>
  <c r="O920" i="1"/>
  <c r="E920" i="1"/>
  <c r="B920" i="1"/>
  <c r="O919" i="1"/>
  <c r="E919" i="1"/>
  <c r="B919" i="1"/>
  <c r="O918" i="1"/>
  <c r="E918" i="1"/>
  <c r="B918" i="1"/>
  <c r="O917" i="1"/>
  <c r="E917" i="1"/>
  <c r="B917" i="1"/>
  <c r="O916" i="1"/>
  <c r="E916" i="1"/>
  <c r="B916" i="1"/>
  <c r="O915" i="1"/>
  <c r="E915" i="1"/>
  <c r="B915" i="1"/>
  <c r="O914" i="1"/>
  <c r="E914" i="1"/>
  <c r="B914" i="1"/>
  <c r="O913" i="1"/>
  <c r="E913" i="1"/>
  <c r="B913" i="1"/>
  <c r="O912" i="1"/>
  <c r="E912" i="1"/>
  <c r="B912" i="1"/>
  <c r="O911" i="1"/>
  <c r="E911" i="1"/>
  <c r="B911" i="1"/>
  <c r="O910" i="1"/>
  <c r="E910" i="1"/>
  <c r="B910" i="1"/>
  <c r="O909" i="1"/>
  <c r="E909" i="1"/>
  <c r="B909" i="1"/>
  <c r="O908" i="1"/>
  <c r="E908" i="1"/>
  <c r="B908" i="1"/>
  <c r="O907" i="1"/>
  <c r="E907" i="1"/>
  <c r="B907" i="1"/>
  <c r="O906" i="1"/>
  <c r="E906" i="1"/>
  <c r="B906" i="1"/>
  <c r="O905" i="1"/>
  <c r="E905" i="1"/>
  <c r="B905" i="1"/>
  <c r="O904" i="1"/>
  <c r="E904" i="1"/>
  <c r="B904" i="1"/>
  <c r="O903" i="1"/>
  <c r="E903" i="1"/>
  <c r="B903" i="1"/>
  <c r="O902" i="1"/>
  <c r="E902" i="1"/>
  <c r="B902" i="1"/>
  <c r="O901" i="1"/>
  <c r="E901" i="1"/>
  <c r="B901" i="1"/>
  <c r="O900" i="1"/>
  <c r="E900" i="1"/>
  <c r="B900" i="1"/>
  <c r="O899" i="1"/>
  <c r="E899" i="1"/>
  <c r="B899" i="1"/>
  <c r="O898" i="1"/>
  <c r="E898" i="1"/>
  <c r="B898" i="1"/>
  <c r="O897" i="1"/>
  <c r="E897" i="1"/>
  <c r="B897" i="1"/>
  <c r="O896" i="1"/>
  <c r="E896" i="1"/>
  <c r="B896" i="1"/>
  <c r="O895" i="1"/>
  <c r="E895" i="1"/>
  <c r="B895" i="1"/>
  <c r="O894" i="1"/>
  <c r="E894" i="1"/>
  <c r="B894" i="1"/>
  <c r="O893" i="1"/>
  <c r="E893" i="1"/>
  <c r="B893" i="1"/>
  <c r="O892" i="1"/>
  <c r="E892" i="1"/>
  <c r="B892" i="1"/>
  <c r="O891" i="1"/>
  <c r="E891" i="1"/>
  <c r="B891" i="1"/>
  <c r="O890" i="1"/>
  <c r="E890" i="1"/>
  <c r="B890" i="1"/>
  <c r="O889" i="1"/>
  <c r="E889" i="1"/>
  <c r="B889" i="1"/>
  <c r="O888" i="1"/>
  <c r="E888" i="1"/>
  <c r="B888" i="1"/>
  <c r="O887" i="1"/>
  <c r="E887" i="1"/>
  <c r="B887" i="1"/>
  <c r="O886" i="1"/>
  <c r="E886" i="1"/>
  <c r="B886" i="1"/>
  <c r="O885" i="1"/>
  <c r="E885" i="1"/>
  <c r="B885" i="1"/>
  <c r="O884" i="1"/>
  <c r="E884" i="1"/>
  <c r="B884" i="1"/>
  <c r="O883" i="1"/>
  <c r="E883" i="1"/>
  <c r="B883" i="1"/>
  <c r="O882" i="1"/>
  <c r="E882" i="1"/>
  <c r="B882" i="1"/>
  <c r="O881" i="1"/>
  <c r="E881" i="1"/>
  <c r="B881" i="1"/>
  <c r="O880" i="1"/>
  <c r="E880" i="1"/>
  <c r="B880" i="1"/>
  <c r="O879" i="1"/>
  <c r="E879" i="1"/>
  <c r="B879" i="1"/>
  <c r="O878" i="1"/>
  <c r="E878" i="1"/>
  <c r="B878" i="1"/>
  <c r="O877" i="1"/>
  <c r="E877" i="1"/>
  <c r="B877" i="1"/>
  <c r="O876" i="1"/>
  <c r="E876" i="1"/>
  <c r="B876" i="1"/>
  <c r="O875" i="1"/>
  <c r="E875" i="1"/>
  <c r="B875" i="1"/>
  <c r="O874" i="1"/>
  <c r="E874" i="1"/>
  <c r="B874" i="1"/>
  <c r="O873" i="1"/>
  <c r="E873" i="1"/>
  <c r="B873" i="1"/>
  <c r="O872" i="1"/>
  <c r="E872" i="1"/>
  <c r="B872" i="1"/>
  <c r="O871" i="1"/>
  <c r="E871" i="1"/>
  <c r="B871" i="1"/>
  <c r="O870" i="1"/>
  <c r="E870" i="1"/>
  <c r="B870" i="1"/>
  <c r="O869" i="1"/>
  <c r="E869" i="1"/>
  <c r="B869" i="1"/>
  <c r="O868" i="1"/>
  <c r="E868" i="1"/>
  <c r="B868" i="1"/>
  <c r="O867" i="1"/>
  <c r="E867" i="1"/>
  <c r="B867" i="1"/>
  <c r="O866" i="1"/>
  <c r="E866" i="1"/>
  <c r="B866" i="1"/>
  <c r="O865" i="1"/>
  <c r="E865" i="1"/>
  <c r="B865" i="1"/>
  <c r="O864" i="1"/>
  <c r="E864" i="1"/>
  <c r="B864" i="1"/>
  <c r="O863" i="1"/>
  <c r="E863" i="1"/>
  <c r="B863" i="1"/>
  <c r="O862" i="1"/>
  <c r="E862" i="1"/>
  <c r="B862" i="1"/>
  <c r="O861" i="1"/>
  <c r="E861" i="1"/>
  <c r="B861" i="1"/>
  <c r="O860" i="1"/>
  <c r="E860" i="1"/>
  <c r="B860" i="1"/>
  <c r="O859" i="1"/>
  <c r="E859" i="1"/>
  <c r="B859" i="1"/>
  <c r="O858" i="1"/>
  <c r="E858" i="1"/>
  <c r="B858" i="1"/>
  <c r="O857" i="1"/>
  <c r="E857" i="1"/>
  <c r="B857" i="1"/>
  <c r="O856" i="1"/>
  <c r="E856" i="1"/>
  <c r="B856" i="1"/>
  <c r="O855" i="1"/>
  <c r="E855" i="1"/>
  <c r="B855" i="1"/>
  <c r="O854" i="1"/>
  <c r="E854" i="1"/>
  <c r="B854" i="1"/>
  <c r="O853" i="1"/>
  <c r="E853" i="1"/>
  <c r="B853" i="1"/>
  <c r="O852" i="1"/>
  <c r="E852" i="1"/>
  <c r="B852" i="1"/>
  <c r="O851" i="1"/>
  <c r="E851" i="1"/>
  <c r="B851" i="1"/>
  <c r="O850" i="1"/>
  <c r="E850" i="1"/>
  <c r="B850" i="1"/>
  <c r="O849" i="1"/>
  <c r="E849" i="1"/>
  <c r="B849" i="1"/>
  <c r="O848" i="1"/>
  <c r="E848" i="1"/>
  <c r="B848" i="1"/>
  <c r="O847" i="1"/>
  <c r="E847" i="1"/>
  <c r="B847" i="1"/>
  <c r="O846" i="1"/>
  <c r="E846" i="1"/>
  <c r="B846" i="1"/>
  <c r="O845" i="1"/>
  <c r="E845" i="1"/>
  <c r="B845" i="1"/>
  <c r="O844" i="1"/>
  <c r="E844" i="1"/>
  <c r="B844" i="1"/>
  <c r="O843" i="1"/>
  <c r="E843" i="1"/>
  <c r="B843" i="1"/>
  <c r="O842" i="1"/>
  <c r="E842" i="1"/>
  <c r="B842" i="1"/>
  <c r="O841" i="1"/>
  <c r="E841" i="1"/>
  <c r="B841" i="1"/>
  <c r="O840" i="1"/>
  <c r="E840" i="1"/>
  <c r="B840" i="1"/>
  <c r="O839" i="1"/>
  <c r="E839" i="1"/>
  <c r="B839" i="1"/>
  <c r="O838" i="1"/>
  <c r="E838" i="1"/>
  <c r="B838" i="1"/>
  <c r="O837" i="1"/>
  <c r="E837" i="1"/>
  <c r="B837" i="1"/>
  <c r="O836" i="1"/>
  <c r="E836" i="1"/>
  <c r="B836" i="1"/>
  <c r="O835" i="1"/>
  <c r="E835" i="1"/>
  <c r="B835" i="1"/>
  <c r="O834" i="1"/>
  <c r="E834" i="1"/>
  <c r="B834" i="1"/>
  <c r="O833" i="1"/>
  <c r="E833" i="1"/>
  <c r="B833" i="1"/>
  <c r="O832" i="1"/>
  <c r="E832" i="1"/>
  <c r="B832" i="1"/>
  <c r="O831" i="1"/>
  <c r="E831" i="1"/>
  <c r="B831" i="1"/>
  <c r="O830" i="1"/>
  <c r="E830" i="1"/>
  <c r="B830" i="1"/>
  <c r="O829" i="1"/>
  <c r="E829" i="1"/>
  <c r="B829" i="1"/>
  <c r="O828" i="1"/>
  <c r="E828" i="1"/>
  <c r="B828" i="1"/>
  <c r="O827" i="1"/>
  <c r="E827" i="1"/>
  <c r="B827" i="1"/>
  <c r="O826" i="1"/>
  <c r="E826" i="1"/>
  <c r="B826" i="1"/>
  <c r="O825" i="1"/>
  <c r="E825" i="1"/>
  <c r="B825" i="1"/>
  <c r="O824" i="1"/>
  <c r="E824" i="1"/>
  <c r="B824" i="1"/>
  <c r="O823" i="1"/>
  <c r="E823" i="1"/>
  <c r="B823" i="1"/>
  <c r="O822" i="1"/>
  <c r="E822" i="1"/>
  <c r="B822" i="1"/>
  <c r="O821" i="1"/>
  <c r="E821" i="1"/>
  <c r="B821" i="1"/>
  <c r="O820" i="1"/>
  <c r="E820" i="1"/>
  <c r="B820" i="1"/>
  <c r="O819" i="1"/>
  <c r="E819" i="1"/>
  <c r="B819" i="1"/>
  <c r="O818" i="1"/>
  <c r="E818" i="1"/>
  <c r="B818" i="1"/>
  <c r="O817" i="1"/>
  <c r="E817" i="1"/>
  <c r="B817" i="1"/>
  <c r="O816" i="1"/>
  <c r="E816" i="1"/>
  <c r="B816" i="1"/>
  <c r="O815" i="1"/>
  <c r="E815" i="1"/>
  <c r="B815" i="1"/>
  <c r="O814" i="1"/>
  <c r="E814" i="1"/>
  <c r="B814" i="1"/>
  <c r="O813" i="1"/>
  <c r="E813" i="1"/>
  <c r="B813" i="1"/>
  <c r="O812" i="1"/>
  <c r="E812" i="1"/>
  <c r="B812" i="1"/>
  <c r="O811" i="1"/>
  <c r="E811" i="1"/>
  <c r="B811" i="1"/>
  <c r="O810" i="1"/>
  <c r="E810" i="1"/>
  <c r="B810" i="1"/>
  <c r="O809" i="1"/>
  <c r="E809" i="1"/>
  <c r="B809" i="1"/>
  <c r="O808" i="1"/>
  <c r="E808" i="1"/>
  <c r="B808" i="1"/>
  <c r="O807" i="1"/>
  <c r="E807" i="1"/>
  <c r="B807" i="1"/>
  <c r="O806" i="1"/>
  <c r="E806" i="1"/>
  <c r="B806" i="1"/>
  <c r="O805" i="1"/>
  <c r="E805" i="1"/>
  <c r="B805" i="1"/>
  <c r="O804" i="1"/>
  <c r="E804" i="1"/>
  <c r="B804" i="1"/>
  <c r="O803" i="1"/>
  <c r="E803" i="1"/>
  <c r="B803" i="1"/>
  <c r="O802" i="1"/>
  <c r="E802" i="1"/>
  <c r="B802" i="1"/>
  <c r="O801" i="1"/>
  <c r="E801" i="1"/>
  <c r="B801" i="1"/>
  <c r="O800" i="1"/>
  <c r="E800" i="1"/>
  <c r="B800" i="1"/>
  <c r="O799" i="1"/>
  <c r="E799" i="1"/>
  <c r="B799" i="1"/>
  <c r="O798" i="1"/>
  <c r="E798" i="1"/>
  <c r="B798" i="1"/>
  <c r="O797" i="1"/>
  <c r="E797" i="1"/>
  <c r="B797" i="1"/>
  <c r="O796" i="1"/>
  <c r="E796" i="1"/>
  <c r="B796" i="1"/>
  <c r="O795" i="1"/>
  <c r="E795" i="1"/>
  <c r="B795" i="1"/>
  <c r="O794" i="1"/>
  <c r="E794" i="1"/>
  <c r="B794" i="1"/>
  <c r="O793" i="1"/>
  <c r="E793" i="1"/>
  <c r="B793" i="1"/>
  <c r="O792" i="1"/>
  <c r="E792" i="1"/>
  <c r="B792" i="1"/>
  <c r="O791" i="1"/>
  <c r="E791" i="1"/>
  <c r="B791" i="1"/>
  <c r="O790" i="1"/>
  <c r="E790" i="1"/>
  <c r="B790" i="1"/>
  <c r="O789" i="1"/>
  <c r="E789" i="1"/>
  <c r="B789" i="1"/>
  <c r="O788" i="1"/>
  <c r="E788" i="1"/>
  <c r="B788" i="1"/>
  <c r="O787" i="1"/>
  <c r="E787" i="1"/>
  <c r="B787" i="1"/>
  <c r="O786" i="1"/>
  <c r="E786" i="1"/>
  <c r="B786" i="1"/>
  <c r="O785" i="1"/>
  <c r="E785" i="1"/>
  <c r="B785" i="1"/>
  <c r="O784" i="1"/>
  <c r="E784" i="1"/>
  <c r="B784" i="1"/>
  <c r="O783" i="1"/>
  <c r="E783" i="1"/>
  <c r="B783" i="1"/>
  <c r="O782" i="1"/>
  <c r="E782" i="1"/>
  <c r="B782" i="1"/>
  <c r="O781" i="1"/>
  <c r="E781" i="1"/>
  <c r="B781" i="1"/>
  <c r="O780" i="1"/>
  <c r="E780" i="1"/>
  <c r="B780" i="1"/>
  <c r="O779" i="1"/>
  <c r="E779" i="1"/>
  <c r="B779" i="1"/>
  <c r="O778" i="1"/>
  <c r="E778" i="1"/>
  <c r="B778" i="1"/>
  <c r="O777" i="1"/>
  <c r="E777" i="1"/>
  <c r="B777" i="1"/>
  <c r="O776" i="1"/>
  <c r="E776" i="1"/>
  <c r="B776" i="1"/>
  <c r="O775" i="1"/>
  <c r="E775" i="1"/>
  <c r="B775" i="1"/>
  <c r="O774" i="1"/>
  <c r="E774" i="1"/>
  <c r="B774" i="1"/>
  <c r="O773" i="1"/>
  <c r="E773" i="1"/>
  <c r="B773" i="1"/>
  <c r="O772" i="1"/>
  <c r="E772" i="1"/>
  <c r="B772" i="1"/>
  <c r="O771" i="1"/>
  <c r="E771" i="1"/>
  <c r="B771" i="1"/>
  <c r="O770" i="1"/>
  <c r="E770" i="1"/>
  <c r="B770" i="1"/>
  <c r="O769" i="1"/>
  <c r="E769" i="1"/>
  <c r="B769" i="1"/>
  <c r="O768" i="1"/>
  <c r="E768" i="1"/>
  <c r="B768" i="1"/>
  <c r="O767" i="1"/>
  <c r="E767" i="1"/>
  <c r="B767" i="1"/>
  <c r="O766" i="1"/>
  <c r="E766" i="1"/>
  <c r="B766" i="1"/>
  <c r="O765" i="1"/>
  <c r="E765" i="1"/>
  <c r="B765" i="1"/>
  <c r="O764" i="1"/>
  <c r="E764" i="1"/>
  <c r="B764" i="1"/>
  <c r="O763" i="1"/>
  <c r="E763" i="1"/>
  <c r="B763" i="1"/>
  <c r="O762" i="1"/>
  <c r="E762" i="1"/>
  <c r="B762" i="1"/>
  <c r="O761" i="1"/>
  <c r="E761" i="1"/>
  <c r="B761" i="1"/>
  <c r="O760" i="1"/>
  <c r="E760" i="1"/>
  <c r="B760" i="1"/>
  <c r="O759" i="1"/>
  <c r="E759" i="1"/>
  <c r="B759" i="1"/>
  <c r="O758" i="1"/>
  <c r="E758" i="1"/>
  <c r="B758" i="1"/>
  <c r="O757" i="1"/>
  <c r="E757" i="1"/>
  <c r="B757" i="1"/>
  <c r="O756" i="1"/>
  <c r="E756" i="1"/>
  <c r="B756" i="1"/>
  <c r="O755" i="1"/>
  <c r="E755" i="1"/>
  <c r="B755" i="1"/>
  <c r="O754" i="1"/>
  <c r="E754" i="1"/>
  <c r="B754" i="1"/>
  <c r="O753" i="1"/>
  <c r="E753" i="1"/>
  <c r="B753" i="1"/>
  <c r="O752" i="1"/>
  <c r="E752" i="1"/>
  <c r="B752" i="1"/>
  <c r="O751" i="1"/>
  <c r="E751" i="1"/>
  <c r="B751" i="1"/>
  <c r="O750" i="1"/>
  <c r="E750" i="1"/>
  <c r="B750" i="1"/>
  <c r="O749" i="1"/>
  <c r="E749" i="1"/>
  <c r="B749" i="1"/>
  <c r="O748" i="1"/>
  <c r="E748" i="1"/>
  <c r="B748" i="1"/>
  <c r="O747" i="1"/>
  <c r="E747" i="1"/>
  <c r="B747" i="1"/>
  <c r="O746" i="1"/>
  <c r="E746" i="1"/>
  <c r="B746" i="1"/>
  <c r="O745" i="1"/>
  <c r="E745" i="1"/>
  <c r="B745" i="1"/>
  <c r="O744" i="1"/>
  <c r="E744" i="1"/>
  <c r="B744" i="1"/>
  <c r="O743" i="1"/>
  <c r="E743" i="1"/>
  <c r="B743" i="1"/>
  <c r="O742" i="1"/>
  <c r="E742" i="1"/>
  <c r="B742" i="1"/>
  <c r="O741" i="1"/>
  <c r="E741" i="1"/>
  <c r="B741" i="1"/>
  <c r="O740" i="1"/>
  <c r="E740" i="1"/>
  <c r="B740" i="1"/>
  <c r="O739" i="1"/>
  <c r="E739" i="1"/>
  <c r="B739" i="1"/>
  <c r="O738" i="1"/>
  <c r="E738" i="1"/>
  <c r="B738" i="1"/>
  <c r="O737" i="1"/>
  <c r="E737" i="1"/>
  <c r="B737" i="1"/>
  <c r="O736" i="1"/>
  <c r="E736" i="1"/>
  <c r="B736" i="1"/>
  <c r="O735" i="1"/>
  <c r="E735" i="1"/>
  <c r="B735" i="1"/>
  <c r="O734" i="1"/>
  <c r="E734" i="1"/>
  <c r="B734" i="1"/>
  <c r="O733" i="1"/>
  <c r="E733" i="1"/>
  <c r="B733" i="1"/>
  <c r="O732" i="1"/>
  <c r="E732" i="1"/>
  <c r="B732" i="1"/>
  <c r="O731" i="1"/>
  <c r="E731" i="1"/>
  <c r="B731" i="1"/>
  <c r="O730" i="1"/>
  <c r="E730" i="1"/>
  <c r="B730" i="1"/>
  <c r="O729" i="1"/>
  <c r="E729" i="1"/>
  <c r="B729" i="1"/>
  <c r="O728" i="1"/>
  <c r="E728" i="1"/>
  <c r="B728" i="1"/>
  <c r="O727" i="1"/>
  <c r="E727" i="1"/>
  <c r="B727" i="1"/>
  <c r="O726" i="1"/>
  <c r="E726" i="1"/>
  <c r="B726" i="1"/>
  <c r="O725" i="1"/>
  <c r="E725" i="1"/>
  <c r="B725" i="1"/>
  <c r="O724" i="1"/>
  <c r="E724" i="1"/>
  <c r="B724" i="1"/>
  <c r="O723" i="1"/>
  <c r="E723" i="1"/>
  <c r="B723" i="1"/>
  <c r="O722" i="1"/>
  <c r="E722" i="1"/>
  <c r="B722" i="1"/>
  <c r="O721" i="1"/>
  <c r="E721" i="1"/>
  <c r="B721" i="1"/>
  <c r="O720" i="1"/>
  <c r="E720" i="1"/>
  <c r="B720" i="1"/>
  <c r="O719" i="1"/>
  <c r="E719" i="1"/>
  <c r="B719" i="1"/>
  <c r="O718" i="1"/>
  <c r="E718" i="1"/>
  <c r="B718" i="1"/>
  <c r="O717" i="1"/>
  <c r="E717" i="1"/>
  <c r="B717" i="1"/>
  <c r="O716" i="1"/>
  <c r="E716" i="1"/>
  <c r="B716" i="1"/>
  <c r="O715" i="1"/>
  <c r="E715" i="1"/>
  <c r="B715" i="1"/>
  <c r="O714" i="1"/>
  <c r="E714" i="1"/>
  <c r="B714" i="1"/>
  <c r="O713" i="1"/>
  <c r="E713" i="1"/>
  <c r="B713" i="1"/>
  <c r="O712" i="1"/>
  <c r="E712" i="1"/>
  <c r="B712" i="1"/>
  <c r="O711" i="1"/>
  <c r="E711" i="1"/>
  <c r="B711" i="1"/>
  <c r="O710" i="1"/>
  <c r="E710" i="1"/>
  <c r="B710" i="1"/>
  <c r="O709" i="1"/>
  <c r="E709" i="1"/>
  <c r="B709" i="1"/>
  <c r="O708" i="1"/>
  <c r="E708" i="1"/>
  <c r="B708" i="1"/>
  <c r="O707" i="1"/>
  <c r="E707" i="1"/>
  <c r="B707" i="1"/>
  <c r="O706" i="1"/>
  <c r="E706" i="1"/>
  <c r="B706" i="1"/>
  <c r="O705" i="1"/>
  <c r="E705" i="1"/>
  <c r="B705" i="1"/>
  <c r="O704" i="1"/>
  <c r="E704" i="1"/>
  <c r="B704" i="1"/>
  <c r="O703" i="1"/>
  <c r="E703" i="1"/>
  <c r="B703" i="1"/>
  <c r="O702" i="1"/>
  <c r="E702" i="1"/>
  <c r="B702" i="1"/>
  <c r="O701" i="1"/>
  <c r="E701" i="1"/>
  <c r="B701" i="1"/>
  <c r="O700" i="1"/>
  <c r="E700" i="1"/>
  <c r="B700" i="1"/>
  <c r="O699" i="1"/>
  <c r="E699" i="1"/>
  <c r="B699" i="1"/>
  <c r="O698" i="1"/>
  <c r="E698" i="1"/>
  <c r="B698" i="1"/>
  <c r="O697" i="1"/>
  <c r="E697" i="1"/>
  <c r="B697" i="1"/>
  <c r="O696" i="1"/>
  <c r="E696" i="1"/>
  <c r="B696" i="1"/>
  <c r="O695" i="1"/>
  <c r="E695" i="1"/>
  <c r="B695" i="1"/>
  <c r="O694" i="1"/>
  <c r="E694" i="1"/>
  <c r="B694" i="1"/>
  <c r="O693" i="1"/>
  <c r="E693" i="1"/>
  <c r="B693" i="1"/>
  <c r="O692" i="1"/>
  <c r="E692" i="1"/>
  <c r="B692" i="1"/>
  <c r="O691" i="1"/>
  <c r="E691" i="1"/>
  <c r="B691" i="1"/>
  <c r="O690" i="1"/>
  <c r="E690" i="1"/>
  <c r="B690" i="1"/>
  <c r="O689" i="1"/>
  <c r="E689" i="1"/>
  <c r="B689" i="1"/>
  <c r="O688" i="1"/>
  <c r="E688" i="1"/>
  <c r="B688" i="1"/>
  <c r="O687" i="1"/>
  <c r="E687" i="1"/>
  <c r="B687" i="1"/>
  <c r="O686" i="1"/>
  <c r="E686" i="1"/>
  <c r="B686" i="1"/>
  <c r="O685" i="1"/>
  <c r="E685" i="1"/>
  <c r="B685" i="1"/>
  <c r="O684" i="1"/>
  <c r="E684" i="1"/>
  <c r="B684" i="1"/>
  <c r="O683" i="1"/>
  <c r="E683" i="1"/>
  <c r="B683" i="1"/>
  <c r="O682" i="1"/>
  <c r="E682" i="1"/>
  <c r="B682" i="1"/>
  <c r="O681" i="1"/>
  <c r="E681" i="1"/>
  <c r="B681" i="1"/>
  <c r="O680" i="1"/>
  <c r="E680" i="1"/>
  <c r="B680" i="1"/>
  <c r="O679" i="1"/>
  <c r="E679" i="1"/>
  <c r="B679" i="1"/>
  <c r="O678" i="1"/>
  <c r="E678" i="1"/>
  <c r="B678" i="1"/>
  <c r="O677" i="1"/>
  <c r="E677" i="1"/>
  <c r="B677" i="1"/>
  <c r="O676" i="1"/>
  <c r="E676" i="1"/>
  <c r="B676" i="1"/>
  <c r="O675" i="1"/>
  <c r="E675" i="1"/>
  <c r="B675" i="1"/>
  <c r="O674" i="1"/>
  <c r="E674" i="1"/>
  <c r="B674" i="1"/>
  <c r="O673" i="1"/>
  <c r="E673" i="1"/>
  <c r="B673" i="1"/>
  <c r="O672" i="1"/>
  <c r="E672" i="1"/>
  <c r="B672" i="1"/>
  <c r="O671" i="1"/>
  <c r="E671" i="1"/>
  <c r="B671" i="1"/>
  <c r="O670" i="1"/>
  <c r="E670" i="1"/>
  <c r="B670" i="1"/>
  <c r="O669" i="1"/>
  <c r="E669" i="1"/>
  <c r="B669" i="1"/>
  <c r="O668" i="1"/>
  <c r="E668" i="1"/>
  <c r="B668" i="1"/>
  <c r="O667" i="1"/>
  <c r="E667" i="1"/>
  <c r="B667" i="1"/>
  <c r="O666" i="1"/>
  <c r="E666" i="1"/>
  <c r="B666" i="1"/>
  <c r="O665" i="1"/>
  <c r="E665" i="1"/>
  <c r="B665" i="1"/>
  <c r="O664" i="1"/>
  <c r="E664" i="1"/>
  <c r="B664" i="1"/>
  <c r="O663" i="1"/>
  <c r="E663" i="1"/>
  <c r="B663" i="1"/>
  <c r="O662" i="1"/>
  <c r="E662" i="1"/>
  <c r="B662" i="1"/>
  <c r="O661" i="1"/>
  <c r="E661" i="1"/>
  <c r="B661" i="1"/>
  <c r="O660" i="1"/>
  <c r="E660" i="1"/>
  <c r="B660" i="1"/>
  <c r="O659" i="1"/>
  <c r="E659" i="1"/>
  <c r="B659" i="1"/>
  <c r="O658" i="1"/>
  <c r="E658" i="1"/>
  <c r="B658" i="1"/>
  <c r="O657" i="1"/>
  <c r="E657" i="1"/>
  <c r="B657" i="1"/>
  <c r="O656" i="1"/>
  <c r="E656" i="1"/>
  <c r="B656" i="1"/>
  <c r="O655" i="1"/>
  <c r="E655" i="1"/>
  <c r="B655" i="1"/>
  <c r="O654" i="1"/>
  <c r="E654" i="1"/>
  <c r="B654" i="1"/>
  <c r="O653" i="1"/>
  <c r="E653" i="1"/>
  <c r="B653" i="1"/>
  <c r="O652" i="1"/>
  <c r="E652" i="1"/>
  <c r="B652" i="1"/>
  <c r="O651" i="1"/>
  <c r="E651" i="1"/>
  <c r="B651" i="1"/>
  <c r="O650" i="1"/>
  <c r="E650" i="1"/>
  <c r="B650" i="1"/>
  <c r="O649" i="1"/>
  <c r="E649" i="1"/>
  <c r="B649" i="1"/>
  <c r="O648" i="1"/>
  <c r="E648" i="1"/>
  <c r="B648" i="1"/>
  <c r="O647" i="1"/>
  <c r="E647" i="1"/>
  <c r="B647" i="1"/>
  <c r="O646" i="1"/>
  <c r="E646" i="1"/>
  <c r="B646" i="1"/>
  <c r="O645" i="1"/>
  <c r="E645" i="1"/>
  <c r="B645" i="1"/>
  <c r="O644" i="1"/>
  <c r="E644" i="1"/>
  <c r="B644" i="1"/>
  <c r="O643" i="1"/>
  <c r="E643" i="1"/>
  <c r="B643" i="1"/>
  <c r="O642" i="1"/>
  <c r="E642" i="1"/>
  <c r="B642" i="1"/>
  <c r="O641" i="1"/>
  <c r="E641" i="1"/>
  <c r="B641" i="1"/>
  <c r="O640" i="1"/>
  <c r="E640" i="1"/>
  <c r="B640" i="1"/>
  <c r="O639" i="1"/>
  <c r="E639" i="1"/>
  <c r="B639" i="1"/>
  <c r="O638" i="1"/>
  <c r="E638" i="1"/>
  <c r="B638" i="1"/>
  <c r="O637" i="1"/>
  <c r="E637" i="1"/>
  <c r="B637" i="1"/>
  <c r="O636" i="1"/>
  <c r="E636" i="1"/>
  <c r="B636" i="1"/>
  <c r="O635" i="1"/>
  <c r="E635" i="1"/>
  <c r="B635" i="1"/>
  <c r="O634" i="1"/>
  <c r="E634" i="1"/>
  <c r="B634" i="1"/>
  <c r="O633" i="1"/>
  <c r="E633" i="1"/>
  <c r="B633" i="1"/>
  <c r="O632" i="1"/>
  <c r="E632" i="1"/>
  <c r="B632" i="1"/>
  <c r="O631" i="1"/>
  <c r="E631" i="1"/>
  <c r="B631" i="1"/>
  <c r="O630" i="1"/>
  <c r="E630" i="1"/>
  <c r="B630" i="1"/>
  <c r="O629" i="1"/>
  <c r="E629" i="1"/>
  <c r="B629" i="1"/>
  <c r="O628" i="1"/>
  <c r="E628" i="1"/>
  <c r="B628" i="1"/>
  <c r="O627" i="1"/>
  <c r="E627" i="1"/>
  <c r="B627" i="1"/>
  <c r="O626" i="1"/>
  <c r="E626" i="1"/>
  <c r="B626" i="1"/>
  <c r="O625" i="1"/>
  <c r="E625" i="1"/>
  <c r="B625" i="1"/>
  <c r="O624" i="1"/>
  <c r="E624" i="1"/>
  <c r="B624" i="1"/>
  <c r="O623" i="1"/>
  <c r="E623" i="1"/>
  <c r="B623" i="1"/>
  <c r="O622" i="1"/>
  <c r="E622" i="1"/>
  <c r="B622" i="1"/>
  <c r="O621" i="1"/>
  <c r="E621" i="1"/>
  <c r="B621" i="1"/>
  <c r="O620" i="1"/>
  <c r="E620" i="1"/>
  <c r="B620" i="1"/>
  <c r="O619" i="1"/>
  <c r="E619" i="1"/>
  <c r="B619" i="1"/>
  <c r="O618" i="1"/>
  <c r="E618" i="1"/>
  <c r="B618" i="1"/>
  <c r="O617" i="1"/>
  <c r="E617" i="1"/>
  <c r="B617" i="1"/>
  <c r="O616" i="1"/>
  <c r="E616" i="1"/>
  <c r="B616" i="1"/>
  <c r="O615" i="1"/>
  <c r="E615" i="1"/>
  <c r="B615" i="1"/>
  <c r="O614" i="1"/>
  <c r="E614" i="1"/>
  <c r="B614" i="1"/>
  <c r="O613" i="1"/>
  <c r="E613" i="1"/>
  <c r="B613" i="1"/>
  <c r="O612" i="1"/>
  <c r="E612" i="1"/>
  <c r="B612" i="1"/>
  <c r="O611" i="1"/>
  <c r="E611" i="1"/>
  <c r="B611" i="1"/>
  <c r="O610" i="1"/>
  <c r="E610" i="1"/>
  <c r="B610" i="1"/>
  <c r="O609" i="1"/>
  <c r="E609" i="1"/>
  <c r="B609" i="1"/>
  <c r="O608" i="1"/>
  <c r="E608" i="1"/>
  <c r="B608" i="1"/>
  <c r="O607" i="1"/>
  <c r="E607" i="1"/>
  <c r="B607" i="1"/>
  <c r="O606" i="1"/>
  <c r="E606" i="1"/>
  <c r="B606" i="1"/>
  <c r="O605" i="1"/>
  <c r="E605" i="1"/>
  <c r="B605" i="1"/>
  <c r="O604" i="1"/>
  <c r="E604" i="1"/>
  <c r="B604" i="1"/>
  <c r="O603" i="1"/>
  <c r="E603" i="1"/>
  <c r="B603" i="1"/>
  <c r="O602" i="1"/>
  <c r="E602" i="1"/>
  <c r="B602" i="1"/>
  <c r="O601" i="1"/>
  <c r="E601" i="1"/>
  <c r="B601" i="1"/>
  <c r="O600" i="1"/>
  <c r="E600" i="1"/>
  <c r="B600" i="1"/>
  <c r="O599" i="1"/>
  <c r="E599" i="1"/>
  <c r="B599" i="1"/>
  <c r="O598" i="1"/>
  <c r="E598" i="1"/>
  <c r="B598" i="1"/>
  <c r="O597" i="1"/>
  <c r="E597" i="1"/>
  <c r="B597" i="1"/>
  <c r="O596" i="1"/>
  <c r="E596" i="1"/>
  <c r="B596" i="1"/>
  <c r="O595" i="1"/>
  <c r="E595" i="1"/>
  <c r="B595" i="1"/>
  <c r="O594" i="1"/>
  <c r="E594" i="1"/>
  <c r="B594" i="1"/>
  <c r="O593" i="1"/>
  <c r="E593" i="1"/>
  <c r="B593" i="1"/>
  <c r="O592" i="1"/>
  <c r="E592" i="1"/>
  <c r="B592" i="1"/>
  <c r="O591" i="1"/>
  <c r="E591" i="1"/>
  <c r="B591" i="1"/>
  <c r="O590" i="1"/>
  <c r="E590" i="1"/>
  <c r="B590" i="1"/>
  <c r="O589" i="1"/>
  <c r="E589" i="1"/>
  <c r="B589" i="1"/>
  <c r="O588" i="1"/>
  <c r="E588" i="1"/>
  <c r="B588" i="1"/>
  <c r="O587" i="1"/>
  <c r="E587" i="1"/>
  <c r="B587" i="1"/>
  <c r="O586" i="1"/>
  <c r="E586" i="1"/>
  <c r="B586" i="1"/>
  <c r="O585" i="1"/>
  <c r="E585" i="1"/>
  <c r="B585" i="1"/>
  <c r="O584" i="1"/>
  <c r="E584" i="1"/>
  <c r="B584" i="1"/>
  <c r="O583" i="1"/>
  <c r="E583" i="1"/>
  <c r="B583" i="1"/>
  <c r="O582" i="1"/>
  <c r="E582" i="1"/>
  <c r="B582" i="1"/>
  <c r="O581" i="1"/>
  <c r="E581" i="1"/>
  <c r="B581" i="1"/>
  <c r="O580" i="1"/>
  <c r="E580" i="1"/>
  <c r="B580" i="1"/>
  <c r="O579" i="1"/>
  <c r="E579" i="1"/>
  <c r="B579" i="1"/>
  <c r="O578" i="1"/>
  <c r="E578" i="1"/>
  <c r="B578" i="1"/>
  <c r="O577" i="1"/>
  <c r="E577" i="1"/>
  <c r="B577" i="1"/>
  <c r="O576" i="1"/>
  <c r="E576" i="1"/>
  <c r="B576" i="1"/>
  <c r="O575" i="1"/>
  <c r="E575" i="1"/>
  <c r="B575" i="1"/>
  <c r="O574" i="1"/>
  <c r="E574" i="1"/>
  <c r="B574" i="1"/>
  <c r="O573" i="1"/>
  <c r="E573" i="1"/>
  <c r="B573" i="1"/>
  <c r="O572" i="1"/>
  <c r="E572" i="1"/>
  <c r="B572" i="1"/>
  <c r="O571" i="1"/>
  <c r="E571" i="1"/>
  <c r="B571" i="1"/>
  <c r="O570" i="1"/>
  <c r="E570" i="1"/>
  <c r="B570" i="1"/>
  <c r="O569" i="1"/>
  <c r="E569" i="1"/>
  <c r="B569" i="1"/>
  <c r="O568" i="1"/>
  <c r="E568" i="1"/>
  <c r="B568" i="1"/>
  <c r="O567" i="1"/>
  <c r="E567" i="1"/>
  <c r="B567" i="1"/>
  <c r="O566" i="1"/>
  <c r="E566" i="1"/>
  <c r="B566" i="1"/>
  <c r="O565" i="1"/>
  <c r="E565" i="1"/>
  <c r="B565" i="1"/>
  <c r="O564" i="1"/>
  <c r="E564" i="1"/>
  <c r="B564" i="1"/>
  <c r="O563" i="1"/>
  <c r="E563" i="1"/>
  <c r="B563" i="1"/>
  <c r="O562" i="1"/>
  <c r="E562" i="1"/>
  <c r="B562" i="1"/>
  <c r="O561" i="1"/>
  <c r="E561" i="1"/>
  <c r="B561" i="1"/>
  <c r="O560" i="1"/>
  <c r="E560" i="1"/>
  <c r="B560" i="1"/>
  <c r="O559" i="1"/>
  <c r="E559" i="1"/>
  <c r="B559" i="1"/>
  <c r="O558" i="1"/>
  <c r="E558" i="1"/>
  <c r="B558" i="1"/>
  <c r="O557" i="1"/>
  <c r="E557" i="1"/>
  <c r="B557" i="1"/>
  <c r="O556" i="1"/>
  <c r="E556" i="1"/>
  <c r="B556" i="1"/>
  <c r="O555" i="1"/>
  <c r="E555" i="1"/>
  <c r="B555" i="1"/>
  <c r="O554" i="1"/>
  <c r="E554" i="1"/>
  <c r="B554" i="1"/>
  <c r="O553" i="1"/>
  <c r="E553" i="1"/>
  <c r="B553" i="1"/>
  <c r="O552" i="1"/>
  <c r="E552" i="1"/>
  <c r="B552" i="1"/>
  <c r="O551" i="1"/>
  <c r="E551" i="1"/>
  <c r="B551" i="1"/>
  <c r="O550" i="1"/>
  <c r="E550" i="1"/>
  <c r="B550" i="1"/>
  <c r="O549" i="1"/>
  <c r="E549" i="1"/>
  <c r="B549" i="1"/>
  <c r="O548" i="1"/>
  <c r="E548" i="1"/>
  <c r="B548" i="1"/>
  <c r="O547" i="1"/>
  <c r="E547" i="1"/>
  <c r="B547" i="1"/>
  <c r="O546" i="1"/>
  <c r="E546" i="1"/>
  <c r="B546" i="1"/>
  <c r="O545" i="1"/>
  <c r="E545" i="1"/>
  <c r="B545" i="1"/>
  <c r="O544" i="1"/>
  <c r="E544" i="1"/>
  <c r="B544" i="1"/>
  <c r="O543" i="1"/>
  <c r="E543" i="1"/>
  <c r="B543" i="1"/>
  <c r="O542" i="1"/>
  <c r="E542" i="1"/>
  <c r="B542" i="1"/>
  <c r="O541" i="1"/>
  <c r="E541" i="1"/>
  <c r="B541" i="1"/>
  <c r="O540" i="1"/>
  <c r="E540" i="1"/>
  <c r="B540" i="1"/>
  <c r="O539" i="1"/>
  <c r="E539" i="1"/>
  <c r="B539" i="1"/>
  <c r="O538" i="1"/>
  <c r="E538" i="1"/>
  <c r="B538" i="1"/>
  <c r="O537" i="1"/>
  <c r="E537" i="1"/>
  <c r="B537" i="1"/>
  <c r="O536" i="1"/>
  <c r="E536" i="1"/>
  <c r="B536" i="1"/>
  <c r="O535" i="1"/>
  <c r="E535" i="1"/>
  <c r="B535" i="1"/>
  <c r="O534" i="1"/>
  <c r="E534" i="1"/>
  <c r="B534" i="1"/>
  <c r="O533" i="1"/>
  <c r="E533" i="1"/>
  <c r="B533" i="1"/>
  <c r="O532" i="1"/>
  <c r="E532" i="1"/>
  <c r="B532" i="1"/>
  <c r="O531" i="1"/>
  <c r="E531" i="1"/>
  <c r="B531" i="1"/>
  <c r="O530" i="1"/>
  <c r="E530" i="1"/>
  <c r="B530" i="1"/>
  <c r="O529" i="1"/>
  <c r="E529" i="1"/>
  <c r="B529" i="1"/>
  <c r="O528" i="1"/>
  <c r="E528" i="1"/>
  <c r="B528" i="1"/>
  <c r="O527" i="1"/>
  <c r="E527" i="1"/>
  <c r="B527" i="1"/>
  <c r="O526" i="1"/>
  <c r="E526" i="1"/>
  <c r="B526" i="1"/>
  <c r="O525" i="1"/>
  <c r="E525" i="1"/>
  <c r="B525" i="1"/>
  <c r="O524" i="1"/>
  <c r="E524" i="1"/>
  <c r="B524" i="1"/>
  <c r="O523" i="1"/>
  <c r="E523" i="1"/>
  <c r="B523" i="1"/>
  <c r="O522" i="1"/>
  <c r="E522" i="1"/>
  <c r="B522" i="1"/>
  <c r="O521" i="1"/>
  <c r="E521" i="1"/>
  <c r="B521" i="1"/>
  <c r="O520" i="1"/>
  <c r="E520" i="1"/>
  <c r="B520" i="1"/>
  <c r="O519" i="1"/>
  <c r="E519" i="1"/>
  <c r="B519" i="1"/>
  <c r="O518" i="1"/>
  <c r="E518" i="1"/>
  <c r="B518" i="1"/>
  <c r="O517" i="1"/>
  <c r="E517" i="1"/>
  <c r="B517" i="1"/>
  <c r="O516" i="1"/>
  <c r="E516" i="1"/>
  <c r="B516" i="1"/>
  <c r="O515" i="1"/>
  <c r="E515" i="1"/>
  <c r="B515" i="1"/>
  <c r="O514" i="1"/>
  <c r="E514" i="1"/>
  <c r="B514" i="1"/>
  <c r="O513" i="1"/>
  <c r="E513" i="1"/>
  <c r="B513" i="1"/>
  <c r="O512" i="1"/>
  <c r="E512" i="1"/>
  <c r="B512" i="1"/>
  <c r="O511" i="1"/>
  <c r="E511" i="1"/>
  <c r="B511" i="1"/>
  <c r="O510" i="1"/>
  <c r="E510" i="1"/>
  <c r="B510" i="1"/>
  <c r="O509" i="1"/>
  <c r="E509" i="1"/>
  <c r="B509" i="1"/>
  <c r="O508" i="1"/>
  <c r="E508" i="1"/>
  <c r="B508" i="1"/>
  <c r="O507" i="1"/>
  <c r="E507" i="1"/>
  <c r="B507" i="1"/>
  <c r="O506" i="1"/>
  <c r="E506" i="1"/>
  <c r="B506" i="1"/>
  <c r="O505" i="1"/>
  <c r="E505" i="1"/>
  <c r="B505" i="1"/>
  <c r="O504" i="1"/>
  <c r="E504" i="1"/>
  <c r="B504" i="1"/>
  <c r="O503" i="1"/>
  <c r="E503" i="1"/>
  <c r="B503" i="1"/>
  <c r="O502" i="1"/>
  <c r="E502" i="1"/>
  <c r="B502" i="1"/>
  <c r="O501" i="1"/>
  <c r="E501" i="1"/>
  <c r="B501" i="1"/>
  <c r="O500" i="1"/>
  <c r="E500" i="1"/>
  <c r="B500" i="1"/>
  <c r="O499" i="1"/>
  <c r="E499" i="1"/>
  <c r="B499" i="1"/>
  <c r="O498" i="1"/>
  <c r="E498" i="1"/>
  <c r="B498" i="1"/>
  <c r="O497" i="1"/>
  <c r="E497" i="1"/>
  <c r="B497" i="1"/>
  <c r="O496" i="1"/>
  <c r="E496" i="1"/>
  <c r="B496" i="1"/>
  <c r="O495" i="1"/>
  <c r="E495" i="1"/>
  <c r="B495" i="1"/>
  <c r="O494" i="1"/>
  <c r="E494" i="1"/>
  <c r="B494" i="1"/>
  <c r="O493" i="1"/>
  <c r="E493" i="1"/>
  <c r="B493" i="1"/>
  <c r="O492" i="1"/>
  <c r="E492" i="1"/>
  <c r="B492" i="1"/>
  <c r="O491" i="1"/>
  <c r="E491" i="1"/>
  <c r="B491" i="1"/>
  <c r="O490" i="1"/>
  <c r="E490" i="1"/>
  <c r="B490" i="1"/>
  <c r="O489" i="1"/>
  <c r="E489" i="1"/>
  <c r="B489" i="1"/>
  <c r="O488" i="1"/>
  <c r="E488" i="1"/>
  <c r="B488" i="1"/>
  <c r="O487" i="1"/>
  <c r="E487" i="1"/>
  <c r="B487" i="1"/>
  <c r="O486" i="1"/>
  <c r="E486" i="1"/>
  <c r="B486" i="1"/>
  <c r="O485" i="1"/>
  <c r="E485" i="1"/>
  <c r="B485" i="1"/>
  <c r="O484" i="1"/>
  <c r="E484" i="1"/>
  <c r="B484" i="1"/>
  <c r="O483" i="1"/>
  <c r="E483" i="1"/>
  <c r="B483" i="1"/>
  <c r="O482" i="1"/>
  <c r="E482" i="1"/>
  <c r="B482" i="1"/>
  <c r="O481" i="1"/>
  <c r="E481" i="1"/>
  <c r="B481" i="1"/>
  <c r="P480" i="1"/>
  <c r="O480" i="1"/>
  <c r="E480" i="1"/>
  <c r="B480" i="1"/>
  <c r="O479" i="1"/>
  <c r="E479" i="1"/>
  <c r="B479" i="1"/>
  <c r="O478" i="1"/>
  <c r="E478" i="1"/>
  <c r="B478" i="1"/>
  <c r="O477" i="1"/>
  <c r="E477" i="1"/>
  <c r="B477" i="1"/>
  <c r="O476" i="1"/>
  <c r="E476" i="1"/>
  <c r="B476" i="1"/>
  <c r="O475" i="1"/>
  <c r="E475" i="1"/>
  <c r="B475" i="1"/>
  <c r="O474" i="1"/>
  <c r="E474" i="1"/>
  <c r="B474" i="1"/>
  <c r="O473" i="1"/>
  <c r="E473" i="1"/>
  <c r="B473" i="1"/>
  <c r="O472" i="1"/>
  <c r="E472" i="1"/>
  <c r="B472" i="1"/>
  <c r="O471" i="1"/>
  <c r="E471" i="1"/>
  <c r="B471" i="1"/>
  <c r="O470" i="1"/>
  <c r="E470" i="1"/>
  <c r="B470" i="1"/>
  <c r="O469" i="1"/>
  <c r="E469" i="1"/>
  <c r="B469" i="1"/>
  <c r="O468" i="1"/>
  <c r="E468" i="1"/>
  <c r="B468" i="1"/>
  <c r="O467" i="1"/>
  <c r="E467" i="1"/>
  <c r="B467" i="1"/>
  <c r="O466" i="1"/>
  <c r="E466" i="1"/>
  <c r="B466" i="1"/>
  <c r="O465" i="1"/>
  <c r="E465" i="1"/>
  <c r="B465" i="1"/>
  <c r="O464" i="1"/>
  <c r="E464" i="1"/>
  <c r="B464" i="1"/>
  <c r="O463" i="1"/>
  <c r="E463" i="1"/>
  <c r="B463" i="1"/>
  <c r="O462" i="1"/>
  <c r="E462" i="1"/>
  <c r="B462" i="1"/>
  <c r="O461" i="1"/>
  <c r="E461" i="1"/>
  <c r="B461" i="1"/>
  <c r="O460" i="1"/>
  <c r="E460" i="1"/>
  <c r="B460" i="1"/>
  <c r="O459" i="1"/>
  <c r="E459" i="1"/>
  <c r="B459" i="1"/>
  <c r="O458" i="1"/>
  <c r="E458" i="1"/>
  <c r="B458" i="1"/>
  <c r="O457" i="1"/>
  <c r="E457" i="1"/>
  <c r="B457" i="1"/>
  <c r="O456" i="1"/>
  <c r="E456" i="1"/>
  <c r="B456" i="1"/>
  <c r="O455" i="1"/>
  <c r="E455" i="1"/>
  <c r="B455" i="1"/>
  <c r="O454" i="1"/>
  <c r="E454" i="1"/>
  <c r="B454" i="1"/>
  <c r="O453" i="1"/>
  <c r="E453" i="1"/>
  <c r="B453" i="1"/>
  <c r="O452" i="1"/>
  <c r="E452" i="1"/>
  <c r="B452" i="1"/>
  <c r="O451" i="1"/>
  <c r="E451" i="1"/>
  <c r="B451" i="1"/>
  <c r="O450" i="1"/>
  <c r="E450" i="1"/>
  <c r="B450" i="1"/>
  <c r="O449" i="1"/>
  <c r="E449" i="1"/>
  <c r="B449" i="1"/>
  <c r="O448" i="1"/>
  <c r="E448" i="1"/>
  <c r="B448" i="1"/>
  <c r="O447" i="1"/>
  <c r="E447" i="1"/>
  <c r="B447" i="1"/>
  <c r="O446" i="1"/>
  <c r="E446" i="1"/>
  <c r="B446" i="1"/>
  <c r="O445" i="1"/>
  <c r="E445" i="1"/>
  <c r="B445" i="1"/>
  <c r="O444" i="1"/>
  <c r="E444" i="1"/>
  <c r="B444" i="1"/>
  <c r="O443" i="1"/>
  <c r="E443" i="1"/>
  <c r="B443" i="1"/>
  <c r="O442" i="1"/>
  <c r="E442" i="1"/>
  <c r="B442" i="1"/>
  <c r="O441" i="1"/>
  <c r="E441" i="1"/>
  <c r="B441" i="1"/>
  <c r="O440" i="1"/>
  <c r="E440" i="1"/>
  <c r="B440" i="1"/>
  <c r="O439" i="1"/>
  <c r="E439" i="1"/>
  <c r="B439" i="1"/>
  <c r="O438" i="1"/>
  <c r="E438" i="1"/>
  <c r="B438" i="1"/>
  <c r="O437" i="1"/>
  <c r="E437" i="1"/>
  <c r="B437" i="1"/>
  <c r="O436" i="1"/>
  <c r="E436" i="1"/>
  <c r="B436" i="1"/>
  <c r="O435" i="1"/>
  <c r="E435" i="1"/>
  <c r="B435" i="1"/>
  <c r="O434" i="1"/>
  <c r="E434" i="1"/>
  <c r="B434" i="1"/>
  <c r="O433" i="1"/>
  <c r="E433" i="1"/>
  <c r="B433" i="1"/>
  <c r="O432" i="1"/>
  <c r="E432" i="1"/>
  <c r="B432" i="1"/>
  <c r="O431" i="1"/>
  <c r="E431" i="1"/>
  <c r="B431" i="1"/>
  <c r="O430" i="1"/>
  <c r="E430" i="1"/>
  <c r="B430" i="1"/>
  <c r="O429" i="1"/>
  <c r="E429" i="1"/>
  <c r="B429" i="1"/>
  <c r="O428" i="1"/>
  <c r="E428" i="1"/>
  <c r="B428" i="1"/>
  <c r="O427" i="1"/>
  <c r="E427" i="1"/>
  <c r="B427" i="1"/>
  <c r="O426" i="1"/>
  <c r="E426" i="1"/>
  <c r="B426" i="1"/>
  <c r="O425" i="1"/>
  <c r="E425" i="1"/>
  <c r="B425" i="1"/>
  <c r="O424" i="1"/>
  <c r="E424" i="1"/>
  <c r="B424" i="1"/>
  <c r="O423" i="1"/>
  <c r="E423" i="1"/>
  <c r="B423" i="1"/>
  <c r="O422" i="1"/>
  <c r="E422" i="1"/>
  <c r="B422" i="1"/>
  <c r="O421" i="1"/>
  <c r="E421" i="1"/>
  <c r="B421" i="1"/>
  <c r="O420" i="1"/>
  <c r="E420" i="1"/>
  <c r="B420" i="1"/>
  <c r="O419" i="1"/>
  <c r="E419" i="1"/>
  <c r="B419" i="1"/>
  <c r="O418" i="1"/>
  <c r="E418" i="1"/>
  <c r="B418" i="1"/>
  <c r="O417" i="1"/>
  <c r="E417" i="1"/>
  <c r="B417" i="1"/>
  <c r="O416" i="1"/>
  <c r="E416" i="1"/>
  <c r="B416" i="1"/>
  <c r="O415" i="1"/>
  <c r="E415" i="1"/>
  <c r="B415" i="1"/>
  <c r="O414" i="1"/>
  <c r="E414" i="1"/>
  <c r="B414" i="1"/>
  <c r="O413" i="1"/>
  <c r="E413" i="1"/>
  <c r="B413" i="1"/>
  <c r="O412" i="1"/>
  <c r="E412" i="1"/>
  <c r="B412" i="1"/>
  <c r="O411" i="1"/>
  <c r="E411" i="1"/>
  <c r="B411" i="1"/>
  <c r="O410" i="1"/>
  <c r="E410" i="1"/>
  <c r="B410" i="1"/>
  <c r="O409" i="1"/>
  <c r="E409" i="1"/>
  <c r="B409" i="1"/>
  <c r="O408" i="1"/>
  <c r="E408" i="1"/>
  <c r="B408" i="1"/>
  <c r="O407" i="1"/>
  <c r="E407" i="1"/>
  <c r="B407" i="1"/>
  <c r="O406" i="1"/>
  <c r="E406" i="1"/>
  <c r="B406" i="1"/>
  <c r="O405" i="1"/>
  <c r="E405" i="1"/>
  <c r="B405" i="1"/>
  <c r="O404" i="1"/>
  <c r="E404" i="1"/>
  <c r="B404" i="1"/>
  <c r="O403" i="1"/>
  <c r="E403" i="1"/>
  <c r="B403" i="1"/>
  <c r="O402" i="1"/>
  <c r="E402" i="1"/>
  <c r="B402" i="1"/>
  <c r="O401" i="1"/>
  <c r="E401" i="1"/>
  <c r="B401" i="1"/>
  <c r="O400" i="1"/>
  <c r="E400" i="1"/>
  <c r="B400" i="1"/>
  <c r="O399" i="1"/>
  <c r="E399" i="1"/>
  <c r="B399" i="1"/>
  <c r="O398" i="1"/>
  <c r="E398" i="1"/>
  <c r="B398" i="1"/>
  <c r="O397" i="1"/>
  <c r="E397" i="1"/>
  <c r="B397" i="1"/>
  <c r="O396" i="1"/>
  <c r="E396" i="1"/>
  <c r="B396" i="1"/>
  <c r="O395" i="1"/>
  <c r="E395" i="1"/>
  <c r="B395" i="1"/>
  <c r="O394" i="1"/>
  <c r="E394" i="1"/>
  <c r="B394" i="1"/>
  <c r="O393" i="1"/>
  <c r="E393" i="1"/>
  <c r="B393" i="1"/>
  <c r="O392" i="1"/>
  <c r="E392" i="1"/>
  <c r="B392" i="1"/>
  <c r="O391" i="1"/>
  <c r="E391" i="1"/>
  <c r="B391" i="1"/>
  <c r="O390" i="1"/>
  <c r="E390" i="1"/>
  <c r="B390" i="1"/>
  <c r="O389" i="1"/>
  <c r="E389" i="1"/>
  <c r="B389" i="1"/>
  <c r="O388" i="1"/>
  <c r="E388" i="1"/>
  <c r="B388" i="1"/>
  <c r="O387" i="1"/>
  <c r="E387" i="1"/>
  <c r="B387" i="1"/>
  <c r="O386" i="1"/>
  <c r="E386" i="1"/>
  <c r="B386" i="1"/>
  <c r="O385" i="1"/>
  <c r="E385" i="1"/>
  <c r="B385" i="1"/>
  <c r="O384" i="1"/>
  <c r="E384" i="1"/>
  <c r="B384" i="1"/>
  <c r="O383" i="1"/>
  <c r="E383" i="1"/>
  <c r="B383" i="1"/>
  <c r="O382" i="1"/>
  <c r="E382" i="1"/>
  <c r="B382" i="1"/>
  <c r="O381" i="1"/>
  <c r="E381" i="1"/>
  <c r="B381" i="1"/>
  <c r="O380" i="1"/>
  <c r="E380" i="1"/>
  <c r="B380" i="1"/>
  <c r="O379" i="1"/>
  <c r="E379" i="1"/>
  <c r="B379" i="1"/>
  <c r="O378" i="1"/>
  <c r="E378" i="1"/>
  <c r="B378" i="1"/>
  <c r="O377" i="1"/>
  <c r="E377" i="1"/>
  <c r="B377" i="1"/>
  <c r="O376" i="1"/>
  <c r="E376" i="1"/>
  <c r="B376" i="1"/>
  <c r="O375" i="1"/>
  <c r="E375" i="1"/>
  <c r="B375" i="1"/>
  <c r="O374" i="1"/>
  <c r="E374" i="1"/>
  <c r="B374" i="1"/>
  <c r="O373" i="1"/>
  <c r="E373" i="1"/>
  <c r="B373" i="1"/>
  <c r="O372" i="1"/>
  <c r="E372" i="1"/>
  <c r="B372" i="1"/>
  <c r="O371" i="1"/>
  <c r="E371" i="1"/>
  <c r="B371" i="1"/>
  <c r="O370" i="1"/>
  <c r="E370" i="1"/>
  <c r="B370" i="1"/>
  <c r="O369" i="1"/>
  <c r="E369" i="1"/>
  <c r="B369" i="1"/>
  <c r="O368" i="1"/>
  <c r="E368" i="1"/>
  <c r="B368" i="1"/>
  <c r="O367" i="1"/>
  <c r="E367" i="1"/>
  <c r="B367" i="1"/>
  <c r="O366" i="1"/>
  <c r="E366" i="1"/>
  <c r="B366" i="1"/>
  <c r="O365" i="1"/>
  <c r="E365" i="1"/>
  <c r="B365" i="1"/>
  <c r="O364" i="1"/>
  <c r="E364" i="1"/>
  <c r="B364" i="1"/>
  <c r="O363" i="1"/>
  <c r="E363" i="1"/>
  <c r="B363" i="1"/>
  <c r="O362" i="1"/>
  <c r="E362" i="1"/>
  <c r="B362" i="1"/>
  <c r="O361" i="1"/>
  <c r="E361" i="1"/>
  <c r="B361" i="1"/>
  <c r="O360" i="1"/>
  <c r="E360" i="1"/>
  <c r="B360" i="1"/>
  <c r="O359" i="1"/>
  <c r="E359" i="1"/>
  <c r="B359" i="1"/>
  <c r="O358" i="1"/>
  <c r="E358" i="1"/>
  <c r="B358" i="1"/>
  <c r="O357" i="1"/>
  <c r="E357" i="1"/>
  <c r="B357" i="1"/>
  <c r="O356" i="1"/>
  <c r="E356" i="1"/>
  <c r="B356" i="1"/>
  <c r="O355" i="1"/>
  <c r="E355" i="1"/>
  <c r="B355" i="1"/>
  <c r="O354" i="1"/>
  <c r="E354" i="1"/>
  <c r="B354" i="1"/>
  <c r="O353" i="1"/>
  <c r="E353" i="1"/>
  <c r="B353" i="1"/>
  <c r="O352" i="1"/>
  <c r="E352" i="1"/>
  <c r="B352" i="1"/>
  <c r="O351" i="1"/>
  <c r="E351" i="1"/>
  <c r="B351" i="1"/>
  <c r="O350" i="1"/>
  <c r="E350" i="1"/>
  <c r="B350" i="1"/>
  <c r="O349" i="1"/>
  <c r="E349" i="1"/>
  <c r="B349" i="1"/>
  <c r="O348" i="1"/>
  <c r="E348" i="1"/>
  <c r="B348" i="1"/>
  <c r="O347" i="1"/>
  <c r="E347" i="1"/>
  <c r="B347" i="1"/>
  <c r="O346" i="1"/>
  <c r="E346" i="1"/>
  <c r="B346" i="1"/>
  <c r="O345" i="1"/>
  <c r="E345" i="1"/>
  <c r="B345" i="1"/>
  <c r="O344" i="1"/>
  <c r="E344" i="1"/>
  <c r="B344" i="1"/>
  <c r="O343" i="1"/>
  <c r="E343" i="1"/>
  <c r="B343" i="1"/>
  <c r="O342" i="1"/>
  <c r="E342" i="1"/>
  <c r="B342" i="1"/>
  <c r="O341" i="1"/>
  <c r="E341" i="1"/>
  <c r="B341" i="1"/>
  <c r="O340" i="1"/>
  <c r="E340" i="1"/>
  <c r="B340" i="1"/>
  <c r="O339" i="1"/>
  <c r="E339" i="1"/>
  <c r="B339" i="1"/>
  <c r="O338" i="1"/>
  <c r="E338" i="1"/>
  <c r="B338" i="1"/>
  <c r="O337" i="1"/>
  <c r="E337" i="1"/>
  <c r="B337" i="1"/>
  <c r="O336" i="1"/>
  <c r="E336" i="1"/>
  <c r="B336" i="1"/>
  <c r="O335" i="1"/>
  <c r="E335" i="1"/>
  <c r="B335" i="1"/>
  <c r="O334" i="1"/>
  <c r="E334" i="1"/>
  <c r="B334" i="1"/>
  <c r="O333" i="1"/>
  <c r="E333" i="1"/>
  <c r="B333" i="1"/>
  <c r="O332" i="1"/>
  <c r="E332" i="1"/>
  <c r="B332" i="1"/>
  <c r="O331" i="1"/>
  <c r="E331" i="1"/>
  <c r="B331" i="1"/>
  <c r="O330" i="1"/>
  <c r="E330" i="1"/>
  <c r="B330" i="1"/>
  <c r="O329" i="1"/>
  <c r="E329" i="1"/>
  <c r="B329" i="1"/>
  <c r="O328" i="1"/>
  <c r="E328" i="1"/>
  <c r="B328" i="1"/>
  <c r="O327" i="1"/>
  <c r="E327" i="1"/>
  <c r="B327" i="1"/>
  <c r="O326" i="1"/>
  <c r="E326" i="1"/>
  <c r="B326" i="1"/>
  <c r="O325" i="1"/>
  <c r="E325" i="1"/>
  <c r="B325" i="1"/>
  <c r="O324" i="1"/>
  <c r="E324" i="1"/>
  <c r="B324" i="1"/>
  <c r="O323" i="1"/>
  <c r="E323" i="1"/>
  <c r="B323" i="1"/>
  <c r="O322" i="1"/>
  <c r="E322" i="1"/>
  <c r="B322" i="1"/>
  <c r="O321" i="1"/>
  <c r="E321" i="1"/>
  <c r="B321" i="1"/>
  <c r="O320" i="1"/>
  <c r="E320" i="1"/>
  <c r="B320" i="1"/>
  <c r="O319" i="1"/>
  <c r="E319" i="1"/>
  <c r="B319" i="1"/>
  <c r="O318" i="1"/>
  <c r="E318" i="1"/>
  <c r="B318" i="1"/>
  <c r="O317" i="1"/>
  <c r="E317" i="1"/>
  <c r="B317" i="1"/>
  <c r="O316" i="1"/>
  <c r="E316" i="1"/>
  <c r="B316" i="1"/>
  <c r="O315" i="1"/>
  <c r="E315" i="1"/>
  <c r="B315" i="1"/>
  <c r="O314" i="1"/>
  <c r="E314" i="1"/>
  <c r="B314" i="1"/>
  <c r="O313" i="1"/>
  <c r="E313" i="1"/>
  <c r="B313" i="1"/>
  <c r="O312" i="1"/>
  <c r="E312" i="1"/>
  <c r="B312" i="1"/>
  <c r="O311" i="1"/>
  <c r="E311" i="1"/>
  <c r="B311" i="1"/>
  <c r="O310" i="1"/>
  <c r="E310" i="1"/>
  <c r="B310" i="1"/>
  <c r="O309" i="1"/>
  <c r="E309" i="1"/>
  <c r="B309" i="1"/>
  <c r="O308" i="1"/>
  <c r="E308" i="1"/>
  <c r="B308" i="1"/>
  <c r="O307" i="1"/>
  <c r="E307" i="1"/>
  <c r="B307" i="1"/>
  <c r="O306" i="1"/>
  <c r="E306" i="1"/>
  <c r="B306" i="1"/>
  <c r="O305" i="1"/>
  <c r="E305" i="1"/>
  <c r="B305" i="1"/>
  <c r="O304" i="1"/>
  <c r="E304" i="1"/>
  <c r="B304" i="1"/>
  <c r="O303" i="1"/>
  <c r="E303" i="1"/>
  <c r="B303" i="1"/>
  <c r="O302" i="1"/>
  <c r="E302" i="1"/>
  <c r="B302" i="1"/>
  <c r="O301" i="1"/>
  <c r="E301" i="1"/>
  <c r="B301" i="1"/>
  <c r="O300" i="1"/>
  <c r="E300" i="1"/>
  <c r="B300" i="1"/>
  <c r="O299" i="1"/>
  <c r="E299" i="1"/>
  <c r="B299" i="1"/>
  <c r="O298" i="1"/>
  <c r="E298" i="1"/>
  <c r="B298" i="1"/>
  <c r="O297" i="1"/>
  <c r="E297" i="1"/>
  <c r="B297" i="1"/>
  <c r="O296" i="1"/>
  <c r="E296" i="1"/>
  <c r="B296" i="1"/>
  <c r="O295" i="1"/>
  <c r="E295" i="1"/>
  <c r="B295" i="1"/>
  <c r="O294" i="1"/>
  <c r="E294" i="1"/>
  <c r="B294" i="1"/>
  <c r="O293" i="1"/>
  <c r="E293" i="1"/>
  <c r="B293" i="1"/>
  <c r="O292" i="1"/>
  <c r="E292" i="1"/>
  <c r="B292" i="1"/>
  <c r="O291" i="1"/>
  <c r="E291" i="1"/>
  <c r="B291" i="1"/>
  <c r="O290" i="1"/>
  <c r="E290" i="1"/>
  <c r="B290" i="1"/>
  <c r="O289" i="1"/>
  <c r="E289" i="1"/>
  <c r="B289" i="1"/>
  <c r="O288" i="1"/>
  <c r="E288" i="1"/>
  <c r="B288" i="1"/>
  <c r="O287" i="1"/>
  <c r="E287" i="1"/>
  <c r="B287" i="1"/>
  <c r="O286" i="1"/>
  <c r="E286" i="1"/>
  <c r="B286" i="1"/>
  <c r="O285" i="1"/>
  <c r="E285" i="1"/>
  <c r="B285" i="1"/>
  <c r="O284" i="1"/>
  <c r="E284" i="1"/>
  <c r="B284" i="1"/>
  <c r="O283" i="1"/>
  <c r="E283" i="1"/>
  <c r="B283" i="1"/>
  <c r="O282" i="1"/>
  <c r="E282" i="1"/>
  <c r="B282" i="1"/>
  <c r="O281" i="1"/>
  <c r="E281" i="1"/>
  <c r="B281" i="1"/>
  <c r="O280" i="1"/>
  <c r="E280" i="1"/>
  <c r="B280" i="1"/>
  <c r="O279" i="1"/>
  <c r="E279" i="1"/>
  <c r="B279" i="1"/>
  <c r="O278" i="1"/>
  <c r="E278" i="1"/>
  <c r="B278" i="1"/>
  <c r="O277" i="1"/>
  <c r="E277" i="1"/>
  <c r="B277" i="1"/>
  <c r="O276" i="1"/>
  <c r="E276" i="1"/>
  <c r="B276" i="1"/>
  <c r="O275" i="1"/>
  <c r="E275" i="1"/>
  <c r="B275" i="1"/>
  <c r="O274" i="1"/>
  <c r="E274" i="1"/>
  <c r="B274" i="1"/>
  <c r="O273" i="1"/>
  <c r="E273" i="1"/>
  <c r="B273" i="1"/>
  <c r="O272" i="1"/>
  <c r="E272" i="1"/>
  <c r="B272" i="1"/>
  <c r="O271" i="1"/>
  <c r="E271" i="1"/>
  <c r="B271" i="1"/>
  <c r="O270" i="1"/>
  <c r="E270" i="1"/>
  <c r="B270" i="1"/>
  <c r="O269" i="1"/>
  <c r="E269" i="1"/>
  <c r="B269" i="1"/>
  <c r="O268" i="1"/>
  <c r="E268" i="1"/>
  <c r="B268" i="1"/>
  <c r="O267" i="1"/>
  <c r="E267" i="1"/>
  <c r="B267" i="1"/>
  <c r="O266" i="1"/>
  <c r="E266" i="1"/>
  <c r="B266" i="1"/>
  <c r="O265" i="1"/>
  <c r="E265" i="1"/>
  <c r="B265" i="1"/>
  <c r="O264" i="1"/>
  <c r="E264" i="1"/>
  <c r="B264" i="1"/>
  <c r="O263" i="1"/>
  <c r="E263" i="1"/>
  <c r="B263" i="1"/>
  <c r="O262" i="1"/>
  <c r="E262" i="1"/>
  <c r="B262" i="1"/>
  <c r="O261" i="1"/>
  <c r="E261" i="1"/>
  <c r="B261" i="1"/>
  <c r="O260" i="1"/>
  <c r="E260" i="1"/>
  <c r="B260" i="1"/>
  <c r="O259" i="1"/>
  <c r="E259" i="1"/>
  <c r="B259" i="1"/>
  <c r="O258" i="1"/>
  <c r="E258" i="1"/>
  <c r="B258" i="1"/>
  <c r="O257" i="1"/>
  <c r="E257" i="1"/>
  <c r="B257" i="1"/>
  <c r="O256" i="1"/>
  <c r="E256" i="1"/>
  <c r="B256" i="1"/>
  <c r="O255" i="1"/>
  <c r="E255" i="1"/>
  <c r="B255" i="1"/>
  <c r="O254" i="1"/>
  <c r="E254" i="1"/>
  <c r="B254" i="1"/>
  <c r="O253" i="1"/>
  <c r="E253" i="1"/>
  <c r="B253" i="1"/>
  <c r="O252" i="1"/>
  <c r="E252" i="1"/>
  <c r="B252" i="1"/>
  <c r="O251" i="1"/>
  <c r="E251" i="1"/>
  <c r="B251" i="1"/>
  <c r="O250" i="1"/>
  <c r="E250" i="1"/>
  <c r="B250" i="1"/>
  <c r="O249" i="1"/>
  <c r="E249" i="1"/>
  <c r="B249" i="1"/>
  <c r="O248" i="1"/>
  <c r="E248" i="1"/>
  <c r="B248" i="1"/>
  <c r="O247" i="1"/>
  <c r="E247" i="1"/>
  <c r="B247" i="1"/>
  <c r="O246" i="1"/>
  <c r="E246" i="1"/>
  <c r="B246" i="1"/>
  <c r="O245" i="1"/>
  <c r="E245" i="1"/>
  <c r="B245" i="1"/>
  <c r="O244" i="1"/>
  <c r="E244" i="1"/>
  <c r="B244" i="1"/>
  <c r="O243" i="1"/>
  <c r="E243" i="1"/>
  <c r="B243" i="1"/>
  <c r="O242" i="1"/>
  <c r="E242" i="1"/>
  <c r="B242" i="1"/>
  <c r="O241" i="1"/>
  <c r="E241" i="1"/>
  <c r="B241" i="1"/>
  <c r="O240" i="1"/>
  <c r="E240" i="1"/>
  <c r="B240" i="1"/>
  <c r="O239" i="1"/>
  <c r="E239" i="1"/>
  <c r="B239" i="1"/>
  <c r="O238" i="1"/>
  <c r="E238" i="1"/>
  <c r="B238" i="1"/>
  <c r="O237" i="1"/>
  <c r="E237" i="1"/>
  <c r="B237" i="1"/>
  <c r="O236" i="1"/>
  <c r="E236" i="1"/>
  <c r="B236" i="1"/>
  <c r="O235" i="1"/>
  <c r="E235" i="1"/>
  <c r="B235" i="1"/>
  <c r="O234" i="1"/>
  <c r="E234" i="1"/>
  <c r="B234" i="1"/>
  <c r="O233" i="1"/>
  <c r="E233" i="1"/>
  <c r="B233" i="1"/>
  <c r="O232" i="1"/>
  <c r="E232" i="1"/>
  <c r="B232" i="1"/>
  <c r="O231" i="1"/>
  <c r="E231" i="1"/>
  <c r="B231" i="1"/>
  <c r="O230" i="1"/>
  <c r="E230" i="1"/>
  <c r="B230" i="1"/>
  <c r="O229" i="1"/>
  <c r="E229" i="1"/>
  <c r="B229" i="1"/>
  <c r="O228" i="1"/>
  <c r="E228" i="1"/>
  <c r="B228" i="1"/>
  <c r="O227" i="1"/>
  <c r="E227" i="1"/>
  <c r="B227" i="1"/>
  <c r="O226" i="1"/>
  <c r="E226" i="1"/>
  <c r="B226" i="1"/>
  <c r="O225" i="1"/>
  <c r="E225" i="1"/>
  <c r="B225" i="1"/>
  <c r="O224" i="1"/>
  <c r="E224" i="1"/>
  <c r="B224" i="1"/>
  <c r="O223" i="1"/>
  <c r="E223" i="1"/>
  <c r="B223" i="1"/>
  <c r="O222" i="1"/>
  <c r="E222" i="1"/>
  <c r="B222" i="1"/>
  <c r="O221" i="1"/>
  <c r="E221" i="1"/>
  <c r="B221" i="1"/>
  <c r="O220" i="1"/>
  <c r="E220" i="1"/>
  <c r="B220" i="1"/>
  <c r="O219" i="1"/>
  <c r="E219" i="1"/>
  <c r="B219" i="1"/>
  <c r="O218" i="1"/>
  <c r="E218" i="1"/>
  <c r="B218" i="1"/>
  <c r="O217" i="1"/>
  <c r="E217" i="1"/>
  <c r="B217" i="1"/>
  <c r="O216" i="1"/>
  <c r="E216" i="1"/>
  <c r="B216" i="1"/>
  <c r="O215" i="1"/>
  <c r="E215" i="1"/>
  <c r="B215" i="1"/>
  <c r="O214" i="1"/>
  <c r="E214" i="1"/>
  <c r="B214" i="1"/>
  <c r="O213" i="1"/>
  <c r="E213" i="1"/>
  <c r="B213" i="1"/>
  <c r="O212" i="1"/>
  <c r="E212" i="1"/>
  <c r="B212" i="1"/>
  <c r="O211" i="1"/>
  <c r="E211" i="1"/>
  <c r="B211" i="1"/>
  <c r="O210" i="1"/>
  <c r="E210" i="1"/>
  <c r="B210" i="1"/>
  <c r="O209" i="1"/>
  <c r="E209" i="1"/>
  <c r="B209" i="1"/>
  <c r="O208" i="1"/>
  <c r="E208" i="1"/>
  <c r="B208" i="1"/>
  <c r="O207" i="1"/>
  <c r="E207" i="1"/>
  <c r="B207" i="1"/>
  <c r="O206" i="1"/>
  <c r="E206" i="1"/>
  <c r="B206" i="1"/>
  <c r="O205" i="1"/>
  <c r="E205" i="1"/>
  <c r="B205" i="1"/>
  <c r="O204" i="1"/>
  <c r="E204" i="1"/>
  <c r="B204" i="1"/>
  <c r="O203" i="1"/>
  <c r="E203" i="1"/>
  <c r="B203" i="1"/>
  <c r="O202" i="1"/>
  <c r="E202" i="1"/>
  <c r="B202" i="1"/>
  <c r="O201" i="1"/>
  <c r="E201" i="1"/>
  <c r="B201" i="1"/>
  <c r="O200" i="1"/>
  <c r="E200" i="1"/>
  <c r="B200" i="1"/>
  <c r="O199" i="1"/>
  <c r="E199" i="1"/>
  <c r="B199" i="1"/>
  <c r="O198" i="1"/>
  <c r="E198" i="1"/>
  <c r="B198" i="1"/>
  <c r="O197" i="1"/>
  <c r="E197" i="1"/>
  <c r="B197" i="1"/>
  <c r="O196" i="1"/>
  <c r="E196" i="1"/>
  <c r="B196" i="1"/>
  <c r="O195" i="1"/>
  <c r="E195" i="1"/>
  <c r="B195" i="1"/>
  <c r="O194" i="1"/>
  <c r="E194" i="1"/>
  <c r="B194" i="1"/>
  <c r="O193" i="1"/>
  <c r="E193" i="1"/>
  <c r="B193" i="1"/>
  <c r="O192" i="1"/>
  <c r="E192" i="1"/>
  <c r="B192" i="1"/>
  <c r="O191" i="1"/>
  <c r="E191" i="1"/>
  <c r="B191" i="1"/>
  <c r="O190" i="1"/>
  <c r="E190" i="1"/>
  <c r="B190" i="1"/>
  <c r="O189" i="1"/>
  <c r="E189" i="1"/>
  <c r="B189" i="1"/>
  <c r="O188" i="1"/>
  <c r="E188" i="1"/>
  <c r="B188" i="1"/>
  <c r="O187" i="1"/>
  <c r="E187" i="1"/>
  <c r="B187" i="1"/>
  <c r="O186" i="1"/>
  <c r="E186" i="1"/>
  <c r="B186" i="1"/>
  <c r="O185" i="1"/>
  <c r="E185" i="1"/>
  <c r="B185" i="1"/>
  <c r="O184" i="1"/>
  <c r="E184" i="1"/>
  <c r="B184" i="1"/>
  <c r="O183" i="1"/>
  <c r="E183" i="1"/>
  <c r="B183" i="1"/>
  <c r="O182" i="1"/>
  <c r="E182" i="1"/>
  <c r="B182" i="1"/>
  <c r="O181" i="1"/>
  <c r="E181" i="1"/>
  <c r="B181" i="1"/>
  <c r="O180" i="1"/>
  <c r="E180" i="1"/>
  <c r="B180" i="1"/>
  <c r="O179" i="1"/>
  <c r="E179" i="1"/>
  <c r="B179" i="1"/>
  <c r="O178" i="1"/>
  <c r="E178" i="1"/>
  <c r="B178" i="1"/>
  <c r="O177" i="1"/>
  <c r="E177" i="1"/>
  <c r="B177" i="1"/>
  <c r="O176" i="1"/>
  <c r="E176" i="1"/>
  <c r="B176" i="1"/>
  <c r="O175" i="1"/>
  <c r="E175" i="1"/>
  <c r="B175" i="1"/>
  <c r="O174" i="1"/>
  <c r="E174" i="1"/>
  <c r="B174" i="1"/>
  <c r="O173" i="1"/>
  <c r="E173" i="1"/>
  <c r="B173" i="1"/>
  <c r="O172" i="1"/>
  <c r="E172" i="1"/>
  <c r="B172" i="1"/>
  <c r="O171" i="1"/>
  <c r="E171" i="1"/>
  <c r="B171" i="1"/>
  <c r="O170" i="1"/>
  <c r="E170" i="1"/>
  <c r="B170" i="1"/>
  <c r="O169" i="1"/>
  <c r="E169" i="1"/>
  <c r="B169" i="1"/>
  <c r="O168" i="1"/>
  <c r="E168" i="1"/>
  <c r="B168" i="1"/>
  <c r="O167" i="1"/>
  <c r="E167" i="1"/>
  <c r="B167" i="1"/>
  <c r="O166" i="1"/>
  <c r="E166" i="1"/>
  <c r="B166" i="1"/>
  <c r="O165" i="1"/>
  <c r="E165" i="1"/>
  <c r="B165" i="1"/>
  <c r="O164" i="1"/>
  <c r="E164" i="1"/>
  <c r="B164" i="1"/>
  <c r="O163" i="1"/>
  <c r="E163" i="1"/>
  <c r="B163" i="1"/>
  <c r="O162" i="1"/>
  <c r="E162" i="1"/>
  <c r="B162" i="1"/>
  <c r="O161" i="1"/>
  <c r="E161" i="1"/>
  <c r="B161" i="1"/>
  <c r="O160" i="1"/>
  <c r="E160" i="1"/>
  <c r="B160" i="1"/>
  <c r="O159" i="1"/>
  <c r="E159" i="1"/>
  <c r="B159" i="1"/>
  <c r="O158" i="1"/>
  <c r="E158" i="1"/>
  <c r="B158" i="1"/>
  <c r="O157" i="1"/>
  <c r="E157" i="1"/>
  <c r="B157" i="1"/>
  <c r="O156" i="1"/>
  <c r="E156" i="1"/>
  <c r="B156" i="1"/>
  <c r="O155" i="1"/>
  <c r="E155" i="1"/>
  <c r="B155" i="1"/>
  <c r="O154" i="1"/>
  <c r="E154" i="1"/>
  <c r="B154" i="1"/>
  <c r="O153" i="1"/>
  <c r="E153" i="1"/>
  <c r="B153" i="1"/>
  <c r="O152" i="1"/>
  <c r="E152" i="1"/>
  <c r="B152" i="1"/>
  <c r="O151" i="1"/>
  <c r="E151" i="1"/>
  <c r="B151" i="1"/>
  <c r="O150" i="1"/>
  <c r="E150" i="1"/>
  <c r="B150" i="1"/>
  <c r="O149" i="1"/>
  <c r="E149" i="1"/>
  <c r="B149" i="1"/>
  <c r="O148" i="1"/>
  <c r="E148" i="1"/>
  <c r="B148" i="1"/>
  <c r="O147" i="1"/>
  <c r="E147" i="1"/>
  <c r="B147" i="1"/>
  <c r="O146" i="1"/>
  <c r="E146" i="1"/>
  <c r="B146" i="1"/>
  <c r="O145" i="1"/>
  <c r="E145" i="1"/>
  <c r="B145" i="1"/>
  <c r="O144" i="1"/>
  <c r="E144" i="1"/>
  <c r="B144" i="1"/>
  <c r="O143" i="1"/>
  <c r="E143" i="1"/>
  <c r="B143" i="1"/>
  <c r="O142" i="1"/>
  <c r="E142" i="1"/>
  <c r="B142" i="1"/>
  <c r="O141" i="1"/>
  <c r="E141" i="1"/>
  <c r="B141" i="1"/>
  <c r="O140" i="1"/>
  <c r="E140" i="1"/>
  <c r="B140" i="1"/>
  <c r="O139" i="1"/>
  <c r="E139" i="1"/>
  <c r="B139" i="1"/>
  <c r="O138" i="1"/>
  <c r="E138" i="1"/>
  <c r="B138" i="1"/>
  <c r="O137" i="1"/>
  <c r="E137" i="1"/>
  <c r="B137" i="1"/>
  <c r="O136" i="1"/>
  <c r="E136" i="1"/>
  <c r="B136" i="1"/>
  <c r="O135" i="1"/>
  <c r="E135" i="1"/>
  <c r="B135" i="1"/>
  <c r="O134" i="1"/>
  <c r="E134" i="1"/>
  <c r="B134" i="1"/>
  <c r="O133" i="1"/>
  <c r="E133" i="1"/>
  <c r="B133" i="1"/>
  <c r="O132" i="1"/>
  <c r="E132" i="1"/>
  <c r="B132" i="1"/>
  <c r="O131" i="1"/>
  <c r="E131" i="1"/>
  <c r="B131" i="1"/>
  <c r="O130" i="1"/>
  <c r="E130" i="1"/>
  <c r="B130" i="1"/>
  <c r="O129" i="1"/>
  <c r="E129" i="1"/>
  <c r="B129" i="1"/>
  <c r="O128" i="1"/>
  <c r="E128" i="1"/>
  <c r="B128" i="1"/>
  <c r="O127" i="1"/>
  <c r="E127" i="1"/>
  <c r="B127" i="1"/>
  <c r="O126" i="1"/>
  <c r="E126" i="1"/>
  <c r="B126" i="1"/>
  <c r="O125" i="1"/>
  <c r="E125" i="1"/>
  <c r="B125" i="1"/>
  <c r="O124" i="1"/>
  <c r="E124" i="1"/>
  <c r="B124" i="1"/>
  <c r="O123" i="1"/>
  <c r="E123" i="1"/>
  <c r="B123" i="1"/>
  <c r="O122" i="1"/>
  <c r="E122" i="1"/>
  <c r="B122" i="1"/>
  <c r="O121" i="1"/>
  <c r="E121" i="1"/>
  <c r="B121" i="1"/>
  <c r="O120" i="1"/>
  <c r="E120" i="1"/>
  <c r="B120" i="1"/>
  <c r="O119" i="1"/>
  <c r="E119" i="1"/>
  <c r="B119" i="1"/>
  <c r="O118" i="1"/>
  <c r="E118" i="1"/>
  <c r="B118" i="1"/>
  <c r="O117" i="1"/>
  <c r="E117" i="1"/>
  <c r="B117" i="1"/>
  <c r="O116" i="1"/>
  <c r="E116" i="1"/>
  <c r="B116" i="1"/>
  <c r="O115" i="1"/>
  <c r="E115" i="1"/>
  <c r="B115" i="1"/>
  <c r="O114" i="1"/>
  <c r="E114" i="1"/>
  <c r="B114" i="1"/>
  <c r="O113" i="1"/>
  <c r="E113" i="1"/>
  <c r="B113" i="1"/>
  <c r="O112" i="1"/>
  <c r="E112" i="1"/>
  <c r="B112" i="1"/>
  <c r="O111" i="1"/>
  <c r="E111" i="1"/>
  <c r="B111" i="1"/>
  <c r="O110" i="1"/>
  <c r="E110" i="1"/>
  <c r="B110" i="1"/>
  <c r="O109" i="1"/>
  <c r="E109" i="1"/>
  <c r="B109" i="1"/>
  <c r="O108" i="1"/>
  <c r="E108" i="1"/>
  <c r="B108" i="1"/>
  <c r="O107" i="1"/>
  <c r="E107" i="1"/>
  <c r="B107" i="1"/>
  <c r="O106" i="1"/>
  <c r="E106" i="1"/>
  <c r="B106" i="1"/>
  <c r="O105" i="1"/>
  <c r="E105" i="1"/>
  <c r="B105" i="1"/>
  <c r="O104" i="1"/>
  <c r="E104" i="1"/>
  <c r="B104" i="1"/>
  <c r="O103" i="1"/>
  <c r="E103" i="1"/>
  <c r="B103" i="1"/>
  <c r="O102" i="1"/>
  <c r="E102" i="1"/>
  <c r="B102" i="1"/>
  <c r="O101" i="1"/>
  <c r="E101" i="1"/>
  <c r="B101" i="1"/>
  <c r="O100" i="1"/>
  <c r="E100" i="1"/>
  <c r="B100" i="1"/>
  <c r="O99" i="1"/>
  <c r="E99" i="1"/>
  <c r="B99" i="1"/>
  <c r="O98" i="1"/>
  <c r="E98" i="1"/>
  <c r="B98" i="1"/>
  <c r="O97" i="1"/>
  <c r="E97" i="1"/>
  <c r="B97" i="1"/>
  <c r="O96" i="1"/>
  <c r="E96" i="1"/>
  <c r="B96" i="1"/>
  <c r="O95" i="1"/>
  <c r="E95" i="1"/>
  <c r="B95" i="1"/>
  <c r="O94" i="1"/>
  <c r="E94" i="1"/>
  <c r="B94" i="1"/>
  <c r="O93" i="1"/>
  <c r="E93" i="1"/>
  <c r="B93" i="1"/>
  <c r="O92" i="1"/>
  <c r="E92" i="1"/>
  <c r="B92" i="1"/>
  <c r="O91" i="1"/>
  <c r="E91" i="1"/>
  <c r="B91" i="1"/>
  <c r="O90" i="1"/>
  <c r="E90" i="1"/>
  <c r="B90" i="1"/>
  <c r="O89" i="1"/>
  <c r="E89" i="1"/>
  <c r="B89" i="1"/>
  <c r="O88" i="1"/>
  <c r="E88" i="1"/>
  <c r="B88" i="1"/>
  <c r="O87" i="1"/>
  <c r="E87" i="1"/>
  <c r="B87" i="1"/>
  <c r="O86" i="1"/>
  <c r="E86" i="1"/>
  <c r="B86" i="1"/>
  <c r="O85" i="1"/>
  <c r="E85" i="1"/>
  <c r="B85" i="1"/>
  <c r="O84" i="1"/>
  <c r="E84" i="1"/>
  <c r="B84" i="1"/>
  <c r="O83" i="1"/>
  <c r="E83" i="1"/>
  <c r="B83" i="1"/>
  <c r="O82" i="1"/>
  <c r="E82" i="1"/>
  <c r="B82" i="1"/>
  <c r="O81" i="1"/>
  <c r="E81" i="1"/>
  <c r="B81" i="1"/>
  <c r="O80" i="1"/>
  <c r="E80" i="1"/>
  <c r="B80" i="1"/>
  <c r="O79" i="1"/>
  <c r="E79" i="1"/>
  <c r="B79" i="1"/>
  <c r="O78" i="1"/>
  <c r="E78" i="1"/>
  <c r="B78" i="1"/>
  <c r="O77" i="1"/>
  <c r="E77" i="1"/>
  <c r="B77" i="1"/>
  <c r="O76" i="1"/>
  <c r="E76" i="1"/>
  <c r="B76" i="1"/>
  <c r="O75" i="1"/>
  <c r="E75" i="1"/>
  <c r="B75" i="1"/>
  <c r="O74" i="1"/>
  <c r="E74" i="1"/>
  <c r="B74" i="1"/>
  <c r="O73" i="1"/>
  <c r="E73" i="1"/>
  <c r="B73" i="1"/>
  <c r="O72" i="1"/>
  <c r="E72" i="1"/>
  <c r="B72" i="1"/>
  <c r="O71" i="1"/>
  <c r="E71" i="1"/>
  <c r="B71" i="1"/>
  <c r="O70" i="1"/>
  <c r="E70" i="1"/>
  <c r="B70" i="1"/>
  <c r="O69" i="1"/>
  <c r="E69" i="1"/>
  <c r="B69" i="1"/>
  <c r="O68" i="1"/>
  <c r="E68" i="1"/>
  <c r="B68" i="1"/>
  <c r="O67" i="1"/>
  <c r="E67" i="1"/>
  <c r="B67" i="1"/>
  <c r="O66" i="1"/>
  <c r="E66" i="1"/>
  <c r="B66" i="1"/>
  <c r="O65" i="1"/>
  <c r="E65" i="1"/>
  <c r="B65" i="1"/>
  <c r="O64" i="1"/>
  <c r="E64" i="1"/>
  <c r="B64" i="1"/>
  <c r="O63" i="1"/>
  <c r="E63" i="1"/>
  <c r="B63" i="1"/>
  <c r="O62" i="1"/>
  <c r="E62" i="1"/>
  <c r="B62" i="1"/>
  <c r="O61" i="1"/>
  <c r="E61" i="1"/>
  <c r="B61" i="1"/>
  <c r="O60" i="1"/>
  <c r="E60" i="1"/>
  <c r="B60" i="1"/>
  <c r="O59" i="1"/>
  <c r="E59" i="1"/>
  <c r="B59" i="1"/>
  <c r="O58" i="1"/>
  <c r="E58" i="1"/>
  <c r="B58" i="1"/>
  <c r="O57" i="1"/>
  <c r="E57" i="1"/>
  <c r="B57" i="1"/>
  <c r="O56" i="1"/>
  <c r="E56" i="1"/>
  <c r="B56" i="1"/>
  <c r="O55" i="1"/>
  <c r="E55" i="1"/>
  <c r="B55" i="1"/>
  <c r="O54" i="1"/>
  <c r="E54" i="1"/>
  <c r="B54" i="1"/>
  <c r="O53" i="1"/>
  <c r="E53" i="1"/>
  <c r="B53" i="1"/>
  <c r="O52" i="1"/>
  <c r="E52" i="1"/>
  <c r="B52" i="1"/>
  <c r="O51" i="1"/>
  <c r="E51" i="1"/>
  <c r="B51" i="1"/>
  <c r="O50" i="1"/>
  <c r="E50" i="1"/>
  <c r="B50" i="1"/>
  <c r="O49" i="1"/>
  <c r="E49" i="1"/>
  <c r="B49" i="1"/>
  <c r="O48" i="1"/>
  <c r="E48" i="1"/>
  <c r="B48" i="1"/>
  <c r="O47" i="1"/>
  <c r="E47" i="1"/>
  <c r="B47" i="1"/>
  <c r="O46" i="1"/>
  <c r="E46" i="1"/>
  <c r="B46" i="1"/>
  <c r="O45" i="1"/>
  <c r="E45" i="1"/>
  <c r="B45" i="1"/>
  <c r="O44" i="1"/>
  <c r="E44" i="1"/>
  <c r="B44" i="1"/>
  <c r="O43" i="1"/>
  <c r="E43" i="1"/>
  <c r="B43" i="1"/>
  <c r="O42" i="1"/>
  <c r="E42" i="1"/>
  <c r="B42" i="1"/>
  <c r="O41" i="1"/>
  <c r="E41" i="1"/>
  <c r="B41" i="1"/>
  <c r="O40" i="1"/>
  <c r="E40" i="1"/>
  <c r="B40" i="1"/>
  <c r="O39" i="1"/>
  <c r="E39" i="1"/>
  <c r="B39" i="1"/>
  <c r="O38" i="1"/>
  <c r="E38" i="1"/>
  <c r="B38" i="1"/>
  <c r="O37" i="1"/>
  <c r="E37" i="1"/>
  <c r="B37" i="1"/>
  <c r="O36" i="1"/>
  <c r="E36" i="1"/>
  <c r="B36" i="1"/>
  <c r="O35" i="1"/>
  <c r="E35" i="1"/>
  <c r="B35" i="1"/>
  <c r="O34" i="1"/>
  <c r="E34" i="1"/>
  <c r="B34" i="1"/>
  <c r="O33" i="1"/>
  <c r="E33" i="1"/>
  <c r="B33" i="1"/>
  <c r="O32" i="1"/>
  <c r="E32" i="1"/>
  <c r="B32" i="1"/>
  <c r="O31" i="1"/>
  <c r="E31" i="1"/>
  <c r="B31" i="1"/>
  <c r="O30" i="1"/>
  <c r="E30" i="1"/>
  <c r="B30" i="1"/>
  <c r="O29" i="1"/>
  <c r="E29" i="1"/>
  <c r="B29" i="1"/>
  <c r="O28" i="1"/>
  <c r="E28" i="1"/>
  <c r="B28" i="1"/>
  <c r="O27" i="1"/>
  <c r="E27" i="1"/>
  <c r="B27" i="1"/>
  <c r="O26" i="1"/>
  <c r="E26" i="1"/>
  <c r="B26" i="1"/>
  <c r="O25" i="1"/>
  <c r="E25" i="1"/>
  <c r="B25" i="1"/>
  <c r="O24" i="1"/>
  <c r="E24" i="1"/>
  <c r="B24" i="1"/>
  <c r="O23" i="1"/>
  <c r="E23" i="1"/>
  <c r="B23" i="1"/>
  <c r="O22" i="1"/>
  <c r="E22" i="1"/>
  <c r="B22" i="1"/>
  <c r="O21" i="1"/>
  <c r="E21" i="1"/>
  <c r="B21" i="1"/>
  <c r="O20" i="1"/>
  <c r="E20" i="1"/>
  <c r="B20" i="1"/>
  <c r="O19" i="1"/>
  <c r="E19" i="1"/>
  <c r="B19" i="1"/>
  <c r="O18" i="1"/>
  <c r="E18" i="1"/>
  <c r="B18" i="1"/>
  <c r="O17" i="1"/>
  <c r="E17" i="1"/>
  <c r="B17" i="1"/>
  <c r="O16" i="1"/>
  <c r="E16" i="1"/>
  <c r="B16" i="1"/>
  <c r="O15" i="1"/>
  <c r="E15" i="1"/>
  <c r="B15" i="1"/>
  <c r="O14" i="1"/>
  <c r="E14" i="1"/>
  <c r="B14" i="1"/>
  <c r="O13" i="1"/>
  <c r="E13" i="1"/>
  <c r="B13" i="1"/>
  <c r="O12" i="1"/>
  <c r="E12" i="1"/>
  <c r="B12" i="1"/>
  <c r="O11" i="1"/>
  <c r="E11" i="1"/>
  <c r="B11" i="1"/>
  <c r="O10" i="1"/>
  <c r="E10" i="1"/>
  <c r="B10" i="1"/>
  <c r="O9" i="1"/>
  <c r="E9" i="1"/>
  <c r="B9" i="1"/>
  <c r="O8" i="1"/>
  <c r="E8" i="1"/>
  <c r="B8" i="1"/>
  <c r="O7" i="1"/>
  <c r="E7" i="1"/>
  <c r="B7" i="1"/>
  <c r="O6" i="1"/>
  <c r="E6" i="1"/>
  <c r="B6" i="1"/>
  <c r="O5" i="1"/>
  <c r="E5" i="1"/>
  <c r="B5" i="1"/>
  <c r="O4" i="1"/>
  <c r="E4" i="1"/>
  <c r="B4" i="1"/>
  <c r="O3" i="1"/>
  <c r="E3" i="1"/>
  <c r="B3" i="1"/>
</calcChain>
</file>

<file path=xl/sharedStrings.xml><?xml version="1.0" encoding="utf-8"?>
<sst xmlns="http://schemas.openxmlformats.org/spreadsheetml/2006/main" count="19372" uniqueCount="5733">
  <si>
    <t>Twitter Search Rule: #industrie40</t>
  </si>
  <si>
    <t>User Details</t>
  </si>
  <si>
    <t>Date</t>
  </si>
  <si>
    <t>Screen Name</t>
  </si>
  <si>
    <t>Full Name</t>
  </si>
  <si>
    <t>Tweet Text</t>
  </si>
  <si>
    <t>Tweet ID</t>
  </si>
  <si>
    <t>App</t>
  </si>
  <si>
    <t>Followers</t>
  </si>
  <si>
    <t>Follows</t>
  </si>
  <si>
    <t>Retweets</t>
  </si>
  <si>
    <t>Favorites</t>
  </si>
  <si>
    <t>Verfied</t>
  </si>
  <si>
    <t>User Since</t>
  </si>
  <si>
    <t>Location</t>
  </si>
  <si>
    <t>Bio</t>
  </si>
  <si>
    <t>Profile Image</t>
  </si>
  <si>
    <t>Google Maps</t>
  </si>
  <si>
    <t>Franck Revelin</t>
  </si>
  <si>
    <t>RT @FlashTweet: 5⃣[#Infographie] #Industrie40: 907 Mrds$ d'investissement par an https://t.co/KGSojAUioc @LUsineDigitale #FlashTweet https:…</t>
  </si>
  <si>
    <t>Twitter for Android</t>
  </si>
  <si>
    <t>No</t>
  </si>
  <si>
    <t>france</t>
  </si>
  <si>
    <t>Expert chez #ProSupport #Dell #Kace passionné d'#informatique, #technologie, #Veille-#stratégique, #News, #SocialMedias, #design...#Informations #audiophile #it</t>
  </si>
  <si>
    <t>La Poste Press Paca</t>
  </si>
  <si>
    <t>Twitter Web Client</t>
  </si>
  <si>
    <t>Compte officiel du Service Presse du Groupe La Poste en Paca, #LaPoste</t>
  </si>
  <si>
    <t>Olea</t>
  </si>
  <si>
    <t>RT @Dep_74: 44e Salon des inventions à @Palexpo #Genève du 13 au 17 avril. Découvrez l' #industrie40 https://t.co/LkCUxWoVFk https://t.co/L…</t>
  </si>
  <si>
    <t>Twitter for iPad</t>
  </si>
  <si>
    <t>Anne Sou〽️agne</t>
  </si>
  <si>
    <t>Twitter for iPhone</t>
  </si>
  <si>
    <t>Montpellier, France</t>
  </si>
  <si>
    <t>Head of my own #DigitalTransformation | VP of Happiness ☀️ | IBMer | I tweet about #AI #Cognitive #Blockchain #IoT #Startup | Opinions are my own</t>
  </si>
  <si>
    <t>Mickael GUERIN</t>
  </si>
  <si>
    <t>La Roche sur Grane - Drôme</t>
  </si>
  <si>
    <t>Les hommes construisent trop de murs et pas assez de ponts -Newton - Consultant Expérience Client à #LaPoste #Robots #digital #Drôme #Ardèche #i4Emploi</t>
  </si>
  <si>
    <t>Mark Herten</t>
  </si>
  <si>
    <t>RT @FM_Elektro: Kein #IoT ohne #CyberSecurity. #IT #Sicherheit eher Hemmnis oder Enabler-Technologie? #Industrie40 https://t.co/Ek3fNyBDxD</t>
  </si>
  <si>
    <t>Hootsuite</t>
  </si>
  <si>
    <t>Buchholz in der Nordheide</t>
  </si>
  <si>
    <t>Account Director at Technical Publicity. All views are my own and do not represent the views of my clients or Technical Publicity.#PR #Technology #B2B #Content</t>
  </si>
  <si>
    <t>Anaëlle</t>
  </si>
  <si>
    <t>Lugrin, France</t>
  </si>
  <si>
    <t>Marco Ibanez</t>
  </si>
  <si>
    <t>Paris, France</t>
  </si>
  <si>
    <t>Fascinated by new opportunities in #SupplyChain #BusinessIntelligence #BigData</t>
  </si>
  <si>
    <t>Sven Astheimer</t>
  </si>
  <si>
    <t>A bit spooky #Industrie40 #arbeitenviernull #smartearbeit https://t.co/CHp5FWQGtk</t>
  </si>
  <si>
    <t>Frankfurt</t>
  </si>
  <si>
    <t>F.A.Z. Senior Editor labour market/career stuff &amp; Poland watcher - entfolgt konsequent jeden, der über seine Erlebnisse mit der Bahn twittert!</t>
  </si>
  <si>
    <t>jeangui</t>
  </si>
  <si>
    <t>world</t>
  </si>
  <si>
    <t>Juha Jalonen</t>
  </si>
  <si>
    <t>Kari Koskinen @TampereUniTech teollinen internet termit #IoT #IoE #WoT #Industrie40 #industry40 @TAMK_UAS #Tampere https://t.co/WP0j8BHeT7</t>
  </si>
  <si>
    <t>Tampere</t>
  </si>
  <si>
    <t>Tweets mostly in Finnish. Järjestelmäseppo yrityksessä SPS Oy. Digi, kuntosali, jenkkifutis, polkujuoksu ja somepöhinä kiinnostaa. #digitalist</t>
  </si>
  <si>
    <t>Maschinenbaukarriere</t>
  </si>
  <si>
    <t>#itsOWL für Young Professionals:@itsOWL SummerSchool:Fit werden für aktive Mitgestaltung der #Industrie40 https://t.co/AD7JGFEZ4X</t>
  </si>
  <si>
    <t>Buffer</t>
  </si>
  <si>
    <t>Hier berichten die Fachzeitschriften Der Konstrukteur &amp; Der Betriebsleiter über Jobs, Fortbildung, Messen, Termine, Maschinenbau, Unternehmen, Studium, uvm.</t>
  </si>
  <si>
    <t>Digitalisierung &amp; Co</t>
  </si>
  <si>
    <t>INDIZbot</t>
  </si>
  <si>
    <t>Tweets zu #Digitalisierung, #Industrie40, #IoT und ähnlichen Themen. Bei Interesse einfach folgen!</t>
  </si>
  <si>
    <t>Vincent RICHET</t>
  </si>
  <si>
    <t>Aix en Provence</t>
  </si>
  <si>
    <t>#Entrepreneur VP @gepa_aix, Ex-Resp.Sud Est @BT_Entreprises, #IT #Telecom #CTI #Cloud #TransformationDigitale #AMFT #KedgeBS #i4Emploi @AMFrenchTech</t>
  </si>
  <si>
    <t>Nele Reimers</t>
  </si>
  <si>
    <t>#Automobilproduktion: 6 Beispiele für #Digitalisierung in der #BMW-Produktion #Industrie40 https://t.co/8DbKimHe1P</t>
  </si>
  <si>
    <t>Digital Pioneer, traveler and enthusiast of #IoT, #Industrie40, #innovation, #businessmodels. Views are my own.</t>
  </si>
  <si>
    <t>FBH Youpi</t>
  </si>
  <si>
    <t>Victoria</t>
  </si>
  <si>
    <t>Paris, London, New York but also Clermont-Ferrand, Montpellier, La Baule... Sports, Music, News... Geek... Lions Club.. Communication Director</t>
  </si>
  <si>
    <t>ThomasSAPlearn</t>
  </si>
  <si>
    <t>Worker-Centric Workplaces in Smart Factories @FACTS4WORKERS interesting project on #iot #smartworking #industrie40 https://t.co/Qjhy5ApNhR</t>
  </si>
  <si>
    <t>Walldorf, Germany &amp; Global</t>
  </si>
  <si>
    <t>Updates on SAP Education Software and Training, stuff &amp; trends #learning #sap #socialmedia #KM #gamification #talentdevelopment tweeted by @thomasjenewein</t>
  </si>
  <si>
    <t>Christopher Spahn</t>
  </si>
  <si>
    <t>#Cloudcomputing: Sind die Deutschen die einzigen, die misstrauisch sind? #CIO #Industrie40 #Digitalisierung https://t.co/dsPoKQyudA @Kroker</t>
  </si>
  <si>
    <t>Frankfurt am Main, Hessen</t>
  </si>
  <si>
    <t>HR-Passionate @ADP_GER; #HCM #HR40 #BPO #digitalHR #industry40 #StrategicHR #payroll #BigData #digitalisierung. Snowboarder and Squasher. Tweets are my own.</t>
  </si>
  <si>
    <t>#Ameisenalgorithmus: Wie die #Industrie40 und das #IoT von der Natur lernen können https://t.co/xuZKmFdNSJ via @techtagDE</t>
  </si>
  <si>
    <t>Julien V.</t>
  </si>
  <si>
    <t>RT @PwC_France: #Industrie40 : ce que révèle l’étude sur la #TransfoDigitale dans l’industrie https://t.co/ZRqFHVNS1L https://t.co/VWQ06Fv0…</t>
  </si>
  <si>
    <t>SociabbleApp</t>
  </si>
  <si>
    <t>Courbevoie, Ile-de-France</t>
  </si>
  <si>
    <t>From Normandy, France. Football addict, interested in Medias &amp; High-Techs Business. Financial Auditor.</t>
  </si>
  <si>
    <t>Thierry PICARD</t>
  </si>
  <si>
    <t>France</t>
  </si>
  <si>
    <t>CDO Pierre Fabre Médicaments &amp; Santé. Ecommerce/Big Data expert for the Digital Academy Paris Dauphine, certified in DataScience X/ ParisTech.</t>
  </si>
  <si>
    <t>Julia Severins</t>
  </si>
  <si>
    <t>RT @ChrisSpahnADP: #Cloudcomputing: Sind die Deutschen die einzigen, die misstrauisch sind? #CIO #Industrie40 #Digitalisierung https://t.co…</t>
  </si>
  <si>
    <t>Deutschland</t>
  </si>
  <si>
    <t>B2B Marketing enthusiast. Interested in #supplychain news, #logistics trends &amp; events. Tweets in English and German.</t>
  </si>
  <si>
    <t>C Best</t>
  </si>
  <si>
    <t>Twittosphere</t>
  </si>
  <si>
    <t>Tweete #Lyon #RegionAuvergneRhoneAlpes #Usa #UK #Italie #twittertour #i4emploi #RS #innovation #digital #socialmedia #curation #CM #frenchtech #culture</t>
  </si>
  <si>
    <t>PwC France</t>
  </si>
  <si>
    <t>#Industrie40 : La #TransfoDigitale, une bataille qui se joue maintenant #digital https://t.co/ZRqFHVNS1L https://t.co/zr9HGZ2X6B</t>
  </si>
  <si>
    <t>PwC développe en France et en Afrique francophone des missions d'#audit, d'#ExpertiseComptable et de #conseils créatrices de valeur pour ses clients</t>
  </si>
  <si>
    <t>tresmo 360° digital</t>
  </si>
  <si>
    <t>Sensorentechnik nicht ausreichend - #Industrie40 &amp; #IoT brauchen hochspezialisierte Sensoren https://t.co/FaYlC2UCeY https://t.co/D2hMER3P3x</t>
  </si>
  <si>
    <t>Augsburg, Germany</t>
  </si>
  <si>
    <t>360°-Digitalagentur | Wir machen high-end #Software-Entwicklung – #BigData-Analysen – #DigitalTransformation Consulting | Wir lieben #IoT und #Digitalisierung</t>
  </si>
  <si>
    <t>RT @innovationbawue: Studie zu #Industrie40: Deutschland optimiert Bestehendes, US-Firmen suchen neue Geschäftsmodelle https://t.co/R6VOCX…</t>
  </si>
  <si>
    <t>SHC</t>
  </si>
  <si>
    <t>Warum Industrie 4.0 professionelles #Marketing braucht https://t.co/jzXhF1h3eZ @ECINde #i40 #industrie40</t>
  </si>
  <si>
    <t>Impressum: bit.ly/imprshc</t>
  </si>
  <si>
    <t>Autorisierter Fachdistributor für #Relais,Schalter, #Stecker, #Sensoren, #Transformatoren &amp; #Bahntechnik| #SHC #News &amp; Aktuelles rund um die #Elektroindustrie</t>
  </si>
  <si>
    <t>Mario Reinsch</t>
  </si>
  <si>
    <t>#Industrie40: #Roboter revolutionieren den deutschen Mittelstand. @AUTOMATICAfair https://t.co/GtYDqGDXZF</t>
  </si>
  <si>
    <t>Neuhausen auf den Fildern</t>
  </si>
  <si>
    <t>Market intelligence manager, #Industry40 and #digitalisation enthusiast, avid statistician.</t>
  </si>
  <si>
    <t>Nathalie Steiwer</t>
  </si>
  <si>
    <t>#cloud, #EUdataP : les enjeux du plan #industrie40 UE aujourd'hui dans @contexte_num ( abo) https://t.co/F6KadcdiYP https://t.co/1PwIc7yeLX</t>
  </si>
  <si>
    <t>TweetDeck</t>
  </si>
  <si>
    <t>Berlin, Deutschland</t>
  </si>
  <si>
    <t>Freelance Tech journalist in Berlin @LUsineDigitale @contexte_num &amp; stringer @iTele Former Digital &amp; EU correspondant @Europolitics_sa in Brussels</t>
  </si>
  <si>
    <t>VDI News</t>
  </si>
  <si>
    <t>#Chemie und #Industrie40 – Passt das zusammen? Experten von @Evonik und @BASF kommentieren: https://t.co/MQDvYWENH3</t>
  </si>
  <si>
    <t>MI Connect</t>
  </si>
  <si>
    <t>Germany</t>
  </si>
  <si>
    <t>Willkommen beim offiziellen Twitter-Kanal des VDI Verein Deutscher Ingenieure e.V.! Wir twittern für Euch rund um die Welt der Ingenieure. http://t.co/3X03fbaJ</t>
  </si>
  <si>
    <t>RT @VDI_News: #Chemie und #Industrie40 – Passt das zusammen? Experten von @Evonik und @BASF kommentieren: https://t.co/MQDvYWENH3</t>
  </si>
  <si>
    <t>RT @MarioReinsch: #Industrie40: #Roboter revolutionieren den deutschen Mittelstand. @AUTOMATICAfair https://t.co/GtYDqGDXZF</t>
  </si>
  <si>
    <t>Stipo Nad</t>
  </si>
  <si>
    <t>RT @LudgerSchuh: Ein Versuch, #Industrie40 einmal ohne Hype-Brille zu betrachten &gt;&amp;gt; https://t.co/JRbD2tnPcp #Digitalisierung</t>
  </si>
  <si>
    <t>Aachen, Nordrhein-Westfalen</t>
  </si>
  <si>
    <t>Focused on optimized production planning. Interested in #manunfacturing news and trends, #industrie40, #smartfactory.</t>
  </si>
  <si>
    <t>KPMG in Deutschland</t>
  </si>
  <si>
    <t>RT @Svenastheimer: A bit spooky #Industrie40 #arbeitenviernull #smartearbeit https://t.co/CHp5FWQGtk</t>
  </si>
  <si>
    <t>Dies ist der offizielle Twitter-Unternehmenskanal von KPMG in Deutschland. http://t.co/0S4ZkZVHKX</t>
  </si>
  <si>
    <t>Herve Frapsauce</t>
  </si>
  <si>
    <t>Directeur Général, #MMA, #Assurance</t>
  </si>
  <si>
    <t>Shyam Varan Nath</t>
  </si>
  <si>
    <t>Find a wealth of Internet of Things #IoT &amp; #IIoT information here: https://t.co/axQok1oLYt #industrialinternet #Industrie40 #C16LV #IOUG</t>
  </si>
  <si>
    <t>San Francisco, CA</t>
  </si>
  <si>
    <t>IoT / Industrial Internet, Analytics professional with GE. President of IOUG's - IoT, Oracle BIWA &amp; Exadata SIG's. (opinion expressed here are purely mine!)</t>
  </si>
  <si>
    <t>Flo</t>
  </si>
  <si>
    <t>@Wandboard @2net_software: Learn about the #embedded #linux ecosystem for #industrial projects. #IoT #Industrie40 #EDM #edm-standard</t>
  </si>
  <si>
    <t>Taiwan</t>
  </si>
  <si>
    <t>#Embedded #Industrial computing industry expert living in #Taiwan, opinions here are my own</t>
  </si>
  <si>
    <t>Scott Herbert</t>
  </si>
  <si>
    <t>RT @FlorianWoh: @Wandboard @2net_software: Learn about the #embedded #linux ecosystem for #industrial projects. #IoT #Industrie40 #EDM #edm…</t>
  </si>
  <si>
    <t>Broken Limbs</t>
  </si>
  <si>
    <t>Nairobi</t>
  </si>
  <si>
    <t>Development | Testing | Debugging | Research | Open Source Enthusiast | Techpreneur | Anti-Corruption</t>
  </si>
  <si>
    <t>Schneider Electric</t>
  </si>
  <si>
    <t>Unsere vernetzte Technik gestaltet Industrien um, verwandelt Städte und bereichert Leben. Bei Schneider nennen wir dies #LifeIsOn</t>
  </si>
  <si>
    <t>iot security</t>
  </si>
  <si>
    <t>7StniqYzigKs</t>
  </si>
  <si>
    <t>HPE Startup FR</t>
  </si>
  <si>
    <t>HPE Start-Up est le programme d’accompagnement d’@HPE_FR à destination des #startup #innovation #numérique</t>
  </si>
  <si>
    <t>Jla</t>
  </si>
  <si>
    <t>EuroSoyons Tech Valley</t>
  </si>
  <si>
    <t>Founder, owner, CEO Passionné des technologies de l'information. #OpenRessources #i4Emploi #Flashtweet</t>
  </si>
  <si>
    <t>KreativNetzBW</t>
  </si>
  <si>
    <t>Stuttgart</t>
  </si>
  <si>
    <t>Netzwerk Kreativwirtschaft Baden-Württemberg. http://t.co/e1h6NQAsRY - Für das Netzwerk twittert Ulrich @winchenbach von der @mfg_innovation</t>
  </si>
  <si>
    <t>Manfred Hucke</t>
  </si>
  <si>
    <t>Gemeinsam mit Wirtschaftsunternehmen realisiert evolaris das Potenzial digitaler Vernetzung und s... https://t.co/n8pqV5vNNs #Industrie40</t>
  </si>
  <si>
    <t>twitterfeed</t>
  </si>
  <si>
    <t>Stuttgart, Germany</t>
  </si>
  <si>
    <t>Social Media * Industrie 4.0</t>
  </si>
  <si>
    <t>Wilko Wolters</t>
  </si>
  <si>
    <t>@NewBalance 3D printed #Sneakers go on sale April 15th https://t.co/Hro2rSFVkJ thx @deanfoust #3dprinting #masscustomization #Industrie40</t>
  </si>
  <si>
    <t>Munich | Automotive HQs | www.</t>
  </si>
  <si>
    <t>C-Level #Consultant | Lecturer | Visionary #DigitalTransformation #Strategist | helping the #Automotive #Industry to become #digital | #Strategy #BusinessModels</t>
  </si>
  <si>
    <t>RT @H_IT_D: Gemeinsam mit Wirtschaftsunternehmen realisiert evolaris das Potenzial digitaler Vernetzung und s... https://t.co/n8pqV5vNNs #I…</t>
  </si>
  <si>
    <t>3D_Genuity</t>
  </si>
  <si>
    <t>RT @WSWMUC: @NewBalance 3D printed #Sneakers go on sale April 15th https://t.co/Hro2rSFVkJ thx @deanfoust #3dprinting #masscustomization #…</t>
  </si>
  <si>
    <t>Labnol_Tripodmaker</t>
  </si>
  <si>
    <t>3D_genuity tries to stay on top of all what happens in the 3D printing industry.</t>
  </si>
  <si>
    <t>Aurelia Sauguet</t>
  </si>
  <si>
    <t>#SymantecISTR #security by design #Industrie40 #privacy by design, réelle prise conscience pour #cyber résilience @PwC_France @SymantecEMEA</t>
  </si>
  <si>
    <t>Paris La Défense</t>
  </si>
  <si>
    <t>Marketing Manager #Symantec #security #threat #mobility #cloud #cyber #APT</t>
  </si>
  <si>
    <t>Jonathan Denner</t>
  </si>
  <si>
    <t>Karlsruhe &amp; Zürich</t>
  </si>
  <si>
    <t>Gründer und Geschäftsführer der @NETSYNO Software GmbH (http://t.co/FKmd3iT6Yk): Das Netz gemeinsam gestalten. U.a. @trip_app und http://t.co/XP1hPEpxGg</t>
  </si>
  <si>
    <t>Johan LE BILLAN</t>
  </si>
  <si>
    <t>RT @asauguet: #SymantecISTR #security by design #Industrie40 #privacy by design, réelle prise conscience pour #cyber résilience @PwC_France…</t>
  </si>
  <si>
    <t>Supply Chain News</t>
  </si>
  <si>
    <t>#Industrie40 und die rheinische Hausfrau &gt;&amp;gt; https://t.co/tHjwHJsAdY @auchichbinhier #Digitalisierung</t>
  </si>
  <si>
    <t>Aachen</t>
  </si>
  <si>
    <t>Alles rund um die #Supplychain: News, Trends und vieles mehr! Tweets von @KaiKeppner &amp; @Weaver_davidw</t>
  </si>
  <si>
    <t>RT @SAPlearn: Worker-Centric Workplaces in Smart Factories @FACTS4WORKERS interesting project on #iot #smartworking #industrie40 https://t.…</t>
  </si>
  <si>
    <t>Christophe Dechoux</t>
  </si>
  <si>
    <t>RT @PwC_France: #Industrie40 : La #TransfoDigitale, une bataille qui se joue maintenant #digital https://t.co/ZRqFHVNS1L https://t.co/zr9HG…</t>
  </si>
  <si>
    <t>Metz</t>
  </si>
  <si>
    <t>#Européen en #ACAL #Metz. Comptez sur moi pour partager l'actualité du #DeveloppementEconomique #FrenchTech #Digital</t>
  </si>
  <si>
    <t>VDMA</t>
  </si>
  <si>
    <t>Labs Network #Industrie40 auf der @hannover_messe #hm16 https://t.co/etlIwFUaU5 https://t.co/OSI87XndQE</t>
  </si>
  <si>
    <t>Der VDMA vertritt über 3.000 Unternehmen und zählt zu den einflussreichsten Wirtschaftsverbänden in Europa.</t>
  </si>
  <si>
    <t>Reply Deutschland</t>
  </si>
  <si>
    <t>#Industrie40, Arbeitsschutz &amp; #PredictiveMaintenance: Cluster Reply auf der @hannover_messe (Hall7 C40) https://t.co/0BMRZ4aq4U #HMI16 #HM16</t>
  </si>
  <si>
    <t>Gütersloh</t>
  </si>
  <si>
    <t>Welcome to the official Reply Germany Twitter page</t>
  </si>
  <si>
    <t>NAVAS Family Office</t>
  </si>
  <si>
    <t>RT @Reply_DE: #Industrie40, Arbeitsschutz &amp; #PredictiveMaintenance: Cluster Reply auf der @hannover_messe (Hall7 C40) https://t.co/0BMRZ4aq…</t>
  </si>
  <si>
    <t>#Studie der Felten Group: Industrie 4.0: Mehr Fragen als Antworten https://t.co/qePvQTQNui @elektroniknet #i40 #industrie40</t>
  </si>
  <si>
    <t>Emmanuelle Leclerc</t>
  </si>
  <si>
    <t>Paris - Angers - Nantes</t>
  </si>
  <si>
    <t>#media #digital #mobile #mkt #socialmedia #cm #ux #algorithme #IoT#data. Consultante en Marketing et Etudes. Ex @groupeprisma #i4EmploiR #flashtweet</t>
  </si>
  <si>
    <t>LASERCONGRESS</t>
  </si>
  <si>
    <t>#industry40 #Industrie40 #Fraunhofer https://t.co/wgJLDL72lY</t>
  </si>
  <si>
    <t>Aachen, Germany</t>
  </si>
  <si>
    <t>AKL - International Laser Technology Congress - Featuring over 600 participants, 80 speakers, 52 exhibitors &amp;90 live presentations in the labs @FraunhoferILT</t>
  </si>
  <si>
    <t>Quick Find</t>
  </si>
  <si>
    <t>Post free ads for Industries &amp; Manufacturing in India #Industrie40 #manufacturing #productivity #Company https://t.co/AKd8JJEjg9</t>
  </si>
  <si>
    <t>QFTweetApp</t>
  </si>
  <si>
    <t>Gujarat, India</t>
  </si>
  <si>
    <t>New Classified Website In India</t>
  </si>
  <si>
    <t>Jonathan</t>
  </si>
  <si>
    <t>Paris, Ile-de-France</t>
  </si>
  <si>
    <t>@PwC_France in Corporate Treasury Masters degree @ToulouseBS</t>
  </si>
  <si>
    <t>Bitkom</t>
  </si>
  <si>
    <t>Gute Jobchancen für IT-Spezialisten: #Industrie40 schafft Arbeitsplätze für Fachkräfte: https://t.co/9NQnmpmiOi https://t.co/lpeqR4LYvo</t>
  </si>
  <si>
    <t>Berlin</t>
  </si>
  <si>
    <t>Bitkom | Es twittern Marcel Bertsch, Angelika Pentsi, Michael Poguntke, Maurice Shahd, Andreas Streim, Mathias Brose und Dominique Prescher.</t>
  </si>
  <si>
    <t>ITK-OWL</t>
  </si>
  <si>
    <t>Bitkom: Gute Jobchancen für IT-Spezialisten: #Industrie40 schafft Arbeitsplätze für Fachkräfte: … https://t.co/RI1TGn9gCY</t>
  </si>
  <si>
    <t>IFTTT</t>
  </si>
  <si>
    <t>Gütersloh, Nordrhein-Westfalen</t>
  </si>
  <si>
    <t>Informationstechnologie und Telekommunikation in Ostwestfalen-Lippe (OWL) #ITK #OWL</t>
  </si>
  <si>
    <t>R3Coms</t>
  </si>
  <si>
    <t>RT @SpielbergHolger: Excited to join @R3Coms as shareholder and advisory board member. #innovation #replacingcables #ultrareliablecommunica…</t>
  </si>
  <si>
    <t>Berlin, Germany</t>
  </si>
  <si>
    <t>R3 - Reliable Realtime Radio Communications GmbH is a Berlin High-Tech StartUp devoted to develop ultra-reliable real-time radio networks.</t>
  </si>
  <si>
    <t>Neitzel Webdesign</t>
  </si>
  <si>
    <t>RT @Bitkom: Gute Jobchancen für IT-Spezialisten: #Industrie40 schafft Arbeitsplätze für Fachkräfte: https://t.co/9NQnmpmiOi https://t.co/lp…</t>
  </si>
  <si>
    <t>Reutlingen</t>
  </si>
  <si>
    <t>Impressum/Imprint: http://t.co/3NhhbYrm8T</t>
  </si>
  <si>
    <t>Raphaël Blanchard</t>
  </si>
  <si>
    <t>#ContentMarketing and #Digital Strategy | #SocialMedia | Video Games | Never stop being curious ! #i4Emploi</t>
  </si>
  <si>
    <t>Ilona Kiesewetter</t>
  </si>
  <si>
    <t>Frankfurt, Germany</t>
  </si>
  <si>
    <t>Director Communications @IMSHealthDE - Virtuell ist nicht das Gegenteil von real, sondern von physisch - Dies ist mein privater Account</t>
  </si>
  <si>
    <t>Bitkom Research</t>
  </si>
  <si>
    <t>Gute Jobchancen für #IT-Spezialisten: #Industrie40 schafft Arbeitsplätze für Fachkräfte: https://t.co/tkeTNkyRto https://t.co/EOt6U6w0wo</t>
  </si>
  <si>
    <t>Marktforschung für die Digitalwirtschaft Foto © Beatrix Boros / Stocksy United</t>
  </si>
  <si>
    <t>RT @BitkomResearch: Gute Jobchancen für #IT-Spezialisten: #Industrie40 schafft Arbeitsplätze für Fachkräfte: https://t.co/tkeTNkyRto https:…</t>
  </si>
  <si>
    <t>Aurélien K.</t>
  </si>
  <si>
    <t>Paris</t>
  </si>
  <si>
    <t>It always seems impossible until it's done. - Nelson Mandela</t>
  </si>
  <si>
    <t>Apandia GmbH</t>
  </si>
  <si>
    <t>So überleben Sie die #DigitaleTransformation https://t.co/zKL9MwLCLa #Industrie40 #Strategie #Digitalisierung https://t.co/9BY32vVRLW</t>
  </si>
  <si>
    <t>Bremen, DE</t>
  </si>
  <si>
    <t>Strategien zur Digitalisierung. Optimierung von Geschäftsprozessen. Lösungen unter Industrie 4.0-Aspekten. Impressum: https://t.co/CETxt5I3Qs</t>
  </si>
  <si>
    <t>Bonker</t>
  </si>
  <si>
    <t>Ruhrgebiet</t>
  </si>
  <si>
    <t>Artist, Blogger, Hardliner, Gearhead.. for the Horde!</t>
  </si>
  <si>
    <t>croXXing</t>
  </si>
  <si>
    <t>Bitkom: Gute Jobchancen für IT-Spezialisten: #Industrie40 schafft Arbeitsplätze für Fachkräfte: … https://t.co/wwLu2sUTgm</t>
  </si>
  <si>
    <t>International Business Development</t>
  </si>
  <si>
    <t>RadioOffice Radio-PR</t>
  </si>
  <si>
    <t>Sankt Augustin</t>
  </si>
  <si>
    <t>Hier twittert das RadioOffice-Team [Agentur für Hörfunk-PR]. Mehr auch unter http://t.co/jrJFfArHhj</t>
  </si>
  <si>
    <t>Allemagne Ambassade</t>
  </si>
  <si>
    <t>A #Merkel au Sommet Recherche #Berlin: chances de la révolution #numérique https://t.co/Xubfv1PRg7 #digital #hightech #Industrie40 #robotics</t>
  </si>
  <si>
    <t>Ambassade d'Allemagne (CIDAL)</t>
  </si>
  <si>
    <t>PASS</t>
  </si>
  <si>
    <t>Wir stehen für Future IT. Seit 30 Jahren brennen wir für Softwareentwicklung und IT-Consulting. Impressum: https://t.co/z6vwAdEXer</t>
  </si>
  <si>
    <t>verlinked GmbH</t>
  </si>
  <si>
    <t>Die #Digitalisierung macht vor nichts Halt. #cloudcomputing #Industrie40 #m2m https://t.co/nC3pcOrgla @verlinked</t>
  </si>
  <si>
    <t xml:space="preserve">Paderborn, OWL, Germany </t>
  </si>
  <si>
    <t>We Connect Things with tailor-made industrial M2M &amp; IoT platform solutions made in Germany for Connected Products with Value-Added Services for #Industrie40</t>
  </si>
  <si>
    <t>Yannik</t>
  </si>
  <si>
    <t>Tweetbot for iΟS</t>
  </si>
  <si>
    <t>Sagen wir einfach mal sportlich und technikinteressiert. ;-)</t>
  </si>
  <si>
    <t>Lars Zimmermann</t>
  </si>
  <si>
    <t>#Gewinnertypen kommen mit #smarten #Produkten beim Hotspot #IoT #Industrie40 auf ihre Kosten! Garantiert https://t.co/X9a61sPEtp</t>
  </si>
  <si>
    <t>Statusmelder</t>
  </si>
  <si>
    <t>Salzgitter, Niedersachsen</t>
  </si>
  <si>
    <t>kommunikationsoptimierer.de - Maschinenbauer! Holt Euch den Vertriebserfolg - Vertriebscoach &amp; SmartCoach</t>
  </si>
  <si>
    <t>RT @kommoptimierer: #Gewinnertypen kommen mit #smarten #Produkten beim Hotspot #IoT #Industrie40 auf ihre Kosten! Garantiert https://t.co/X…</t>
  </si>
  <si>
    <t>Peter Wald</t>
  </si>
  <si>
    <t>Leipzig</t>
  </si>
  <si>
    <t>HR-Generalist, Modern HRM, Leadership &amp; Social Media</t>
  </si>
  <si>
    <t>RT @verlinked: Die #Digitalisierung macht vor nichts Halt. #cloudcomputing #Industrie40 #m2m https://t.co/nC3pcOrgla @verlinked</t>
  </si>
  <si>
    <t>CapgeminiDE</t>
  </si>
  <si>
    <t>#Industrie40: In Sachen #OperationalAnalytics ist der Weg noch weit für deutsche Firmen. https://t.co/c8AAre0nJT /kj https://t.co/px5HauqROZ</t>
  </si>
  <si>
    <t>Account für DACH Achim Schreiber: ars, B. Schaffrath: bas, G. Ogulin: go, J. Wetzel: jw, M. Stube: mar; K.Jarrah: kj; Impressum: https://t.co/Vt4hDdF1F3</t>
  </si>
  <si>
    <t>Tiziano Lenoci</t>
  </si>
  <si>
    <t>#Industrie40 : Europa optimiert das Bestehende während USA neue #Businessmodelle sucht. #digital https://t.co/VuHeTM59WY via @NeleReimers</t>
  </si>
  <si>
    <t>Bern</t>
  </si>
  <si>
    <t>#CMO in #Insurance, #Digital #Strategie -Entwickler, Suchmaschinist, #Fintech -Erkunder, #Disruption &amp; #digitaltransformation 's-Segler, Tweets are my own</t>
  </si>
  <si>
    <t>RT @TizianoLenoci: #Industrie40 : Europa optimiert das Bestehende während USA neue #Businessmodelle sucht. #digital https://t.co/VuHeTM59W…</t>
  </si>
  <si>
    <t>Tim Caesar</t>
  </si>
  <si>
    <t>Schlüssel zum Erfolg der #Industrie40 ist Prognosefähigkeit - Prof. Dr. Günther Schuh beim #BoardDialog in Frankfurt #BeitenBurkhardt</t>
  </si>
  <si>
    <t>Frankfurt on the Main, Germany</t>
  </si>
  <si>
    <t>Lawyer, Geek &amp; Gamer. Currently focused on #EUdataP #FinTech #China #VR #Robots #i40 #agile</t>
  </si>
  <si>
    <t>Vincent</t>
  </si>
  <si>
    <t>#Industrie40 schafft Arbeitsplätze für #IT-#Fachkräfte. Doch was bedeutet das für gering qualifizierte? https://t.co/CoXWTP5yEL</t>
  </si>
  <si>
    <t>Fulda, Hessen</t>
  </si>
  <si>
    <t>I ❤ #Recruiting</t>
  </si>
  <si>
    <t>Made in #Bremen. Bauteile aus dem Drucker. #Industrie40 #Digitalisierung https://t.co/4fEH044YMJ @weserkurier</t>
  </si>
  <si>
    <t>automotiveIT</t>
  </si>
  <si>
    <t>Bis 2020: Billionen für die #Industrie40 https://t.co/SbbL5w4wSb #automotiveIT #pwc</t>
  </si>
  <si>
    <t>Hannover, Germany</t>
  </si>
  <si>
    <t>#automotiveIT ist die Plattform für IT- und Entwicklungs-Entscheider der Automobilindustrie.</t>
  </si>
  <si>
    <t>Qualität der Prognosen in #Industrie40 folgt der Qualität und Quantität der Datenquellen - Prof. Schuh #BoardDialog #BeitenBurkhardt</t>
  </si>
  <si>
    <t>MeinGeld Medien</t>
  </si>
  <si>
    <t>Nachfolge in #Familienunternehmen: Generationenkonflikt #Digitalisierung via https://t.co/fcci3zdOUf #Industrie40 #MeinGeld</t>
  </si>
  <si>
    <t>Anlegermagazin Mein Geld: Nachrichten aus Wirtschaft, Finanzen und Politik. #MeinGeld #Anlegermagazin #MeinGeldTV #Versicherungen #Fonds #Sachwerte #Makler</t>
  </si>
  <si>
    <t>Marc Leeuw</t>
  </si>
  <si>
    <t>RT @matthijspunter: @TNO_nieuws en @Fraunhofer starten data-samenwerking in #Smartindustry en #Industrie40. Filmpje: https://t.co/oPNw8FnRjG</t>
  </si>
  <si>
    <t>Enschede,Overijssel,Nederland</t>
  </si>
  <si>
    <t>Strategie &amp; Innovation | Business Development | Smart Industry &amp; Cities | IoT | Connected Systems | Drones | Investments</t>
  </si>
  <si>
    <t>Bertille Laudoux</t>
  </si>
  <si>
    <t>L'exploitation des données dans un process #Industrie40 contribue à une meilleure gestion des compétences/talent @jmjurbert #ciodata #SAPfr</t>
  </si>
  <si>
    <t>Use out of the box thinking to manage marketing on #Digital &amp; IT innovations #SAPHANA #BigData #IOT #Cloud @SAPFrance - Views my own</t>
  </si>
  <si>
    <t>RT @MeinGeldMedien: Nachfolge in #Familienunternehmen: Generationenkonflikt #Digitalisierung via https://t.co/fcci3zdOUf #Industrie40 #Mei…</t>
  </si>
  <si>
    <t>RT @Tim_Caesar: Qualität der Prognosen in #Industrie40 folgt der Qualität und Quantität der Datenquellen - Prof. Schuh #BoardDialog #Beiten…</t>
  </si>
  <si>
    <t>RT @automotive_IT: Bis 2020: Billionen für die #Industrie40 https://t.co/SbbL5w4wSb #automotiveIT #pwc</t>
  </si>
  <si>
    <t>michael brilhault</t>
  </si>
  <si>
    <t>Global Aerospace &amp; Defence Marketing Senior Manager - @PwC_France #aerospace #defense #digital #innovation #industriedufutur #Industrie40</t>
  </si>
  <si>
    <t>Mit uns Digital!</t>
  </si>
  <si>
    <t>Videodreh für unseren Imagefilm bei Fa. Bornemann https://t.co/8lazFSkKoz. #mittelstand40 #industrie40 https://t.co/vWbQAooA10</t>
  </si>
  <si>
    <t>MINT22de-com</t>
  </si>
  <si>
    <t>#Netzwerke - #IoT #Industrie40 im Bereich #Chemie #Industrie - Artikel @VDInachrichten Arbeitswelt wird sich ändern https://t.co/6Pf5U6g1qh</t>
  </si>
  <si>
    <t>Berlin - Deutschland - Germany</t>
  </si>
  <si>
    <t>#STEM #MINT #Know #Technology #Forschung spannende Themen populär - Naturwissenschaft + Technik und Technologie + IT und Mathe = Themen, Wissen - Redaktion</t>
  </si>
  <si>
    <t>VITM</t>
  </si>
  <si>
    <t>Magdeburg, Sachsen-Anhalt</t>
  </si>
  <si>
    <t>News und Positionen der IT-Branche. Für den Verband der IT-Industrie Sachsen-Anhalts twittert Jan Pasemann</t>
  </si>
  <si>
    <t>digitaleKonstruktion</t>
  </si>
  <si>
    <t>Daten effizient aufbereiten und klassifizieren mit Simus Systems #industrie40 https://t.co/g2JvYHoGdY</t>
  </si>
  <si>
    <t>Alles, was der Konstrukteur braucht und zur digitalen Konstruktion wissen muss!</t>
  </si>
  <si>
    <t>Wie ein Zahnrad perfekt ins nächste greift #Engineering #industrie40 #Konstruktion https://t.co/PwkFLNZY9V</t>
  </si>
  <si>
    <t>Volker Dorn</t>
  </si>
  <si>
    <t>SICOS-BW</t>
  </si>
  <si>
    <t>#KMU aufgepasst! Online-Kurs: Hands on #Industrie40 (Start: 25. April). https://t.co/xTrWUwTduc</t>
  </si>
  <si>
    <t>SICOS BW twittert und berät zu #Simulation und #Höchstleistungsrechnen sowie #BigData und #SmartData für #KMU. (Smart Data: http://t.co/bXNR9DXNrd)</t>
  </si>
  <si>
    <t>DIN Innovation</t>
  </si>
  <si>
    <t>Kick-Off Workshop von #DIN zur #DIN_SPEC 16593 zum Thema #Referenzmodell für #Industrie40 #Servicearchitekturen @Fraunhofer_KA</t>
  </si>
  <si>
    <t>Themen und Termine rund um Innovationen bei DIN. Impressum: http://t.co/MhdbXLPYln</t>
  </si>
  <si>
    <t>LIANE SERVICES</t>
  </si>
  <si>
    <t>Actualités, partenariats et services de l'autoroute Liane A41 Nord (Annecy-Genève)</t>
  </si>
  <si>
    <t>B. Masri</t>
  </si>
  <si>
    <t>Consultant @ PwC</t>
  </si>
  <si>
    <t>Amitav Bhattacharjee</t>
  </si>
  <si>
    <t>Tamlin Magee: Seven industrial #internetofthings examples: #IoT in #heavyindustry https://t.co/Gynqb4cTRK #Technology #Industrie40 #IIoT</t>
  </si>
  <si>
    <t>Bangalore, INDIA</t>
  </si>
  <si>
    <t>@Ta3s_Co Co-Founder; Technical Leader; #Startup #Entrepreneur #Tech #DevOps #IoT #M2M #AI #BigData #eCommerce #MobileTech #VR #FinTech @BITSPilani Alumnus</t>
  </si>
  <si>
    <t>RT @bamitav: Tamlin Magee: Seven industrial #internetofthings examples: #IoT in #heavyindustry https://t.co/Gynqb4cTRK #Technology #Industr…</t>
  </si>
  <si>
    <t>Gabriele Podagrosi</t>
  </si>
  <si>
    <t>Trieste, Italy</t>
  </si>
  <si>
    <t>#TELIT #SAP #SUPPLYCHAIN #LOGISTICS are the job, #IoT #Digital #Tech #CulturaDigitale #MUSIC #NeverStopLearning are the world. Opinions are mine.</t>
  </si>
  <si>
    <t>induux industry DACH</t>
  </si>
  <si>
    <t>Auf der #hm16: Die Smartcamera nimmt es mit den Herausforderungen der #Industrie40 auf https://t.co/ynCKj4op1O #hannovermesse @Balluff</t>
  </si>
  <si>
    <t>D-A-CH</t>
  </si>
  <si>
    <t>Facebook' der Industrie: für industrielle Vernetzung! Industrie 4.0, IoT, Maschinenbau ... Plattform/Impressum: https://t.co/VtKanUI0yW, for USA @induux</t>
  </si>
  <si>
    <t>Aljoscha Walser</t>
  </si>
  <si>
    <t>RT @DIN_Innovation: Kick-Off Workshop von #DIN zur #DIN_SPEC 16593 zum Thema #Referenzmodell für #Industrie40 #Servicearchitekturen @Fraunh…</t>
  </si>
  <si>
    <t>DE</t>
  </si>
  <si>
    <t>Anglophile Strategy Consultant (mainly to Media Companies &amp; Suppliers); Arts, Media &amp; Politics, Online since 1993; Good Coffee addict, dyslexic</t>
  </si>
  <si>
    <t>Balluff GmbH</t>
  </si>
  <si>
    <t>RT @induux_de: Auf der #hm16: Die Smartcamera nimmt es mit den Herausforderungen der #Industrie40 auf https://t.co/ynCKj4op1O #hannovermess…</t>
  </si>
  <si>
    <t>Neuhausen/Germany</t>
  </si>
  <si>
    <t>Impressum: http://t.co/gsdkBFji9P</t>
  </si>
  <si>
    <t>Matthieu CIANFARANI</t>
  </si>
  <si>
    <t>Rhône-Alpes</t>
  </si>
  <si>
    <t>#THD #Internet #Peering #Network #IT #OpenSource #OutdoorSports #BDL</t>
  </si>
  <si>
    <t>Nils Leenen</t>
  </si>
  <si>
    <t>RT @abbdeutschland: Theorie und Praxis von #Industrie40 wachsen zusammen https://t.co/hgGo9NHbcO @konstruktionspr #ABB #YuMiRobot #HM16 htt…</t>
  </si>
  <si>
    <t>Heidelberg</t>
  </si>
  <si>
    <t>ABB AG, Geschäftsbereich Industriekomponenten Vertriebsleiter Deutschland</t>
  </si>
  <si>
    <t>IT Connection</t>
  </si>
  <si>
    <t>Web</t>
  </si>
  <si>
    <t>Impressum: http://t.co/g7YZWT7kzw Plattform mit 88.000 IT-Prof. Wir RTweeten IT-Themen &amp; aus dem ITC-Forum &amp; laden zu Business- IT-Treffen ein</t>
  </si>
  <si>
    <t>#IoT is transforming everyday life and promises to revolutionize industry. #Industrie40 #cloudcomputing https://t.co/UiiQJQqi2I @verlinked</t>
  </si>
  <si>
    <t>Auf der größten Branchenmesse CeBIT in Hannover war der Partner von AmdoSoft Systems, die BSH IT ... https://t.co/vM8Fcg4mKv #Industrie40</t>
  </si>
  <si>
    <t>#Neugierige kommen mit #smarten #Produkten beim Hotspot #IoT #Industrie40 auf ihre Kosten! Garantiert https://t.co/X9a61sPEtp</t>
  </si>
  <si>
    <t>INKA-Forum</t>
  </si>
  <si>
    <t>Verknüpfung von #Industrie40 &amp; #Marketing40, Aufbrechen von Teams, #crosschannel auf den #Kunden hören. Denkanstöße im 2. Key Theme#INKA16</t>
  </si>
  <si>
    <t>Bregenz</t>
  </si>
  <si>
    <t>Das „INKA“-Forum | 13./14. April 2016</t>
  </si>
  <si>
    <t>Gremien beschäftigen sich damit, wie #Industrie40 in Deutschland wettbewerbsfähig werden kann. Die Lösung: https://t.co/1DwjjiuYEr ^mar</t>
  </si>
  <si>
    <t>zen MFG</t>
  </si>
  <si>
    <t>Great initiative about plastic recycling! https://t.co/yiM7kM6WqP Cc @FabLabBLN @FabLabLondon #ukmfg #industrie40</t>
  </si>
  <si>
    <t>London, England</t>
  </si>
  <si>
    <t>Great products are made of creativity, love &amp; PLASTIC PARTS. Access UKs finest, medium sized injection moulding &amp; tooling companies through zenMFG. #ukmfg</t>
  </si>
  <si>
    <t>Lutz Villalba-Adorno</t>
  </si>
  <si>
    <t>RT @zen_mfg: Great initiative about plastic recycling! https://t.co/yiM7kM6WqP Cc @FabLabBLN @FabLabLondon #ukmfg #industrie40</t>
  </si>
  <si>
    <t>Europe</t>
  </si>
  <si>
    <t>Running growth @zen_mfg. Advising #SME on the digital manufacturing economy. Connecting makers &amp; manufacturers @m3berlin &amp; soon @m3london. #ukmfg #industrie40</t>
  </si>
  <si>
    <t>Christof Dörflinger</t>
  </si>
  <si>
    <t>RT @INKA_Forum: Verknüpfung von #Industrie40 &amp; #Marketing40, Aufbrechen von Teams, #crosschannel auf den #Kunden hören. Denkanstöße im 2. K…</t>
  </si>
  <si>
    <t>PIM/MAM expert</t>
  </si>
  <si>
    <t>Die Elektroindustrie</t>
  </si>
  <si>
    <t>RT @VDMAonline: Labs Network #Industrie40 auf der @hannover_messe #hm16 https://t.co/etlIwFUaU5 https://t.co/OSI87XndQE</t>
  </si>
  <si>
    <t>Frankfurt, Berlin, Brüssel</t>
  </si>
  <si>
    <t>Der ZVEI vertritt 1.600 Unternehmen der Elektrotechnik- und Elektronikindustrie. Impressum: http://t.co/XIHN1rULdm</t>
  </si>
  <si>
    <t>AUTOMOBIL FORUM 2016: Der #Digitalisierung sgipfel in München via https://t.co/RnwKNiJ7YF #MeinGeld #Anlegermagazin #Industrie40</t>
  </si>
  <si>
    <t>RT @MeinGeldMedien: AUTOMOBIL FORUM 2016: Der #Digitalisierung sgipfel in München via https://t.co/RnwKNiJ7YF #MeinGeld #Anlegermagazin #I…</t>
  </si>
  <si>
    <t>Open Gate Italia</t>
  </si>
  <si>
    <t>Penso quindi creo. Benvenuti nella fabbrica 4.0 #Industrie40 https://t.co/XufcstYdfy https://t.co/ArOOiZ1Rin</t>
  </si>
  <si>
    <t>Roma, Italia</t>
  </si>
  <si>
    <t>Public affairs, regolamentazione e comunicazione strategica.</t>
  </si>
  <si>
    <t>Ralf Kuder</t>
  </si>
  <si>
    <t>Ankündigung EU-KOM: Maßnahmen zur #Digitalisierung Industrie am 19/04 #Industrie40 #DigIndEU https://t.co/rhZE1tBQmt https://t.co/04sZjMhqhW</t>
  </si>
  <si>
    <t>Brüssel, Belgien</t>
  </si>
  <si>
    <t>EU Energy/Climate + Telecom/Digital Policy; Energy Working Party @EUCouncil; EU Representation of North Rhine-Westphalia; @NRWinEU; Tweets are my own view</t>
  </si>
  <si>
    <t>Rudolf Loidl</t>
  </si>
  <si>
    <t>#schaefflergroup und #dmgmoriag bauen Werkzeugmaschine 4.0 #digitalisierung #industrie40 https://t.co/kjQagqv29h</t>
  </si>
  <si>
    <t>Wien, Österreich</t>
  </si>
  <si>
    <t>Chefredakteur des INDUSTRIEMAGAZIN, Macher des AUSSENWIRTSCHAFT magazine - interessiert an allem was dazwischen liegt.</t>
  </si>
  <si>
    <t>IFS D-A-CH</t>
  </si>
  <si>
    <t>Billionen für die Industrie 4.0 https://t.co/uVJVVeQJLp via @automotive_IT #Industrie40</t>
  </si>
  <si>
    <t>Erlangen</t>
  </si>
  <si>
    <t>Hersteller der Business Software IFS Applications. Interessiert an ERP, EAM, ESM, CRM, PLM, MRO und BI? Dann folgen Sie uns! Impressum: https://t.co/DZGav9cUSp</t>
  </si>
  <si>
    <t>Manfred Zeisberger</t>
  </si>
  <si>
    <t>RT @LoidlRudolf: #schaefflergroup und #dmgmoriag bauen Werkzeugmaschine 4.0 #digitalisierung #industrie40 https://t.co/kjQagqv29h</t>
  </si>
  <si>
    <t>Austria, Europe</t>
  </si>
  <si>
    <t>Infografiker, Data Creative, AD, Newsdesigner, cgi, Segler, Taucher, rothaariger Linkshänder ▂ ▃ ▅ ▆ ▇ ▉ #dataviz &amp; #News [♥️ = ⭐️] Threema: V5ZTAU38 #heimleaks</t>
  </si>
  <si>
    <t>Rockwell Automation</t>
  </si>
  <si>
    <t>Want to know how to make #Industrie40 work for you? Watch this video! #HM16 https://t.co/avzwMcPGZG https://t.co/MkGehZt2oZ</t>
  </si>
  <si>
    <t>Oracle Engage</t>
  </si>
  <si>
    <t>Milton Keynes</t>
  </si>
  <si>
    <t>Rockwell Automation, dedicated to industrial automation and information, makes its customers more productive and the world more sustainable</t>
  </si>
  <si>
    <t>Celebal Corp</t>
  </si>
  <si>
    <t>Why Everyone Must Get Ready For 4th Industrial Revolution by @BernardMarr via @forbes … #IoT #IIoT #Industrie40 https://t.co/gC5lqay9ck</t>
  </si>
  <si>
    <t>ACADEMIA SUPERIOR</t>
  </si>
  <si>
    <t>Am 20.4.2016 Geschäftsführerin @ccschwarz in #wien https://t.co/CAzwmMbnjt #IoT #Digitalisierung #Industrie40</t>
  </si>
  <si>
    <t>Linz, JKU-Science Park</t>
  </si>
  <si>
    <t>Gesellschaft für Zukunftsforschung | Institute for Future Studies | Denkfabrik | Think Tank http://t.co/2I80mcVp4W http://t.co/pjBAhSmvML Tweets by @MiHauer</t>
  </si>
  <si>
    <t>LV NRW</t>
  </si>
  <si>
    <t>#Industrie40: EU-KOM legt Paket zur #Digitalisierung der Industrie am 19/04 vor #DigitiseEU #DigIndEU #DSM https://t.co/YHAlUs1m5k</t>
  </si>
  <si>
    <t>Brüssel</t>
  </si>
  <si>
    <t>Hier twittert die NRW-Landesvertretung in Brüssel. Wir informieren hier kurz und knapp zu europäischen Themen, die NRW betreffen.</t>
  </si>
  <si>
    <t>Helmut Linzenbold</t>
  </si>
  <si>
    <t>Auf dem Weg zur lernenden Fabrik: IBM zeigt auf der #hmi16, wie smarte #Industrie40 Projekte aussehen können https://t.co/DAVTuzWfEM</t>
  </si>
  <si>
    <t>Herrenberg, Baden-Württemberg</t>
  </si>
  <si>
    <t>IBM Digital Sales - Middleware Specialist</t>
  </si>
  <si>
    <t>IoTAutomationMinded</t>
  </si>
  <si>
    <t>RT @celebalcorp: Why Everyone Must Get Ready For 4th Industrial Revolution by @BernardMarr via @forbes … #IoT #IIoT #Industrie40 https://t…</t>
  </si>
  <si>
    <t>RoundTeam</t>
  </si>
  <si>
    <t>Hyper focus on #WearableTech, #ConnectedConsumer, #SmartHomes, #SmartCities, M2M, and #IoT including #PIoT and #IIoT @MindCommerce</t>
  </si>
  <si>
    <t>Corinne Schindlbeck</t>
  </si>
  <si>
    <t>München, Bayern</t>
  </si>
  <si>
    <t>Management, Führung, (Ingenieur-)Karrieren, Arbeitsmarkt Elektronik und IKT, Forschungstransfer und #digitaltransformation. Senior Editor. Views are my own.</t>
  </si>
  <si>
    <t>semica</t>
  </si>
  <si>
    <t>Munich</t>
  </si>
  <si>
    <t>Ongoing Tweets for electronic engineers! Powered by semica - the job exchange for the electronics industry. Tweets in english and german.</t>
  </si>
  <si>
    <t>Jelena Dronowa</t>
  </si>
  <si>
    <t>Ab 25.4: #Industrie40: Das Internet der Dinge zieht in die Fabrik https://t.co/2vMYVqRLUF @openHPI #elearning #mooc</t>
  </si>
  <si>
    <t>TweetCaster for Android</t>
  </si>
  <si>
    <t>Metropolregion Hamburg</t>
  </si>
  <si>
    <t>IT-Trainerin ✵ SocialMedia-Manager ✵ Twittere f @1STembedded ✵ Optimistin | Motto: Es gibt keine trockene Theorie - nur trockene Theoretiker ツ</t>
  </si>
  <si>
    <t>Sulz im Wienerwald, 13.04.2016 - Über 350 Bewerber aus aller Welt, in zwei Vorauswahlrunden auf 2... https://t.co/JVJapowtGY #Industrie40</t>
  </si>
  <si>
    <t>RT @H_IT_D: Sulz im Wienerwald, 13.04.2016 - Über 350 Bewerber aus aller Welt, in zwei Vorauswahlrunden auf 2... https://t.co/JVJapowtGY #I…</t>
  </si>
  <si>
    <t>Post free ads for Industries &amp; Manufacturing in India #Industrie40 #manufacturing #productivity #Company https://t.co/Q8gdoJ5IKJ</t>
  </si>
  <si>
    <t>Kalpesh Patel</t>
  </si>
  <si>
    <t>Post free ads for Industries &amp; Manufacturing in India #Industrie40 #manufacturing #productivity #Company https://t.co/goQkmebpwK</t>
  </si>
  <si>
    <t>KalSEOApp</t>
  </si>
  <si>
    <t>Ahmadabad City, Gujarat</t>
  </si>
  <si>
    <t>Professional SEO, Social Media Marketer, Twitter Marketing</t>
  </si>
  <si>
    <t>Limits to the potential of #IoT are disappearing. #Industrie40 #cloudcomputing #m2m #digitalisierung https://t.co/UiiQJQqi2I @verlinked</t>
  </si>
  <si>
    <t>Emre Kayadelen</t>
  </si>
  <si>
    <t>Ich werde mein Stück Kuchen mit RFID Transponder bestücken, um in Echtzeit den Standort bestimmen zu können #Industrie40 #Digitalisierung</t>
  </si>
  <si>
    <t>ShitHappens!</t>
  </si>
  <si>
    <t>Personalpraxis24.de</t>
  </si>
  <si>
    <t>#Industrie40 erfolgreich umsetzen - so geht`s! Unternehmen müssen nur bestimmte Voraussetzung erfüllen: https://t.co/ZYixgFoC45</t>
  </si>
  <si>
    <t>Köln, Germany</t>
  </si>
  <si>
    <t>Aktuelle Nachrichten und Top-Themen zu Personalmanagement, Arbeitsrecht, Sozialversicherung und Steuern. c/o Wolters Kluwer Deutschland</t>
  </si>
  <si>
    <t>abas ERP</t>
  </si>
  <si>
    <t>RT @hannover_messe: Why everyone must get ready for the 4th industrial revolution https://t.co/GBzXmBWMkB via @forbes #Industrie40 https://…</t>
  </si>
  <si>
    <t>Karlsruhe, Germany</t>
  </si>
  <si>
    <t>abas believes passionately that people, our own and yours, are the heart and soul of business.</t>
  </si>
  <si>
    <t>Christian Merhy</t>
  </si>
  <si>
    <t>Boston, MA</t>
  </si>
  <si>
    <t>Marketing strategist &amp; classic car chaser.</t>
  </si>
  <si>
    <t>RT @Personalpraxis: #Industrie40 erfolgreich umsetzen - so geht`s! Unternehmen müssen nur bestimmte Voraussetzung erfüllen: https://t.co/ZY…</t>
  </si>
  <si>
    <t>Al #Pharmintech parleremo di #Industrie40, Data Integrity, serializzazione, MES. 15/4 h11:25 https://t.co/hMEbA2rw6F https://t.co/yTky7bKrS2</t>
  </si>
  <si>
    <t>Italy</t>
  </si>
  <si>
    <t>Rockwell Automation, leader mondiale nella fornitura di soluzioni per automazione industriale e information technology</t>
  </si>
  <si>
    <t>Al #Pharmintech parleremo di #Industrie40, Data Integrity, serializzazione, MES. 15/4 h11:25 https://t.co/AqnoRKWbkl https://t.co/lR3MxkDP6T</t>
  </si>
  <si>
    <t>Switzerland</t>
  </si>
  <si>
    <t>Rockwell Automation, in automazione industriale e information technology, aiuta ad incrementare la produttività dei propri clienti e ad un mondo più sostenibile</t>
  </si>
  <si>
    <t>H. J. von Schönfeldt</t>
  </si>
  <si>
    <t>FRF HAM MUN COLO MIAMI HYD-Ind</t>
  </si>
  <si>
    <t>Board of directors. Interested in: #fintech, #corebanking, #insuretech, #startups, #cloud, #bigdata, #digitizing. https://t.co/lZ3UyzRbp5</t>
  </si>
  <si>
    <t>Metaalmagazine</t>
  </si>
  <si>
    <t>The Netherlands</t>
  </si>
  <si>
    <t>Metaalnieuws voor professionals in de #metaal, kennis- en inspiratiebron over #metaalbewerking en #productietechnieken</t>
  </si>
  <si>
    <t>BolognaFiere</t>
  </si>
  <si>
    <t>RT @ROKAutomationIT: Al #Pharmintech parleremo di #Industrie40, Data Integrity, serializzazione, MES. 15/4 h11:25 https://t.co/hMEbA2rw6F h…</t>
  </si>
  <si>
    <t>Viale della Fiera 20 Bologna</t>
  </si>
  <si>
    <t>Da oltre cinquant'anni gruppo leader nella gestione di quartieri fieristici (BO - MO - FE), organizzazione di eventi e commercializzazione di servizi</t>
  </si>
  <si>
    <t>Alles draait om JIJ</t>
  </si>
  <si>
    <t>RT @hannover_messe: Why everyone must get ready for the 4th industrial revolution https://t.co/3xguRjiKR6 via @forbes #Industrie40</t>
  </si>
  <si>
    <t>Woerden, Utrecht</t>
  </si>
  <si>
    <t>praktische steun voor werkgevers én werknemers in de Metaal en Techniek voor betere inzetbaarheid.</t>
  </si>
  <si>
    <t>Hudson Fasteners</t>
  </si>
  <si>
    <t>1-877-4-A-SCREW</t>
  </si>
  <si>
    <t>Fastening Hardware for Every Industry #Fasteners #mfg #B2BeCommerce #manufacturing #screws #nuts #bolts</t>
  </si>
  <si>
    <t>PSIpenta</t>
  </si>
  <si>
    <t>Software zur Optimierung von Fertigungsprozessen - ERP, MES, SCM, APS &amp; mehr</t>
  </si>
  <si>
    <t>Ralf M. Haaßengier</t>
  </si>
  <si>
    <t>Innovations-Forum mav - Peter Schneck, TDM Systems: "Wir haben aus Asien mal eine Anfrage nach einer Preisliste zu #Industrie40 erhalten."</t>
  </si>
  <si>
    <t>Mobile Web (M2)</t>
  </si>
  <si>
    <t>Teresa</t>
  </si>
  <si>
    <t>marketing, technology, science and manufacturing</t>
  </si>
  <si>
    <t>Post free ads for Industries &amp; Manufacturing in India #Industrie40 #manufacturing #productivity #Company https://t.co/yVIO7JML1B</t>
  </si>
  <si>
    <t>#Querdenker kommen mit #smarten #Produkten beim Hotspot #IoT #Industrie40 auf ihre Kosten! Garantiert https://t.co/X9a61sPEtp</t>
  </si>
  <si>
    <t>relayr</t>
  </si>
  <si>
    <t>Let's talk about Smart Manufacturing Solutions at @hannover_messe! https://t.co/WrWVs6bg63 #IoT #Industrie40 #HM16 https://t.co/DTFbEt4eEP</t>
  </si>
  <si>
    <t>HubSpot</t>
  </si>
  <si>
    <t>relayr is an Internet of Things company for the Digital Transformation of Industries.</t>
  </si>
  <si>
    <t>akquinet</t>
  </si>
  <si>
    <t>#Industrie40: Treffen Sie unsere Experten auf der #HannoverMesse (Halle 11 / Stand C13). Termin vereinbaren: https://t.co/UjIUBO3Vrl</t>
  </si>
  <si>
    <t>Hamburg, Germany</t>
  </si>
  <si>
    <t>We are an end-to-end service provider with 4 datacenters. Here with: #ITSicherheit #ITSecurity #Datacenter #Rechenzentrum #Sozialwirtschaft #HealthCare #ITJob</t>
  </si>
  <si>
    <t>Paul Hopton</t>
  </si>
  <si>
    <t>RT @relayr_cloud: Let's talk about Smart Manufacturing Solutions at @hannover_messe! https://t.co/WrWVs6bg63 #IoT #Industrie40 #HM16 https:…</t>
  </si>
  <si>
    <t>Chief Engineer - Internet of Things</t>
  </si>
  <si>
    <t>Guneet Bedi</t>
  </si>
  <si>
    <t>San Jose, CA</t>
  </si>
  <si>
    <t>VP Business Development</t>
  </si>
  <si>
    <t>Jens Mueller</t>
  </si>
  <si>
    <t>VP Sales &amp; BizDev @relayr_cloud</t>
  </si>
  <si>
    <t>Jackson Bond</t>
  </si>
  <si>
    <t>https://t.co/xVvIz0ogTd Enterprise Middleware and Easy Tools to accelerate Digital Transformation of Industries into the Internet of Things. @relayr_cloud #iot</t>
  </si>
  <si>
    <t>SoLoMo BrainEspresso</t>
  </si>
  <si>
    <t>#SoLoMo &amp; #mobile trends, #mCommerce, #bom15 Best of Mobile Awards @bomawards | Views and RTs by @BrainEspresso</t>
  </si>
  <si>
    <t>RT @akquinet: #Industrie40: Treffen Sie unsere Experten auf der #HannoverMesse (Halle 11 / Stand C13). Termin vereinbaren: https://t.co/UjI…</t>
  </si>
  <si>
    <t>Christof Schürmann</t>
  </si>
  <si>
    <t>smart sensor systems for the #Industrie40 #Startup @weareKONUX #Munich got $7.5m #VentureCapital from @MIGFonds @utum_muc @NEAVC</t>
  </si>
  <si>
    <t>Rhine area Germany</t>
  </si>
  <si>
    <t>Journalist @WirtschaftsWoche, Author (Die Bilanztrickser), german stocks &amp; more, fixed income, PE, VC. Here: private opinions</t>
  </si>
  <si>
    <t>Falco</t>
  </si>
  <si>
    <t>recent twitterer, event manager, avid IoT and computer technology observer, and pop culture enthusiast</t>
  </si>
  <si>
    <t>Global Fairs</t>
  </si>
  <si>
    <t>Représentant et régie de salons professionnels.</t>
  </si>
  <si>
    <t>RT @JIJmt: RT @hannover_messe: Why everyone must get ready for the 4th industrial revolution https://t.co/3xguRjiKR6 via @forbes #Industrie…</t>
  </si>
  <si>
    <t>Digital Trends</t>
  </si>
  <si>
    <t>United States</t>
  </si>
  <si>
    <t>Innovation and Digital Trends. Searching &amp; retweeting the best and most retweeted #Technology #Innovation #News &amp; #Tech #Digital #Trends #TechTrends</t>
  </si>
  <si>
    <t>EEEnergyManagement</t>
  </si>
  <si>
    <t>Insight: machine condition monitoring strategy at Braskem #petrochemical plant https://t.co/z2dWoVSM27 #industrie40 https://t.co/OlvI1ghpeG</t>
  </si>
  <si>
    <t>Brussels, EU</t>
  </si>
  <si>
    <t>Dedicated Twitter stream for #EnergyPages companies, supported by #EEIP, the biggest global industrial #energyefficiency network @GreenCogEU</t>
  </si>
  <si>
    <t>EnergyPages</t>
  </si>
  <si>
    <t>Insight: machine condition monitoring strategy at Braskem #petrochemical plant https://t.co/zj2sljEO4i #industrie40 https://t.co/2KpHb4PK15</t>
  </si>
  <si>
    <t>Brussels, Belgium</t>
  </si>
  <si>
    <t>EnergyPages is the B2B #ContentMarketing solution of global EEIP industry network, nominated for GER Energy Efficiency Award 2016</t>
  </si>
  <si>
    <t>Sebastian Bollig</t>
  </si>
  <si>
    <t>Sehr interessant: Bürger misstrauen #Industrie40 https://t.co/jgmKvafzZU</t>
  </si>
  <si>
    <t>Hamburg</t>
  </si>
  <si>
    <t>Ich arbeite als Redakteur bei der DVZ. Ich berichte Interessantes aus der weiten Welt von Transport und Logistik. Dies ist kein offizieller Redaktionsaccount!</t>
  </si>
  <si>
    <t>Markenartikel</t>
  </si>
  <si>
    <t>#industrie40: 1/3 der dt. Unternehmen stuft Digitalisierungsgrad als hoch ein. Steigerung auf 82 % erwartet. @pwc_de https://t.co/64ofnWPfpa</t>
  </si>
  <si>
    <t>Markenartikel ist das Magazin für Markenführung. Hier twittert die Redaktion.</t>
  </si>
  <si>
    <t>Giuseppe Squeri</t>
  </si>
  <si>
    <t>impiegato, marketing &amp; communication exhibitions, shows &amp; entertainment events</t>
  </si>
  <si>
    <t>@DoroBaer @hpbonn #DigitalDivide 4.0? #Digitalisierung und #Industrie40 verängstigen viele Menschen und faszinieren wenige Interessierte</t>
  </si>
  <si>
    <t>Lisa Becker</t>
  </si>
  <si>
    <t>Morgen, 11 Uhr, läuft das #Webinar zu unserer #ITStrategie Studie. Infos: https://t.co/TjCv30YfLs #Digitalisierung #Industrie40 @Scheer_GmbH</t>
  </si>
  <si>
    <t>Saarbrücken, Saarland</t>
  </si>
  <si>
    <t>menschelnder menschlicher menschenfreund. Recruiter @Scheer_GmbH</t>
  </si>
  <si>
    <t>Scheer Karriere</t>
  </si>
  <si>
    <t>Morgen, 11 Uhr, läuft das #Webinar zu unserer #ITStrategie Studie. Infos: https://t.co/nV0ebvinMu #Digitalisierung #Industrie40 @Scheer_GmbH</t>
  </si>
  <si>
    <t>Saarbrücken, Deutschland</t>
  </si>
  <si>
    <t>Hier twittert das Scheer Karriere Team - Lisa - Nadine - Stefan</t>
  </si>
  <si>
    <t>RT @ScheerKarriere: Morgen, 11 Uhr, läuft das #Webinar zu unserer #ITStrategie Studie. Infos: https://t.co/nV0ebvinMu #Digitalisierung #Ind…</t>
  </si>
  <si>
    <t>RT @Becker_AnnaLisa: Morgen, 11 Uhr, läuft das #Webinar zu unserer #ITStrategie Studie. Infos: https://t.co/TjCv30YfLs #Digitalisierung #In…</t>
  </si>
  <si>
    <t>RT @logistiknews: @DoroBaer @hpbonn #DigitalDivide 4.0? #Digitalisierung und #Industrie40 verängstigen viele Menschen und faszinieren wenig…</t>
  </si>
  <si>
    <t>S_Köbernick</t>
  </si>
  <si>
    <t>#Mittelstand : Das Herz der deutschen #Wirtschaft ist bedroht https://t.co/geVuM5b8EL #Industrie40 #innovation #Digitalisierung</t>
  </si>
  <si>
    <t>Likes innovative, entrepeneurial minds and people with a good sense of humor. This is my private account. #innovation #startups #green</t>
  </si>
  <si>
    <t>Pascale Savariau</t>
  </si>
  <si>
    <t>Lille, Nord-Pas-de-Calais</t>
  </si>
  <si>
    <t>Manager @PwC_France #Lille #Business #Development #Marketing #Communication Mes tweets n'engagent que moi</t>
  </si>
  <si>
    <t>Autotask GmbH</t>
  </si>
  <si>
    <t>München, Deutschland</t>
  </si>
  <si>
    <t>100% Cloud-basiert. 100% deutscher Support.</t>
  </si>
  <si>
    <t>AngieMiller</t>
  </si>
  <si>
    <t>Twidere#6022</t>
  </si>
  <si>
    <t>TeleForwardingGmbH</t>
  </si>
  <si>
    <t>#eSIM ist Durchbruch für Mobility Konzepte und der Schlüssel für #InternetderDinge, #M2MKommunikation &amp; #Industrie40 https://t.co/9xNnWGmkk3</t>
  </si>
  <si>
    <t>Düsseldorf</t>
  </si>
  <si>
    <t>Tweets über #Telekommunikation, #Technologie, #Kommunikation, #Kundenservice und #Netzpolitik. DE + EN</t>
  </si>
  <si>
    <t>RT @TForwardingGmbH: #eSIM ist Durchbruch für Mobility Konzepte und der Schlüssel für #InternetderDinge, #M2MKommunikation &amp; #Industrie40 h…</t>
  </si>
  <si>
    <t>#Industrie40: Was ist Hype, was ist oder wird Realität, was bleibt leere Worthülse...? https://t.co/hAbGB0q6z3</t>
  </si>
  <si>
    <t>neoAdd</t>
  </si>
  <si>
    <t>RT @IT_Connection: #Industrie40: Was ist Hype, was ist oder wird Realität, was bleibt leere Worthülse...? https://t.co/hAbGB0q6z3</t>
  </si>
  <si>
    <t>Germany Austria Switzerland</t>
  </si>
  <si>
    <t>Discussions about #Addons for Microsoft #Dynamics, #NAV, #AX, #CRM https://t.co/3Sg1oIZp15</t>
  </si>
  <si>
    <t>proALPHA ERP System</t>
  </si>
  <si>
    <t>#hm16 - In der Smart Electronic Factory hält proALPHA ERP die Fäden zusammen. #Industrie40 #Mittelstand @Hallo_SEF https://t.co/23zsYhZWPB</t>
  </si>
  <si>
    <t>@proALPHA folgen, um mehr über das technologisch führende #ERP System für mittelständische Unternehmen zu erfahren. Impressum: http://t.co/ghWWemx2Dv</t>
  </si>
  <si>
    <t>Loerinczi Miklos</t>
  </si>
  <si>
    <t>Doc Peter</t>
  </si>
  <si>
    <t>Copenhagen Calvinist School möchte ich gern mal besuchen. Bis dahin: Video und Videovermarktung im Journalismus und Marketing. doc</t>
  </si>
  <si>
    <t>awe</t>
  </si>
  <si>
    <t>Holger Paul</t>
  </si>
  <si>
    <t>Francois Blanchard</t>
  </si>
  <si>
    <t>SAP &amp; @FestoAG montent une ligne de production #Industrie40 taille réelle au siège de #SAPfr ! https://t.co/l3SHJpw3Hp via @usinenouvelle</t>
  </si>
  <si>
    <t xml:space="preserve">Paris </t>
  </si>
  <si>
    <t>SAP Payment Services EMEA - All opinions are my own</t>
  </si>
  <si>
    <t>Rita Galati</t>
  </si>
  <si>
    <t>SAP &amp; @FestoAG montent une ligne de production #Industrie40 taille réelle au siège de #SAPfr ! https://t.co/sBpONbNYiE via @usinenouvelle</t>
  </si>
  <si>
    <t>Mobile Web</t>
  </si>
  <si>
    <t>#Industriedufutur | @SAPFRANCE | #Manufacturing | #SupplyChain | #Aerospace | Views are only mine</t>
  </si>
  <si>
    <t>SuccessFactors-Fr</t>
  </si>
  <si>
    <t>SAP &amp; @FestoAG montent une ligne de production #Industrie40 taille réelle au siège de #SAPfr ! https://t.co/bIXZP4s2YI via @usinenouvelle</t>
  </si>
  <si>
    <t>Leader des solutions d'exécution de la stratégie d'entreprise : aligner les objectifs de l’entreprise sur sa stratégie et améliorer la performance des employés</t>
  </si>
  <si>
    <t>Michaelle Salmon</t>
  </si>
  <si>
    <t>SAP &amp; @FestoAG montent une ligne de production #Industrie40 taille réelle au siège de #SAPfr ! https://t.co/Uivs0uSxLk via @usinenouvelle</t>
  </si>
  <si>
    <t>#marketing #social #digital #Industriedufutur #iot #innovation @SAPFrance views my own</t>
  </si>
  <si>
    <t>Francois Dex</t>
  </si>
  <si>
    <t>SAP &amp; @FestoAG montent une ligne de production #Industrie40 taille réelle au siège de #SAPfr ! https://t.co/S6GCvx5H1z via @usinenouvelle</t>
  </si>
  <si>
    <t>Tech, #Sustainable &amp; #Social Innovations | #Industriedufutur | Daydreamer | People above all! | #GrowthHacking @SAPFrance #Digital #Marketing / Views my own</t>
  </si>
  <si>
    <t>Benjamin Golder</t>
  </si>
  <si>
    <t>SAP &amp; @FestoAG montent une ligne de production #Industrie40 taille réelle au siège de #SAPfr ! https://t.co/2L4cFERmzS via @usinenouvelle</t>
  </si>
  <si>
    <t>Digital Marketer @SapFrance | Founder @Self_Ad | #Startups #Innovation #IndustrieDuFutur #GrowthHacking | Views my own.</t>
  </si>
  <si>
    <t>Maurelita</t>
  </si>
  <si>
    <t>Working out loud &amp; driving social collaboration + digital transformation @PwC_France ; 2nd life as a cycling bilingual blogger #finland #paris</t>
  </si>
  <si>
    <t>Gisele Prevost</t>
  </si>
  <si>
    <t>RT @GalatiRita: SAP &amp; @FestoAG montent une ligne de production #Industrie40 taille réelle au siège de #SAPfr ! https://t.co/sBpONbNYiE via…</t>
  </si>
  <si>
    <t>Michael O'Malley</t>
  </si>
  <si>
    <t>United Kingdom</t>
  </si>
  <si>
    <t>IoT Solutions Lead</t>
  </si>
  <si>
    <t>#Cyber-Angreifer haben sich 3 Tage Zeit genommen, um das #Industrie40-System zu analysieren https://t.co/bzbdjRraWm</t>
  </si>
  <si>
    <t>RT @IT_Connection: #Cyber-Angreifer haben sich 3 Tage Zeit genommen, um das #Industrie40-System zu analysieren https://t.co/bzbdjRraWm</t>
  </si>
  <si>
    <t>FabLabLondon</t>
  </si>
  <si>
    <t>LONDON</t>
  </si>
  <si>
    <t>Fab Lab London is the City of London’s first purpose built digital fabrication + rapid prototyping creative workspace. Tweets by founders @andegregson @tonyfish</t>
  </si>
  <si>
    <t>Ande Gregson</t>
  </si>
  <si>
    <t>Making at Fab Lab London</t>
  </si>
  <si>
    <t>Founder @FabLabLondon @media140 @sciencerewired @bigdataweek Motorbikes, loves scuba, travel, ran 25th 29th 30th Marathon des Sables FRSA</t>
  </si>
  <si>
    <t>#IndustrieDuFutur La 4ème révolution industrielle est déjà là. Etes-vous prêt à tout repenser ? https://t.co/0yTjErJ7xs #Industrie40 #SAPfr</t>
  </si>
  <si>
    <t>Emmanuelle Leneuf</t>
  </si>
  <si>
    <t>5⃣[#Infographie] #Industrie40: 907 Mrds$ d'investissement par an https://t.co/NwrliB9Yxf @LUsineDigitale #FlashTweet https://t.co/Nk10tYaMJG</t>
  </si>
  <si>
    <t>Paris, France, Worldwide</t>
  </si>
  <si>
    <t>#FlashTweet : La matinale #Live sur le #Digital [#Startup #IoT #Tech #BigData #SocialMedia #TransfoNum #Marketing] by @EmmanuelleL9 #Journaliste #i4Emploi</t>
  </si>
  <si>
    <t>SANJAY d'Humières</t>
  </si>
  <si>
    <t>RT @FlashTweet: 5⃣[#Infographie] #Industrie40: 907 Mrds$ d'investissement par an https://t.co/NwrliB9Yxf @LUsineDigitale #FlashTweet https:…</t>
  </si>
  <si>
    <t>Paris, FR &amp; London UK</t>
  </si>
  <si>
    <t>Expert in #SocialMedia, #SocialTV &amp; #AudienceEngagement + European/UK media policy. // MD of @tv_socialite (Feed in ENG &amp; FR) Ex-#BBC &amp; #FremantleMedia</t>
  </si>
  <si>
    <t>Stefan Brill</t>
  </si>
  <si>
    <t>In der Schaufensterfabrik #Industrie40 erleben via @MaschinenMarkt https://t.co/EgK763J1Y1</t>
  </si>
  <si>
    <t>überall und nirgendwo</t>
  </si>
  <si>
    <t>privater Account rund um Technik, Industrie 4.0 und anderes interessantes</t>
  </si>
  <si>
    <t>JC Georghiou</t>
  </si>
  <si>
    <t>Partner @PwC_France Head of the #Assurance practice (Audit and Business Assurance Services)</t>
  </si>
  <si>
    <t>Heiko Wächtersbach</t>
  </si>
  <si>
    <t>Business Academy</t>
  </si>
  <si>
    <t>Die Business Academy bietet Aus- und Weiterbildung in den Bereichen IT, neuen Medien und Management. Impressum: https://t.co/mOCjpUTUvP</t>
  </si>
  <si>
    <t>RT @ROKAutomationUK: Want to know how to make #Industrie40 work for you? Watch this video! #HM16 https://t.co/avzwMcPGZG https://t.co/MkGeh…</t>
  </si>
  <si>
    <t>Czech</t>
  </si>
  <si>
    <t>Rockwell Automation, zaměřená na průmyslovou automatizaci, umožňuje zákazníkům zvýšit produktivitu a konkurenceschopnost</t>
  </si>
  <si>
    <t>M-Odile Charaudeau</t>
  </si>
  <si>
    <t>[#Infographie] #Industrie40: 907 Mrds$ d'investissement par an https://t.co/Jx4uk6VjiY @LUsineDigitale RT@FlashTweet https://t.co/JzynUzDhNz</t>
  </si>
  <si>
    <t>Paris- France</t>
  </si>
  <si>
    <t>Co-fondateur de l'Alliance Big Data - @AllianceBigData</t>
  </si>
  <si>
    <t>JOUAILLEC Maryline</t>
  </si>
  <si>
    <t>RT @MOC_AllianceBD: [#Infographie] #Industrie40: 907 Mrds$ d'investissement par an https://t.co/Jx4uk6VjiY @LUsineDigitale RT@FlashTweet ht…</t>
  </si>
  <si>
    <t>Paris France</t>
  </si>
  <si>
    <t>Logistiker</t>
  </si>
  <si>
    <t>Ja, ja! #Industrie40 und #Digitalisierung verteufeln und sich dann über lahme Internetverbindungen beschweren 😠 https://t.co/sELt2fSar8</t>
  </si>
  <si>
    <t>Logistik-Hauptstadt Dortmund</t>
  </si>
  <si>
    <t>Thijs</t>
  </si>
  <si>
    <t>In der Antwort steckt viel Wahrheit und Wissen ...und Humor #Industrie40 #Automatisierung #BGE https://t.co/wIW7KQhVf9</t>
  </si>
  <si>
    <t>Schnacker lernt schwätzen, hilft schöne Autos zu entwickeln, studiert an Automatisierung und LKW-Konzept. Mag V8, autoleere Innenstädte und BGE</t>
  </si>
  <si>
    <t>RT @tuessl: In der Antwort steckt viel Wahrheit und Wissen ...und Humor #Industrie40 #Automatisierung #BGE https://t.co/wIW7KQhVf9</t>
  </si>
  <si>
    <t>RT @DerLogistikfan: Ja, ja! #Industrie40 und #Digitalisierung verteufeln und sich dann über lahme Internetverbindungen beschweren 😠 https:/…</t>
  </si>
  <si>
    <t>Seedfinanzierung eingesammelt: Intelligente Sensorik für Echtzeit-Überwachung von Maschinen. #Industrie40 https://t.co/G6gxb5TULt</t>
  </si>
  <si>
    <t>#VDMA Vortrag "Wie Sie mit dem #IoT &amp; der #Industrie40 Ihren #Vertrieb unschlagbar machen!" https://t.co/W6BzoNczSh</t>
  </si>
  <si>
    <t>BGE Bot</t>
  </si>
  <si>
    <t>bgebot</t>
  </si>
  <si>
    <t>Der BGE-Bot retweetet alles, was mit dem Bedingungslosen Grundeinkommen zu tun hat. Aktuelles: http://t.co/odvgEP7XDA</t>
  </si>
  <si>
    <t>RT @corischindlbeck: Seedfinanzierung eingesammelt: Intelligente Sensorik für Echtzeit-Überwachung von Maschinen. #Industrie40 https://t.co…</t>
  </si>
  <si>
    <t>paolo ignazio marong</t>
  </si>
  <si>
    <t>libero professionista,analista sereno navigatore nel mondo che cambia per cercare rotte nuove ed insolite Degusta il tempo Sa di non sapere co-founder @tobe_srl</t>
  </si>
  <si>
    <t>Michael Fritz</t>
  </si>
  <si>
    <t>#fraunhofer mit etlichen Fachbeiträgen beteiligt am #Industrie40 Onlinekurs von @openHPI https://t.co/t4CspiS7bV</t>
  </si>
  <si>
    <t>Corporate Business Development for ICT at Fraunhofer-Gesellschaft, Tweets represent my personal opinion</t>
  </si>
  <si>
    <t>Thomas Usländer</t>
  </si>
  <si>
    <t>RAPIFIRE</t>
  </si>
  <si>
    <t>What is the Industry 4.0 revolution? Watch here &amp; find out. https://t.co/KJkOooSLZ1 #iiot #iot #Industrie40 #industrialinternet</t>
  </si>
  <si>
    <t>Poznań, Poland</t>
  </si>
  <si>
    <t>IoT cloud platform with open APIs which accelerate your development cycle. Start now with your free account. #iot #iiot #m2m</t>
  </si>
  <si>
    <t>#Whitepaper #Industrie40 #IoT im Vertrieb: Ziehen Sie den Preisregler endlich hoch! https://t.co/RUyezKRP5S</t>
  </si>
  <si>
    <t>Klaus Bloechle</t>
  </si>
  <si>
    <t>RT @3DSGermany: Allianzen aus #Forschung und Industrie greifen #Digitalisierung und #Industrie40 gemeinsam auf https://t.co/K9z4SkJFlD</t>
  </si>
  <si>
    <t>Marketing Manager at Dassault Systemes Deutschland GmbH</t>
  </si>
  <si>
    <t>PTM Akademie</t>
  </si>
  <si>
    <t>München</t>
  </si>
  <si>
    <t>Seit über 25 Jahren Projekte, Trainings, Management und Weiterbildungen im Bereich IT und digitale Medien.</t>
  </si>
  <si>
    <t>#Schlafmuetzen mit null #Interesse an #smarten #Produkten #IoT #Industrie40 klicken bitte weiter! https://t.co/X9a61sPEtp</t>
  </si>
  <si>
    <t>Dutch HTS</t>
  </si>
  <si>
    <t>RT @IMS_BV: Smart Industry for beginners! Get ready with this useful article on #industrie40 by @hannover_messe https://t.co/lKpLQhhSbc</t>
  </si>
  <si>
    <t>Eindhoven (NL)</t>
  </si>
  <si>
    <t>Your daily dose of high tech; news, jobs, events and more. About who is who in the Dutch high tech industry, and what is happening worldwide.</t>
  </si>
  <si>
    <t>) NET WITHOUT WORKING – unter diesem Slogan lädt Stefan Heilmann, Managing Director der IEG – Inv... https://t.co/RU6M87ZSFF #Industrie40</t>
  </si>
  <si>
    <t>Mahsa Givehchi</t>
  </si>
  <si>
    <t>SAP &amp; @FestoAG montent une ligne de production #Industrie40 taille réelle au siège de #SAPfr ! https://t.co/UDukJhS4kZ via @usinenouvelle</t>
  </si>
  <si>
    <t>LeanKnowledgeBase</t>
  </si>
  <si>
    <t>V. Symposium Change to #Kaizen #Industrie40 #ctk2016 #shopfloor https://t.co/fEkQIzytnM</t>
  </si>
  <si>
    <t>#LEAN #LeanManagement #ShopFloorManagement #KATA #Kaizen #Changetokaizen #changeManagement #Industrie40 #arbeit40</t>
  </si>
  <si>
    <t>Bernard Wessels</t>
  </si>
  <si>
    <t>Oldenburg</t>
  </si>
  <si>
    <t>dad, searching for Contacts, Gadgets, Products and ideas to make the world better.</t>
  </si>
  <si>
    <t>Johann Anders</t>
  </si>
  <si>
    <t>LeanKnowledge: V. Symposium Change to #Kaizen #Industrie40 #ctk2016 #shopfloor https://t.co/grXyMm5A2D</t>
  </si>
  <si>
    <t>Lean experience in auto-, audio- and power tools industry Lean | Kaizen | KVP | Lean Start Ups | TPM | SixSigma | Supply Chain | Manufacturing</t>
  </si>
  <si>
    <t>Heike van Geel</t>
  </si>
  <si>
    <t>Design Strategist, SAP Design &amp; Co-Innovation Center - exploring &amp; innovating with design thinking. Views are my own.</t>
  </si>
  <si>
    <t>Post free ads for Industries &amp; Manufacturing in India #Industrie40 #manufacturing #productivity #Company https://t.co/n2IDPwzEeB</t>
  </si>
  <si>
    <t>Herm van der Beek</t>
  </si>
  <si>
    <t>Nederland</t>
  </si>
  <si>
    <t>Texel | Rotterdam | Den Haag | vader | Zuid-Amerika | voetbalfan</t>
  </si>
  <si>
    <t>Agnès Grangé</t>
  </si>
  <si>
    <t>#Changement #Numerique #IoT #BigData #ConfianceNumerique #FrenchTech #Bordeaux #DigitalAquitaine #UnionSacrée #EquipedeFrance #i4Emploi #LaPoste en mon nom</t>
  </si>
  <si>
    <t>VERBETERMAN</t>
  </si>
  <si>
    <t>+31 6 1203 5376</t>
  </si>
  <si>
    <t>Former Apple Inc. #Evangelist, #Innovator, #Speaker about Radical Business Model Innovation | Blue Ocean Strategy | Exponential Technology</t>
  </si>
  <si>
    <t>Angela Bock</t>
  </si>
  <si>
    <t>Germany, near Munich</t>
  </si>
  <si>
    <t>IT2Industry</t>
  </si>
  <si>
    <t>Industrial Internet of Things &amp; #Industrie40 News https://t.co/ixOxBowcvk #IIoT #Industry40 w/ Tweets @login2work_GmbH @LoidlRudolf</t>
  </si>
  <si>
    <t>Paper.li</t>
  </si>
  <si>
    <t>Trade Fair &amp; Open Conference on Industrial Internet of Things #IIoT #Industrie40 21-24 Jun 2016 #IT2I16 Tweets: @kirschenbauer @iblicker https://t.co/HEQvCWRMTB</t>
  </si>
  <si>
    <t>MaxBiscarrat</t>
  </si>
  <si>
    <t>SAP &amp; @FestoAG montent une ligne de production #Industrie40 taille réelle au siège de #SAPfr ! https://t.co/wIYbfe2stD via @usinenouvelle</t>
  </si>
  <si>
    <t>Marketing @SAPFrance - Afficionado #industriedufutur #holacracy #innovations #change #betterworld #mydaughter #macarons Views are my own</t>
  </si>
  <si>
    <t>Roland Knoor</t>
  </si>
  <si>
    <t>RT @BMEeV: #Industrie40 – auch bei #Werkzeugen ein Thema! Mehr im Juni beim 7. Fachforum in Stuttgart https://t.co/uQWBnNrI9x https://t.co/…</t>
  </si>
  <si>
    <t>Julien Sastre</t>
  </si>
  <si>
    <t>Manager Audit @PwC_France</t>
  </si>
  <si>
    <t>Das Unternehmen Cellnetrix nimmt an der Hannover Messe teil und freut sich auf die Möglichkeit, a... https://t.co/U7NZoptQDI #Industrie40</t>
  </si>
  <si>
    <t>Post free ads for Industries &amp; Manufacturing in India #Industrie40 #manufacturing #productivity #Company https://t.co/gQeQSPB1rV</t>
  </si>
  <si>
    <t>RT @H_IT_D: Das Unternehmen Cellnetrix nimmt an der Hannover Messe teil und freut sich auf die Möglichkeit, a... https://t.co/U7NZoptQDI #I…</t>
  </si>
  <si>
    <t>Conny Dethloff</t>
  </si>
  <si>
    <t>RT @LeanKnowledge: V. Symposium Change to #Kaizen #Industrie40 #ctk2016 #shopfloor https://t.co/fEkQIzytnM</t>
  </si>
  <si>
    <t>Folgen Sie mir gerne auf meiner Reise des Verstehens in ökonomische und wirtschaftliche Zusammenhänge.</t>
  </si>
  <si>
    <t>Driving a Software-Defined Machine https://t.co/iGVZVUALSK #Technology #Tech #InternetOfThings #IoT #IIoT #M2M #Industrie40</t>
  </si>
  <si>
    <t>DataCentre UG</t>
  </si>
  <si>
    <t>RT @bamitav: Driving a Software-Defined Machine https://t.co/iGVZVUALSK #Technology #Tech #InternetOfThings #IoT #IIoT #M2M #Industrie40</t>
  </si>
  <si>
    <t>VMUG</t>
  </si>
  <si>
    <t>UK</t>
  </si>
  <si>
    <t>DataCentre User Group in the UK. Currently invite only but will be opening up to the public soon.</t>
  </si>
  <si>
    <t>Baghdad José</t>
  </si>
  <si>
    <t>Dans la vie publique, conseiller socialiste du 15ème arrondissement// Dans la vie pro, consultant dans un Big 4</t>
  </si>
  <si>
    <t>Jo Worf</t>
  </si>
  <si>
    <t>#EMC Sr. Education Delivery Manager,EMC Academic Alliance,likes football (the real one) &amp; is supporter+member at #Mainz05 football club.My tweets are my own ;-)</t>
  </si>
  <si>
    <t>The SDDC</t>
  </si>
  <si>
    <t>The Software Defined Data Centre</t>
  </si>
  <si>
    <t>Sebastian Hollmann</t>
  </si>
  <si>
    <t>Studie von @EYnews zur #Digitalisierung empfiehlt: JETZT die MA mitnehmen &amp; Change gemeinsam anpacken! https://t.co/QFurBnfkYR #Industrie40</t>
  </si>
  <si>
    <t>Hannover</t>
  </si>
  <si>
    <t>Consultant, Trainer &amp; Coach at EGGERS &amp; PARTNER. Expertise in Leadership, Communication, Project Management &amp; HR Consulting. Tweets reflect my personal opinion.</t>
  </si>
  <si>
    <t>Digitale Transformation noch nicht auf der Agenda des Top-Managements angekommen https://t.co/9DNY0FX3CI #Industrie40 #Digitalisierung</t>
  </si>
  <si>
    <t>RT @bastihollmann: Digitale Transformation noch nicht auf der Agenda des Top-Managements angekommen https://t.co/9DNY0FX3CI #Industrie40 #D…</t>
  </si>
  <si>
    <t>RT @bastihollmann: Studie von @EYnews zur #Digitalisierung empfiehlt: JETZT die MA mitnehmen &amp; Change gemeinsam anpacken! https://t.co/QFur…</t>
  </si>
  <si>
    <t>Boris Otto</t>
  </si>
  <si>
    <t>Industrial Data Space by @DrBorisOtto #industrialdataspace #industrie40 https://t.co/3T9dRw8PVI via @SlideShare</t>
  </si>
  <si>
    <t>Dortmund, Germany</t>
  </si>
  <si>
    <t>Professor of Supply Chain and Information Management at TU Dortmund University and Fraunhofer IML</t>
  </si>
  <si>
    <t>Nicolai Krüger</t>
  </si>
  <si>
    <t>Globetrotter</t>
  </si>
  <si>
    <t>Fascinated by digital transformation, data, python, AI and future trends. Inhouse Daimler Consultant, PhD Student and coder. Personal account.</t>
  </si>
  <si>
    <t>Marcus K. Reif</t>
  </si>
  <si>
    <t>Flörsheim am Main</t>
  </si>
  <si>
    <t>Leiter Recruiting &amp; Employer-Branding bei EY Deutschland, Schweiz und Österreich. Flörsheimer Stadtverordneter u. Kreistagsabgeordneter Main-Taunus für die CDU.</t>
  </si>
  <si>
    <t>Patrick Chenebaux</t>
  </si>
  <si>
    <t>RT @verlinked: Limits to the potential of #IoT are disappearing. #Industrie40 #cloudcomputing #m2m #digitalisierung https://t.co/UiiQJQqi2I…</t>
  </si>
  <si>
    <t>Flipboard</t>
  </si>
  <si>
    <t>IT Management ,#ApiManagement, #IoTH, #SoftwareAssetManagement, #FabLab, #CentraleSupelec, #Curious</t>
  </si>
  <si>
    <t>HIRSCHTEC</t>
  </si>
  <si>
    <t>Information architects for enterprise portals and social intranet solutions #intranet #socbiz #e20</t>
  </si>
  <si>
    <t>Stefan Hagen</t>
  </si>
  <si>
    <t>Tweetbot for Mac</t>
  </si>
  <si>
    <t>Dornbirn, Austria</t>
  </si>
  <si>
    <t>consultant | integrator | facilitator | university lecturer | blogger | proud father</t>
  </si>
  <si>
    <t>VERNIER Bruno</t>
  </si>
  <si>
    <t xml:space="preserve">Atos, Bezons </t>
  </si>
  <si>
    <t>#MarCom #Digital #Innovation #RSE #Theâtre #socialmedia #travel #sailing #golf tweets are mine</t>
  </si>
  <si>
    <t>Salim SAADI</t>
  </si>
  <si>
    <t>catkin</t>
  </si>
  <si>
    <t>Blog: Logistik erlebt die 4.0 Revolution! #Logistik40 / #SmartLogistics stehen für logistische Prozesse der #Industrie40 und #Digitalisierung des Supply Chain.</t>
  </si>
  <si>
    <t>UL Commercial</t>
  </si>
  <si>
    <t>Treffen Sie UL bei Hannover Messe 2016, und lernen sie wie wir #Industrie40 unterstützen: https://t.co/kfDbTXPQnU https://t.co/G3cChJTKpE</t>
  </si>
  <si>
    <t>Sprout Social</t>
  </si>
  <si>
    <t>Global</t>
  </si>
  <si>
    <t>Facilitating access to the global marketplace: Bldg Materials ▪ Lighting▪ PoE▪ Security▪ Water▪ HVAC▪ Wire|Cable▪ HazLoc▪ PV▪ Energy▪ Solar ▪ Wind▪ Materials</t>
  </si>
  <si>
    <t>UL</t>
  </si>
  <si>
    <t>Treffen Sie UL bei Hannover Messe 2016, und lernen sie wie wir #Industrie40 unterstützen: https://t.co/0ImJ8pbFry https://t.co/YEgPef7iE9</t>
  </si>
  <si>
    <t>UL is a global independent safety science company. Our breadth, established objectivity and proven history enable us to help provide peace of mind to all.</t>
  </si>
  <si>
    <t>RT @ULdialogue: Treffen Sie UL bei Hannover Messe 2016, und lernen sie wie wir #Industrie40 unterstützen: https://t.co/0ImJ8pbFry https://t…</t>
  </si>
  <si>
    <t>RT @UL_Commercial: Treffen Sie UL bei Hannover Messe 2016, und lernen sie wie wir #Industrie40 unterstützen: https://t.co/kfDbTXPQnU https:…</t>
  </si>
  <si>
    <t>AKTIVWirtschaft</t>
  </si>
  <si>
    <t>#Industrie40: So hilft eine App den Azubis beim Truck-Hersteller #MAN beim Schrauben: https://t.co/dw4xgRzyl3</t>
  </si>
  <si>
    <t>Offizieller Twitter-Account der Wirtschaftszeitung AKTIV.</t>
  </si>
  <si>
    <t>Samuel Vuadens</t>
  </si>
  <si>
    <t>Selon l'article https://t.co/1opqQyr3Ad 10% des industriels français ont mise place une stratégie IoT... et les suisses? #industrie40</t>
  </si>
  <si>
    <t>Finhaut/Lausanne/Sion/IsérabCH</t>
  </si>
  <si>
    <t>Ingénieur, fondateur de MECATIS, passionné par l'industrie, le design et l'humain</t>
  </si>
  <si>
    <t>Tops</t>
  </si>
  <si>
    <t>Holland</t>
  </si>
  <si>
    <t>Hydropower Industry: How to improve daily plant management? https://t.co/X5tzSeezp7 @Cassantec #HM16 #industrie40 https://t.co/ZW2ZScJn6n</t>
  </si>
  <si>
    <t>#Whitepaper #Industrie40 #IoT im Vertrieb: Ziehen Sie den Preisregler endlich hoch! https://t.co/RUyezKAdHi</t>
  </si>
  <si>
    <t>RT @kommoptimierer: #Whitepaper #Industrie40 #IoT im Vertrieb: Ziehen Sie den Preisregler endlich hoch! https://t.co/RUyezKAdHi</t>
  </si>
  <si>
    <t>Luisa Walendy</t>
  </si>
  <si>
    <t>Unternehmen planen bis 2020 Billionen US-Dollar in #Industrie40 zu investieren &gt; https://t.co/ekkMA8JIKB via @automotive_IT #Digitalisierung</t>
  </si>
  <si>
    <t>Interested in industrial #logistics and #production news and trends. Tweets in English and German. Online Marketing &amp; #Social Media enthusiast.</t>
  </si>
  <si>
    <t>#IndustrieDuFutur La 4ème révolution industrielle est déjà là. Etes-vous prêt à tout repenser ? https://t.co/UbWnRRkuW1 #Industrie40 #SAPfr</t>
  </si>
  <si>
    <t>thorsten ramus</t>
  </si>
  <si>
    <t>Hanover | Hamburg</t>
  </si>
  <si>
    <t>#Startup | #Innovation | #Digitalization | #Ecosystem enthusiast</t>
  </si>
  <si>
    <t>#IndustrieDuFutur La 4ème révolution industrielle est déjà là. Etes-vous prêt à tout repenser ? https://t.co/DipjChBald #Industrie40 #SAPfr</t>
  </si>
  <si>
    <t>Wie viel dezentrale Planung verträgt ihrer Meinung nach die Fertigung im #Maschinenbau? &gt;&amp;gt; https://t.co/5nECLQ5dOv #Produktion #Industrie40</t>
  </si>
  <si>
    <t>Datenschutz im #Industrie40 Unternehmen: VDMA veröffentlicht Leitfaden https://t.co/eiewsb6LDd #HM16 https://t.co/IfFT5vEUrB</t>
  </si>
  <si>
    <t>Aswin</t>
  </si>
  <si>
    <t>RT @DrBorisOtto: Industrial Data Space by @DrBorisOtto #industrialdataspace #industrie40 https://t.co/3T9dRw8PVI via @SlideShare</t>
  </si>
  <si>
    <t>by day an Engineer, by dream an artist. robotics, IoT, engineering education enthusiast! VP @SPEEDOrg, @TU_Dortmund @FraunhoferIML</t>
  </si>
  <si>
    <t>Zuliefermarkt</t>
  </si>
  <si>
    <t>RT @VDMAonline: Datenschutz im #Industrie40 Unternehmen: VDMA veröffentlicht Leitfaden https://t.co/eiewsb6LDd #HM16 https://t.co/IfFT5vEUrB</t>
  </si>
  <si>
    <t>Komponenten, Baugruppen und Systeme für Konstrukteure!</t>
  </si>
  <si>
    <t>Claude Naville</t>
  </si>
  <si>
    <t>#Industrie40: Münchener #Startup erhält 7,5 Millionen von Valley-Investoren https://t.co/DeUzaF9bg3</t>
  </si>
  <si>
    <t>Zurich, Switzerland</t>
  </si>
  <si>
    <t>#DigitalStrategist in #Switzerland Google Certification: https://t.co/RtoLXlfib2</t>
  </si>
  <si>
    <t>Reto Trinkler</t>
  </si>
  <si>
    <t>RT @cnavi: #Industrie40: Münchener #Startup erhält 7,5 Millionen von Valley-Investoren https://t.co/DeUzaF9bg3</t>
  </si>
  <si>
    <t>Technologist and #Entrepreneur. Passion for business-ready #Analytics and #ArtificialIntelligence. Co-Founder &amp; #CEO of leading Swiss #AI company @Quantinum_Bee</t>
  </si>
  <si>
    <t>Bonomelli Francesco</t>
  </si>
  <si>
    <t>Follow App and retweet</t>
  </si>
  <si>
    <t>whoislogo is on Kickstarter https://t.co/sWRs0jMgsu Front-end developer, digital marketing consultant - digimaweb.it - #website #app #marketing @whoislogo</t>
  </si>
  <si>
    <t>Energy in Demand</t>
  </si>
  <si>
    <t>RT @EnergyPages: Hydropower Industry: How to improve daily plant management? https://t.co/X5tzSeezp7 @Cassantec #HM16 #industrie40 https://…</t>
  </si>
  <si>
    <t>EiD is one of the most popular sustainable energy blogs in Europe, written by Rod Janssen, a sustainable energy &amp; climate change expert based in Paris &amp; London.</t>
  </si>
  <si>
    <t>Jutta Löwe</t>
  </si>
  <si>
    <t>http://t.co/5fD1A6RwFj</t>
  </si>
  <si>
    <t>Sébastien Flet Reitz</t>
  </si>
  <si>
    <t>L'usine du futur pourrait ressembler à cela. #Industrie40 https://t.co/a8rK8vrDY6</t>
  </si>
  <si>
    <t>Paris - Chantilly</t>
  </si>
  <si>
    <t>Idées personnelles + ou - lumineuses... #LED #lighting #IoT #LightAsAService #Digitaltransformation #DeveloppementDurable #FrenchTech #i4Emploi #JamaisSansElles</t>
  </si>
  <si>
    <t>Sven Mulder</t>
  </si>
  <si>
    <t>Frankfurt, Hessen</t>
  </si>
  <si>
    <t>VP Area Sales und Country Manager Deutschland @CA_Deutsch @CAInc - Aktiv in der digitalen Transformation, #IoT und #CSR #MINT – Blogger @silicon_de</t>
  </si>
  <si>
    <t>RT @LightingnLife: L'usine du futur pourrait ressembler à cela. #Industrie40 https://t.co/a8rK8vrDY6</t>
  </si>
  <si>
    <t>VDI Wissensforum</t>
  </si>
  <si>
    <t>Maschinensteuerung aus der Cloud: Anwendungsbeispiele von #BigData #Cloud Technologien https://t.co/nvQSh5fQ2U #Industrie4.0 #Industrie40</t>
  </si>
  <si>
    <t>Düsseldorf, Germany</t>
  </si>
  <si>
    <t>Wir veranstalten Tagungen und Konferenzen für Ingenieure sowie Fach- u. Führungskräfte im technischen Umfeld.</t>
  </si>
  <si>
    <t>RT @VDI_Tagungen: Maschinensteuerung aus der Cloud: Anwendungsbeispiele von #BigData #Cloud Technologien https://t.co/nvQSh5fQ2U #Industrie…</t>
  </si>
  <si>
    <t>Marian Köller</t>
  </si>
  <si>
    <t>Konfigurator für individuelles #Industrie40 Produkt auch am Stand des Netzwerks Industrie 4.0 (H6 D36): https://t.co/i5f7JFatgk</t>
  </si>
  <si>
    <t>Hannover, Niedersachsen</t>
  </si>
  <si>
    <t>Versucht #industrie40 zu erklären und vernetzt Akteure im Netzwerk Industrie 4.0 Niedersachsen</t>
  </si>
  <si>
    <t>Pierre Metivier</t>
  </si>
  <si>
    <t>Japan and Germany allying over #IoT standard. https://t.co/sQNY5FMVjz via @rww &lt; #Industrie40 #meanwhile ... https://t.co/kV1lh4Uanc</t>
  </si>
  <si>
    <t>Saint Quentin-en-Yvelines, Fra</t>
  </si>
  <si>
    <t>Contactless evangelist. Blogger, speaker, consultant. Learn and share. Innovation, NFC, IoT. Author of 'Le mobile NFC, télécommande de notre quotidien' book</t>
  </si>
  <si>
    <t>RT @MarianKoeller: Konfigurator für individuelles #Industrie40 Produkt auch am Stand des Netzwerks Industrie 4.0 (H6 D36): https://t.co/i5f…</t>
  </si>
  <si>
    <t>Quentin Bedos</t>
  </si>
  <si>
    <t>Strategy &amp; Operations Consultant @strategyand @PwC_France</t>
  </si>
  <si>
    <t>Great news for smart #manufacturing. Japan &amp; Germany allying over IoT standard. https://t.co/3rL0xaxAem #IoT #iiot #m2m #Industrie40</t>
  </si>
  <si>
    <t>DQS GmbH</t>
  </si>
  <si>
    <t>RT @AltenaTCS: Unser nächster Blog-Beitrag zu #Industrie40. Schauen Sie doch mal rein. #Standardisierung #ITSicherheit https://t.co/Lo2kI…</t>
  </si>
  <si>
    <t>The #Audit Company. Die Deutsche Gesellschaft zur #Zertifizierung von #Managementsystemen - https://t.co/OLjz7fyW8W</t>
  </si>
  <si>
    <t>Licht und Schatten der #Digitalisierung https://t.co/TiYlJsVUSW #DigitalTransformation #Industrie40</t>
  </si>
  <si>
    <t>Christian Brömer</t>
  </si>
  <si>
    <t>Twitter for Windows Phone</t>
  </si>
  <si>
    <t>Sven Bernhardt</t>
  </si>
  <si>
    <t>Cologne</t>
  </si>
  <si>
    <t>Solution Architect, Oracle ACE. Oracle SOA Suite, BPM Suite, Oracle Service Bus. OPITZ CONSULTING Deutschland GmbH</t>
  </si>
  <si>
    <t>Yves Vesco</t>
  </si>
  <si>
    <t>RT @bengolder: #IndustrieDuFutur La 4ème révolution industrielle est déjà là. Etes-vous prêt à tout repenser ? https://t.co/UbWnRRkuW1 #Ind…</t>
  </si>
  <si>
    <t>Diplômé Responsable e-Business/e-Marketing Mention Très Bien #MBAMCI 2014 #DigitalMarketing #Webmarketing #EtudesMarketing #DESS204Dauphine #IPSOS</t>
  </si>
  <si>
    <t>Gesamtmetall</t>
  </si>
  <si>
    <t>RT @AKTIVWirtschaft: #Industrie40: So hilft eine App den Azubis beim Truck-Hersteller #MAN beim Schrauben: https://t.co/rOQixBjXe4</t>
  </si>
  <si>
    <t>ÜT: 52.510298,13.377545</t>
  </si>
  <si>
    <t>Nachrichten und Hinweise rund um die M+E-Verbände und die Branche. Hier twittert die Pressestelle von Gesamtmetall. Le: Leiter Kommunikation Martin Leutz</t>
  </si>
  <si>
    <t>Arbeitgeberverband</t>
  </si>
  <si>
    <t>RT @AKTIVWirtschaft: #Industrie40: So hilft eine App den Azubis beim Truck-Hersteller #MAN beim Schrauben: https://t.co/SKjvQvzI1t</t>
  </si>
  <si>
    <t>Gesamtmetall - der Arbeitgeberverband für Deutschlands größte Industriebranche. Bitte folgen Sie unserem Hauptkanal @MEArbeitgeber !</t>
  </si>
  <si>
    <t>Polarion Software DE</t>
  </si>
  <si>
    <t>A Siemens Company: Softwarehersteller - ALM-, Requirements- und QA-Software mit 100% webbasiertem Datenzugang, TÜV-Nord-Zertifizierung, Echtzeit-Zusammenarbeit.</t>
  </si>
  <si>
    <t>Lenze-Gruppe</t>
  </si>
  <si>
    <t>So wird Energierückspeisung wirtschaftlich attraktiv und vor allem: einfach. #Industrie40 @Hannover_Messe https://t.co/NOtd3ob9q9</t>
  </si>
  <si>
    <t>Hameln, Deutschland</t>
  </si>
  <si>
    <t>Lenze macht vieles einfach. Von der Idee bis zum Aftersales, von der Steuerung bis zur Antriebswelle.</t>
  </si>
  <si>
    <t>SENSOR+TEST</t>
  </si>
  <si>
    <t>Nürnberg, Deutschland</t>
  </si>
  <si>
    <t>Themen rund um die SENSOR+TEST - Die Messtechnik-Messe // Topics around SENSOR+TEST - The Measurement Fair - #sensortest</t>
  </si>
  <si>
    <t>@VDMAonline veröffentlicht Leitfaden zu #Datenschutz im #Industrie40 Unternehmen https://t.co/Kt7xBCutsO</t>
  </si>
  <si>
    <t>VDC</t>
  </si>
  <si>
    <t>Fellbach/Stuttgart</t>
  </si>
  <si>
    <t>Das Virtual Dimension Center (VDC) ist Deutschlands führendes Kompetenznetzwerk für Virtuelles Engineering. Impressum: https://t.co/XsmVw5BmpW</t>
  </si>
  <si>
    <t>Dirk Steinmetz</t>
  </si>
  <si>
    <t>Timeline-Zufälle: #Industrie40 #arbeiten40 #DigitaleTransformation @BitkomResearch @KlemensSkibicki ;-) https://t.co/awwWF8hdD6</t>
  </si>
  <si>
    <t>Köln</t>
  </si>
  <si>
    <t>Jeden Tag dazu lernen: Social Media | Personalmarketing | HR | Pflegemanagement | Eventmanagement | Schreiben | Fotografie | Leben</t>
  </si>
  <si>
    <t>RT @dirste: Timeline-Zufälle: #Industrie40 #arbeiten40 #DigitaleTransformation @BitkomResearch @KlemensSkibicki ;-) https://t.co/awwWF8hdD6</t>
  </si>
  <si>
    <t>RT @LWalendy: Unternehmen planen bis 2020 Billionen US-Dollar in #Industrie40 zu investieren &gt; https://t.co/ekkMA8JIKB via @automotive_IT #…</t>
  </si>
  <si>
    <t>Josef Brunner</t>
  </si>
  <si>
    <t>Founder of JouleX (aquired by Cisco), investor and mentor. now proud CEO of Relayr. making the world a better (digital) place!</t>
  </si>
  <si>
    <t>Confare</t>
  </si>
  <si>
    <t>RT @_DSAG: Workforce/ Skillset of Tomorrow: Vortrag von #DSAG-Vorstand Schell auf der @confare #industrie40 https://t.co/fCJ6GARUqJ</t>
  </si>
  <si>
    <t>Vienna, Austria</t>
  </si>
  <si>
    <t>Seminare &amp; Kongresse in Österreich, Social Media &amp; Web 2.0, Marketing-Profis, Eventsmanagement, IT, Weiterbildung</t>
  </si>
  <si>
    <t>SCOPE</t>
  </si>
  <si>
    <t>Interview mit Burkhard Röhrig: „Brücke in die Zukunft“ https://t.co/9qQbNHKW1b @GFOS_mbH #MESSysteme #Industrie40 https://t.co/xMmM6fQ7Cu</t>
  </si>
  <si>
    <t>Darmstadt</t>
  </si>
  <si>
    <t>SCOPE ONLINE, Best Practice für #Produktion und #Technik. #Konstruktion #Antriebstechnik #Automatisierung #Elektrotechnik Auch unter https://t.co/cOd6RNXrkn</t>
  </si>
  <si>
    <t>Wer liefert was</t>
  </si>
  <si>
    <t>#Einkäufer aufgepasst: 10 Tickets für @hannover_messe gewinnen und #Industrie40 entdecken. https://t.co/7FuG4AfNro https://t.co/9t4atsw20P</t>
  </si>
  <si>
    <t>„Wer liefert was“ ist der führende B2B-Marktplatz in Deutschland, Österreich und der Schweiz</t>
  </si>
  <si>
    <t>Stefan Schaus</t>
  </si>
  <si>
    <t>Gleich findet unsere Websession statt! Mehr Infos: https://t.co/Oxtyu200sk #Digitalisierung #ITStrategie #Industrie40 #webinar@Scheer_GmbH</t>
  </si>
  <si>
    <t>Recruiting @ Scheer GmbH</t>
  </si>
  <si>
    <t>Chemie Azubi</t>
  </si>
  <si>
    <t>RT @AKTIVWirtschaft: #Industrie40: So hilft eine App den Azubis beim Truck-Hersteller #MAN beim Schrauben: https://t.co/dw4xgRzyl3</t>
  </si>
  <si>
    <t>Die Chemie hat viele Gesichter. Schauen Sie hinter die Werkstore und machen Sie eine Ausbildung bei uns. https://t.co/66w1jVnEwp</t>
  </si>
  <si>
    <t>AHK Frankreich CFACI</t>
  </si>
  <si>
    <t>10 mai: Conférence Fr-Allemande #Industrie40 #industriedufutur à Paris https://t.co/HbdkYcEV8E #digital #innovation https://t.co/CbooKrIIJK</t>
  </si>
  <si>
    <t>Paris, Berlin</t>
  </si>
  <si>
    <t>Compte officiel de la Chambre Franco-Allemande de Commerce et d'Industrie / Deutsch-Französische Industrie- und Handelskammer #AHKFrankreich #CFACI</t>
  </si>
  <si>
    <t>#Industrie40 : + d'1/3 des entreprises jugent leur niveau de maturité #Digital élevé https://t.co/ZRqFHVNS1L https://t.co/VY4sCLt1an</t>
  </si>
  <si>
    <t>Mohamed Doumbia</t>
  </si>
  <si>
    <t>RT @PwC_France: #Industrie40 : + d'1/3 des entreprises jugent leur niveau de maturité #Digital élevé https://t.co/ZRqFHVNS1L https://t.co/V…</t>
  </si>
  <si>
    <t>Corporate Finance, Serial entrepreneur, Startup, #pascalquiry, #management, #mbs_offers,#audit,#expertcomptable,#CAC</t>
  </si>
  <si>
    <t>_TheDigitalGuy</t>
  </si>
  <si>
    <t>My fav Bot app</t>
  </si>
  <si>
    <t>Current Location : Earth</t>
  </si>
  <si>
    <t>IG Metall</t>
  </si>
  <si>
    <t>IG Metall macht Beschäftigte fit für #Industrie40: https://t.co/hArIR9deWg #Digitalisierung</t>
  </si>
  <si>
    <t>Offizieller Account: Die IGM vertritt die Beschäftigten der Branchen Metall &amp; Elektro, Eisen &amp; Stahl, Textil &amp; Bekleidung, Handwerk sowie Holz und Kunststoff.</t>
  </si>
  <si>
    <t>KunststoffeDE</t>
  </si>
  <si>
    <t>Effiziente #Automatisierung, nachhaltiger Service und #IntegratedIndustry: Baumüller auf der #HM16 https://t.co/LicScort0y #Industrie40</t>
  </si>
  <si>
    <t>Kunststoffe.de, das Portal für die Kunststoffindustrie. Zum Impressum: http://t.co/T6T69SdtZp</t>
  </si>
  <si>
    <t>Baker &amp; McKenzie</t>
  </si>
  <si>
    <t>askgermany@bakermckenzie.com</t>
  </si>
  <si>
    <t>Baker &amp; McKenzie – eine der größten Anwaltskanzleien der Welt. In Deutschland sind rund 200 Anwälte aktiv. Impressum: http://t.co/GYcJeLb3on</t>
  </si>
  <si>
    <t>Der Begriff #Industrie40 ist genau genommen nicht viel mehr als eine Kunstschöpfung. #IoT #cloudcomputing @verlinked https://t.co/nf3FVQkjzs</t>
  </si>
  <si>
    <t>Die.Linke KNO</t>
  </si>
  <si>
    <t>RT @IGMetall: IG Metall macht Beschäftigte fit für #Industrie40: https://t.co/hArIR9deWg #Digitalisierung</t>
  </si>
  <si>
    <t>Kraichgau Neckar Odenwald</t>
  </si>
  <si>
    <t>Nordbaden meldet sich zu Wort</t>
  </si>
  <si>
    <t>RT @verlinked: Der Begriff #Industrie40 ist genau genommen nicht viel mehr als eine Kunstschöpfung. #IoT #cloudcomputing @verlinked https:/…</t>
  </si>
  <si>
    <t>#Chemie und #Industrie40 – Passt das zusammen? Experten von @Evonik und @BASF kommentieren: https://t.co/kQ1xziUMEt</t>
  </si>
  <si>
    <t>EEN Austria</t>
  </si>
  <si>
    <t>RT @PwC_Austria: Studie #Industrie40: Firmen in Ö erwarten hohen Grad an Digitalisierung in fünf Jahren - Wert soll auf 77% steigen https:/…</t>
  </si>
  <si>
    <t>Austria</t>
  </si>
  <si>
    <t>Enterprise Europe Network Austria - Wir helfen innovativen KMU international zu wachsen.</t>
  </si>
  <si>
    <t>Jetzt läuft das #Webinar zu unserer #ITStrategie Studie. Infos: https://t.co/TjCv30YfLs #Digitalisierung #Industrie40 @Scheer_GmbH</t>
  </si>
  <si>
    <t>Didier Déruaz</t>
  </si>
  <si>
    <t>SAP &amp; @FestoAG montent une ligne de production #Industrie40 taille réelle au siège de #SAPfr ! https://t.co/6jW1mi0UjW via @usinenouvelle</t>
  </si>
  <si>
    <t>#marketing #socialmedia #cloud #inmemory @SAPFrance #bigdata and even more personal topics... Views here expressed are only mine.</t>
  </si>
  <si>
    <t>THM</t>
  </si>
  <si>
    <t>"Vierte industrielle Revolution" im Visier, #Industrie40 - https://t.co/voqzaYRikt</t>
  </si>
  <si>
    <t>Twuffer</t>
  </si>
  <si>
    <t>Friedberg, Gießen, Wetzlar</t>
  </si>
  <si>
    <t>Technische Hochschule Mittelhessen Lehre - Forschung - Weiterbildung in mehr als 50 Studiengängen an den drei Standorten. http://t.co/NRSdhxJnhO</t>
  </si>
  <si>
    <t>Joerg Koper</t>
  </si>
  <si>
    <t>#Industrie40 : Standards für #Sicherheit fehlen noch https://t.co/j3M8fRCSqm</t>
  </si>
  <si>
    <t>Entrepreneur | Creative head | CEO of Sky &amp; Fun GbR | Project manager: @AirMediaConcept, @UAV_Tech | No Politics please | Imprint: http://t.co/74y4kqhp30</t>
  </si>
  <si>
    <t>RT @Joerg_Koper: #Industrie40 : Standards für #Sicherheit fehlen noch https://t.co/j3M8fRCSqm</t>
  </si>
  <si>
    <t>RT @THMtweets: "Vierte industrielle Revolution" im Visier, #Industrie40 - https://t.co/voqzaYRikt</t>
  </si>
  <si>
    <t>Industrie 4.0</t>
  </si>
  <si>
    <t>#Industrie40 auf der #HannoverMesse. #eurodata #Geschäftsmodelle und #PredicitveMaintenance https://t.co/jhFRqPSCs7 https://t.co/zU3RzfqeXH</t>
  </si>
  <si>
    <t>COO @eurodata</t>
  </si>
  <si>
    <t>Hilger Voss</t>
  </si>
  <si>
    <t>Digital Strategy Consultant / @wgdata / @equeoGmbH / @IEB_Berlin / My own views</t>
  </si>
  <si>
    <t>RT @Frank_Reinelt: #Industrie40 auf der #HannoverMesse. #eurodata #Geschäftsmodelle und #PredicitveMaintenance https://t.co/jhFRqPSCs7 http…</t>
  </si>
  <si>
    <t>Mobile IOT Analytics</t>
  </si>
  <si>
    <t>Austin, TX</t>
  </si>
  <si>
    <t>https://t.co/P7kxvaeBqR #iPhone, #Android, #EnterpriseMobility, #HTML5, #IoT, #Analytics Consulting Company</t>
  </si>
  <si>
    <t>Christoph Witte</t>
  </si>
  <si>
    <t>eSIM wird Treiber für neue Mobility-Konzepte - vor allem im #IoT und in der #Industrie40, so eco https://t.co/NTok6zdieI</t>
  </si>
  <si>
    <t>Finde IT in Unternehmen spannend und was damit zusammenhängt: #Web2.0,#EnterpriseIT, #CloudComputing,#BusinessSoftware,#ITStrategie #ITMarketing,#ITService</t>
  </si>
  <si>
    <t>IT Rebellen</t>
  </si>
  <si>
    <t>eSIM wird Treiber für neue Mobility-Konzepte - vor allem im #IoT und in der #Industrie40, so eco https://t.co/IeifeuICAZ</t>
  </si>
  <si>
    <t>RT @it_rebellen: eSIM wird Treiber für neue Mobility-Konzepte - vor allem im #IoT und in der #Industrie40, so eco https://t.co/IeifeuICAZ</t>
  </si>
  <si>
    <t>RT @christophwitte: eSIM wird Treiber für neue Mobility-Konzepte - vor allem im #IoT und in der #Industrie40, so eco https://t.co/NTok6zdieI</t>
  </si>
  <si>
    <t>topometric GmbH</t>
  </si>
  <si>
    <t>Whitepaper: #3D #Bewegungsanalyse mit zahlreichen Praxisbeispielen! #industrie40 &gt;&amp;gt;&amp;gt; https://t.co/oOB87fXrig https://t.co/GcdbvKZQJE</t>
  </si>
  <si>
    <t>Göppingen</t>
  </si>
  <si>
    <t>topometric GmbH - Ihr Kompetenzzentrum im Bereich der industriellen Messtechnik! Wir verbinden technische Präzision mit menschlichem Know-How.</t>
  </si>
  <si>
    <t>echolot.</t>
  </si>
  <si>
    <t>@Balluff auf der @hannover_messe, 25.-29.04., Halle 9, Stand F53 #savethedate #industrie40 #balluff #HMI https://t.co/XEgG14HnJf</t>
  </si>
  <si>
    <t>Stuttgart, Baden-Württemberg</t>
  </si>
  <si>
    <t>Stuttgarter Agenturgruppe für Werbung und Public Relations: Kommunikation, die tiefer geht</t>
  </si>
  <si>
    <t>Gründercoaches</t>
  </si>
  <si>
    <t>Ihr Gründercoach in Ihrer Nähe nur ein paar klicks entfernt. #Startups #Gründer #Existenzgründer und #Unternehmen finden einen #Coach https://t.co/IZgKcOQIUo</t>
  </si>
  <si>
    <t>Gregor Wolf</t>
  </si>
  <si>
    <t>#DSAG auf der #HM16 Details und Freitickets auf https://t.co/QRgqnt0Sju #Digitalisierung #Industrie40 #Fertigung40</t>
  </si>
  <si>
    <t>Bavaria, Germany</t>
  </si>
  <si>
    <t>@SAPMentors, #SAPCRM, Chair of #DSAG SIG Sales &amp; Marketing, #ABAP, #SAPUI5 / #OpenUI5, #Fiori, #HCP - Independent #SAP developer &amp; consultant</t>
  </si>
  <si>
    <t>RT @echolotGruppe: @Balluff auf der @hannover_messe, 25.-29.04., Halle 9, Stand F53 #savethedate #industrie40 #balluff #HMI https://t.co/X…</t>
  </si>
  <si>
    <t>Heike Fiedler-Phelps</t>
  </si>
  <si>
    <t>RT @wolf_gregor: #DSAG auf der #HM16 Details und Freitickets auf https://t.co/QRgqnt0Sju #Digitalisierung #Industrie40 #Fertigung40</t>
  </si>
  <si>
    <t>Olympia</t>
  </si>
  <si>
    <t>SAP Ninja, Mom, and Yukon Quest fan --- all views expressed here are of course mine - don't hold anyone else acountable</t>
  </si>
  <si>
    <t>#Industrie40: 55% des entreprises prévoient de rentabiliser leur #Digitalisation rapidement https://t.co/ZRqFHVNS1L https://t.co/sfwIePwe5s</t>
  </si>
  <si>
    <t>Silex</t>
  </si>
  <si>
    <t>RT @PwC_France: #Industrie40: 55% des entreprises prévoient de rentabiliser leur #Digitalisation rapidement https://t.co/ZRqFHVNS1L https:…</t>
  </si>
  <si>
    <t>Silex est une plateforme innovante qui vous permet de trouver simplement les prestataires les plus adaptés aux projets de votre entreprise. #startup #frenchtech</t>
  </si>
  <si>
    <t>Laurent</t>
  </si>
  <si>
    <t>RT @PierreMetivier: Japan and Germany allying over #IoT standard. https://t.co/sQNY5FMVjz via @rww &lt; #Industrie40 #meanwhile ... https://t.…</t>
  </si>
  <si>
    <t>Living in #Paris From Canada. ICT(IoT,RFID...) ,Supply Chain, european expertise. Listening to new job opportunities, @bryanadams fan, #GoHabsGo</t>
  </si>
  <si>
    <t>DSAG e.V.</t>
  </si>
  <si>
    <t>Germany, Walldorf</t>
  </si>
  <si>
    <t>Deutschsprachige SAP-Anwendergruppe e.V. (DSAG) Wir informieren über Neues und Lesenswertes aus der DSAG-, SAP- und der IT-Welt. #DSAG</t>
  </si>
  <si>
    <t>RT @RueckertTanja: Looking forward to the panel discussion on #IoT and #Industrie40 during #DSAG day at Hannover Messe #hm16 @SAP_IoT: http…</t>
  </si>
  <si>
    <t>ASUG_BI</t>
  </si>
  <si>
    <t>North America</t>
  </si>
  <si>
    <t>ASUG Business Intelligence Community Volunteers #Crystal #Dashboard #Analysis #BW #SAPHana #WebIntelligence, #SAPDesignStudio #SAPLumira #CloudAnalytics</t>
  </si>
  <si>
    <t>Véronique Abéla</t>
  </si>
  <si>
    <t>Damien Foucher</t>
  </si>
  <si>
    <t>Tweet #communication #digital #MarketingDigital #SmartCity #TransfoNum #construction #BIM #medias #marque #RSE #Arts #I4EmploiR</t>
  </si>
  <si>
    <t>FACTS4WORKERS</t>
  </si>
  <si>
    <t>Graz</t>
  </si>
  <si>
    <t>Worker Centric Workplaces in Smart Factories is a project funded by the European Commission within the Factory of the Future PPP.</t>
  </si>
  <si>
    <t>Céline David</t>
  </si>
  <si>
    <t>Réseau Alumni @PwC_France #PwCAlumni</t>
  </si>
  <si>
    <t>Tobias W. Goers</t>
  </si>
  <si>
    <t>6 Szenarien der digitalen Zukunft! Welches ist Ihr Favourit? @personalmagazin #futureofwork #Industrie40 @faznet https://t.co/ZenxLVH1dd</t>
  </si>
  <si>
    <t>HR Strategist @adp_ger Passionate in: #HCM #BPO #HRTech #IoT #StrategicHR #Cloud...btw: tweets are my own...Check my #XING and #LinkedIn Profile</t>
  </si>
  <si>
    <t>Rudi Kennes</t>
  </si>
  <si>
    <t>Willebroek</t>
  </si>
  <si>
    <t>Socialist &amp; Oelewapper en daar heel fier op.Tweet in eigen naam.</t>
  </si>
  <si>
    <t>DIE FÜHRUNGSKRÄFTE</t>
  </si>
  <si>
    <t>Essen</t>
  </si>
  <si>
    <t>DIE FÜHRUNGSKRÄFTE - DFK sind Forum, Beratung, Interessenvertretung und Lobby für Fach- und Führungskräfte. Impressum: https://t.co/wM2DfQ7tpY</t>
  </si>
  <si>
    <t>LeanBI</t>
  </si>
  <si>
    <t>LeanBI Lösungen im #Industrie40 Umfeld: #IoT #Analytics #ML #optimierung #predictiveanalytics #KMU https://t.co/zptBtjmOQ7 via @YouTube</t>
  </si>
  <si>
    <t>Bern, Schweiz</t>
  </si>
  <si>
    <t>Wir bieten Big Data, Industrie 4.0 und Business Intelligence für Schweizer KMU</t>
  </si>
  <si>
    <t>Endress+Hauser Group</t>
  </si>
  <si>
    <t>RT @ahk_frankreich: 10 mai: Conférence Fr-Allemande #Industrie40 #industriedufutur à Paris https://t.co/HbdkYcEV8E #digital #innovation htt…</t>
  </si>
  <si>
    <t>A leading supplier of measuring instruments and automation solutions for the industrial process engineering industry. Imprint: http://t.co/EKmArJqU</t>
  </si>
  <si>
    <t>#Digitalisierung? Ja, aber vor dem #Software-Kauf Prozesse optimieren! https://t.co/FspW0tpHJj #industrie40 #KMU https://t.co/coVLuFqOsM</t>
  </si>
  <si>
    <t>All for One Steeb</t>
  </si>
  <si>
    <t>Wir zeigen live ein konkretes #Industrie40-Szenario auf der @hannover_messe. Termin sichern: https://t.co/pO3lDrCFFu @HerfortAlex #hm16</t>
  </si>
  <si>
    <t>Filderstadt-Bernhausen</t>
  </si>
  <si>
    <t>Hier twittern Pia Reutter &amp; Dirk Sonntag für All for One Steeb. Wir sind die Nummer 1 im SAP Markt in D/A/CH. https://t.co/7NnNq65kba</t>
  </si>
  <si>
    <t>Michael Beier</t>
  </si>
  <si>
    <t>RT @gumpp: At #Maruzen bookstore: German #Industrie40 is a big deal here in Japan. https://t.co/wMDr0Gd7qB</t>
  </si>
  <si>
    <t>Würzburg, Germany</t>
  </si>
  <si>
    <t>#IndraDrive - views are my own</t>
  </si>
  <si>
    <t>#Industrie40 ist nicht mehr aufzuhalten. #IoT #cloudcomputing #m2m #Digitalisierung https://t.co/1NX56NLYiR</t>
  </si>
  <si>
    <t>HDS International</t>
  </si>
  <si>
    <t>"#Industrie40 bei Bürgern negativ besetzt" Schöner Beitrag der @wiwo https://t.co/oFf04Pgo9B #HDS #HDSRebell #Digitalisierung</t>
  </si>
  <si>
    <t>Braunschweig, Deutschland</t>
  </si>
  <si>
    <t>Wir sind europaweit Marktführer im Bereich Logistikcontrolling und automatisierte Rechnungsprüfung für Logistikdienstleistungen. #Logistik</t>
  </si>
  <si>
    <t>Michael Tüchelmann</t>
  </si>
  <si>
    <t>RT @HDSintGroup: "#Industrie40 bei Bürgern negativ besetzt" Schöner Beitrag der @wiwo https://t.co/oFf04Pgo9B #HDS #HDSRebell #Digitalisie…</t>
  </si>
  <si>
    <t>conosco</t>
  </si>
  <si>
    <t>RT @catkinEU: Licht und Schatten der #Digitalisierung https://t.co/TiYlJsVUSW #DigitalTransformation #Industrie40</t>
  </si>
  <si>
    <t>PR-Agentur aus Düsseldorf</t>
  </si>
  <si>
    <t>RT @kommoptimierer: #Neugierige kommen mit #smarten #Produkten beim Hotspot #IoT #Industrie40 auf ihre Kosten! Garantiert https://t.co/X9a6…</t>
  </si>
  <si>
    <t>Jo Hennebach</t>
  </si>
  <si>
    <t>Die mitdenkende Fabrik. Interview mit @MelanieSchaube1 #IoT #Industrie40 #Digitalisierung https://t.co/YkLftdzuFX</t>
  </si>
  <si>
    <t>Stuttgart, Ehningen</t>
  </si>
  <si>
    <t>Market Manager @IBM | Interested in #BigData #Analytics #IoT #CDO #Marketing #CMO</t>
  </si>
  <si>
    <t>itelligence_DE</t>
  </si>
  <si>
    <t>Für Tweets zum Thema #IOT #digitalisierung #Industrie40 und Co. @INDIZbot #ff</t>
  </si>
  <si>
    <t>Bielefeld</t>
  </si>
  <si>
    <t>Der offizielle deutschsprachige itelligence Account für News, Events, Updates und Austausch. Wir bieten SAP-Beratung, SAP-Lösungen und SAP-Outsourcing Services</t>
  </si>
  <si>
    <t>RT @itelligence_de: Für Tweets zum Thema #IOT #digitalisierung #Industrie40 und Co. @INDIZbot #ff</t>
  </si>
  <si>
    <t>RT @Jo_H123: Die mitdenkende Fabrik. Interview mit @MelanieSchaube1 #IoT #Industrie40 #Digitalisierung https://t.co/YkLftdzuFX</t>
  </si>
  <si>
    <t>RT @markherten: @VDMAonline veröffentlicht Leitfaden zu #Datenschutz im #Industrie40 Unternehmen https://t.co/Kt7xBCutsO</t>
  </si>
  <si>
    <t>Robel Mesfun</t>
  </si>
  <si>
    <t>Join IBM at Hannover Messe to learn how IBM offerings enable #Industrie40 and other #IoT solutions https://t.co/l08OPg4Gpr</t>
  </si>
  <si>
    <t>Dublin</t>
  </si>
  <si>
    <t>#Mobility #Sales Specialist @IBM Views expressed are my own. #Mobility Service #cloud #socialmedia #photography #Eritrea @ERISPOTLIGHT @YPFDJGermany</t>
  </si>
  <si>
    <t>Social Selling is Back to Basics by @bernieborges https://t.co/1HiWsA8tSi @B2Community #digitaltransformation #Industrie40 #IoT #HM16 #IBM</t>
  </si>
  <si>
    <t>Ihm ist selten etwas zugeflogen: der Chemnitzer Unternehmer Hans Ulrich Richter. Hans Ulrich Rich... https://t.co/0jWiSZBqPK #Industrie40</t>
  </si>
  <si>
    <t>AlexRainerHarbach</t>
  </si>
  <si>
    <t>Join IBM at Hannover Messe to learn how IBM offerings enable #Industrie40 and other #IoT solutions https://t.co/DZWNtxgK9Q</t>
  </si>
  <si>
    <t>Dublin, Ireland</t>
  </si>
  <si>
    <t>Born in #Stuttgart. Went to #MaastrichtUniversity. Trainee at #IBM in #Dublin for #InsideSales</t>
  </si>
  <si>
    <t>Social Selling is Back to Basics by bernieborges https://t.co/dz5JztPVFD B2Community #digitaltransformation #Industrie40 #IoT #HM16 #IBM</t>
  </si>
  <si>
    <t>Neuer Blogpost: Wie wird die IT fit für #Industrie40? Die Antwort gibt's hier https://t.co/yNXupVsLnO 0 ^mar</t>
  </si>
  <si>
    <t>Round Solutions GmbH</t>
  </si>
  <si>
    <t>#Webinar: Wie Sie #IoT,#m2m,#Industrie40 &amp; #Digitalisierung umsetzen;Mehr dazu im Newsletter https://t.co/xP9GxbOv7R https://t.co/sTaHJeaXVX</t>
  </si>
  <si>
    <t>GGS</t>
  </si>
  <si>
    <t>#GGS-Professor Gerd J. Hahn bei seinem Vortrag zu #Industrie40 beim @recruitingtag in Ludwigsburg. https://t.co/6PMpOqmOZJ</t>
  </si>
  <si>
    <t>Heilbronn, Germany</t>
  </si>
  <si>
    <t>Die GGS ist eine innovative Business School für Management und Recht. Impressum: http://t.co/Fxy5qp4n97</t>
  </si>
  <si>
    <t>RT @GGS_Heilbronn: #GGS-Professor Gerd J. Hahn bei seinem Vortrag zu #Industrie40 beim @recruitingtag in Ludwigsburg. https://t.co/6PMpOqmO…</t>
  </si>
  <si>
    <t>RT @Round_Solutions: #Webinar: Wie Sie #IoT,#m2m,#Industrie40 &amp; #Digitalisierung umsetzen;Mehr dazu im Newsletter https://t.co/xP9GxbOv7R h…</t>
  </si>
  <si>
    <t>Delcon</t>
  </si>
  <si>
    <t>Delcon Oy: Overview https://t.co/ZSYa8wVc3J #industrie40 #sustainabledevelopmentgoals #greenovation #money https://t.co/KqJx3R3Hzk</t>
  </si>
  <si>
    <t>Finland</t>
  </si>
  <si>
    <t>We are the manufacturer of Delcon solid state interface relays. Our concept is to make our products special – even irreplaceable.</t>
  </si>
  <si>
    <t>Ad A&amp;T parleremo di #Industrie40: Piattaforme di controllo a confronto. 21/4 - h14 sala cubo https://t.co/l1sf0wmlvR https://t.co/FzngFVDNAe</t>
  </si>
  <si>
    <t>Ad A&amp;T parleremo di #Industrie40: Piattaforme di controllo a confronto. 21/4 - h14 sala cubo https://t.co/96HnXA7g8m https://t.co/REqhcYj2Mo</t>
  </si>
  <si>
    <t>Was ist wirklich los in der industriellen #Automatisierung? #IoT #IIoT #CPS #Industrie40 https://t.co/2EUaTiL6zB https://t.co/JOdzfFqJXn</t>
  </si>
  <si>
    <t>Digitalisierung? Klar, aber vor dem Software-Kauf Prozesse optimieren! https://t.co/vSVEwJGZEt #industrie40 https://t.co/DxxDnHAGQq</t>
  </si>
  <si>
    <t>Ludivine Allardon</t>
  </si>
  <si>
    <t>Marketing Consumer Goods &amp; Agribusiness @PwC_France || I tweet about #Food and #Agribusiness</t>
  </si>
  <si>
    <t>tellmeplus</t>
  </si>
  <si>
    <t>Want to see the future of #Industrie40? Visit @tellmeplus booth F12 – Hall7 @hannover_messe– April 24-28! #digitalFactory</t>
  </si>
  <si>
    <t>Rueil-Malmaison, France</t>
  </si>
  <si>
    <t>Prescriptive Intelligence___ Artificial Intelligence Powered Marketing #BigData #Startup #PredictiveObjects #M2M #IoT</t>
  </si>
  <si>
    <t>Die zunehmende #Digitalisierung stellt die Industrie vor neue Herausforderungen. #IoT #Industrie40 #m2m https://t.co/T1hKgudK5G @verlinked</t>
  </si>
  <si>
    <t>Oliver Jaeger</t>
  </si>
  <si>
    <t>Why Everyone Must Get Ready For The 4th Industrial Revolution https://t.co/phMG5LxDer via @Forbes @BernardMarr #Industrie40 #digital</t>
  </si>
  <si>
    <t>Frequent Traveler, Customer Experience Enthusiast, Digital Transformer, VP Global Marketing &amp; Communications @ e-Spirit</t>
  </si>
  <si>
    <t>Jean-Michel CAMBOT</t>
  </si>
  <si>
    <t>Want to see the future of #Industrie40? Visit tellmeplus booth F12 – Hall7 hannover_messe– April 24-28! #digitalFactory</t>
  </si>
  <si>
    <t>Montpellier Paris SanFrancisco</t>
  </si>
  <si>
    <t>TellMePlus CIO, COO &amp; Founder, Business Objects inventor</t>
  </si>
  <si>
    <t>SAP France</t>
  </si>
  <si>
    <t>[#IndustrieDuFutur] Hannover Messe 26/04 | Des experts #SAP français pour vous guider vers l'#Industrie40 #HM16 https://t.co/FuO2MuX7n6</t>
  </si>
  <si>
    <t>Sprinklr</t>
  </si>
  <si>
    <t>Levallois-Perret, France</t>
  </si>
  <si>
    <t>Le compte officiel de @SAP en France | Contenu #TransfoNum en FR &amp; EN | Making your business #RunSimple | Modération par @francoisdex</t>
  </si>
  <si>
    <t>Thibaut Rey</t>
  </si>
  <si>
    <t>RT @OJaeger: Why Everyone Must Get Ready For The 4th Industrial Revolution https://t.co/phMG5LxDer via @Forbes @BernardMarr #Industrie40 #d…</t>
  </si>
  <si>
    <t>Curieux en arborescence ! #Creativité #Ouverture #World || #Art #photography || #Dataviz. Also https://t.co/2AScv41snA</t>
  </si>
  <si>
    <t>Bitkom Services</t>
  </si>
  <si>
    <t>Hier geht's zum gesamten @Bitkom-Programm @hannover_messe: https://t.co/86akQbzbB1 #Industrie40 #hm16 https://t.co/NZdz2BsLLn</t>
  </si>
  <si>
    <t>Die Bitkom Servicegesellschaft mbH ist eine Tochter des Bitkom e.V. und bietet Dienstleistungen für die Digitalwirtschaft. Es twittert unser Social Media-Team.</t>
  </si>
  <si>
    <t>RT @Bitkom_Service: Hier geht's zum gesamten @Bitkom-Programm @hannover_messe: https://t.co/86akQbzbB1 #Industrie40 #hm16 https://t.co/NZdz…</t>
  </si>
  <si>
    <t>Christian Fuhrmann</t>
  </si>
  <si>
    <t>Bestens gerüstet für #Industrie40 und den weltweiten Wettbewerb mit @PureStorage @PureStorageDE https://t.co/GALxhzit1p</t>
  </si>
  <si>
    <t>EveryoneSocial</t>
  </si>
  <si>
    <t>Married, 3 kids, pianoman, a cappella, skiing and whiteboarding :) No more disks. All Flash. All my views.</t>
  </si>
  <si>
    <t>Zentrum Industrie4.0</t>
  </si>
  <si>
    <t>#Industrie40 bei Bürgern negativ besetzt https://t.co/7CGdm5YKXo Deswegen brauchen wir eine systematisch Ausbildung: https://t.co/X0a7oA5QIM</t>
  </si>
  <si>
    <t>Regensburg and Singapore</t>
  </si>
  <si>
    <t>Das erste offene Webportal zu Industrie 4.0 // The first open web portal on industry 4.0 #industrie40 #M2M #BigData #Digitilisation #AI #IoT #Analytics</t>
  </si>
  <si>
    <t>Dr. Uwe Dumslaff</t>
  </si>
  <si>
    <t>#Vernetzung verlangt nach innovativen Wegen: Interview mit CEO @Schulte_M zur #industrie40 https://t.co/vAXWyIHvs1 via @Handelsblatt</t>
  </si>
  <si>
    <t>CTO, Corporate Vice President Capgemini http://t.co/XpOqyuyoB5</t>
  </si>
  <si>
    <t>Thomas Heimann</t>
  </si>
  <si>
    <t>#Vernetzung verlangt nach innovativen Wegen: Interview mit CEO @Schulte_M zur #industrie40 https://t.co/5OWwAdbt96</t>
  </si>
  <si>
    <t>XING</t>
  </si>
  <si>
    <t>Thomas Heimann, Leiter der IT-Trends-Studie und Enterprise Architekt twittert über IT-Trends und EA http://t.co/XP7n2A1zXn. Business Technology Public Services</t>
  </si>
  <si>
    <t>Welche Auswirkungen hat #Industrie40 auf die IT? Florian Bacher liefert die Antwort hier https://t.co/iaQQb9UHoR ^mar #HMI</t>
  </si>
  <si>
    <t>Heidelberg Mobil</t>
  </si>
  <si>
    <t>Die Profiteure von #Industrie40 https://t.co/beOW3MrO6r</t>
  </si>
  <si>
    <t>Walldorf / Heidelberg, DE</t>
  </si>
  <si>
    <t>IT-Unternehmen für mobile und ortsbasierte Softwarelösungen. Wir geben Orientierung. Impressum: http://t.co/HvdypAt2b0</t>
  </si>
  <si>
    <t>Industrial Internet of Things &amp; #Industrie40 News https://t.co/hMV38PDscn #IIoT #Industry40 w/ Tweets @StipoNad @Steffi_GenY @bastihollmann</t>
  </si>
  <si>
    <t>Hydropower Industry: How to improve daily plant management? https://t.co/ZQ3oAdzT73 @Cassantec #HM16 #industrie40 https://t.co/vky8ssZ9P5</t>
  </si>
  <si>
    <t>Das Internet der Dinge soll allein in Europa einen 80 Milliarden Euro Markt für IoT-Lösungen, Sof... https://t.co/fg3JOoOyxM #Industrie40</t>
  </si>
  <si>
    <t>Sabine Reuss</t>
  </si>
  <si>
    <t>RT @dumslaff: #Vernetzung verlangt nach innovativen Wegen: Interview mit CEO @Schulte_M zur #industrie40 https://t.co/vAXWyIHvs1 via @Hande…</t>
  </si>
  <si>
    <t>Head of Marketing &amp; Communications @Capgemini in Germany, #CRS, #Marketing, #Social Media, # Communications, Lecturer @srhberlin</t>
  </si>
  <si>
    <t>Wilfried Hoge</t>
  </si>
  <si>
    <t>Munich, Germany</t>
  </si>
  <si>
    <t>IT Architect for Big Data Analytics at @IBM. Member of @D64eV, interested in IoT and Machine Learning. My views are my own.</t>
  </si>
  <si>
    <t>All About IoT</t>
  </si>
  <si>
    <t>#IoT #InternetofThings #IoE #InternetofEverything #innovation #connectivity</t>
  </si>
  <si>
    <t>Arno Laxy</t>
  </si>
  <si>
    <t>PR / marketing professional and journalist specialised on IT and telecoms - human rights first. Against any kind of racism! Liberté, egalité, fraternité!</t>
  </si>
  <si>
    <t>Praxisbericht: Trumpf Werkzeugmaschinen! https://t.co/xIS9oFHHy7 #Transformation #Industrie40 #Microsoft #Azure</t>
  </si>
  <si>
    <t>RT @IT_Connection: Praxisbericht: Trumpf Werkzeugmaschinen! https://t.co/xIS9oFHHy7 #Transformation #Industrie40 #Microsoft #Azure</t>
  </si>
  <si>
    <t>░▒▓ SixP4ck3r ▓▒░</t>
  </si>
  <si>
    <t>#Oruro #Bolivia</t>
  </si>
  <si>
    <t>#SecurityResearcher #Learner</t>
  </si>
  <si>
    <t>Janine Kreienbrink</t>
  </si>
  <si>
    <t>#Industrie40 ist nicht im deutschen #Mittelstand angekommen? Auf dem MAV Innovationsforum war man anderer Meinung https://t.co/QDtVxcVnHu</t>
  </si>
  <si>
    <t>HANNOVER MESSE</t>
  </si>
  <si>
    <t>#Automobilindustrie 4.0 - Wie sieht das Geschäftsmodell der Zukunft aus?Kostenloses #eBook https://t.co/7Msa6prPZE #HM16 #Industrie40</t>
  </si>
  <si>
    <t>Hannover/Germany</t>
  </si>
  <si>
    <t>Channel &amp; Newsfeed of HANNOVER MESSE (25 to 29 April 2016 in Hannover) - The world's most important technology event. #hm16</t>
  </si>
  <si>
    <t>RT @hannover_messe: #Automobilindustrie 4.0 - Wie sieht das Geschäftsmodell der Zukunft aus?Kostenloses #eBook https://t.co/7Msa6prPZE #HM1…</t>
  </si>
  <si>
    <t>RT @itsOWL_Cluster: So funktioniert #Industrie40 auch für den Mittelstand: #itsOWL Projekte @PhoenixContactD @Weidmueller @Lenze_Gruppe htt…</t>
  </si>
  <si>
    <t>RT @jkreienbrink: #Industrie40 ist nicht im deutschen #Mittelstand angekommen? Auf dem MAV Innovationsforum war man anderer Meinung https:/…</t>
  </si>
  <si>
    <t>AMETRA Ingénierie</t>
  </si>
  <si>
    <t>#Industrie40 : nouvelle étape entre l’homme et la machine ! #objetsconnectés #Industry40 https://t.co/s4a3HSpzIe https://t.co/kQQEAzP5Gs</t>
  </si>
  <si>
    <t>AMETRA Ingénierie a pour vocation d’accompagner les entreprises dans la conception et le développement de projets innovants. #Ingenierie #Innovation</t>
  </si>
  <si>
    <t>Yoni</t>
  </si>
  <si>
    <t>RT @AMETRAInge: #Industrie40 : nouvelle étape entre l’homme et la machine ! #objetsconnectés #Industry40 https://t.co/s4a3HSpzIe https://t…</t>
  </si>
  <si>
    <t>IdeenwerkBW.de</t>
  </si>
  <si>
    <t>RT @heidelbergmobil: Die Profiteure von #Industrie40 https://t.co/beOW3MrO6r</t>
  </si>
  <si>
    <t>Twitterfeed für das baden-württembergische Innovationsportal ideenwerkbw.de mit News von Startups, etablierten Firmen und aus der Technologieentwicklung.</t>
  </si>
  <si>
    <t>HTxA</t>
  </si>
  <si>
    <t>.@SiSax_de #SmartCity #Elektromobilität skalieren gemeinsam #IoT #Industrie40 sind Ermöglicher wie #Ergebniskonferenz @leipzigermesse zeigte</t>
  </si>
  <si>
    <t xml:space="preserve">Global </t>
  </si>
  <si>
    <t>HighTech x Agency - Exponential Knowledge Flow for Business • TECHNOLOGY, ARTS &amp; SCIENCE • @RalfLippold &amp; @angieincampo • Logo @pakipis</t>
  </si>
  <si>
    <t>DataBanque</t>
  </si>
  <si>
    <t>8 Etiquette Tips for #tradeshow Booth Staff #HM16 #HM16USA #SelectUSA #Industrie40 #IntegratedIndustry #fridayreads https://t.co/bq6U8sV3i0</t>
  </si>
  <si>
    <t>Pittsburgh</t>
  </si>
  <si>
    <t>DataBanque helps B2B clients establish effective collaboration between sales and marketing through data-driven decision making to deliver measurable results.</t>
  </si>
  <si>
    <t>TÜViT</t>
  </si>
  <si>
    <t>#TÜViT präsentiert sich als Ihr Partner für sichere #Industrie40 auf der #HannoverMesse, Stand G41, Halle 27 https://t.co/RMU2aV5Faj</t>
  </si>
  <si>
    <t>Essen, Nordrhein-Westfalen</t>
  </si>
  <si>
    <t>Vom TÜV geprüft und zertifiziert – was auf Autos, Maschinen, Anlagen oder Gebäude zutrifft, bietet TÜViT als Teil der TÜV NORD GROUP auch für Ihre IT</t>
  </si>
  <si>
    <t>Katharina Weber</t>
  </si>
  <si>
    <t>PR und Social Media mit Fokus auf #Finance #FinTech und #IT. In der Freizeit Serienjunkie mit chronischem Fernweh. Hier privat. Geschäftlich: @passnews</t>
  </si>
  <si>
    <t>RT @SAPFrance: [#IndustrieDuFutur] Hannover Messe 26/04 | Des experts #SAP français pour vous guider vers l'#Industrie40 #HM16 https://t.co…</t>
  </si>
  <si>
    <t>Ohne intelligente oder smarte IT-Lösungen ist die Logistik undenkbar; genau diese Entwicklung gre... https://t.co/TbmrHP4eJn #Industrie40</t>
  </si>
  <si>
    <t>deviceWISE</t>
  </si>
  <si>
    <t>Why Everyone Must Get Ready For the 4th Industrial Revolution #Industrie40 #IIoT #industry40 https://t.co/ibZLuCQmTr</t>
  </si>
  <si>
    <t>Boca Raton, FL</t>
  </si>
  <si>
    <t>Connect your “things” to your “apps”. Seamlessly integrate any device, production assets &amp; remote sensors with enterprise systems. #IoT #IIoT</t>
  </si>
  <si>
    <t>Brian</t>
  </si>
  <si>
    <t>RT @TUV_IT: #TÜViT präsentiert sich als Ihr Partner für sichere #Industrie40 auf der #HannoverMesse, Stand G41, Halle 27 https://t.co/RMU2a…</t>
  </si>
  <si>
    <t>Marl</t>
  </si>
  <si>
    <t>RT @deviceWISEM2M: Why Everyone Must Get Ready For the 4th Industrial Revolution #Industrie40 #IIoT #industry40 https://t.co/ibZLuCQmTr</t>
  </si>
  <si>
    <t>Thomas Schulz</t>
  </si>
  <si>
    <t>Security of Things World 2016 - https://t.co/5WFzevpnsi #Industrie40</t>
  </si>
  <si>
    <t>Channel Manager Central and Eastern Europe @GE_Europe for Information Technology and Services at GE Digital @GE_Digital</t>
  </si>
  <si>
    <t>Chemie und #Industrie40 - Passt das zusammen? https://t.co/KeJ5mDLZ6p</t>
  </si>
  <si>
    <t>#Industrie40 #BigDataAnalytics „Die Lage im Mittelstand ist katastrophal“ https://t.co/m7lVWmZAkr</t>
  </si>
  <si>
    <t>Jörg Rieth</t>
  </si>
  <si>
    <t>RT @leanbi1: LeanBI Lösungen im #Industrie40 Umfeld: #IoT #Analytics #ML #optimierung #predictiveanalytics #KMU https://t.co/zptBtjmOQ7 via…</t>
  </si>
  <si>
    <t>Freiburg</t>
  </si>
  <si>
    <t>Regional Senior Channel Manager DACH</t>
  </si>
  <si>
    <t>Robert Freund</t>
  </si>
  <si>
    <t>RT @foresight_lab: #Industrie40 und Standardisierung: zum Stand https://t.co/0WPJhoCBec …, https://t.co/j7lkcWnXYy … #innovation https://t.…</t>
  </si>
  <si>
    <t>#openinnovation,#internetofthings,#cognitivecomputing,#knowledge,#innovation,#learning</t>
  </si>
  <si>
    <t>Ohne intelligente oder smarte IT-Lösungen ist die Logistik undenkbar; genau diese Entwicklung gre... https://t.co/HwldrrwhlF #Industrie40</t>
  </si>
  <si>
    <t>RT @H_IT_D: Ohne intelligente oder smarte IT-Lösungen ist die Logistik undenkbar; genau diese Entwicklung gre... https://t.co/HwldrrwhlF #I…</t>
  </si>
  <si>
    <t>Batix Software GmbH</t>
  </si>
  <si>
    <t>Leistungsschau der IT-Branche in #Thüringen https://t.co/10CQP6ToJQ #ITnetzwerk #digitaltransformation #IoT #Industrie40 @ITnet_TH #läuft</t>
  </si>
  <si>
    <t>Saalfeld/Saale, Deutschland</t>
  </si>
  <si>
    <t>Wir machen Komplexes einfach. #batix</t>
  </si>
  <si>
    <t>ITnetzwerk Thüringen</t>
  </si>
  <si>
    <t>RT @batix: Leistungsschau der IT-Branche in #Thüringen https://t.co/10CQP6ToJQ #ITnetzwerk #digitaltransformation #IoT #Industrie40 @ITnet…</t>
  </si>
  <si>
    <t>Erfurt, Thüringen</t>
  </si>
  <si>
    <t>...wir geben der IT in Thüringen Stimme und Gesicht. #ITnetzwerk #Thüringen</t>
  </si>
  <si>
    <t>Dimitar Tomov</t>
  </si>
  <si>
    <t>@Dana_Heide @MrSchoessler and only if the advertised content was true or at least close to #Industrie40 Probably a "lets be 1st" attitude...</t>
  </si>
  <si>
    <t>Driven for robust Low-level #Design of #Embedded Systems - The thin line between work for release and made right. Mostly #Tech topics. Own views =)</t>
  </si>
  <si>
    <t>Cathy Brennan</t>
  </si>
  <si>
    <t>RT @Databanque: 8 Etiquette Tips for #tradeshow Booth Staff #HM16 #HM16USA #SelectUSA #Industrie40 #IntegratedIndustry #fridayreads https:…</t>
  </si>
  <si>
    <t>Pittsburgh, Pennsylvania</t>
  </si>
  <si>
    <t>By day, exposing the truth about their dismal marketing ROI to frustrated marketing VP's. By night, singing Bass with the Sounds of Pittsburgh Chorus.</t>
  </si>
  <si>
    <t>UNITED EXPERTS Ind.</t>
  </si>
  <si>
    <t>Bad Rappenau, Deutschland</t>
  </si>
  <si>
    <t>Unternehmens-Account. Wir twittern zum Thema #Verpackung #Automation #Industrie40 #IoT #Roboter #Drohne &amp; über sonstige Infos</t>
  </si>
  <si>
    <t>MarcoS</t>
  </si>
  <si>
    <t>#IIoT #Industrie40 #automation https://t.co/PQAB7psx4Y</t>
  </si>
  <si>
    <t>Here I am ... Will you send me an angel ... Here I am ... In the land of the morning star ...</t>
  </si>
  <si>
    <t>Nur noch 10 Tage... @hannover_messe @SelectUSA @TradeGov #HM16 #HM16USA #FridayFeeling #selectUSA #Industrie40 https://t.co/4VmYBKVjWe</t>
  </si>
  <si>
    <t>Patrick Miekautsch</t>
  </si>
  <si>
    <t>@JanusEngAg #Industrie40 https://t.co/WblCUXVeVW</t>
  </si>
  <si>
    <t>Waiblingen, Deutschland</t>
  </si>
  <si>
    <t>Mauricio Matthesius</t>
  </si>
  <si>
    <t>Berlin, San Jose</t>
  </si>
  <si>
    <t>#DataScience #BigData #BI #Analytics #Graph #InformationFusion #Hadoop #IoT #Industrie4.0</t>
  </si>
  <si>
    <t>Mind Commerce</t>
  </si>
  <si>
    <t>RT @maspes76: #IIoT #Industrie40 #automation https://t.co/PQAB7psx4Y</t>
  </si>
  <si>
    <t>Research and strategic analysis focused on digital technologies and telecom industry #5G #Cloud #BigData #IoT #Sensors #IndustrialAutomation #IIoT</t>
  </si>
  <si>
    <t>David Moreno</t>
  </si>
  <si>
    <t>#madewithunity #AugmentedReality #app for car #maintenance #Industrie40 #industria40 #industry40 #smartfactory https://t.co/N3ifvmqfCU</t>
  </si>
  <si>
    <t>Bilbao, País Vasco</t>
  </si>
  <si>
    <t>Positive Thinker, Creative &amp; Technologist. Chief Revenue Officer at @virtualware. 'People with passion can change the world. Steve Jobs.'</t>
  </si>
  <si>
    <t>Indie GameDev Bot</t>
  </si>
  <si>
    <t>RT @_damoca: #madewithunity #AugmentedReality #app for car #maintenance #Industrie40 #industria40 #industry40 #smartfactory https://t.co/N…</t>
  </si>
  <si>
    <t>Indie Game dev bot 6</t>
  </si>
  <si>
    <t>I'm an experimental bot #gamedev</t>
  </si>
  <si>
    <t>Da aber alte Windows Mobile Software darauf nicht lauffähig ist, müssen in der Regel auch die Sof... https://t.co/654CkykJEo #Industrie40</t>
  </si>
  <si>
    <t>Roland Thaler</t>
  </si>
  <si>
    <t>Münchener Startup erhält 7,5 Millionen von Valley-Investoren https://t.co/STsZ3hCCaG via @gruenderszene #startup #investor #Industrie40</t>
  </si>
  <si>
    <t>Austria / Linz</t>
  </si>
  <si>
    <t>Business Analyst, talks about #agile, #data, #innovation, #startups, #Business, #scrum and #fun</t>
  </si>
  <si>
    <t>RT @RolandThaler: Münchener Startup erhält 7,5 Millionen von Valley-Investoren https://t.co/STsZ3hCCaG via @gruenderszene #startup #investo…</t>
  </si>
  <si>
    <t>RT @H_IT_D: Da aber alte Windows Mobile Software darauf nicht lauffähig ist, müssen in der Regel auch die Sof... https://t.co/654CkykJEo #I…</t>
  </si>
  <si>
    <t>IIConsortium</t>
  </si>
  <si>
    <t>Want to learn more about the collaboration between @IIConsortium and #Industrie40? Download the fact sheet: https://t.co/VVoCxPRU1d</t>
  </si>
  <si>
    <t>The Industrial Internet Consortium (IIC) is the non-profit, open membership group that catalyzes, coordinates and enables growth of the Industrial Internet.</t>
  </si>
  <si>
    <t>Matteo Seghezzi</t>
  </si>
  <si>
    <t>RT @IIConsortium: Want to learn more about the collaboration between @IIConsortium and #Industrie40? Download the fact sheet: https://t.co/…</t>
  </si>
  <si>
    <t>Sola (BG)</t>
  </si>
  <si>
    <t>LA POESIA E LA VOGLIA DI ABITARCI NELLE PROPRIE OPERE ARCHITETTONICHE DEVE ESSERE ELEMENTO PROGETTUALE NECESSARIO. GIOVENTU' D'IDEE.</t>
  </si>
  <si>
    <t>Alexi Condor</t>
  </si>
  <si>
    <t>Brazil, São Paulo</t>
  </si>
  <si>
    <t>Product and Technology Director - Expert in industrial automation, algorithms, data analysis and real time softwares. LinkedIn - https://t.co/e2ap71ZQHg</t>
  </si>
  <si>
    <t>Carolin Schröer</t>
  </si>
  <si>
    <t>RT @OptimumGmbh: Vorbereitungen für die #Control auf der #MesseStuttgart .Erleben Sie den #SchlauenKlaus in der #Montage #Industrie40 https…</t>
  </si>
  <si>
    <t>Roland Bent</t>
  </si>
  <si>
    <t>Blomberg</t>
  </si>
  <si>
    <t>This is the official account of Roland Bent - Executive Vice President of #Marketing and #Development of #PhoenixContact.</t>
  </si>
  <si>
    <t>Messe Worldwide</t>
  </si>
  <si>
    <t>Petaling Jaya</t>
  </si>
  <si>
    <t>We are the official Representatives in #Malaysia for #DeutscheMesse #MesseDuesseldorf and #MesseFrankfurt</t>
  </si>
  <si>
    <t>David Sloly</t>
  </si>
  <si>
    <t>England</t>
  </si>
  <si>
    <t>Author, TEDx speaker &amp; solver of modern marketing challenges. #InboundMarketing agency owner. Tweets about #MarTech, #GrowthHacking &amp; the power of #story</t>
  </si>
  <si>
    <t>Beatriz García</t>
  </si>
  <si>
    <t>Mitarbeiterin der Abteilung für Presse- und Öffentlichkeitsarbeit bei #PhoenixContact twittert zu Themen rund um das #Unternehmen</t>
  </si>
  <si>
    <t>Im Zuge der #Industrie40 entstehen viele neue Anwendungsbereiche. Welche Auswirkungen hat das auf die IT? https://t.co/iaQQb9UHoR ^mar #HMI</t>
  </si>
  <si>
    <t>Als Teil der #DigitalFactory präsentieren wir mit @Bitkom innovative Lösungen für die #Industrie40 auf #hmi16 ^bas https://t.co/Gle8JRjiGt</t>
  </si>
  <si>
    <t>Adam Ripley</t>
  </si>
  <si>
    <t>Chairman of Certeco. Financial Services. Enterprise Business Technology Services. Fellow of the IOD. Entrepreneur.</t>
  </si>
  <si>
    <t>RT @CapgeminiDE: Als Teil der #DigitalFactory präsentieren wir mit @Bitkom innovative Lösungen für die #Industrie40 auf #hmi16 ^bas https:/…</t>
  </si>
  <si>
    <t>RT @CapgeminiDE: Im Zuge der #Industrie40 entstehen viele neue Anwendungsbereiche. Welche Auswirkungen hat das auf die IT? https://t.co/ia…</t>
  </si>
  <si>
    <t>DKE-Aktuell</t>
  </si>
  <si>
    <t>Frankfurt am Main</t>
  </si>
  <si>
    <t>DKE - Dialog Kompetenz Engagement Hier twittert das Team der Deutsche Kommission Elektrotechnik Elektronik Informationstechnik in DIN und VDE!</t>
  </si>
  <si>
    <t>Johan</t>
  </si>
  <si>
    <t>Simon Taylor</t>
  </si>
  <si>
    <t>London, UK</t>
  </si>
  <si>
    <t>The #Fintech Geek. Lover of #Finserv, Tech and all things #bitcoin and #blockchain related.</t>
  </si>
  <si>
    <t>MartinGaedt ideenfit</t>
  </si>
  <si>
    <t>Kreuzberg-Mitte, Berlin</t>
  </si>
  <si>
    <t>444 Min neue IDEEN https://t.co/wdDwmm4yQq Mitreißend https://t.co/JagLgTsJHg MYTHOS F*Mangel https://t.co/sHY49032wT Sharing Recruiting https://t.co/n480e058Sq</t>
  </si>
  <si>
    <t>Francisco Vera</t>
  </si>
  <si>
    <t>Barcelona</t>
  </si>
  <si>
    <t>Partner and founder of @TandemCompany +AddingKnowledge #innovation #blockchain #UX #CX #fintech #banking #creativity #insurtech #startup #entrepreneur #social</t>
  </si>
  <si>
    <t>WIe baut man die Fabrik der Zukunft? Unsere #Ingenieurgeschichte über Myriam Suarez von @BASF_DE: https://t.co/ktTnvuxzhU #industrie40</t>
  </si>
  <si>
    <t>RT @VDI_News: WIe baut man die Fabrik der Zukunft? Unsere #Ingenieurgeschichte über Myriam Suarez von @BASF_DE: https://t.co/ktTnvuxzhU #in…</t>
  </si>
  <si>
    <t>Jesus Garrido</t>
  </si>
  <si>
    <t>Madrid, Spain</t>
  </si>
  <si>
    <t>Serious Game - Gamification - Realidad Virtual - Interactive Surfaces</t>
  </si>
  <si>
    <t>Der Planer</t>
  </si>
  <si>
    <t>Hamburg, Deutschland</t>
  </si>
  <si>
    <t>Planer - building-engineer - planning engineer - BIM-Manager</t>
  </si>
  <si>
    <t>Günther Wagner</t>
  </si>
  <si>
    <t>RT @MelanieVogel_: *** Leben in einer VUCA-Welt mit #Industrie40 #Arbeitenviernull *** Interview “Transformationsdesign” | #Transf... https…</t>
  </si>
  <si>
    <t>Salzburg, Österreich</t>
  </si>
  <si>
    <t>UnternehmerBerater, Transition Coach, kreativer Querdenker - Meine Themen: Digitalisierung + Leadership + Zukunft der Arbeit - Tweets in English and German</t>
  </si>
  <si>
    <t>Andreas M. Walker</t>
  </si>
  <si>
    <t>@grenzdenken Mankowsky - was brauchen unsere Schulkinder? Sie müssen lernen selber zu gestalten #Industrie40 #Schule40</t>
  </si>
  <si>
    <t>Basel</t>
  </si>
  <si>
    <t>co-president swissfuture, founder weiterdenken.ch, founder hoffnungsbarometer, blogger derweiterdenker, key note speaker and challenger about future issues</t>
  </si>
  <si>
    <t>Claudia Vieli Oertle</t>
  </si>
  <si>
    <t>RT @weiterdenker: @grenzdenken Mankowsky - was brauchen unsere Schulkinder? Sie müssen lernen selber zu gestalten #Industrie40 #Schule40</t>
  </si>
  <si>
    <t>Familienfrau. TypoGestalterin. Marketingfachfrau. Unternehmerin. Macherin mit Herzblut. #Familie #Erziehung #Kultur #Kräuter #Jungunternehmertum #Thurgau #Vals</t>
  </si>
  <si>
    <t>Subauftrag</t>
  </si>
  <si>
    <t>Wie wichtig ist #Industrie40? https://t.co/nVZMhgdUgj? #Subauftrag https://t.co/FGXap1sMiY https://t.co/p2MIkCXv9f</t>
  </si>
  <si>
    <t xml:space="preserve">Österreich, Klagenfurt </t>
  </si>
  <si>
    <t>Wir vermitteln selbstständige #Subunternehmen! Our company offers industrial engineers with experience in effective work on complex projects #engineering</t>
  </si>
  <si>
    <t>Internet of Business</t>
  </si>
  <si>
    <t>How GE is building a services company through the Industrial Internet | https://t.co/0Syq25H2f1 #IoT #IIoT #Industrie40</t>
  </si>
  <si>
    <t>New media publication demystifying the Internet of Things (IoT) in business, and explaining the connected world.</t>
  </si>
  <si>
    <t>RT @Subauftrag: Wie wichtig ist #Industrie40? https://t.co/nVZMhgdUgj? #Subauftrag https://t.co/FGXap1sMiY https://t.co/p2MIkCXv9f</t>
  </si>
  <si>
    <t>RT @InternetofBiz: How GE is building a services company through the Industrial Internet | https://t.co/0Syq25H2f1 #IoT #IIoT #Industrie40</t>
  </si>
  <si>
    <t>Leasing-Verband</t>
  </si>
  <si>
    <t>Spannende #Ingenieursgeschichte #Industrie40 https://t.co/RjjwKqnaEk</t>
  </si>
  <si>
    <t>Mitte, Berlin</t>
  </si>
  <si>
    <t>BDL - Bundesverband Deutscher Leasing-Unternehmen e. V. Es twittert Heike Schur Impressum: https://t.co/QsrGIx6HFk</t>
  </si>
  <si>
    <t>Winfried Felser</t>
  </si>
  <si>
    <t>@IIConsortium and #Industrie40 will the collaboration work? https://t.co/8BYtVdyoRe</t>
  </si>
  <si>
    <t>CEO Competence Site / NetSkill, author Content Marketing, Social Media, CRM, CXM, Logistics, Industrie 4.0, New Network Economy, ...</t>
  </si>
  <si>
    <t>David Cairns</t>
  </si>
  <si>
    <t>RT @prismtech: Why Everyone Must Get Ready For 4th Industrial Revolution by @BernardMarr via @via @forbes https://t.co/n6xr7jShil #IoT #IIo…</t>
  </si>
  <si>
    <t>GaggleAMP</t>
  </si>
  <si>
    <t>Scotland</t>
  </si>
  <si>
    <t>Building a connected world with PrismTech's IOT software. Semper Fidelis.</t>
  </si>
  <si>
    <t>J. Haindl-Grutsch</t>
  </si>
  <si>
    <t>Zum 4x im Ind.zeitalter wird der Mensch von unnötigen, monotonen Arbeiten entlastet. #Industrie40 als Jobmaschine https://t.co/VqARmekgup</t>
  </si>
  <si>
    <t>Linz, Austria</t>
  </si>
  <si>
    <t>Managing Director Federation of Upper Austrian Industry - Wir erzeugen Zukunft!</t>
  </si>
  <si>
    <t>Eloy Herrero ©</t>
  </si>
  <si>
    <t>BARCELONA</t>
  </si>
  <si>
    <t>Partner in @TandemCompany. Strategic vision and innovative solutions for a new economy era around #fintech #insurtech #AI #IoT #mobiletechnology #startup #VC</t>
  </si>
  <si>
    <t>RT @IV_JHG: Zum 4x im Ind.zeitalter wird der Mensch von unnötigen, monotonen Arbeiten entlastet. #Industrie40 als Jobmaschine https://t.c…</t>
  </si>
  <si>
    <t>Herausforderungen der #Manufacturing #IoT Implementation: Jochen Bechtold zum Thema #Industrie40 auf der #hmi16 https://t.co/qMAg5SHFFK ^bas</t>
  </si>
  <si>
    <t>Economic discovery</t>
  </si>
  <si>
    <t>SmartTypesBot</t>
  </si>
  <si>
    <t>We surface trending news from economic and financial industry insiders - made w/ love by @SmartTypes</t>
  </si>
  <si>
    <t>SkillsAustria</t>
  </si>
  <si>
    <t>SkillsAustria - Österreichische Staatsmeisterschaften der Berufe &amp; Team Austria bei den internationalen Berufswettbewerben WorldSkills und EuroSkills.</t>
  </si>
  <si>
    <t>JETZT_PRde</t>
  </si>
  <si>
    <t>Bericht für #Fraunhofer IGD auf iquadrat-magazin #hannovermesse #industrie40 https://t.co/Nm1aKjx7EP https://t.co/HAfOvTxC8c</t>
  </si>
  <si>
    <t>JETZT-PR.de - der Qualitäts-Pressedienst für Presseversand, Pressemitteilungen und Pressearbeit - für D, AT, CH und weltweit.</t>
  </si>
  <si>
    <t>RT @JETZT_PRde: Bericht für #Fraunhofer IGD auf iquadrat-magazin #hannovermesse #industrie40 https://t.co/Nm1aKjx7EP https://t.co/HAfOvT…</t>
  </si>
  <si>
    <t>Maarten</t>
  </si>
  <si>
    <t>Netherlands</t>
  </si>
  <si>
    <t>Innovation | Fintech | Bank 3.0 | API | Banking as a platorm | Abn Amro Bank | Mobile | Blockchain | Apple | Movies | Music | TV shows</t>
  </si>
  <si>
    <t>CompTIA Deutschland</t>
  </si>
  <si>
    <t>Hier twittert CompTIA Deutschland zu IT-Weiterbildung, Fortbildung, Zertifizierungen und Wissenswertem aus der ITK-Branche.</t>
  </si>
  <si>
    <t>#Industrie40 ist mehr als fortschreitende Automation. #IoT #cloudcomputing #m2m #Digitalisierung https://t.co/AXdAstWvyt @verlinked</t>
  </si>
  <si>
    <t>RT @verlinked: #Industrie40 ist mehr als fortschreitende Automation. #IoT #cloudcomputing #m2m #Digitalisierung https://t.co/AXdAstWvyt @ve…</t>
  </si>
  <si>
    <t>FuturICT</t>
  </si>
  <si>
    <t>Mensch-Maschine Kooperation: Mensch und Maschine sind ein unschlagbares Team #AI #Industrie40 https://t.co/BkNWD0Zf98</t>
  </si>
  <si>
    <t>FuturICT is a visionary project that will deliver new science and technology to explore, understand and manage our connected world. #Complexity #IoT #OpenData</t>
  </si>
  <si>
    <t>RT @FuturICT: Mensch-Maschine Kooperation: Mensch und Maschine sind ein unschlagbares Team #AI #Industrie40 https://t.co/BkNWD0Zf98</t>
  </si>
  <si>
    <t>Eric Giesel</t>
  </si>
  <si>
    <t>,, In Ihrem Buch warnen Sie vor sozialen Spannungen ,, #Industrie40 #Kapitalismus https://t.co/PhgoNWdlEO</t>
  </si>
  <si>
    <t>Wir sind die letzte Generation, die noch etwas ändern kann!</t>
  </si>
  <si>
    <t>RT @GSonnengott: ,, In Ihrem Buch warnen Sie vor sozialen Spannungen ,, #Industrie40 #Kapitalismus https://t.co/PhgoNWdlEO</t>
  </si>
  <si>
    <t>RT @WinfriedFelser: @IIConsortium and #Industrie40 will the collaboration work? https://t.co/8BYtVdyoRe</t>
  </si>
  <si>
    <t>Nicolas Maury</t>
  </si>
  <si>
    <t>Senior consultant @PwC (my views are my own)</t>
  </si>
  <si>
    <t>TIBA SCHWEIZ</t>
  </si>
  <si>
    <t>Wollerau, Schweiz</t>
  </si>
  <si>
    <t>#Consulting and #Staffing your Critical #Projects: delivering #QuickWins for Leaders &amp; Organizations in Transition.</t>
  </si>
  <si>
    <t>openHPI</t>
  </si>
  <si>
    <t>Alles, was Sie zu #Industrie40 wissen sollten kompakt in einem #Onlinekurs. Start: 25. April. #MOOC40 https://t.co/0ibJ57HTFw</t>
  </si>
  <si>
    <t>Potsdam, Germany</t>
  </si>
  <si>
    <t>openHPI is the educational Internet platform of the Hasso Plattner Institute (@HPI_DE) in Potsdam, Germany. Imprint: https://t.co/ipJk1cTO3x</t>
  </si>
  <si>
    <t>RT @openHPI: Alles, was Sie zu #Industrie40 wissen sollten kompakt in einem #Onlinekurs. Start: 25. April. #MOOC40 https://t.co/0ibJ57HTFw</t>
  </si>
  <si>
    <t>Jens Theophort</t>
  </si>
  <si>
    <t>"Dave Fusaro: Are You Ready for the Industrial #InternetofThings?" https://t.co/SrwxOXgbzA #technology #M2M #IoT #IIoT #Industrie40</t>
  </si>
  <si>
    <t>RT @bamitav: "Dave Fusaro: Are You Ready for the Industrial #InternetofThings?" https://t.co/SrwxOXgbzA #technology #M2M #IoT #IIoT #Indust…</t>
  </si>
  <si>
    <t>Warum handeln, wenn Unsicherheit aufregender ist? @micaeldahlen #digitalisierung #Industrie40 #IoT https://t.co/hUPyWpM6m3</t>
  </si>
  <si>
    <t>Hydrogenious</t>
  </si>
  <si>
    <t>Günter Oettinger EU Kommissar für Digitale Wirtschaft und Gesellschaft spricht zu #Digitalisierung und #Industrie40 https://t.co/6QQyfMK2cB</t>
  </si>
  <si>
    <t>Erlangen, Bayern</t>
  </si>
  <si>
    <t>Hydrogenious Technologies develops innovative solutions for safe and efficient #hydrogen storage in liquid organic hydrogen carriers (#LOHC).</t>
  </si>
  <si>
    <t>RT @hydrogeniousTEC: Günter Oettinger EU Kommissar für Digitale Wirtschaft und Gesellschaft spricht zu #Digitalisierung und #Industrie40 ht…</t>
  </si>
  <si>
    <t>Anna</t>
  </si>
  <si>
    <t>Walldorf, Baden-Württemberg</t>
  </si>
  <si>
    <t>SAP University Alliances. My shared opinion here is not inevitably the official SAP opinion!</t>
  </si>
  <si>
    <t>changetokaizen</t>
  </si>
  <si>
    <t>#ShopfloorManagement #Industrie40 #LeanTools sind u.a. die Themen auf dem #ctk2016 https://t.co/noPGLR7DcP</t>
  </si>
  <si>
    <t>Symposium #Change to #Kaizen #Lean #KVP #Management #Verschwendung #Kata #Muda #Verbesserungskata #Coachingkata #Kata #Lean #TQM #SixSigma</t>
  </si>
  <si>
    <t>Emrah Eker</t>
  </si>
  <si>
    <t>Germany/Dortmund</t>
  </si>
  <si>
    <t>Computer Engineer | Tech. Startups | New ideas and strategies for innovations</t>
  </si>
  <si>
    <t>RT @changetokaizen: #ShopfloorManagement #Industrie40 #LeanTools sind u.a. die Themen auf dem #ctk2016 https://t.co/noPGLR7DcP</t>
  </si>
  <si>
    <t>Ralf Volkmer</t>
  </si>
  <si>
    <t>Heddesheim</t>
  </si>
  <si>
    <t>#Moderator #Coach #Fabrik im #Seminarraum #KAIZEN #Change #Management #KvP #Familie #Autor #Fußball #Verbesserungskata #Coachingkata</t>
  </si>
  <si>
    <t>Learning Factory</t>
  </si>
  <si>
    <t>#Unternehmenssimulation #KVP #KAIZEN #Lean #Wertstromdesing #Planspiel #Visuelles #Management #SixSigma #Leadership #ChangeManagement #KATA</t>
  </si>
  <si>
    <t>LeanKnowledge: RT changetokaizen: #ShopfloorManagement #Industrie40 #LeanTools sind u.a. die Themen auf dem #ctk20… https://t.co/SQJ93pzLJ8</t>
  </si>
  <si>
    <t>Julien Ramaugé</t>
  </si>
  <si>
    <t>Dép.: 77,94,29</t>
  </si>
  <si>
    <t>#documentaliste #SEO #i4Emploi NGDHS Bac. S MIAS EBD LEM - Ministères Sénat LINEXIO ADDACTIS FOURPOINTS *** Pacem in Terris ***</t>
  </si>
  <si>
    <t>Karin Sebelin</t>
  </si>
  <si>
    <t>RT @Magaziniker: Ist #Industrie40 nur wichtig für die "Großen"? https://t.co/J6Fr28Ctf5</t>
  </si>
  <si>
    <t>Friolzheim (Germany)</t>
  </si>
  <si>
    <t>Author of #TRUST... the only kind of influence ...| Editor | #Journalist | (Featured) Contributor | #Coach f.Writers + Entrepreneurs | THE BUSINESS BOARDROOM</t>
  </si>
  <si>
    <t>Tweet Jukebox</t>
  </si>
  <si>
    <t>@TRUMPFinc as winner of #Industrie40 category at #Innovationspreis der deutschen Wirtschaft. Congratulations! https://t.co/ChklMBlFdk</t>
  </si>
  <si>
    <t>RT @hydrogeniousTEC: @TRUMPFinc as winner of #Industrie40 category at #Innovationspreis der deutschen Wirtschaft. Congratulations! https://…</t>
  </si>
  <si>
    <t>Keynote: „Quod Vadis Chemieindustrie 2035 – Digitalisierung und Chemie 4.0“! https://t.co/xIS9oFHHy7 #Industrie40 #Azure</t>
  </si>
  <si>
    <t>Clemens Link</t>
  </si>
  <si>
    <t>#openSAP Enterprise #MOOCs • dad of 3 amazing kids • with #SAP for 15+ years in various roles • views are my own</t>
  </si>
  <si>
    <t>Andreas Lenz</t>
  </si>
  <si>
    <t>RT @nicoladecarne: Why Everyone Must Get Ready For The 4th Industrial Revolution https://t.co/CrdUuNS6VF #IIoT #Industrie40</t>
  </si>
  <si>
    <t>Stuttgart area, Deutschland</t>
  </si>
  <si>
    <t>Digital Marketing believer. Photography enthusiast. Badminton improver. https://t.co/fWHMwtMsbI</t>
  </si>
  <si>
    <t>IPI SUP</t>
  </si>
  <si>
    <t>907Mds/an = montant que l’industrie mondiale investira dans sa transformation digitale #Industrie40 @LUsineDigitale https://t.co/VB2uvmByhL</t>
  </si>
  <si>
    <t>Albi 81000</t>
  </si>
  <si>
    <t>Enseignement #supérieur #alternance Managers industriels. Réseau de 3 écoles : #Albi, #Châlons-en-Champagne #LeMans - #industrie #management #lean #supplychain</t>
  </si>
  <si>
    <t>In der kommenden Woche sind unsere Themen unter anderem #Industrie40, #VWGate, #MES, #Prozessvisualisierung. https://t.co/ADlNthrmKt</t>
  </si>
  <si>
    <t>In der kommenden Woche sind unsere Themen unter anderem #Industrie40, #VWGate, #MES, #Prozessvisualisierung. https://t.co/pnPE0EI0Jk</t>
  </si>
  <si>
    <t>In der kommenden Woche sind unsere Themen unter anderem #Industrie40, #VWGate, #MES, #Prozessvisualisierung. https://t.co/BXlD7QJy8z</t>
  </si>
  <si>
    <t>Linkis.com</t>
  </si>
  <si>
    <t>LeanKnowledge: In der kommenden Woche sind unsere Themen unter anderem #Industrie40, #VWGate, #MES, #Prozessvisual… https://t.co/jZlGE7XfEE</t>
  </si>
  <si>
    <t>RT @Lean_john: LeanKnowledge: In der kommenden Woche sind unsere Themen unter anderem #Industrie40, #VWGate, #MES, #Prozessvisual… https://…</t>
  </si>
  <si>
    <t>RT @_lfactory: In der kommenden Woche sind unsere Themen unter anderem #Industrie40, #VWGate, #MES, #Prozessvisualisierung. https://t.co/BX…</t>
  </si>
  <si>
    <t>RT @LeanKnowledge: In der kommenden Woche sind unsere Themen unter anderem #Industrie40, #VWGate, #MES, #Prozessvisualisierung. https://t.c…</t>
  </si>
  <si>
    <t>Thomas Michl</t>
  </si>
  <si>
    <t>RT @changetokaizen: In der kommenden Woche sind unsere Themen unter anderem #Industrie40, #VWGate, #MES, #Prozessvisualisierung. https://t.…</t>
  </si>
  <si>
    <t>Weinsberg, Germany</t>
  </si>
  <si>
    <t>Projektmanagement | Agile | Lean | Selbstorganisation | Kommunalpolitik | Diplom-Verwaltungswissenschaftler | MBA | Europäer | Irland-Fan</t>
  </si>
  <si>
    <t>Mathew Blanchfield</t>
  </si>
  <si>
    <t>Albuquerque, NM</t>
  </si>
  <si>
    <t>#Progressive Firefighter Lt. and Businessman. #SEO #SocialMedia #ContentMarketing #WebDesign #Politics #CurrentEvents #Health #Fitness</t>
  </si>
  <si>
    <t>La révolution robotique grand public dans le matin dimanche https://t.co/32z9sJLEYr @bepogchBepog #robotics #industrie40</t>
  </si>
  <si>
    <t>RT @kommoptimierer: #Whitepaper #Industrie40 #IoT im Vertrieb: Ziehen Sie den Preisregler endlich hoch! https://t.co/RUyezKRP5S</t>
  </si>
  <si>
    <t>#Impressionen zur 1. #Thüringer #ITLeistungsschau #2016. #ITnetzwerk #Industrie40 #throwback https://t.co/IxDeppq5J8 https://t.co/OMChdfD0bb</t>
  </si>
  <si>
    <t>Was Euch beim #ctk2016 erwartet? Hier eine Zusammenfassung #Industrie40 #ShopfloorManagement #Lean #LeanTools https://t.co/O5RVG1Ji3h</t>
  </si>
  <si>
    <t>LeanGame</t>
  </si>
  <si>
    <t>RT @LeanKnowledge: Was Euch beim #ctk2016 erwartet? Hier eine Zusammenfassung #Industrie40 #ShopfloorManagement #Lean #LeanTools https://t.…</t>
  </si>
  <si>
    <t>Heddesheim, Baden-Württemberg</t>
  </si>
  <si>
    <t>#LEAN #LeanGame #LeanBoardGame #leancardgame #leanmanagement</t>
  </si>
  <si>
    <t>LeanKnowledge: Was Euch beim #ctk2016 erwartet? Hier eine Zusammenfassung #Industrie40 #ShopfloorManagement #Lean … https://t.co/YvEjwIuvXm</t>
  </si>
  <si>
    <t>RT @Lean_john: LeanKnowledge: Was Euch beim #ctk2016 erwartet? Hier eine Zusammenfassung #Industrie40 #ShopfloorManagement #Lean … https://…</t>
  </si>
  <si>
    <t>Se Ronny</t>
  </si>
  <si>
    <t>RT @ITnet_TH: #Impressionen zur 1. #Thüringer #ITLeistungsschau #2016. #ITnetzwerk #Industrie40 #throwback https://t.co/IxDeppq5J8 https://…</t>
  </si>
  <si>
    <t>Jeff Connolly</t>
  </si>
  <si>
    <t>RT @siemens_press: Quote: @Siemens CTO Russwurm at @GermanyinUSA #HM16 event on #Industrie40. US References at https://t.co/ydYC3AJEpw http…</t>
  </si>
  <si>
    <t>Melbourne</t>
  </si>
  <si>
    <t>Chairman and CEO of Siemens Australia and New Zealand. Passionate about the future of electrification, automation, and digitalisation. Retweet ≠ endorsement.</t>
  </si>
  <si>
    <t>Piotr Drąg</t>
  </si>
  <si>
    <t>RT @ackermanemil: #Industrie40 and #IIoT refine meaningful information by @QuvaOy on @LinkedIn https://t.co/A1KYUUnxNK @finprory #hannoverm…</t>
  </si>
  <si>
    <t>Wrocław, Dolnośląskie</t>
  </si>
  <si>
    <t>Business development specialist @Pro4People, a software solutions provider for #IoT, #biotech. Heavy metal fan, love mountains and Eastern Europe</t>
  </si>
  <si>
    <t>#digitalisierung ohne Daten bleibt auch die beste Cloud leer. #IoT #Industrie40 #m2m https://t.co/AXdAstWvyt @verlinked</t>
  </si>
  <si>
    <t>#Industrie40 meistern mit #Automatisierung =&gt; JUMO auf der #hm16: Halle 11, C28 https://t.co/LV95NFnloT @jumo_net</t>
  </si>
  <si>
    <t>RT @verlinked: #digitalisierung ohne Daten bleibt auch die beste Cloud leer. #IoT #Industrie40 #m2m https://t.co/AXdAstWvyt @verlinked</t>
  </si>
  <si>
    <t>jhoss movies</t>
  </si>
  <si>
    <t>Pirates of the Caribbean: The Curse of the Black Pearl https://t.co/E2VcNsrzTj @frogsaredicks #industrie40 #myFirstTweet</t>
  </si>
  <si>
    <t>twittbot.net</t>
  </si>
  <si>
    <t>RT @induux_de: #Industrie40 meistern mit #Automatisierung =&gt; JUMO auf der #hm16: Halle 11, C28 https://t.co/LV95NFnloT @jumo_net</t>
  </si>
  <si>
    <t>RT @LeasingVerband: Spannende #Ingenieursgeschichte #Industrie40 https://t.co/RjjwKqnaEk</t>
  </si>
  <si>
    <t>Firmenchef Dirk Schwichtenberg freut sich über die neuen Produktionsmöglichkeiten. Die Stimmungsl... https://t.co/qluK5y6jwD #Industrie40</t>
  </si>
  <si>
    <t>Die Regentschaft der Roboter. Geht der Mensch den Weg der Pferde? https://t.co/xUSjxoc8I7 @weserkurier #Industrie40 #arbeiten40</t>
  </si>
  <si>
    <t>RT @Apandia: Die Regentschaft der Roboter. Geht der Mensch den Weg der Pferde? https://t.co/xUSjxoc8I7 @weserkurier #Industrie40 #arbeiten40</t>
  </si>
  <si>
    <t>RT @H_IT_D: Firmenchef Dirk Schwichtenberg freut sich über die neuen Produktionsmöglichkeiten. Die Stimmungsl... https://t.co/qluK5y6jwD #I…</t>
  </si>
  <si>
    <t>Marta  Balan</t>
  </si>
  <si>
    <t>RT @EEIPEnMg: Hydropower Industry: How to improve daily plant management? https://t.co/ZQ3oAdzT73 @Cassantec #HM16 #industrie40 https://t.c…</t>
  </si>
  <si>
    <t>Victoria, Australia</t>
  </si>
  <si>
    <t>Eco-Harmony-Values-Culture Activist, Spiritual Counsellor https://t.co/2FjDyKLxCg http://t.co/bvzCMRIhKr https://t.co/84LWtuxUxL</t>
  </si>
  <si>
    <t>Bei #Industrie40 spielen Daten eine Schlüsselrolle. #IoT #cloudcomputing #m2m #Digitalisierung https://t.co/OzdBBlFypc @verlinked</t>
  </si>
  <si>
    <t>(PresseBox) - Anlässlich des 25-jährigen Jubiläums des deutsch-polnischen Nachbarschaftsvertrages... https://t.co/Ph5R1Lvblr #Industrie40</t>
  </si>
  <si>
    <t>Martin</t>
  </si>
  <si>
    <t>Lyon, Rhône-Alpes</t>
  </si>
  <si>
    <t>Contrôleur de gestion @AldesOfficiel / #BigData #Digital #Management #Finance #BI #bonheurautravail #Contrôledegestion #objetsconnectés #ERP #BZH</t>
  </si>
  <si>
    <t>RT @H_IT_D: (PresseBox) - Anlässlich des 25-jährigen Jubiläums des deutsch-polnischen Nachbarschaftsvertrages... https://t.co/Ph5R1Lvblr #I…</t>
  </si>
  <si>
    <t>RT @verlinked: Bei #Industrie40 spielen Daten eine Schlüsselrolle. #IoT #cloudcomputing #m2m #Digitalisierung https://t.co/OzdBBlFypc @verl…</t>
  </si>
  <si>
    <t>JUMO</t>
  </si>
  <si>
    <t>Twitter for Windows</t>
  </si>
  <si>
    <t>Hessen, Deutschland</t>
  </si>
  <si>
    <t>JUMO is one of the leading manufacturers in the field of industrial sensor and automation technology.</t>
  </si>
  <si>
    <t>Mario Trapp</t>
  </si>
  <si>
    <t>Mal wieder auf dem Weg in die Hauptstadt. Diesmal allerdings die japanische. Vortrag zu #industrie40 in Tokyo. https://t.co/IzJasE7f5U</t>
  </si>
  <si>
    <t>Division Manager Embedded Systems at Fraunhofer IESE in Kaiserslautern. Program Manager Smart Rural Areas.</t>
  </si>
  <si>
    <t>Björn Siebert</t>
  </si>
  <si>
    <t>Umfrage zeigt geringes Verständnis der Bevölkerung bzgl #Digitalisierung und #Industrie40. Zeit für Chancendebatte https://t.co/0R4gqx3PA9</t>
  </si>
  <si>
    <t>all views are private - Political Scientist with an interest in public affairs, technology, sports, food and fashion.</t>
  </si>
  <si>
    <t>Christian W. Röhl</t>
  </si>
  <si>
    <t>#Digitalisierung, #Industrie40, #Nullzins: Egal, ob's uns gefällt – Realität akzeptieren und Chancen draus ableiten! https://t.co/b9Hlqa6bZB</t>
  </si>
  <si>
    <t>Citoyen | Investor | Unternehmer | Buchautor | Keynote Speaker | Dividendenkassierer</t>
  </si>
  <si>
    <t>RT @b_spokeB: Umfrage zeigt geringes Verständnis der Bevölkerung bzgl #Digitalisierung und #Industrie40. Zeit für Chancendebatte https://…</t>
  </si>
  <si>
    <t>Sagen wir doch schon länger: Warum #Industrie40 professionelles Marketing braucht https://t.co/CdoC1zl2hd https://t.co/c83aNBwhob</t>
  </si>
  <si>
    <t>RT @Mario_Trapp: Mal wieder auf dem Weg in die Hauptstadt. Diesmal allerdings die japanische. Vortrag zu #industrie40 in Tokyo. https://t.c…</t>
  </si>
  <si>
    <t>RT @conosco: Sagen wir doch schon länger: Warum #Industrie40 professionelles Marketing braucht https://t.co/CdoC1zl2hd https://t.co/c83aNBw…</t>
  </si>
  <si>
    <t>#Industrie40 - Welche #rechtlichen Rahmenbedingungen gelten, wenn Maschinen miteinander kommunizieren? #MOOC40 https://t.co/XNuMoSddjW</t>
  </si>
  <si>
    <t>Lenze France</t>
  </si>
  <si>
    <t>Le « robot assistant » au service de l’ #usinedufutur https://t.co/ALXHZQC1z3 #industrie40 https://t.co/PAya2WBgYT</t>
  </si>
  <si>
    <t>#Automatisation industrielle centrée sur le mouvement #Emballage #Agroalimentaire #Intralogistique #Automobile #Industrie #IndustrieDuFutur #Industrie40</t>
  </si>
  <si>
    <t>"IIoT Retrofit Kit for Legacy #Manufacturing" https://t.co/NxdkvBtbRq #technology #internetofthings #M2M #IoT #IIoT #Industrie40</t>
  </si>
  <si>
    <t>(pressebox) Berlin, 17.04.2016 - Anlässlich des 25-jährigen Jubiläums des deutsch-polnischen Nach... https://t.co/MC2g7DGmjh #Industrie40</t>
  </si>
  <si>
    <t>Digital Period</t>
  </si>
  <si>
    <t>RT @bamitav: "IIoT Retrofit Kit for Legacy #Manufacturing" https://t.co/NxdkvBtbRq #technology #internetofthings #M2M #IoT #IIoT #Industrie…</t>
  </si>
  <si>
    <t>TweetAppie</t>
  </si>
  <si>
    <t>Our team focus on technology news and articles.We always love to write about any exciting topic we come across.We take care of our subscribers.</t>
  </si>
  <si>
    <t>Gerald Swarat</t>
  </si>
  <si>
    <t>Persönlicher Account von Gerald Swarat aka @SmartRuralAreas des Fraunhofer IESE u. CoLab-Leiter für #DigitaleRegion #SmartCountry</t>
  </si>
  <si>
    <t>SmartRuralAreas</t>
  </si>
  <si>
    <t>Gerald Swarat aus Berlin für's Fraunhofer IESE (Methoden und Prozesse für industrielle Software- u. Systementwicklung)</t>
  </si>
  <si>
    <t>Ernst</t>
  </si>
  <si>
    <t>gerade mitgelesen. Da fliegt einer nach Tokio - dann Vortraghaltend zu #industrie40 #kopftisch usw.</t>
  </si>
  <si>
    <t>NEIN ich habe keine Kundenkarte.</t>
  </si>
  <si>
    <t>Matthias Bauer</t>
  </si>
  <si>
    <t>RT @openHPI: #Industrie40 - Welche #rechtlichen Rahmenbedingungen gelten, wenn Maschinen miteinander kommunizieren? #MOOC40 https://t.co/XN…</t>
  </si>
  <si>
    <t>Senior Solutions Engineer @ #Alfresco, Evangelist, Business Developer ...... a good deal more, Views are my own</t>
  </si>
  <si>
    <t>RT @culturbureau: gerade mitgelesen. Da fliegt einer nach Tokio - dann Vortraghaltend zu #industrie40 #kopftisch usw.</t>
  </si>
  <si>
    <t>RT @kommoptimierer: #VDMA Vortrag "Wie Sie mit dem #IoT &amp; der #Industrie40 Ihren #Vertrieb unschlagbar machen!" https://t.co/W6BzoNczSh</t>
  </si>
  <si>
    <t>Daniel Bräuer</t>
  </si>
  <si>
    <t>Dachte mir beim Hashtag für Industrie 4.0 #industrie40 gerade: "wow, hab ich 33 Versionen verpasst?!"</t>
  </si>
  <si>
    <t>Entrepreneural, off to new (ad)ventures - interessiert &amp; neugierig - Publishing @astikosVerlag - eBooks für Bibliotheken @OverDriveLibs</t>
  </si>
  <si>
    <t>Holger Spielberg</t>
  </si>
  <si>
    <t>#deutsche misstrauen #digitalisierung und #industrie40. #politik und #medien müssen #kompetenzen + #chancen stärken https://t.co/MeH33pQzUV</t>
  </si>
  <si>
    <t>Zürich, Berlin, Cologne</t>
  </si>
  <si>
    <t>#innovation, #transformation, #disruption, #leadership, #change, #buildingbusiness, #growth, #digitalization, #fintech, #ventures, #enduro, #motocross</t>
  </si>
  <si>
    <t>RT @SpielbergHolger: #deutsche misstrauen #digitalisierung und #industrie40. #politik und #medien müssen #kompetenzen + #chancen stärken ht…</t>
  </si>
  <si>
    <t>RT @_DanielB: Dachte mir beim Hashtag für Industrie 4.0 #industrie40 gerade: "wow, hab ich 33 Versionen verpasst?!"</t>
  </si>
  <si>
    <t>A.P.P.I</t>
  </si>
  <si>
    <t>RT @Lenze_FR: Le « robot assistant » au service de l’ #usinedufutur https://t.co/ALXHZQC1z3 #industrie40 https://t.co/PAya2WBgYT</t>
  </si>
  <si>
    <t>Ballan-Miré, Centre</t>
  </si>
  <si>
    <t>Créateur et fabricant de solutions automatisées et robotisées clés en mains depuis 1993</t>
  </si>
  <si>
    <t>Peter Körner</t>
  </si>
  <si>
    <t>AP Guha</t>
  </si>
  <si>
    <t>Company to watch&gt; @weareKONUX #iiot #sensors #IndustrialInternet #Industrie40 @NEAVC #startups https://t.co/3aE4Mn1oLO</t>
  </si>
  <si>
    <t>Silicon Valley, CA</t>
  </si>
  <si>
    <t>Enterprise SW Leader, focused on #digitaltransformation. Passionate about #Startups &amp; Tech Investing</t>
  </si>
  <si>
    <t>Anne-Ch Fredenucci</t>
  </si>
  <si>
    <t>Hermle 17001: 1,5 Tonnen in einer Aufspannung in fünf Achsen fräsen und drehen. Bei der Integrati... https://t.co/xF9yH4pinw #Industrie40</t>
  </si>
  <si>
    <t>RT @H_IT_D: Hermle 17001: 1,5 Tonnen in einer Aufspannung in fünf Achsen fräsen und drehen. Bei der Integrati... https://t.co/xF9yH4pinw #I…</t>
  </si>
  <si>
    <t>@KronesAG Frage: Zeigt #Krones Flagge in Uni-Hörsälen bei jungen #Talenten zum Thema #Industrie40 oder #IoT? Richtung #Maschinenbau #BWL?</t>
  </si>
  <si>
    <t>@SiemensPLM_DE Frage: Zeigt #Siemens Flagge in Uni-Hörsälen bei jungen #Talenten zum Thema #Industrie40 oder #IoT? #Maschinenbau #BWL?</t>
  </si>
  <si>
    <t>@GE_Deutschland Frage: Zeigt #GE Flagge in Uni-Hörsälen bei jungen #Talenten zum Thema #Industrie40 oder #IoT? Richtung #Maschinenbau #BWL?</t>
  </si>
  <si>
    <t>Bernhard Falkner: „Industrie 4.0 ist nie gleich“ https://t.co/quXdBBkV5l #Industrie40 #MES https://t.co/dDcyvp7U1I</t>
  </si>
  <si>
    <t>RT @kommoptimierer: @GE_Deutschland Frage: Zeigt #GE Flagge in Uni-Hörsälen bei jungen #Talenten zum Thema #Industrie40 oder #IoT? Richtung…</t>
  </si>
  <si>
    <t>Daten-Plattform für 3D-Konstruktion: Mit #Industrie40 ins Feld https://t.co/ABjohpJB4c @3DSGermany https://t.co/LwCwC9JPxl</t>
  </si>
  <si>
    <t>Hannover Messe: @SEWEURODRIVE zeigt #Antriebe für #Industrie40 https://t.co/NizqCGd0ez #Industriegetriebe https://t.co/IlXVe1mINu</t>
  </si>
  <si>
    <t>RT @ScopeOnline: Hannover Messe: @SEWEURODRIVE zeigt #Antriebe für #Industrie40 https://t.co/NizqCGd0ez #Industriegetriebe https://t.co/IlX…</t>
  </si>
  <si>
    <t>RT @ScopeOnline: Daten-Plattform für 3D-Konstruktion: Mit #Industrie40 ins Feld https://t.co/ABjohpJB4c @3DSGermany https://t.co/LwCwC9JPxl</t>
  </si>
  <si>
    <t>Hajo Stotz: Politische Messe https://t.co/2nkWErsESx #Industrie40 „Integrated Industry – Join the Network!“ https://t.co/DOaUf9OVzV</t>
  </si>
  <si>
    <t>Wie eine #Spielekonsole zum Geheimtipp für die #Industrie40 wird https://t.co/cJIA17H9NU #Mittelstand #BadenWürttemberg @Schnaithmann</t>
  </si>
  <si>
    <t>Dassault Systèmes DE</t>
  </si>
  <si>
    <t>Hier twittert Dassault Systèmes (#3DS) Deutschland über #Technik, #Innovationen und #3D. Impressum: http://t.co/W3ffW2zpB7</t>
  </si>
  <si>
    <t>Treffen Sie UL bei Hannover Messe 2016, und lernen sie wie wir #Industrie40 unterstützen: https://t.co/kfDbTXPQnU https://t.co/XkyQ4X5AxK</t>
  </si>
  <si>
    <t>Treffen Sie UL bei Hannover Messe 2016, und lernen sie wie wir #Industrie40 unterstützen: https://t.co/0ImJ8pbFry https://t.co/Vw5mzjY5KL</t>
  </si>
  <si>
    <t>Redaktion handling</t>
  </si>
  <si>
    <t>Darmstadt, Germany</t>
  </si>
  <si>
    <t>Magazin für #Handhabungstechnik, #Automatisierung und #Intralogistik. #Identtechnik #Lineartechnik #Roboter #Montage #Antriebstechnik https://t.co/nTr7ohHOL2</t>
  </si>
  <si>
    <t>3DSignals</t>
  </si>
  <si>
    <t>@TMFNewsie On to something in @TheMotleyFool, but left out #iiot/#Industrie40 which alone measures up in market size https://t.co/bsh1qfIlmP</t>
  </si>
  <si>
    <t>Israel</t>
  </si>
  <si>
    <t>3DSignals is an #iiot #predictivemaintenance technology to prevent unexpected machine failure with acoustic sensors using #deeplearning algorithms</t>
  </si>
  <si>
    <t>BISG e.V.</t>
  </si>
  <si>
    <t>Guten Morgen an alle Follower! @Bitkom #Industrie40 erhöht die Jobchancen für qualifizierte Arbeitskräfte https://t.co/1FvURdEL0E</t>
  </si>
  <si>
    <t>Ladenburg, Baden-Württemberg</t>
  </si>
  <si>
    <t>Als 2004 gegründeter IT-Fachverband sind wir der Vermittler für Sachverständige und Gutachter in Deutschland.</t>
  </si>
  <si>
    <t>Freudenberg IT – DE</t>
  </si>
  <si>
    <t>#Vortrag: Wie bestimme ich meine individuelle #Industrie40 Roadmap? Kommen Sie vorbei! 29.4.16 | 11:30 | #HMI16 https://t.co/XTBNWewUKY</t>
  </si>
  <si>
    <t>Weinheim, Deutschland</t>
  </si>
  <si>
    <t>Aktuelles und Fachwissen zu Trendthemen rund um Industrie 4.0: Cloud Computing, Big Data, Mobility. IT Solutions. Simplified. Impressum: http://t.co/1slP2Peo9T</t>
  </si>
  <si>
    <t>artistformalyknoAss</t>
  </si>
  <si>
    <t>RT @FreudenbergITde: #Vortrag: Wie bestimme ich meine individuelle #Industrie40 Roadmap? Kommen Sie vorbei! 29.4.16 | 11:30 | #HMI16 https:…</t>
  </si>
  <si>
    <t>METHHAZEODG666 LIMITED NOT</t>
  </si>
  <si>
    <t>TÜV NORD GROUP (DE)</t>
  </si>
  <si>
    <t xml:space="preserve">Hannover, Germany </t>
  </si>
  <si>
    <t>Excellence for your Business. Hier twittert die Konzern-Kommunikation des internationalen Technologie-Dienstleisters. Impressum: https://t.co/DkWxRoeiOZ</t>
  </si>
  <si>
    <t>#Bosch für gemeinsame #Industrie40 Standards in den USA und Europa via @handelsblatt https://t.co/9cYKZat9Sh</t>
  </si>
  <si>
    <t>"Bosch für gemeinsame Standards in den USA und Europa" https://t.co/2M8HDDRpLh #HDS #HDSRebell #Industrie40</t>
  </si>
  <si>
    <t>#Industrie40 live auf der @hannover_messe #HM16 https://t.co/faxnhJj1Ov https://t.co/GWMgAYriOM</t>
  </si>
  <si>
    <t>mbesch</t>
  </si>
  <si>
    <t>Allensbach-Umfrage: #Industrie40 und #Digitalisierung bei Deutschen negativ besetzt https://t.co/AdX57Qyslq via @HolgerSchmidt</t>
  </si>
  <si>
    <t>Stuttgart (Germany)</t>
  </si>
  <si>
    <t>CEO of IT Advantage AG and SMI SocialMedia Institute. IT Advantage is a leading Business-Development-agency for HighTech-Industries. SMI develops Social Media.</t>
  </si>
  <si>
    <t>RT @mbesch: Allensbach-Umfrage: #Industrie40 und #Digitalisierung bei Deutschen negativ besetzt https://t.co/AdX57Qyslq via @HolgerSchmidt</t>
  </si>
  <si>
    <t>RT @VDMAonline: #Industrie40 live auf der @hannover_messe #HM16 https://t.co/faxnhJj1Ov https://t.co/GWMgAYriOM</t>
  </si>
  <si>
    <t>RT @HDSintGroup: "Bosch für gemeinsame Standards in den USA und Europa" https://t.co/2M8HDDRpLh #HDS #HDSRebell #Industrie40</t>
  </si>
  <si>
    <t>SICK Karriere</t>
  </si>
  <si>
    <t>Waldkirch / Deutschland</t>
  </si>
  <si>
    <t>Hier twittert das SICK Karriere-Team über offene Stellen, den Einstieg &amp; die Karriere bei SICK. || Impressum: http://t.co/nIdfyrg2lC</t>
  </si>
  <si>
    <t>OXID eSales AG</t>
  </si>
  <si>
    <t>Update zur #OXID Commons #digitaletransformation #industrie40 https://t.co/oxrCT1GWFu</t>
  </si>
  <si>
    <t>Freiburg, Germany</t>
  </si>
  <si>
    <t>We create OXID platform, the ultimate Open Source PHP ecommerce system</t>
  </si>
  <si>
    <t>RT @MarioReinsch: #Bosch für gemeinsame #Industrie40 Standards in den USA und Europa via @handelsblatt https://t.co/9cYKZat9Sh</t>
  </si>
  <si>
    <t>nextDBI</t>
  </si>
  <si>
    <t>Allensbach-Umfrage: #Industrie40 und #Digitalisierung bei Deutschen negativ besetzt https://t.co/bNJ5D6fnha via @HolgerSchmidt</t>
  </si>
  <si>
    <t>Next Digital Business Institute</t>
  </si>
  <si>
    <t>Automatischen Identifikation und industrielle Automation gehen Hand in Hand Die Kooperation von A... https://t.co/4YIlnrHGfN #Industrie40</t>
  </si>
  <si>
    <t>5 Hindernisse für Industrie 4.0 https://t.co/fjiIBYvV2a #industrie40 #i40</t>
  </si>
  <si>
    <t>Alles ist vernetzt Fachkonferenz an der ISM zur #Industrie40 via https://t.co/O713692xjg #MeinGeld #Anlegermagazin</t>
  </si>
  <si>
    <t>blue herring</t>
  </si>
  <si>
    <t>Digital strategy | Marketing communications | interim marketing management | special marketing projects | Impressum: http://t.co/uXsAPQV3GF</t>
  </si>
  <si>
    <t>Angela Josephs</t>
  </si>
  <si>
    <t>#Industrie40 bei #PhoenixContact live zu sehen auf #hm16 https://t.co/q4DIwuomU6</t>
  </si>
  <si>
    <t>Dies ist der offizielle Account von Angela Josephs – #Pressesprecherin von #PhoenixContact.</t>
  </si>
  <si>
    <t>RT @Angela_Josephs: #Industrie40 bei #PhoenixContact live zu sehen auf #hm16 https://t.co/q4DIwuomU6</t>
  </si>
  <si>
    <t>Nur 42 % finden Begriff #Digitalisierung und nur 19 % den Begriff #industrie40 "sympathisch" - Interessante Wortwahl https://t.co/6TfXeBdJBR</t>
  </si>
  <si>
    <t>wirtschaftsförderung</t>
  </si>
  <si>
    <t>Fachkonferenz: Wie werden #Potenziale der #industrie40 in #Deutschland genutzt? Beitrag der wmr vor @ism-Studenten: https://t.co/e9PI4Ktj9j</t>
  </si>
  <si>
    <t>Die Wirtschaftsförderung metropoleruhr entwickelt und vermarktet den Standort #Ruhrgebiet. Es twittert Dominik Bartz (^db)</t>
  </si>
  <si>
    <t>Individuelle Armaturenbretter &amp; Lüftungsschlitze. Wau! Was bietet #Industrie40 den Nachkommen von #GenerationZ ? https://t.co/hYl4Nyf4jM</t>
  </si>
  <si>
    <t>Nicolas</t>
  </si>
  <si>
    <t>Boulogne-Billancourt, France</t>
  </si>
  <si>
    <t>#ingénieur #innovation #3D #recrutement #Vinci #RenaultManager</t>
  </si>
  <si>
    <t>#Industrie40 @reanvent Erfolg von #SmartServices weil Daten verknappen nicht bei Verwendung https://t.co/x3xRtoda0h https://t.co/0YPz0a58hD</t>
  </si>
  <si>
    <t>IoTClan</t>
  </si>
  <si>
    <t>Keynote: @DFKI Prof Wolfgang Wahlster takes us beyond #Industrie40 @ Industry of Things World in #Berlin #IoTClan https://t.co/tOyzCFe38q</t>
  </si>
  <si>
    <t>San Diego,CA / Berlin,Germany</t>
  </si>
  <si>
    <t>All things #IoT, #industrialinternet, #industrie40 #advancedmanufacturing #IIoT #Berlin #SanDiego. We love networking, exchanging ideas and being nerdy #IoTClan</t>
  </si>
  <si>
    <t>RT @Frank_Reinelt: #Industrie40 @reanvent Erfolg von #SmartServices weil Daten verknappen nicht bei Verwendung https://t.co/x3xRtoda0h http…</t>
  </si>
  <si>
    <t>reanvent</t>
  </si>
  <si>
    <t>Echofon</t>
  </si>
  <si>
    <t>with A Passion For Making The Complex Simple and User Centric.</t>
  </si>
  <si>
    <t>IronShark GmbH</t>
  </si>
  <si>
    <t>Jena, Germany</t>
  </si>
  <si>
    <t>Providing solutions for e-commerce, app development, social media, seo &amp; sem and cgi/multimedia since 2002. Residing in Jena. Lösungen, die Spaß machen!</t>
  </si>
  <si>
    <t>Leader LRMP</t>
  </si>
  <si>
    <t>Le « robot assistant » au service de l’#usinedufutur https://t.co/xqQZZxs0yu in @lesEchos #industrie40 #robot https://t.co/ctKIuOk3ZJ</t>
  </si>
  <si>
    <t>Montpellier</t>
  </si>
  <si>
    <t>Association des entreprises en croissance maitrisée de la Région Languedoc Roussillon Midi Pyrénées présidée par @JBenabdillah. Partageons nos réussites.</t>
  </si>
  <si>
    <t>SEW-EURODRIVE</t>
  </si>
  <si>
    <t>Impresssum</t>
  </si>
  <si>
    <t>The official Twitter feed of SEW-EURODRIVE. All Tweets by @AndreHD20 unless otherwise noted.</t>
  </si>
  <si>
    <t>Alexander Sattler</t>
  </si>
  <si>
    <t>#Industrie 4.0 bei #Bürgern negativ besetzt https://t.co/BnsW8pOtxO via @wiwo #digitalisierung #industrie40</t>
  </si>
  <si>
    <t>Ich recherchiere täglich zu den Themen: Startups / Digitale Transformation / Digitalisierung / Disruption / digitale Geschäftsmodelle: http://t.co/9PLFqpYGg0</t>
  </si>
  <si>
    <t>Um Interessierten einen Einblick in den Alltag einer Unternehmensberatung zu bieten, veranstaltet... https://t.co/iefkp0gtlM #Industrie40</t>
  </si>
  <si>
    <t>SASdmexco</t>
  </si>
  <si>
    <t>#industrie40 https://t.co/kuGk3ihh2u</t>
  </si>
  <si>
    <t>Folgen Sie unseren Experten zur digitalen Transformation #SASdmexco SAS The Power to Know · Big Data Analytics · Business Intelligence</t>
  </si>
  <si>
    <t>Uwe Kubach</t>
  </si>
  <si>
    <t>Maschinendaten in Echtzeit auswerten: So geht Industrie 4.0: https://t.co/Ho2ODdW42Z #Industrie40 #IoT #hm16 @SAP_IoT</t>
  </si>
  <si>
    <t>CPC</t>
  </si>
  <si>
    <t>Visit us at the Hannover Messe French pavillon - 25th to 29th april 2016. #BigData #industrie40 Kudos @guillaumelil! https://t.co/uVZ7o5AkFY</t>
  </si>
  <si>
    <t>Our mission is to provide relevant analysis and advice to key decision makers from the public and private sector by using our own state-of the art technology.</t>
  </si>
  <si>
    <t>Discover the most exciting #Industrie40 scenarios. Visit #SAP and partners at #HM16: https://t.co/8G9XxH7CzM #IoT @SAP_IoT</t>
  </si>
  <si>
    <t>Allensbach-Umfrage via @wiwo: Begriffe #Digitalisierung (42%) u. #Industrie40 (19%) bei Deutschen nicht sehr beliebt https://t.co/oOQKWFSiyE</t>
  </si>
  <si>
    <t>Adrian Weiler</t>
  </si>
  <si>
    <t>#Industrie40 bietet Chancen für Fachkräfte und gering qualifiziertes Personal https://t.co/Kv2crfPP6A @Bitkom #HR</t>
  </si>
  <si>
    <t>CEO @inform_software, twittert über Agile Managementkonzepte, Advanced Optimization, Vernetzung und Big Data</t>
  </si>
  <si>
    <t>Big Data Tweet</t>
  </si>
  <si>
    <t>RT @cpcEU: Visit us at the Hannover Messe French pavillon - 25th to 29th april 2016. #BigData #industrie40 Kudos @guillaumelil! https://t.c…</t>
  </si>
  <si>
    <t>BigDataTweetBot</t>
  </si>
  <si>
    <t>I retweet #bigdata follow to get a feed of all that is tweeted about this subject. createdby @magicrat_larry</t>
  </si>
  <si>
    <t>RT @AdrianWeiler: #Industrie40 bietet Chancen für Fachkräfte und gering qualifiziertes Personal https://t.co/Kv2crfPP6A @Bitkom #HR</t>
  </si>
  <si>
    <t>Key-ring with built-in smart chip will be manufactured in front of your eyes. At #SAP stand at #HM16: https://t.co/15Tz89TnGT #Industrie40</t>
  </si>
  <si>
    <t>RT @markherten: Allensbach-Umfrage via @wiwo: Begriffe #Digitalisierung (42%) u. #Industrie40 (19%) bei Deutschen nicht sehr beliebt https:…</t>
  </si>
  <si>
    <t>acatech</t>
  </si>
  <si>
    <t>Absolute Sicherheit in vernetzen Systemen nicht machbar, #acatech Präsident Kagermann über Sicherheit &amp; #Industrie40 https://t.co/O9llBopXgW</t>
  </si>
  <si>
    <t>München, Berlin, Brüssel</t>
  </si>
  <si>
    <t>Die Deutsche Akademie der Technikwissenschaften fördert den wissenschaftsbasierten Dialog über technologiebezogene Zukunftsfragen &amp; erstellt Handlungsentwürfe.</t>
  </si>
  <si>
    <t>ingenieur.de</t>
  </si>
  <si>
    <t>Bleiben Sie informiert mit unserem Special zu #hm16! https://t.co/cpVm85TD3L @hannover_messe #industrie40 https://t.co/Ngkd76lIqH</t>
  </si>
  <si>
    <t>Das Nachrichtenportal für Technikfans. Impressum: http://t.co/JDdAki0WUs</t>
  </si>
  <si>
    <t>metaBeratung</t>
  </si>
  <si>
    <t>#Daimler organisiert Produktion neu #Digitalisierung #industrie40 via @wiwo https://t.co/k31Yq9GtoU</t>
  </si>
  <si>
    <t>Germany, Switzerland, Austria</t>
  </si>
  <si>
    <t>metaBeratung ist eine Management- und HR-Beratung in Deutschland, Österreich und der Schweiz. Wir beraten bei der Auswahl und Entwicklung von Talenten.</t>
  </si>
  <si>
    <t>#Digitalisierung, #IoT, #Industrie40 - Wann kommt endlich das professionelle #Marketing? https://t.co/lAFKZ9dYx6 https://t.co/XBKX36fyoB</t>
  </si>
  <si>
    <t>@heise #MOOC vertieft wichtige Aspekte der #Industrie40. Über 40 Referenten. #Start zur @hannover_messe: https://t.co/adDTyiUAIY #mooc40</t>
  </si>
  <si>
    <t>Andreas Kaemmer</t>
  </si>
  <si>
    <t>RT @OJaeger: Nur 42 % finden Begriff #Digitalisierung und nur 19 % den Begriff #industrie40 "sympathisch" - Interessante Wortwahl https://t…</t>
  </si>
  <si>
    <t>Gründer und Inhaber von comspace, Bielefelder, Armine, Sozialdemokrat, Radfahrer (Road + CX)</t>
  </si>
  <si>
    <t>Sylvain LEGRAND</t>
  </si>
  <si>
    <t>SAP &amp; @FestoAG montent une ligne de production #Industrie40 taille réelle au siège de #SAPfr ! https://t.co/OutxJYvTGm via @usinenouvelle</t>
  </si>
  <si>
    <t>Paris FRANCE</t>
  </si>
  <si>
    <t>Tweets are my own!</t>
  </si>
  <si>
    <t>#Gewinnertypen kommen mit #smarten #Produkten beim Hotspot #IoT #Industrie40 auf ihre Kosten! Garantiert https://t.co/X9a61sy34P</t>
  </si>
  <si>
    <t>#Industrie40 ist nicht nur ein Thema der Großindustrie #IoT #cloudcomputing #m2m #Digitalisierung @verlinked https://t.co/aZzVObDiE6</t>
  </si>
  <si>
    <t>RT @verlinked: #Industrie40 ist nicht nur ein Thema der Großindustrie #IoT #cloudcomputing #m2m #Digitalisierung @verlinked https://t.co/a…</t>
  </si>
  <si>
    <t>WibuSystems</t>
  </si>
  <si>
    <t>Product &amp; IP Protection for devices, machines and production data in #Industrie40 #HM16 https://t.co/ICjFAj4a0z https://t.co/biO0JxbfZU</t>
  </si>
  <si>
    <t>Secure software licensing for content rights and entitlement mgmt. in business technology and IoT. Imprint: http://t.co/b3Fiihr1</t>
  </si>
  <si>
    <t>Andre Jasper</t>
  </si>
  <si>
    <t>Bruchsal, Baden-Württemberg</t>
  </si>
  <si>
    <t>Social Media Manager at SEW-EURODRIVE. Tweets from this handle are my thoughts alone &amp; do not reflect the thoughts of my employer.</t>
  </si>
  <si>
    <t>#Industrie40 ein Thema in #Sachsen auf #SachsenIndustrie40, auf der #hm16 &amp; bei #Industrie40MOOC https://t.co/UQcuTrnc9e</t>
  </si>
  <si>
    <t>Twitter for Mac</t>
  </si>
  <si>
    <t>RT @HTxA: #Industrie40 ein Thema in #Sachsen auf #SachsenIndustrie40, auf der #hm16 &amp; bei #Industrie40MOOC https://t.co/UQcuTrnc9e</t>
  </si>
  <si>
    <t>#Digitalisierung: Nur die Telekom und einige Banken machen es richtig, meint @welt https://t.co/ARuUsdmk1T #IoT #Industrie40</t>
  </si>
  <si>
    <t>Industrie 4.0 #Umfrage: Wie weit sind Sie? https://t.co/w8O8NXSFfy #Industrie40 https://t.co/ixwSDox2Qf</t>
  </si>
  <si>
    <t>#Digitalisierung: In 7 Schritten fit für #Industrie40 https://t.co/eFm8FKuHzB via @COMPUTERWOCHE #IoT</t>
  </si>
  <si>
    <t>WIKON GmbH</t>
  </si>
  <si>
    <t>BHKW Monitor - Betriebsüberwachung 24/7, Alarmierungen automatisch per Mail/SMS #m2m #industrie40 #InternetOfThings https://t.co/BloeaPzWbb</t>
  </si>
  <si>
    <t>Kaiserslautern</t>
  </si>
  <si>
    <t>Mediamorfosi</t>
  </si>
  <si>
    <t>RT @WIKON_GmbH: BHKW Monitor - Betriebsüberwachung 24/7, Alarmierungen automatisch per Mail/SMS #m2m #industrie40 #InternetOfThings https:/…</t>
  </si>
  <si>
    <t>PromoBooster custom services</t>
  </si>
  <si>
    <t>Roma, Lazio</t>
  </si>
  <si>
    <t>Live dall'officina creativa</t>
  </si>
  <si>
    <t>Matthias Lechner</t>
  </si>
  <si>
    <t>Alle reden von #Digitalisierung und #Industrie40 … p&amp;p Marketing GmbH und TRENDONE holen diese Themen nach... https://t.co/8VwyiB6GlC</t>
  </si>
  <si>
    <t>Facebook</t>
  </si>
  <si>
    <t>Innsbruck</t>
  </si>
  <si>
    <t>Matthias Lechner is an Executive Creative Director and Managing Partner @ppmedien living and working in Innsbruck (Tirol, Austria).</t>
  </si>
  <si>
    <t>raum21 GmbH</t>
  </si>
  <si>
    <t>Mit dem Industrial #IoT (#IIoT) und #Industrie40 wird die Kommunikationsschnittstelle zur Schlüsselfunktion https://t.co/zF4t6ecaKb</t>
  </si>
  <si>
    <t>Lüneburg</t>
  </si>
  <si>
    <t>Internetagentur, die mittelständische und großen Unternehmen zur Digitalisierung berät und Lösungen mit TYPO3 &amp; Magento entwickelt</t>
  </si>
  <si>
    <t>Tony Thijs</t>
  </si>
  <si>
    <t>Amsterdam</t>
  </si>
  <si>
    <t>YouTube Partner: OpenMarketingTV Internet / Social Media Marketing, SEO, Photography, Video, Herding Cats, #HeForShe</t>
  </si>
  <si>
    <t>#wandel ist wenn #bestpractice versagt - #changemanagement #industrie40 https://t.co/Kwv6Yub0Rb https://t.co/x4NVTLUekm</t>
  </si>
  <si>
    <t>RT @raum21gmbh: Mit dem Industrial #IoT (#IIoT) und #Industrie40 wird die Kommunikationsschnittstelle zur Schlüsselfunktion https://t.co/zF…</t>
  </si>
  <si>
    <t>René Ziegler</t>
  </si>
  <si>
    <t>#Industrie40: #Bosch für gemeinsame Standards in den #USA und #Europa via @handelsblatt #HMI #iiot https://t.co/qEQjFVLi8C</t>
  </si>
  <si>
    <t>German and English</t>
  </si>
  <si>
    <t>Head of Media and Public Relations Robert Bosch GmbH. I tweet about global topics like #mobility #energy #connectivity #smarthome #innovation #iot #iiot</t>
  </si>
  <si>
    <t>RT @hannover_messe: Industrie 4.0 #Umfrage: Wie weit sind Sie? https://t.co/w8O8NXSFfy #Industrie40 https://t.co/ixwSDox2Qf</t>
  </si>
  <si>
    <t>Oliver Betz</t>
  </si>
  <si>
    <t>@SAP_IoT and #beckhoff show #Iot in action at #HM16 #Industrie40 https://t.co/DyiD0DuQ2N powered by @sapcustdev https://t.co/41Lg6FcFcv</t>
  </si>
  <si>
    <t>Walldorf,  Germany</t>
  </si>
  <si>
    <t>Innovation Evangelist. 15+ years with SAP in Solutions &amp; Services. My passion is for IoT &amp; Mobility, UX, VR and all the cool stuff. Views are mine - not SAP's.</t>
  </si>
  <si>
    <t>Birgit Buck</t>
  </si>
  <si>
    <t>Alles in allem zeigte das Feedback der Teilnehmer: Die Frage, wie die Arbeitswelt 2025, also in z... https://t.co/LsqeZ8I6JL #Industrie40</t>
  </si>
  <si>
    <t>Klaus Burmeister</t>
  </si>
  <si>
    <t>@doktordab @gruenderszene iCar im iBerlin, #urbaneProduktion trifft #Industrie40, wenn das nicht ein digitales Ding wäre...</t>
  </si>
  <si>
    <t>Corporate and Public Foresight, Disruption and Innovation, Future of Work, Production, Cities and Value Creation</t>
  </si>
  <si>
    <t>#Industrie40 ist nie gleich! #IoT #cloudcomputing #m2m #Digitalisierung @verlinked https://t.co/sRu1E5Nyxl</t>
  </si>
  <si>
    <t>Alles ist vernetzt Fachkonferenz an der ISM zur #Industrie40 via https://t.co/O713692xjg #MeinGeld #Anlegermagazin #Digitalisierung</t>
  </si>
  <si>
    <t>RT @MeinGeldMedien: Alles ist vernetzt Fachkonferenz an der ISM zur #Industrie40 via https://t.co/O713692xjg #MeinGeld #Anlegermagazin #Dig…</t>
  </si>
  <si>
    <t>RT @verlinked: #Industrie40 ist nie gleich! #IoT #cloudcomputing #m2m #Digitalisierung @verlinked https://t.co/sRu1E5Nyxl</t>
  </si>
  <si>
    <t>Oliver T. Hellriegel</t>
  </si>
  <si>
    <t>Müssen wir für USA und EU tatsächlich gemeinsame Standards entwickeln? https://t.co/D73sXFBrg0 #industrie40 #digital https://t.co/HpjQZMVP4n</t>
  </si>
  <si>
    <t>Digitale Transformation, Industrie 4.0, Strategie, Kommunikation, Coaching, Beratung. Hochschuldozent. Digitaler der ersten Stunde. ENGLISH: @oth11</t>
  </si>
  <si>
    <t>#Neugierige kommen mit #smarten #Produkten beim Hotspot #IoT #Industrie40 auf ihre Kosten! Garantiert https://t.co/X9a61sy34P</t>
  </si>
  <si>
    <t>PW_InCub</t>
  </si>
  <si>
    <t>Are you an #Entrepreneur in Industry 4.0? Apply to our call -&gt; https://t.co/FICH4bnG4q #Industrie40 #Industry40 #IoT #Industrialinternet</t>
  </si>
  <si>
    <t>Luxembourg</t>
  </si>
  <si>
    <t>Paul Wurth S.A. has launched an incubation programme for young innovative and technology driven companies.</t>
  </si>
  <si>
    <t>Tassilo Kubitz</t>
  </si>
  <si>
    <t>Does #Deutschland do digital? #industry40 #industrie40 #iiot #digitalisation via @TheEconomist https://t.co/qqBASLZYim</t>
  </si>
  <si>
    <t>RT @MarioReinsch: Does #Deutschland do digital? #industry40 #industrie40 #iiot #digitalisation via @TheEconomist https://t.co/qqBASLZYim</t>
  </si>
  <si>
    <t>PRX</t>
  </si>
  <si>
    <t>Drehteileverband dreht bei #Industrie40 auf via @m_und_w / Bild: @DormerPramet https://t.co/jn81GpEWXr https://t.co/L7yd4TF0mA</t>
  </si>
  <si>
    <t>Tom Wassmann</t>
  </si>
  <si>
    <t>#IEFkickoff @tj_tweets Blue Card, Einwanderung für Digitalkräfte muss einfacher werden. #Industrie40</t>
  </si>
  <si>
    <t>KM, IT, Security, Views mine, RTs not endorsements, likes are bookmarks.</t>
  </si>
  <si>
    <t>RT @twassmann: #IEFkickoff @tj_tweets Blue Card, Einwanderung für Digitalkräfte muss einfacher werden. #Industrie40</t>
  </si>
  <si>
    <t>RT @prxagentur: Drehteileverband dreht bei #Industrie40 auf via @m_und_w / Bild: @DormerPramet https://t.co/jn81GpEWXr https://t.co/L7yd4T…</t>
  </si>
  <si>
    <t>Philipp Knauf</t>
  </si>
  <si>
    <t>Interessant. #Digitalisierung #Industrie40 #transformation https://t.co/ZYzLlXZmnP</t>
  </si>
  <si>
    <t>Neu-Isenburg, Hessen</t>
  </si>
  <si>
    <t>District Manager @adp. Die Tweets sind meine eigenen.</t>
  </si>
  <si>
    <t>6.600 Besucher beim Forum #Industrie40 auf der HM2015. Knacken wir diesen Rekord auf der #HM16 ? #eZahl @VDMAonline https://t.co/HlLfHdLxEg</t>
  </si>
  <si>
    <t>Dr. Bodo Wiegand</t>
  </si>
  <si>
    <t>Deutsche Industrie: #Lean hilft auf dem Weg zu #Industrie40 https://t.co/zzH3RctwuR</t>
  </si>
  <si>
    <t>Lean Management Experte. http://t.co/S0wvVMEIgE ist der LeanBlog zu Lean Management, Lean Production und Lean Administration.</t>
  </si>
  <si>
    <t>THOREN François-Nils</t>
  </si>
  <si>
    <t>RT @ZVEIorg: 6.600 Besucher beim Forum #Industrie40 auf der HM2015. Knacken wir diesen Rekord auf der #HM16 ? #eZahl @VDMAonline https://t.…</t>
  </si>
  <si>
    <t>Historien.Editeur.Consultant.Formateur professionnel.Cabinet Conseil Camille Jullian. Pôle Germania. Fondation Louis-Philippe. Génération Helene FISCHER Fr-All.</t>
  </si>
  <si>
    <t>Julie Jouvencel</t>
  </si>
  <si>
    <t>Film production, entrepreneur. Films, TV series, media, innovation, society, history, sciences, arts and culture, feminism, sustainability, CSR, animals, ufo...</t>
  </si>
  <si>
    <t>Beitrag der @WFBBremen zum @Apandia-Projekt "Digitale Nebenkostenabrechnung". https://t.co/CygcSgbRwd #industrie40 #Digitalisierung</t>
  </si>
  <si>
    <t>Menold Bezler</t>
  </si>
  <si>
    <t>Wie man die rechtlichen Risiken bei der #Industrie40 minimieren kann, schreibt Dr. Torsten G. Lörcher auf @faznet : https://t.co/BEoXCSUmiR</t>
  </si>
  <si>
    <t>Menold Bezler Rechtsanwälte Partnerschaft mbB - Mittelstand im Mittelpunkt Impressum: http://t.co/jIy7mCvGMh</t>
  </si>
  <si>
    <t>Laurent Meister</t>
  </si>
  <si>
    <t>RT @MenoldBezler: Wie man die rechtlichen Risiken bei der #Industrie40 minimieren kann, schreibt Dr. Torsten G. Lörcher auf @faznet : https…</t>
  </si>
  <si>
    <t>Lawyer, Blawger &amp; Photo Enthusiast</t>
  </si>
  <si>
    <t>Die internationale Managementberatung MTI diskutiert mit Managern in Singapur über die Herausford... https://t.co/xDvLXstrlA #Industrie40</t>
  </si>
  <si>
    <t>Presseinfo:@Murrelektronik auf der #HannoverMesse 2016 https://t.co/8M55rzki9q #industrie40 #elektronik https://t.co/0iLS3sox0Z</t>
  </si>
  <si>
    <t>BoschPresse</t>
  </si>
  <si>
    <t>#Industrie40 keine Vision, sondern Realität: Mehr dazu von #Bosch auf der #HM16 ab 25.04. https://t.co/L8GsLWeedE https://t.co/TQAEwM22RC</t>
  </si>
  <si>
    <t>Monday to Friday, follow the Bosch press department’s tweets to find out what’s happening in the Bosch Group. http://t.co/lefaGTsTTt</t>
  </si>
  <si>
    <t>SAPCustomDevelopment</t>
  </si>
  <si>
    <t>RT @BetzOliver: @SAP_IoT and #beckhoff show #Iot in action at #HM16 #Industrie40 https://t.co/DyiD0DuQ2N powered by @sapcustdev https://t.c…</t>
  </si>
  <si>
    <t>Newtown Square, PA</t>
  </si>
  <si>
    <t>Twitter account for SAP Custom Development. Use #SAPCustDev.</t>
  </si>
  <si>
    <t>KION Group</t>
  </si>
  <si>
    <t>RT @Jo_H123: #Digitalisierung: In 7 Schritten fit für #Industrie40 https://t.co/eFm8FKuHzB via @COMPUTERWOCHE #IoT</t>
  </si>
  <si>
    <t>Wiesbaden, Deutschland</t>
  </si>
  <si>
    <t>The #KION Group is one of the world's two leading manufacturers of forklift trucks and represented all around the world by its seven brand companies.</t>
  </si>
  <si>
    <t>Keras: modulare Python-Bibliothek für neuronale Netze jetzt in V1.0: https://t.co/VS5naPOHP3 #iot #industrie40 #machinelearning</t>
  </si>
  <si>
    <t>#Industrie40 folgt keinem festen Schema. #IoT #cloudcomputing #m2m #Digitalisierung @verlinked https://t.co/sRu1E5Nyxl</t>
  </si>
  <si>
    <t>Sebastien Wiertz</t>
  </si>
  <si>
    <t>Are you an #Entrepreneur in Industry 4.0? Apply to our call -&gt; https://t.co/QXXyFVcyDv #Industrie40 #Industry40 #IoT #Industrialinternet</t>
  </si>
  <si>
    <t>Belgium</t>
  </si>
  <si>
    <t>General Manager – Paul Wurth InCub | Global Innovative Technology | Entrepreneurship | Start-ups | Business Development</t>
  </si>
  <si>
    <t>Fraunhofer IPA</t>
  </si>
  <si>
    <t>IPA-Experte Martin Hägele über die Rolle der #Robotik bei #industrie40. https://t.co/WHUsOen0PD via @faznet @hannover_messe</t>
  </si>
  <si>
    <t>Das Fraunhofer IPA ist in die Arbeitsgebiete Produktionsorganisation, Oberflächentechnologie, Automatisierung und Prozesstechnologie gegliedert.</t>
  </si>
  <si>
    <t>Scihörnchen</t>
  </si>
  <si>
    <t>RT @Fraunhofer_IPA: IPA-Experte Martin Hägele über die Rolle der #Robotik bei #industrie40. https://t.co/WHUsOen0PD via @faznet @hannover_…</t>
  </si>
  <si>
    <t>Brandenburg</t>
  </si>
  <si>
    <t>Scihörnchen mit Herz und Schnauze, Flauscheria der Piraten, Linksliberal 2.V des KV PM https://t.co/djBIglPMgt</t>
  </si>
  <si>
    <t>cccIndustriesoftware</t>
  </si>
  <si>
    <t>Tote Hose in Deutschland: #Industrie40 kaum bekannt. Dagegen muss man was tun! #I40 https://t.co/pTyRYGqFYU https://t.co/Is5v9OiUF9</t>
  </si>
  <si>
    <t>SocialPilot.co</t>
  </si>
  <si>
    <t>Leipzig, Sachsen</t>
  </si>
  <si>
    <t>The ccc software gmbh tweets about #energyefficiency #industry40 #energymanagement #digitalisierung. Follow us!</t>
  </si>
  <si>
    <t>Sebastian Schmidt</t>
  </si>
  <si>
    <t>RT @Fraunhofer. Prof. Schenk im #Interview spricht von Rolle des Menschen und Vorteile in der #Industrie40 für #KMU https://t.co/mBiiA2Ajku</t>
  </si>
  <si>
    <t>Landsberg am Lech, Deutschland</t>
  </si>
  <si>
    <t>schreibt für die Fachzeitschriften @ke_NEXT &amp; fluid.de über #Erneuerbare Energien, das #IoT bzw. #Industrie40 v.a. aber für #Konstrukteure &amp; #Ingenieure</t>
  </si>
  <si>
    <t>Alle reden von #Digitalisierung und #Industrie40 … p&amp;p Marketing GmbH und TRENDONE GmbH holen diese Themen nach Inns…https://t.co/J1N45Cjm6b</t>
  </si>
  <si>
    <t>LinkedIn</t>
  </si>
  <si>
    <t>Alle reden von #Digitalisierung und #Industrie40 … p&amp;p Marketing GmbH und TRENDONE GmbH holen diese Themen nach... https://t.co/PGvd9wQ2ed</t>
  </si>
  <si>
    <t>TechnoMarket</t>
  </si>
  <si>
    <t>Le « #robot #biologiste » au service de l’usine du futur via @CVSTENE @LesEchos https://t.co/W4amt662Qw #UsineDuFutur #Industrie40 #santé</t>
  </si>
  <si>
    <t>Scoop.it</t>
  </si>
  <si>
    <t>Supported by @ReseauSATT, #TechnoMarket is the place to discover innovative #technologies from #SATT! Next edition 13/10/2016 @SeaTechEvent #Mer #TechTransfer</t>
  </si>
  <si>
    <t>(Un)Freigeist</t>
  </si>
  <si>
    <t>@welt Was ist mit der #Integration der #Flüchtlinge,wenn die wenigen Arbeitsplätze noch weniger werden? #Industrie40</t>
  </si>
  <si>
    <t>Nichts hat mit irgendetwas etwas zu tun. Korrelation ist Aberglaube! Mikroskopisch betrachtet,wird jeder Fall zum Einzelfall.</t>
  </si>
  <si>
    <t>club jupiter net</t>
  </si>
  <si>
    <t>RT @WibuSystems: Product &amp; IP Protection for devices, machines and production data in #Industrie40 #HM16 https://t.co/ICjFAj4a0z https://t.…</t>
  </si>
  <si>
    <t>Find out about the latest trends in international meetings. Our mission is to promote the industry of the fair, the Congress, exhibitions and other events.</t>
  </si>
  <si>
    <t>Konecranes</t>
  </si>
  <si>
    <t>Die meistgelesenen Artikel im „Industrial Internet Now“ im Jahr 2015. Welcher ist Ihr Favorit? https://t.co/Yc09ecXett #Industrie40 #iot</t>
  </si>
  <si>
    <t xml:space="preserve">Falcon Social Media Management </t>
  </si>
  <si>
    <t>Wir heben nicht nur Lasten – mit uns steigern Sie auch die Produktivität Ihrer Unternehmensprozesse: Lifting Businesses™. Impressum: http://t.co/TmTVP88WdX</t>
  </si>
  <si>
    <t>derPaddy</t>
  </si>
  <si>
    <t>Unimatrix 0</t>
  </si>
  <si>
    <t>single | Sozial-Technokrat | weltoffen | sozial | kritisch | spartanisch | Humanistisch-atheistische Ethik |</t>
  </si>
  <si>
    <t>Yannick</t>
  </si>
  <si>
    <t>PINETCO</t>
  </si>
  <si>
    <t>RT @cccsoftwaregmbh: Tote Hose in Deutschland: #Industrie40 kaum bekannt. Dagegen muss man was tun! #I40 https://t.co/pTyRYGqFYU https://t.…</t>
  </si>
  <si>
    <t>Wuppertal / NRW / Germany</t>
  </si>
  <si>
    <t>Wir launchen Erfolgsgeschichten.</t>
  </si>
  <si>
    <t>Kai Keppner</t>
  </si>
  <si>
    <t>Wie #Daimler seine #Produktion neu organisiert https://t.co/erauBBySbJ via @wiwo #industrie40</t>
  </si>
  <si>
    <t>#SCM Blogger &amp; Marketing Manager. Interested in tech trends, #logistik, #supplychain and politics. Tweets in German and English.</t>
  </si>
  <si>
    <t>genuanews</t>
  </si>
  <si>
    <t>#HannoverMesse, 25. - 29.04.: Jetzt Gesprächstermin vereinbaren und Eintrittskarten erhalten https://t.co/S9GCbKJw47 #Industrie40 #ITSiG</t>
  </si>
  <si>
    <t>Die genua gmbh ist ein Spezialist für IT-Sicherheit und sichere Fernwartungs-Lösungen made in Germany. https://t.co/PQeIEFnjKi</t>
  </si>
  <si>
    <t>Mehr Wettbewerbskraft durch Vernetzung #HM16 #Bosch #Industrie40 https://t.co/gdNpATv0Yp https://t.co/L8GsLWeedE https://t.co/A8kqSR9fbn</t>
  </si>
  <si>
    <t>#Bosch Geschäftsführer Struth für transatlantische Kooperationen bei Industrie 4.0 https://t.co/BrG4Em9Ly1 #HM16 #Industrie40</t>
  </si>
  <si>
    <t>WAGO Kontakttechnik</t>
  </si>
  <si>
    <t>Wie können Sie von #Industrie40 profitieren? Mehr dazu auf der #HM16, Halle 11, Stand C64! https://t.co/DTJLogOGT8 https://t.co/c6shCHkI8S</t>
  </si>
  <si>
    <t>Minden, Deutschland</t>
  </si>
  <si>
    <t>Weltmarktführer in der Federklemmtechnik und einer der führenden Hersteller für Automatisierungskomponenten und -systeme. Impressum: http://t.co/C8BlqFTM</t>
  </si>
  <si>
    <t>#Industrie40 gets a boost from Bosch. https://t.co/fFbaQz3BNU via @ebnonline</t>
  </si>
  <si>
    <t>RT @WAGOKontakttech: Wie können Sie von #Industrie40 profitieren? Mehr dazu auf der #HM16, Halle 11, Stand C64! https://t.co/DTJLogOGT8 htt…</t>
  </si>
  <si>
    <t>Im #PropertyManagement mit der richtigen #Software den Leerstand senken. https://t.co/mZPSnbsSmf #Industrie40 https://t.co/7WAzoBcfK1</t>
  </si>
  <si>
    <t>Schwer zu sagen, jeder versteht etwas anderes darunter, &amp; hoher Grad an #Automatisierung ist noch nicht #Industrie40 https://t.co/4ZjecoRyHE</t>
  </si>
  <si>
    <t>RT @prxagentur: Schwer zu sagen, jeder versteht etwas anderes darunter, &amp; hoher Grad an #Automatisierung ist noch nicht #Industrie40 https:…</t>
  </si>
  <si>
    <t>Bitkom Industrie 4.0</t>
  </si>
  <si>
    <t>Heute #Bitkom Roundtable Digitale Luftfahrt mit Exkursion zu beeindruckender Hardware und Schwerpunkt #industrie40 https://t.co/5M6G5N4LMC</t>
  </si>
  <si>
    <t>iOS</t>
  </si>
  <si>
    <t>Hier wird über Industrie40, IoT, Industrial Internet, 3D-Druck und internationale wirtschaftspolitische Trends getwittert. Wolfgang Dorst betreut den Kanal.</t>
  </si>
  <si>
    <t>#Bosch Geschäftsführer Struth sieht Fortschritte bei internationaler Kooperation zu Industrie 4.0 https://t.co/BrG4Em9Ly1 #HM16 #Industrie40</t>
  </si>
  <si>
    <t>Bericht für Bionic Robotics ke-next.de https://t.co/2dsFEKFAcS https://t.co/ocrMVhSokW #hannovermesse #industrie40 https://t.co/YMyF5ZUSUT</t>
  </si>
  <si>
    <t>Bericht für #Fraunhofer IGD auf maschinenmarkt #augmentedreality #hannovermesse #industrie40 https://t.co/cZNnUMrkEZ https://t.co/ECYgUmNETl</t>
  </si>
  <si>
    <t>Bericht für #Fraunhofer IGD auf iquadrat-Magazin #hannovermesse #industrie40 https://t.co/ly7FcwwBNO https://t.co/Cm7NmLXHTX</t>
  </si>
  <si>
    <t>RT @JETZT_PRde: Bericht für #Fraunhofer IGD auf iquadrat-Magazin #hannovermesse #industrie40 https://t.co/ly7FcwwBNO https://t.co/Cm7NmLXH…</t>
  </si>
  <si>
    <t>RT @JETZT_PRde: Bericht für #Fraunhofer IGD auf maschinenmarkt #augmentedreality #hannovermesse #industrie40 https://t.co/cZNnUMrkEZ https:…</t>
  </si>
  <si>
    <t>Bericht für Bionic Robotics Wirtschaftswoche wiwo.de #industrie40 #hannovermesse #hmi2016 https://t.co/8WVOAhUmua https://t.co/3KPe75q1aK</t>
  </si>
  <si>
    <t>RT @JETZT_PRde: Bericht für Bionic Robotics ke-next.de https://t.co/2dsFEKFAcS https://t.co/ocrMVhSokW #hannovermesse #industrie40 https://…</t>
  </si>
  <si>
    <t>Bericht für Bionic Robotics auf industrieanzeiger #industrie40 #hannovermesse #hmi2016 https://t.co/AByl7o63dn https://t.co/PYchNq4szn</t>
  </si>
  <si>
    <t>Bernhard Herget</t>
  </si>
  <si>
    <t>RT @Konecranes_DE: Die meistgelesenen Artikel im „Industrial Internet Now“ im Jahr 2015. Welcher ist Ihr Favorit? https://t.co/Yc09ecXett #…</t>
  </si>
  <si>
    <t>Hier</t>
  </si>
  <si>
    <t>Crossmediaberatung, B2B Industriemedien. Webinare, Leadgenerierung, Whitepaper,, Fachmedien, Print- Onlinewerbung, Events und Services. Hobby: Habe ich auch ;</t>
  </si>
  <si>
    <t>RT @Bitkom_I40: Heute #Bitkom Roundtable Digitale Luftfahrt mit Exkursion zu beeindruckender Hardware und Schwerpunkt #industrie40 https://…</t>
  </si>
  <si>
    <t>Startupradio.de</t>
  </si>
  <si>
    <t>Münchener Startup erhält 7,5 Millionen von Valley-Investoren | Gründerszene #industrie40 #konux https://t.co/jlhsIOYSWI</t>
  </si>
  <si>
    <t>Podcast mit News und Interviews aus der Startup-Szene. Hier abonnieren: https://t.co/pCB49IJizx #startup #vc #entrepreneurship #ecommerce</t>
  </si>
  <si>
    <t>DB Accelerator</t>
  </si>
  <si>
    <t>RT @startupradioDE: Münchener Startup erhält 7,5 Millionen von Valley-Investoren | Gründerszene #industrie40 #konux https://t.co/jlhsIOYSWI</t>
  </si>
  <si>
    <t>@pihalbe /gs und @sebaso /se twittern. powered by @dbmindbox</t>
  </si>
  <si>
    <t>Messeguide Teil 1 – Lösungen niedersächsischer Forschungseinrichtungen für die intelligente Fertigung https://t.co/VS3OjX6Q6N #Industrie40</t>
  </si>
  <si>
    <t>BMBF</t>
  </si>
  <si>
    <t>Blick in die intelligente Fabrik: Auf der #hm16 @hannover_messe zeigen wir innovative Projekte u.a. zu #Industrie40 https://t.co/MSPJZaSnnU</t>
  </si>
  <si>
    <t>Hier twittert das Presseteam des Bundesministeriums für Bildung und Forschung - http://t.co/UqNZkLwLdw</t>
  </si>
  <si>
    <t>RT @MarianKoeller: Messeguide Teil 1 – Lösungen niedersächsischer Forschungseinrichtungen für die intelligente Fertigung https://t.co/VS3Oj…</t>
  </si>
  <si>
    <t>INFORM Software</t>
  </si>
  <si>
    <t>INFORM specializes in software that uses intelligent process optimization logic to improve the productivity of your business. Legal - http://t.co/G5v1kBEtYY</t>
  </si>
  <si>
    <t>LNI 4.0</t>
  </si>
  <si>
    <t>Representing the interests of small &amp; midsize enterprises in mechanical engineering by providing test environments. Industrie 4.0. Tweeting in English &amp; German.</t>
  </si>
  <si>
    <t>Michael Hams</t>
  </si>
  <si>
    <t>RT @BoschPresse: #Industrie40 gets a boost from Bosch. https://t.co/fFbaQz3BNU via @ebnonline</t>
  </si>
  <si>
    <t>Chicago</t>
  </si>
  <si>
    <t>VP Sales for global motion control company. Husband and proud father of four. Grandfather of two! Opinions are my own.</t>
  </si>
  <si>
    <t>Wie eine #Spielekonsole zum Geheimtipp für die #Industrie40 wird https://t.co/NhLv29Poyl #Mittelstand #BadenWürttemberg @Schnaithmann</t>
  </si>
  <si>
    <t>#IndustrieDuFutur #Industrie40 #Sapfr https://t.co/lYFTni94eZ</t>
  </si>
  <si>
    <t>Georg Rosenthal</t>
  </si>
  <si>
    <t>Bericht der @mainpost über unsere Veranstaltung zum Thema #Industrie40 am vergangenen Freitag: https://t.co/e1NED5d03Y</t>
  </si>
  <si>
    <t>Würzburg, Deutschland</t>
  </si>
  <si>
    <t>hier twittern Georg Rosenthal, #SPD-MdL im #ltby für #Würzburg und Main-Spessart und sein Team</t>
  </si>
  <si>
    <t>BoschGlobal</t>
  </si>
  <si>
    <t>How #Industrie40 carries us further: Check out an exemplary Bosch plant in our video https://t.co/WAk0kLlP9t #HM16 https://t.co/GyJxlHaug6</t>
  </si>
  <si>
    <t>Bosch is a leading global supplier of technology &amp; services. We tweet about global topics like #mobility #energy #connectivity. Imprint http://t.co/dEApkGnFNK</t>
  </si>
  <si>
    <t>Dang Hai Yen</t>
  </si>
  <si>
    <t>RT @BoschGlobal: How #Industrie40 carries us further: Check out an exemplary Bosch plant in our video https://t.co/WAk0kLlP9t #HM16 https:…</t>
  </si>
  <si>
    <t>Global citizen</t>
  </si>
  <si>
    <t>Consulting, research analysis, investment, management, communications</t>
  </si>
  <si>
    <t>SmartAutomation</t>
  </si>
  <si>
    <t>Jetzt auch vertont! Unser neuer Image Film mit Informationen und Erklärungen rund um #Industrie40 und... https://t.co/Fc8GTRAhuY</t>
  </si>
  <si>
    <t>LRach</t>
  </si>
  <si>
    <t>Mainz, Rheinland-Pfalz</t>
  </si>
  <si>
    <t>Manager Magazine Distribution @ Vereinigte Fachverlage located in Mainz. Interested in #Intralogistics #Automation private: #ashtanga #music #movies #hiking</t>
  </si>
  <si>
    <t>RT @SmartAutomati0n: Jetzt auch vertont! Unser neuer Image Film mit Informationen und Erklärungen rund um #Industrie40 und... https://t.co/…</t>
  </si>
  <si>
    <t>RT @GeRosenthal: Bericht der @mainpost über unsere Veranstaltung zum Thema #Industrie40 am vergangenen Freitag: https://t.co/e1NED5d03Y</t>
  </si>
  <si>
    <t>RT @BMBF_Bund: Blick in die intelligente Fabrik: Auf der #hm16 @hannover_messe zeigen wir innovative Projekte u.a. zu #Industrie40 https://…</t>
  </si>
  <si>
    <t>Da aber alte Windows Mobile Software darauf nicht lauffähig ist, müssen in der Regel auch die Sof... https://t.co/4EQD7UHRu5 #Industrie40</t>
  </si>
  <si>
    <t>RT @H_IT_D: Da aber alte Windows Mobile Software darauf nicht lauffähig ist, müssen in der Regel auch die Sof... https://t.co/4EQD7UHRu5 #I…</t>
  </si>
  <si>
    <t>Jautomatise</t>
  </si>
  <si>
    <t>Le lien direct vers le Mag78 de la WebTV Manufacturing.fr https://t.co/Vl5liOmiuI #industriedufutur #iot #smartindustries #Industrie40</t>
  </si>
  <si>
    <t>Siemens Financial</t>
  </si>
  <si>
    <t>Want to know more about #financing #Industrie40? Come visit us next week at #HM16 in Hall 9, booth D35 https://t.co/mBdSDF5Gsm</t>
  </si>
  <si>
    <t>Welcome to the @Siemens #FinancialServices Twitter channel. Follow us for real-time updates about #financing from Siemens. Imprint: https://t.co/7O3e0c54Uv</t>
  </si>
  <si>
    <t>Industry 4.0</t>
  </si>
  <si>
    <t>Prof. Dr.-Ing. Schenk: "Voraussetzung für #Industrie40 ist, dass Unternehmen die Hoheit über ihre Daten behalten." https://t.co/3fNsknyUEh</t>
  </si>
  <si>
    <t>European Union</t>
  </si>
  <si>
    <t>The Fourth Industrial Revolution ... Industry 4.0 #IoT #IoE #IIoT #IINet #Industry40 #Industrie40 #Industria40 #IndustrialInternet ... Subchannel of @Adviseq</t>
  </si>
  <si>
    <t>Domigall Daniel</t>
  </si>
  <si>
    <t xml:space="preserve">5416 Kirchdorf Rebbergstrasse </t>
  </si>
  <si>
    <t>#Industrie40 live erfahren mit dem #Wirtschaftsrat (@ Elabo) https://t.co/kiX3ElK67h</t>
  </si>
  <si>
    <t>Foursquare</t>
  </si>
  <si>
    <t>Verschlafen kleinere Firmen die Digitalisierung? https://t.co/x6qyROjVYN Wir vernetzen mit Testzentren #HMI Halle8 Stand C25 #Industrie40</t>
  </si>
  <si>
    <t>RT @LNI40: Verschlafen kleinere Firmen die Digitalisierung? https://t.co/x6qyROjVYN Wir vernetzen mit Testzentren #HMI Halle8 Stand C25 #…</t>
  </si>
  <si>
    <t>VerpackungsRundschau</t>
  </si>
  <si>
    <t>Heusenstamm</t>
  </si>
  <si>
    <t>Das Ohr am Markt, jeden Tag! Ihre Verpackungs-Rundschau bringt Ihnen News, Produkte, Trends, Gerüchte... UnserTwitter-Team wird angeführt von Norbert Sauermann.</t>
  </si>
  <si>
    <t>Guruprasad S.</t>
  </si>
  <si>
    <t>Bengaluru, Karnataka</t>
  </si>
  <si>
    <t>Constantly searching on how engineering can bring about a betterment to life. Avid reader, Tech. speaker, Loves Nature &amp; Music. RTs r not endorsements</t>
  </si>
  <si>
    <t>#industrie40 schafft eine neue #Qualität der #Flexibilität? Hören Sie Prof. Spath von der @WITTENSTEIN_AG im #MOOC40 https://t.co/esfUMQQzB4</t>
  </si>
  <si>
    <t>Bitkom_aero</t>
  </si>
  <si>
    <t>Bitkom | Hier twittert Marc Bachmann über aktuelle Informationen rund um Digitale Luftfahrt. Foto © Boris Jovanovic / Stocksy United</t>
  </si>
  <si>
    <t>Mathias Sauermann</t>
  </si>
  <si>
    <t>Gebloggt: Buchtipp "Digitale Transformation" &gt; https://t.co/mafuoZyap2 - feat. @TCole1066 #Digitalisierung #Industrie40</t>
  </si>
  <si>
    <t>Nürnberg / Nuremberg</t>
  </si>
  <si>
    <t>Online-Marketer &amp; Blogger</t>
  </si>
  <si>
    <t>JBengel</t>
  </si>
  <si>
    <t>#Industrie40 : Lernen für die #digitale #Zukunft bei Festo https://t.co/9LjBjgJLwL #</t>
  </si>
  <si>
    <t>de/t899970 Alles in allem zeigte das Feedback der Teilnehmer: Die Frage, wie die Arbeitswelt 2025... https://t.co/1WYJDPvTe6 #Industrie40</t>
  </si>
  <si>
    <t>Rahman Jamal</t>
  </si>
  <si>
    <t>My @elektroniknet interview on @IIConsortium TSN testbed's impact on #Industrie40 #HMI2016 https://t.co/9ljaLEyYYo https://t.co/LcqLMLuqKE</t>
  </si>
  <si>
    <t>München/Germany ✈️ Austin/TX</t>
  </si>
  <si>
    <t>Technologist | Engineer | Director @NIglobal |Author | Meditator | Nonprofit Volunteer | Runner |Born in Burma | Raised in Germany | Human Being &amp; Becoming |</t>
  </si>
  <si>
    <t>"Critical (Outdoor) IoT Applications | @ThingsExpo #IoT #IIoT #M2M #InternetOfThings" https://t.co/RCdhXtGRCR #technology #Industrie40</t>
  </si>
  <si>
    <t>@ThingsEXPO</t>
  </si>
  <si>
    <t>RT @bamitav: "Critical (Outdoor) IoT Applications | @ThingsExpo #IoT #IIoT #M2M #InternetOfThings" https://t.co/RCdhXtGRCR #technology #Ind…</t>
  </si>
  <si>
    <t>Javits Center | Silicon Valley</t>
  </si>
  <si>
    <t>New York City — Javits Center (June 7-9) Santa Clara Convention Center (Nov 1-3) Early Bird Tickets Here ▸ https://t.co/jGalvTdbMb</t>
  </si>
  <si>
    <t>Vera Münch</t>
  </si>
  <si>
    <t>#iot #InternetOfThings #Industrie40 https://t.co/fFRDW7SYO2</t>
  </si>
  <si>
    <t>Sehen, staunen, berichten für http://t.co/Sn90iUUM29 #weltvollerwunder Regeln? Demokratie? Information? Desinformation? Der Mensch ist gut.</t>
  </si>
  <si>
    <t>IoT Journal</t>
  </si>
  <si>
    <t>New York City — Javits Center (June 7-9) Santa Clara Convention Center (Nov 1-3) Early Bird Tickets Here ▸ https://t.co/jGalvTuMDJ</t>
  </si>
  <si>
    <t>Karina</t>
  </si>
  <si>
    <t>"Critical (Outdoor) IoT Applications | @ThingsExpo #IoT #IIoT #M2M #InternetOfThings" https://t.co/3kfZto93o6 #technology #Industrie40</t>
  </si>
  <si>
    <t>Venezuela</t>
  </si>
  <si>
    <t>Dra. en Ciencias de la Educación Investigador / Asesor / Consultor en e-teaching. Prof. Universitaria en Pre y Postgrado</t>
  </si>
  <si>
    <t>WebRTCSummit</t>
  </si>
  <si>
    <t>Silicon Valley | Javits Center</t>
  </si>
  <si>
    <t>New York City — Javits Center (June 7-9) Santa Clara Convention Center (Nov 1-3) Register Today! ▸ https://t.co/jGalvTdbMb</t>
  </si>
  <si>
    <t>Endlich mal jemand, der den digitalen Arbeitsplatz für die Industrie durchdenkt! Kompliment #Elabo! https://t.co/jfaWn5aGRd #Industrie40</t>
  </si>
  <si>
    <t>Endlich mal jemand, der den digitalen Arbeitsplatz für die Industrie durchdenkt! Kompliment #Elabo! https://t.co/80WLDUNcX7 #Industrie40</t>
  </si>
  <si>
    <t>Digital Ninja</t>
  </si>
  <si>
    <t>India</t>
  </si>
  <si>
    <t>Tech Evangelist | BootStrapped Entrepreneur | All Digital | Nationalist | Proud Women | Model</t>
  </si>
  <si>
    <t>CloudEXPO ®</t>
  </si>
  <si>
    <t>BigDataEXPO ®</t>
  </si>
  <si>
    <t>SYS-CON Media</t>
  </si>
  <si>
    <t>Woodcliff Lake, NJ</t>
  </si>
  <si>
    <t>@CloudExpo @BigDataExpo @ThingsExpo Santa Clara Convention Center, Nov 3-5, 2015, New York Javits Center, June 7-9, 2016</t>
  </si>
  <si>
    <t>#Industrie40 und die Autobauer: https://t.co/5OVyIwZeiI</t>
  </si>
  <si>
    <t>RT @S_Koebernick: #Industrie40 und die Autobauer: https://t.co/5OVyIwZeiI</t>
  </si>
  <si>
    <t>Cloud Expo Job Fair</t>
  </si>
  <si>
    <t>Cloud Expo Wire</t>
  </si>
  <si>
    <t>RT @katekor11: "Critical (Outdoor) IoT Applications | @ThingsExpo #IoT #IIoT #M2M #InternetOfThings" https://t.co/3kfZto93o6 #technology #I…</t>
  </si>
  <si>
    <t xml:space="preserve">Hailey McKeefry </t>
  </si>
  <si>
    <t xml:space="preserve">Belmont CA </t>
  </si>
  <si>
    <t>Editor in Chief, EBN; global electronics supply chain, procurement editor/writer; Episcopal deacon; Mom...Usually not in that order.</t>
  </si>
  <si>
    <t>Rohrbiegelösungen in Zeiten von Industrie 4.0 - unter diesem Motto präsentierte die Schwarze-Robi... https://t.co/yWWnfOb23H #Industrie40</t>
  </si>
  <si>
    <t>Andy Baldauf</t>
  </si>
  <si>
    <t>Die #digital Revolution: Wie wir in Zukunft arbeiten werden #Digitalisierung #Industrie40 https://t.co/EHIyU0AWjg @MigrosMagazin</t>
  </si>
  <si>
    <t>St. Gallen | Zürich</t>
  </si>
  <si>
    <t>#ProjectManager for #retail #selfscanning #Shopfitting @Migros my private Account #student @fhhwz for #Multichannel #Mobile #DigitalLeadership #DigitalBusiness</t>
  </si>
  <si>
    <t>Themes and Webdesign</t>
  </si>
  <si>
    <t>Online #Marketer, #promoting people, deals and #businesses Interests: #WordPress #Themes and #Plugins #Webdesign Impressum: https://t.co/IVdx491h2o</t>
  </si>
  <si>
    <t>Frank Jablonski</t>
  </si>
  <si>
    <t>Ralf Pfisterer</t>
  </si>
  <si>
    <t>RT @BoschPresse: #Industrie40 keine Vision, sondern Realität: Mehr dazu von #Bosch auf der #HM16 ab 25.04. https://t.co/L8GsLWeedE https://…</t>
  </si>
  <si>
    <t>Mobile Web (M5)</t>
  </si>
  <si>
    <t>Lisa Reehten</t>
  </si>
  <si>
    <t>Plan für das Unplanbare https://t.co/FQ7tXqt2qx #Industrie40</t>
  </si>
  <si>
    <t>Daughter of an incredible Mum/Sister of a challenging brother/Friend for great people/Traveller in a wonderful world #IBM #IoT #Cloud #industrie40</t>
  </si>
  <si>
    <t>In der Schaufensterfabrik #Industrie40 erleben https://t.co/BBO1igrfO7</t>
  </si>
  <si>
    <t>RT @rene_ziegler: #Industrie40: #Bosch für gemeinsame Standards in den #USA und #Europa via @handelsblatt #HMI #iiot https://t.co/qEQjFVLi…</t>
  </si>
  <si>
    <t>RT @CapgeminiDE: Welche Auswirkungen hat #Industrie40 auf die IT? Florian Bacher liefert die Antwort hier https://t.co/iaQQb9UHoR ^mar #HMI</t>
  </si>
  <si>
    <t>RT @RahmanNow: My @elektroniknet interview on @IIConsortium TSN testbed's impact on #Industrie40 #HMI2016 https://t.co/9ljaLEyYYo https://t…</t>
  </si>
  <si>
    <t>RT @JETZT_PRde: Bericht für Bionic Robotics auf industrieanzeiger #industrie40 #hannovermesse #hmi2016 https://t.co/AByl7o63dn https://…</t>
  </si>
  <si>
    <t>#Norse #Weltkarte zeigt, wie oft das #Industrie40-System woher gescannt wird #InfoSec #SCADA https://t.co/6WvxeB8CH4</t>
  </si>
  <si>
    <t>Ob #Telekommunikation, #Automobilmarkt oder #Kundenbeziehungen: Hauptsache #digital https://t.co/lVDAt7ltmU via @karstenknop #industrie40</t>
  </si>
  <si>
    <t>Ralf Schadowski.com</t>
  </si>
  <si>
    <t>RT @BISGeV: Guten Morgen an alle Follower! @Bitkom #Industrie40 erhöht die Jobchancen für qualifizierte Arbeitskräfte https://t.co/1FvURdEL…</t>
  </si>
  <si>
    <t>ISO 17024 zertifizierter/überwachter und TÜV cert sachkundiger Datenschutzbeauftragter Internationale Mandate in D, A, Po, I, UK, F und US</t>
  </si>
  <si>
    <t>Oliver Bolthausen</t>
  </si>
  <si>
    <t>Dispute resolution specialist and Arbitrator/Mediator. I advise on a wide range of German corporate/commercial law.</t>
  </si>
  <si>
    <t>BI Analytics</t>
  </si>
  <si>
    <t>@MrSchoessler ps: Surprisingly my search in Google turned up empty or with non-relevant results. In DE #industrie40 isn't covered very well?</t>
  </si>
  <si>
    <t>Verschiebung von produktorientierten zu dienstleistungsgetriebenen Geschäftsmodellen durch #Industrie40 https://t.co/iaQQb9UHoR ^mar #HMI</t>
  </si>
  <si>
    <t>Containers Expo</t>
  </si>
  <si>
    <t>Ulitzer.com</t>
  </si>
  <si>
    <t>Subscribe to @Ulitzer's Breaking Newsletters! #Cloud #BigData #IoT #DevOps #API #WebRTC #CloudComputing #InternetOfThings</t>
  </si>
  <si>
    <t>Thomas W. Frick</t>
  </si>
  <si>
    <t>RT @industrie_weg: Industrie 4.0-so sicher wie ein Kernkraftwerk? Antworten und Beispiele siehe: https://t.co/n2kfO9Krm2 #Industrie40 https…</t>
  </si>
  <si>
    <t>Otzberg, Hessen</t>
  </si>
  <si>
    <t>B2B-Experte für Erfolge und Effizienz im Vertrieb und Marketing, u.a. durch die Kombination mit den neuen Medien. Privat Accout siehe @tomfrick_de</t>
  </si>
  <si>
    <t>Microservices Expo</t>
  </si>
  <si>
    <t>SYSCONtv</t>
  </si>
  <si>
    <t>SYS-CON.TV has one of the highest Internet TV viewerships for original technology programming on the Internet. http://t.co/XvGbJqv5VP @SYSCONtv</t>
  </si>
  <si>
    <t>Dust Cloud</t>
  </si>
  <si>
    <t>Dustcloud.io</t>
  </si>
  <si>
    <t>Croydon, London</t>
  </si>
  <si>
    <t>Distributed / Hybrid / Custom / Serverless private and public cloud services startup https://t.co/gpyYZwA8Tl</t>
  </si>
  <si>
    <t>Welche Auswirkungen hat #Industrie40 auf die #IT? https://t.co/MViKePHDzs via @AddThis</t>
  </si>
  <si>
    <t>RT @mfritz_fhg: Welche Auswirkungen hat #Industrie40 auf die #IT? https://t.co/MViKePHDzs via @AddThis</t>
  </si>
  <si>
    <t>Andrew Aitken</t>
  </si>
  <si>
    <t>Occasionaly found in the UK...</t>
  </si>
  <si>
    <t>@Lanner COO driving real customer value from predictive simulation &amp; analytics - delivering the certainty to empower smarter business futures.</t>
  </si>
  <si>
    <t>RT @kommoptimierer: #Schlafmuetzen mit null #Interesse an #smarten #Produkten #IoT #Industrie40 klicken bitte weiter! https://t.co/X9a61sPE…</t>
  </si>
  <si>
    <t>Thomas Leubner</t>
  </si>
  <si>
    <t>@RosaRiera @BuschRo @janinakugel @siemens_press @jokowi @Siemens @fried1974 #Industrie40 https://t.co/tSOrvxPAXk</t>
  </si>
  <si>
    <t>Passion for learning and education.</t>
  </si>
  <si>
    <t>Tom Schaepper</t>
  </si>
  <si>
    <t>RT @AndyBaldauf: Die #digital Revolution: Wie wir in Zukunft arbeiten werden #Digitalisierung #Industrie40 https://t.co/EHIyU0AWjg @MigrosM…</t>
  </si>
  <si>
    <t>Schellenberg/LIE</t>
  </si>
  <si>
    <t>Digital Enthusiast | #Trends #StartUp #disruption #Digiconomy #ContentMarketing #DigitalMarketing #SocialMedia #GrowthHacking #Jazz</t>
  </si>
  <si>
    <t>ideenwettbewerbe</t>
  </si>
  <si>
    <t>große themen für #wettbewerbe: #nachhaltigkeit #wasser #industrie40 #cloud #bigdata https://t.co/BfKRFQDNjx https://t.co/iRDm3T88Ky</t>
  </si>
  <si>
    <t>die probleme für deine lösungen. wir sind das einmalig große portal für studentenwettbewerbe aus allen fachbereichen. auch bei facebook: http://t.co/Lb8qOx4T</t>
  </si>
  <si>
    <t>RT @id_wettbewerbe: große themen für #wettbewerbe: #nachhaltigkeit #wasser #industrie40 #cloud #bigdata https://t.co/BfKRFQDNjx https://t.c…</t>
  </si>
  <si>
    <t>Tankred Schipanski</t>
  </si>
  <si>
    <t>Thüringen</t>
  </si>
  <si>
    <t>CDU Bundestagsabgeordneter</t>
  </si>
  <si>
    <t>Zollberatung für KMU</t>
  </si>
  <si>
    <t>ganze Schweiz</t>
  </si>
  <si>
    <t>#internationalBusiness #Beratung #Audit #Risikoanalyse #Warenursprung, #Zoll #Incoterms2010 #VRfürKMU #Aussenhandel #InterimManagement #DigitalLearning</t>
  </si>
  <si>
    <t>DevOps Summit</t>
  </si>
  <si>
    <t>Regina Böttcher</t>
  </si>
  <si>
    <t>RT @LReehten: https://t.co/NPoTV6pbT5 Looking for the best - not the fastest approach ! #industrie40</t>
  </si>
  <si>
    <t>Account Executive #MittelstandDeutschland #SuccessFactors #allviewsaremine #SMEGermany #environmentalawareness #passionforcooking</t>
  </si>
  <si>
    <t>SDDC Expo</t>
  </si>
  <si>
    <t>Silicon Valley | New York</t>
  </si>
  <si>
    <t>Print 3D Expo</t>
  </si>
  <si>
    <t>New York | Santa Clara</t>
  </si>
  <si>
    <t>LtCaezar ® [Kenya]</t>
  </si>
  <si>
    <t>LtCaezar</t>
  </si>
  <si>
    <t>Kenya +254</t>
  </si>
  <si>
    <t>Online Presence &amp; #SocialMedia. Digital Marketing tips. Doing #GrowthHacking + #FinTech for fun. Won @Sma_africa Award. ®Analyst of SEO SMM SMO. Rtd #Blogger</t>
  </si>
  <si>
    <t>große themen für #wettbewerbe: #nachhaltigkeit #wasser #industrie40 #cloud #bigdata https://t.co/Rh8BJ1A4Jo - mehr… https://t.co/bVNscyei9y</t>
  </si>
  <si>
    <t>RT @id_wettbewerbe: große themen für #wettbewerbe: #nachhaltigkeit #wasser #industrie40 #cloud #bigdata https://t.co/Rh8BJ1A4Jo - mehr… htt…</t>
  </si>
  <si>
    <t>Melanie Vogel</t>
  </si>
  <si>
    <t>*** Leben in einer VUCA-Welt mit #Industrie40 #Arbeitenviernull *** Interview: „Lernen vom Silicon Valley“ | #I... https://t.co/04BSLx3JDD</t>
  </si>
  <si>
    <t>Bonn</t>
  </si>
  <si>
    <t>Unternehmerin | Andersdenkerin | Impulsgeberin | Autorin | Futability® | Arbeiten 4.0 | Umgang mit VUCA-Welten | Innovational Leadership | Business Salutogenese</t>
  </si>
  <si>
    <t>RT @MelanieVogel_: *** Leben in einer VUCA-Welt mit #Industrie40 #Arbeitenviernull *** Interview: „Lernen vom Silicon Valley“ | #I... https…</t>
  </si>
  <si>
    <t>CKmatics</t>
  </si>
  <si>
    <t>RT @CarstenHoltmann: Wanna start implementing your #Industrie40 strategy? Let’s connect at at HMI 2016 #ibmPMQ #BigDataAdvice https://t.co/…</t>
  </si>
  <si>
    <t>Singapore</t>
  </si>
  <si>
    <t>Internet of Things, Digital Convergence, Analytics, Big Data, Omni Channel, Computer Vision, Vedas Tantras Mantras #IBMer (Tweets are my Own)</t>
  </si>
  <si>
    <t>Must read&gt; #enterprise challenges for #Industrie40 https://t.co/qvBOXBRvWu #iot #iiot #ai #Automation #BigData #machinelearning</t>
  </si>
  <si>
    <t>RT @APGuha: Must read&gt; #enterprise challenges for #Industrie40 https://t.co/qvBOXBRvWu #iot #iiot #ai #Automation #BigData #machinelearning</t>
  </si>
  <si>
    <t>NoSQL</t>
  </si>
  <si>
    <t>NoSQLDigest</t>
  </si>
  <si>
    <t>NoSQL Digest of tweets.</t>
  </si>
  <si>
    <t>Jeremy Douglas</t>
  </si>
  <si>
    <t>Denver, CO</t>
  </si>
  <si>
    <t>Be the change you wish to see @catapultpr @mendingfaces #pr #tech #business #nonprofit</t>
  </si>
  <si>
    <t>Catapult PR</t>
  </si>
  <si>
    <t>Boulder, CO</t>
  </si>
  <si>
    <t>We're a boutique #publicrelations agency specialized in #Tech and #B2B markets. Our results driven #PR, IR and #SocialMedia campaigns create industry leaders.</t>
  </si>
  <si>
    <t>David</t>
  </si>
  <si>
    <t>twitter bot ahahdjehdiejdhrifhje</t>
  </si>
  <si>
    <t>New Jersey, USA</t>
  </si>
  <si>
    <t>Lokesh Payik</t>
  </si>
  <si>
    <t>Bengaluru, India</t>
  </si>
  <si>
    <t>General Manager at Bosch I Head of Industry 4.0 |Technology Enthusiast I Avid Reader I Engaging Speaker I Tweets Personal Views</t>
  </si>
  <si>
    <t>Scott Allen</t>
  </si>
  <si>
    <t>CMO of @freewavetech, responsible for product life cycle/management, GTM execution, demand generation, and #IIoT #IoT #M2M #S2S. https://t.co/gNjvsrHBfF</t>
  </si>
  <si>
    <t>FreeWaveTechnologies</t>
  </si>
  <si>
    <t>FreeWave Technologies is a leader in #industrial, secure #M2M and #IoT #wireless networking &amp; communications solutions. #IIoT</t>
  </si>
  <si>
    <t>#FogComputing &amp; #IIoT https://t.co/mXFNcBVtnI #iot #internetofthings #Industrie40 #industrialinternet</t>
  </si>
  <si>
    <t>Der Konstrukteur</t>
  </si>
  <si>
    <t>Forum #Industrie40 auf der Hannover Messe, Halle 8, Stand D19 #HM16 #IoT #I40 https://t.co/3PeiJTFVr3</t>
  </si>
  <si>
    <t>Mainz, Germany</t>
  </si>
  <si>
    <t>Das B2B-Magazin für Konstruktion und Entwicklung</t>
  </si>
  <si>
    <t>RT @DerKonstrukteu: Forum #Industrie40 auf der Hannover Messe, Halle 8, Stand D19 #HM16 #IoT #I40 https://t.co/3PeiJTFVr3</t>
  </si>
  <si>
    <t>AS-Photo-Project.de</t>
  </si>
  <si>
    <t>Autobauer und Industrie 4.0: Wie Daimler seine Produktion neu organisiert #Industrie40 #arbeiten40 https://t.co/9ZaULCD8Pl</t>
  </si>
  <si>
    <t>Walldorf, Germany</t>
  </si>
  <si>
    <t>Semiprofessionals für Modefotografie. Bieten Shootings, Studioworkshops, sowie Fotonachbereitung und -präsentation (Web und Print).</t>
  </si>
  <si>
    <t>Die @hannover_messe steht vor der Tür. Sind Sie vorbereitet? #hm16 #industrie40 #digital https://t.co/kL3Kcu5EZB https://t.co/BwMDOgxjdx</t>
  </si>
  <si>
    <t>RT @pinetco: Die @hannover_messe steht vor der Tür. Sind Sie vorbereitet? #hm16 #industrie40 #digital https://t.co/kL3Kcu5EZB https://t.co/…</t>
  </si>
  <si>
    <t>Darüber hinaus stellt das Unternehmen ein neues Biegewerkzeug vor, das durch eine integrierte Tre... https://t.co/uJvDTlmjDH #Industrie40</t>
  </si>
  <si>
    <t>#Industrie40: Mensch &amp; Maschine verschmelzen. Was bisher als Stoff für Hollywood taugt, wird derzeit Realität. https://t.co/LfJtgMVZoE #IoT</t>
  </si>
  <si>
    <t>RT @SchneiderElecDE: #Industrie40: Mensch &amp; Maschine verschmelzen. Was bisher als Stoff für Hollywood taugt, wird derzeit Realität. https:/…</t>
  </si>
  <si>
    <t>"Innovationszyklen schneller als Ausbildungszyklen" - klasse Artikel über Lernen und Arbeiten in der #Industrie40 https://t.co/7bBrmgifYD</t>
  </si>
  <si>
    <t>AHK Österreich</t>
  </si>
  <si>
    <t>.@IMaktuell: Deutsche #IT-Firmen wehren sich gegen Dominanz der #USA. #Industrie40 https://t.co/wHcbIhFBmT</t>
  </si>
  <si>
    <t>News aus der deutschen und österreichischen Wirtschaft sowie die Veranstaltungen der Deutschen Handelskammer in Österreich!</t>
  </si>
  <si>
    <t>#Industrie40: Wie können Unternehmen Ihre #Arbeitsplätze sichern? Durch #Weiterbildung40. #Festo https://t.co/OrMn1ltJNR @handelsblatt</t>
  </si>
  <si>
    <t>DIVSI</t>
  </si>
  <si>
    <t>Wie smarte Produkte Unternehmen verändern und neue Geschäftsmodelle entstehen #IoT #Industrie40 https://t.co/f9nihdUyeq</t>
  </si>
  <si>
    <t>Deutsches Institut für Vertrauen und Sicherheit im Internet https://t.co/ILlGpRkxh5</t>
  </si>
  <si>
    <t>PLM IT Business</t>
  </si>
  <si>
    <t>#Industrie40: Connected Industrial Worker https://t.co/Vsg8STXpnT #PLM @AccentureDACH https://t.co/PNOOcTaDjZ</t>
  </si>
  <si>
    <t>PLM IT Business, Portal für Produktentwicklung und Datenmanagement. #PLM #CAD #CAM #CAE #MES #Cloud Auch unter https://t.co/uRrKso1zDN</t>
  </si>
  <si>
    <t>Franziska Priebe</t>
  </si>
  <si>
    <t>Agenda für CIOs &amp; IT Executives in der DACH-Region. #Industrie40, Digitalisierung, Bimodale IT uvm #GartnerCIO https://t.co/CREadnjTy1</t>
  </si>
  <si>
    <t>IT. Marketing. Events. Travel. Marketing Manager @Gartner_inc. All views are my own.</t>
  </si>
  <si>
    <t>RT @DIVSI_Info: Wie smarte Produkte Unternehmen verändern und neue Geschäftsmodelle entstehen #IoT #Industrie40 https://t.co/f9nihdUyeq</t>
  </si>
  <si>
    <t>Eelco Kaper</t>
  </si>
  <si>
    <t>Amsterdam, the Netherlands</t>
  </si>
  <si>
    <t>Rational Optimist | Helping leaders upgrade &amp; streamline digital transformation knowledge, capabilities &amp; outcomes | https://t.co/gYfsv8O59R</t>
  </si>
  <si>
    <t>Auf der Hannover Messe erhalten die Besucher – am Stand von Microsoft – Einblicke in die Fabrik v... https://t.co/HTT0QE7bpB #Industrie40</t>
  </si>
  <si>
    <t>Bosch SI</t>
  </si>
  <si>
    <t>Bosch Software Innovations enables new business models in the IoT by combining software &amp; systems competencies with industry expertise. http://t.co/Zx3lvZgNso</t>
  </si>
  <si>
    <t>Birgit Niesing</t>
  </si>
  <si>
    <t>RT @bastihollmann: "Innovationszyklen schneller als Ausbildungszyklen" - klasse Artikel über Lernen und Arbeiten in der #Industrie40 https:…</t>
  </si>
  <si>
    <t>Sven Bennühr</t>
  </si>
  <si>
    <t>Seit 1999 Redakteur der DVZ (http://t.co/IXQ3K56E8d)</t>
  </si>
  <si>
    <t>RT @plmitbusiness: #Industrie40: Connected Industrial Worker https://t.co/Vsg8STXpnT #PLM @AccentureDACH https://t.co/PNOOcTaDjZ</t>
  </si>
  <si>
    <t>WRS</t>
  </si>
  <si>
    <t>RT @innovationbawue: Wie eine #Spielekonsole zum Geheimtipp für die #Industrie40 wird https://t.co/NhLv29Poyl #Mittelstand #BadenWürttember…</t>
  </si>
  <si>
    <t>Feed der Wirtschaftsförderung Region Stuttgart GmbH (WRS) mit Termintipps und Erfolgsgeschichten aus der Region Stuttgart / Impressum: http://t.co/haLpWkSWdw</t>
  </si>
  <si>
    <t>Smarte Produkte und Produktion verändern Unternehmern #digitaltransformation #Industrie40 https://t.co/VFVXQyvwOG https://t.co/CyywyjK0fV</t>
  </si>
  <si>
    <t>Stefanie Kowallick</t>
  </si>
  <si>
    <t>Senior Marketing &amp; Communications Manager @BoschSI, sharing business &amp; strategic insights on #IoT #IIoT #Industry40. Views are my own.</t>
  </si>
  <si>
    <t>Interessante Präsentation von #Industrie40 vom Mittelständler Elabo mit dem @Wirtschaftsrat - sehr empfehlenswert! https://t.co/QRAZgRASMa</t>
  </si>
  <si>
    <t>BTU News</t>
  </si>
  <si>
    <t>Cottbus / Senftenberg</t>
  </si>
  <si>
    <t>#REFUGEESWELCOME @ Brandenburgische Technische Universität Cottbus-Senftenberg #BTU #SmartCity #Energy #Biotechnology #ITSecurity #Industry40 #Informatik #Bau</t>
  </si>
  <si>
    <t>Anteil der Sensoren bei Robotern von jetzt 15 Prozent wird sich stark erhöhen... #Industrie40 #arbeiten40 https://t.co/GKNUPjO86w</t>
  </si>
  <si>
    <t>IDL</t>
  </si>
  <si>
    <t>Offizieller Twitter Account des Innovationspreises der Deutschen Luftfahrt</t>
  </si>
  <si>
    <t>Tanja Beck</t>
  </si>
  <si>
    <t>Der innovative Weg zu „Plug and Produce“ https://t.co/4K6DWpxC4J #industrie40 #maschinenbau</t>
  </si>
  <si>
    <t>Sprockhövel, NRW, Germany</t>
  </si>
  <si>
    <t>GF der fachCONTENT UG, Themenweltenwandlerin, irgendwann einmal berühmt</t>
  </si>
  <si>
    <t>Wirtschaftsrat</t>
  </si>
  <si>
    <t>RT @nextDBI: Interessante Präsentation von #Industrie40 vom Mittelständler Elabo mit dem @Wirtschaftsrat - sehr empfehlenswert! https://t.c…</t>
  </si>
  <si>
    <t>Der Wirtschaftsrat ist der größte Unternehmerverband in Europa und eine einzigartige Plattform zur Mitgestaltung der Wirtschafts- und Gesellschaftspolitik.</t>
  </si>
  <si>
    <t>Heike Diebler</t>
  </si>
  <si>
    <t>Yes we can! Maschinen ist bei #Industrie40 in der Pole-Position #HM16 @hannover_messe https://t.co/coJ6Vx4bJY https://t.co/iYecfRJ28y</t>
  </si>
  <si>
    <t>ingenieurkarriere.de</t>
  </si>
  <si>
    <t>#Industrie40 wird auf der Hannover Messe #hm16 ab dem 25.04. das Megathema https://t.co/57vjntqXot #Roboter @ingenieur_de</t>
  </si>
  <si>
    <t>ÜT: 51.274219,6.766437</t>
  </si>
  <si>
    <t>Infos für Ingenieure auf Jobsuche: Aktuelles zu den VDI nachrichten Recruiting Tagen • Impressum: https://t.co/OSeETyODLU</t>
  </si>
  <si>
    <t>Wassenhoven UG</t>
  </si>
  <si>
    <t>Germany &amp; in the Cloud</t>
  </si>
  <si>
    <t>#SocialMedia #Marketing # Impressum: http://t.co/g7YZWT7kzw # #XING http://t.co/t7uPQRsIxz @IT_Connection @PferdeCon @HundeCon @KatzenCon</t>
  </si>
  <si>
    <t>Bosch MEMS DE</t>
  </si>
  <si>
    <t>News about Bosch MEMS - the No. 1 global supplier of micromechanical sensors with more than 20 years of experience.</t>
  </si>
  <si>
    <t>Martin Beims</t>
  </si>
  <si>
    <t>Die@Location ist schon mal gelungen. Mal schauen, was der Tag beim @itSMF_DE noch bringt #Industrie40 https://t.co/IWowDzJ8vg</t>
  </si>
  <si>
    <t>Alzenau, Bayern</t>
  </si>
  <si>
    <t>Impulsgeber für Service Management &amp; Service Innovation, Autor, Gründer https://t.co/WhgBsmqVr9 und https://t.co/kRtqRDPGeq</t>
  </si>
  <si>
    <t>RT @MartinBeims: Die@Location ist schon mal gelungen. Mal schauen, was der Tag beim @itSMF_DE noch bringt #Industrie40 https://t.co/IWowDzJ…</t>
  </si>
  <si>
    <t>Alexander Markus</t>
  </si>
  <si>
    <t>RT @AHK_Oesterreich: .@IMaktuell: Deutsche #IT-Firmen wehren sich gegen Dominanz der #USA. #Industrie40 https://t.co/wHcbIhFBmT</t>
  </si>
  <si>
    <t>Kyiv, Ukraine</t>
  </si>
  <si>
    <t>Private account of Alexander Markus. All opinions expressed are solely those of the author, unless in quotations or RT; RTs do not mean endorsememt</t>
  </si>
  <si>
    <t>Altena-TCS GmbH</t>
  </si>
  <si>
    <t>Top-Manager verpassen Trend zu digitalen Plattformen #Digitalisierung #Industrie40 https://t.co/cJWOEoUA3l</t>
  </si>
  <si>
    <t>OS X</t>
  </si>
  <si>
    <t>Krefeld, Nordrhein-Westfalen</t>
  </si>
  <si>
    <t>Wir twittern über #Organisationsentwicklung, #Qualitätsmanagement, #Informationssicherheit, #Datenschutz, #Risikomanagement - Impressum: https://t.co/QmpurOMjgR</t>
  </si>
  <si>
    <t>Interessante Präsentation von #Industrie40 vom Mittelständler Elabo mit dem @Wirtschaftsrat - sehr empfehlenswert! https://t.co/AoygTi2c3N</t>
  </si>
  <si>
    <t>Weidmüller Germany</t>
  </si>
  <si>
    <t>Dank #Mittelstand: Deutschland gewinnt laut Studie Vorsprung bei #Industrie40 gegenüber USA https://t.co/Jo8ks4Cn7x via @faznet</t>
  </si>
  <si>
    <t>Detmold, Deutschland</t>
  </si>
  <si>
    <t>Als einer der führenden Anbieter für elektrische #Verbindungstechnik setzen wir Maßstäbe in der #IndustrialConnectivity. Impressum: https://t.co/SP7xtawZU1</t>
  </si>
  <si>
    <t>RT @Weidmueller: Dank #Mittelstand: Deutschland gewinnt laut Studie Vorsprung bei #Industrie40 gegenüber USA https://t.co/Jo8ks4Cn7x via @f…</t>
  </si>
  <si>
    <t>Jürgen W. Schneider</t>
  </si>
  <si>
    <t>Australia</t>
  </si>
  <si>
    <t>Jordan Olivero</t>
  </si>
  <si>
    <t>Find the way to your own #Cognitive Business - visit @IBMIoT at the HANNOVER MESSE 2016 https://t.co/u8hF6oJUCQ #ibmhmi #Industrie40</t>
  </si>
  <si>
    <t>Highlands Ranch, Colorado</t>
  </si>
  <si>
    <t>Sharing what I notice re: #bizdev #IoT #Intrapreneur #alliances #travel #InternetofThings</t>
  </si>
  <si>
    <t>BEMA Consulting GmbH</t>
  </si>
  <si>
    <t>Arbeit 4.0: Filmfestival Futurale in Tübingen https://t.co/GeJ1vzeuKz #Industrie40 #arbeit40 #employerbranding</t>
  </si>
  <si>
    <t>Nagold / Stuttgart</t>
  </si>
  <si>
    <t>Consulting - Resourcing - Services. Unsere Kernkompetenzen: IT &amp; Engineering, Marketing &amp; Sales, Process &amp; Quality. Unsere Philosophie: Faszination Service</t>
  </si>
  <si>
    <t>Matthias Kietzmann</t>
  </si>
  <si>
    <t>#PhoenixContact Chef Stührenberg zu #Industrie40: Amerikaner haben das Internet, wir haben die Dinge. https://t.co/yo6dhlt0sZ</t>
  </si>
  <si>
    <t>Köln/Düsseldorf</t>
  </si>
  <si>
    <t>Pressesprecher, Ex-Journalist, Klavierspieler, Rhein-Langläufer. Privater Twitter-Account.</t>
  </si>
  <si>
    <t>Man weiß heute noch nicht genau, wie bald es ein zweites Internet geben wird oder ob der klassisc... https://t.co/kFCvRZphLe #Industrie40</t>
  </si>
  <si>
    <t>RT @H_IT_D: Man weiß heute noch nicht genau, wie bald es ein zweites Internet geben wird oder ob der klassisc... https://t.co/kFCvRZphLe #I…</t>
  </si>
  <si>
    <t>ke NEXT</t>
  </si>
  <si>
    <t>Erlebbare Industrie 4.0: Zukunftsfabrik in der SmartFactoryOWL erleben - https://t.co/mpk04Ljeh7 #Industrie40 https://t.co/Lsfrd7LgHM</t>
  </si>
  <si>
    <t>Landsberg/Lech</t>
  </si>
  <si>
    <t>ke NEXT ist das Magazin für den Maschinen- und Anlagenbau im deutschsprachigen Raum.</t>
  </si>
  <si>
    <t>Marc Lügger</t>
  </si>
  <si>
    <t>Nürnberg</t>
  </si>
  <si>
    <t>Infos rund zu Lean, Logistik, Industrie 4.0 und zu einigen privaten Interessen</t>
  </si>
  <si>
    <t>Prof. Baeumle-Courth</t>
  </si>
  <si>
    <t>Twitter for BlackBerry</t>
  </si>
  <si>
    <t xml:space="preserve">FHDW in Bergisch Gladbach </t>
  </si>
  <si>
    <t>Dozent für Mathematik und Informatik an der #FHDW in Nordrhein-Westfalen (v.a. Bergisch Gladbach #gl1); mehr Tweets von mir unter @bctwt...</t>
  </si>
  <si>
    <t>Jürgen Dierlamm</t>
  </si>
  <si>
    <t>Frankfurt am Main, Germany</t>
  </si>
  <si>
    <t>Managing Director it Service Management Forum itSMF Germany, http://t.co/CfjsqUyOlH, Attorney, Principal Consultant, IT Service Management Expert</t>
  </si>
  <si>
    <t>RT @VDMAonline: Yes we can! Maschinen ist bei #Industrie40 in der Pole-Position #HM16 @hannover_messe https://t.co/coJ6Vx4bJY https://t.co/…</t>
  </si>
  <si>
    <t>Systems modeling to manage IT/OT performance https://t.co/DGl2oFKeLK #Technology #Tech #IoT #IIoT #M2M #Industrie40</t>
  </si>
  <si>
    <t>5 Practical Ways to Automate Service with IIoT https://t.co/isnSGisC2v #Technology #Tech #IoT #IIoT #M2M #Industrie40</t>
  </si>
  <si>
    <t>Sebastian Zilch</t>
  </si>
  <si>
    <t>#Gesundheitswirtschaft wird #digital: Chancen müssen von den Akteuren genutzt werden @conhIT #Industrie40 https://t.co/cGOUZxLaRk</t>
  </si>
  <si>
    <t>Berliner by Choice, Digital Enthusiast, Political Realist, Culinary Explorer, Personal Views</t>
  </si>
  <si>
    <t>RT @SebZilch: #Gesundheitswirtschaft wird #digital: Chancen müssen von den Akteuren genutzt werden @conhIT #Industrie40 https://t.co/cGOUZx…</t>
  </si>
  <si>
    <t>Fraunhofer Presse</t>
  </si>
  <si>
    <t>Hier twittern Beate Koch, Jani Järvinen, Sibylle Gaßner und Susanne Pichotta für die Pressestelle der Fraunhofer-Zentrale.</t>
  </si>
  <si>
    <t>Lars Lauber</t>
  </si>
  <si>
    <t>Ehningen, Baden-Württemberg</t>
  </si>
  <si>
    <t>Berater für Cloud - SoftLayer. Views are my own. #IBM #SoftLayer #Bluemix #Cloud</t>
  </si>
  <si>
    <t>platinn</t>
  </si>
  <si>
    <t>Plongée dans le monde de l’industrie 4.0 le 21.04.16 au Forum de la @SGE à la Messe Zürich - https://t.co/avnQU1WE8K - #Industrie40</t>
  </si>
  <si>
    <t>Fribourg, CH</t>
  </si>
  <si>
    <t>Business Innovation for Start-ups and SME's - platinn est une initiative des cantons de FR, VD, VS, NE, GE et JU et soutenue par le SECO au titre de la NPR.</t>
  </si>
  <si>
    <t>stahlmarkt</t>
  </si>
  <si>
    <t>#Industrie40: Top-Thema zur Hannover Messe, Ergebnisse aus der Plattformarbeit v. Bundesminister und... https://t.co/PGjkykA8k4</t>
  </si>
  <si>
    <t>Hier twittert Chefredakteurin Wiebke Sanders, Zeitschrift 'stahlmarkt', Montan- &amp; Wirtschaftsverlag, über Themen der Branche. Impressum: https://t.co/ACaM7GVXPR</t>
  </si>
  <si>
    <t>Fraunhofer AISEC</t>
  </si>
  <si>
    <t>Die Wette ist doch alt. Mittlerweil wird auf Kaufmaschinen und Anlegen gewettet... #Industrie40 https://t.co/gZYGL8sGHG</t>
  </si>
  <si>
    <t>München | Munich</t>
  </si>
  <si>
    <t>Angewandte u. Integrierte Sicherheit | Forschung | Cyber-Sicherheit | Embedded | Automotive | Mobile http://t.co/3EsCJUTAYG</t>
  </si>
  <si>
    <t>r. frankenberger</t>
  </si>
  <si>
    <t>Marketing/Sales/BizDev . Consultant . Author . Speaker . Entrepreneur . Studies in Business Admin. Marketing @unibasel and General Management @EBSuniversitaet</t>
  </si>
  <si>
    <t>CONSILIO</t>
  </si>
  <si>
    <t>Mittendrin statt nur dabei - #Industrie40 im Fokus - #CONSILIO auf der #hannovermesse #Hannover - Halle 7, Stand B17</t>
  </si>
  <si>
    <t>Aschheim, Bayern</t>
  </si>
  <si>
    <t>SAP Experte für Supply Chain Management Beratung, Projektmanagement &amp; Systemintegration in der Fertigungsindustrie. Impressum: http://t.co/SHxvt5fQjk</t>
  </si>
  <si>
    <t>Service Kompass</t>
  </si>
  <si>
    <t>Aschaffenburg, Bayern</t>
  </si>
  <si>
    <t>Die Berater für Service Management - mit dem Kompass für guten Service Impressum: https://t.co/QoJ8iJmv4l</t>
  </si>
  <si>
    <t>ID Kompass</t>
  </si>
  <si>
    <t>#Industrie40: Wie smarte Produkte Unternehmen verändern. https://t.co/lWcFW1p0OG</t>
  </si>
  <si>
    <t>Das Portal für digitale Transformation. Impressum: https://t.co/hfQDgnJHnJ</t>
  </si>
  <si>
    <t>Deutschland gewinnt anscheinend Vorsprung bei Industrie 4.0 gegenüber USA https://t.co/Fod22hH2ud via @FinanzenNet #Industrie40 #40</t>
  </si>
  <si>
    <t>Montabaur, 19. April 2016 - Das Manufacturing Execution System (MES) der iTAC Software AG (www.it... https://t.co/Iz6qiCUrvz #Industrie40</t>
  </si>
  <si>
    <t>PORTAL ALEMANIA</t>
  </si>
  <si>
    <t>#HM16 - #Obama bringt 1000-köpfige Delegation nach #Hannover. #Industrie40 https://t.co/758rz13Jqd vía @welt</t>
  </si>
  <si>
    <t xml:space="preserve">Madrid </t>
  </si>
  <si>
    <t>Información y actualidad sobre trabajar, estudiar, vivir en #Alemania y aprender #alemán.</t>
  </si>
  <si>
    <t>Die #IoT-Datenflut mit "Vergessen" bekämpfen #Industrie40 #IIoT https://t.co/OjyXGS3Mea</t>
  </si>
  <si>
    <t>#Industrie40: Wenn das Werkstück die #Produktion steuert [#Video] https://t.co/9ardB9zxM3 #IoT #IIoT #SmartFactory</t>
  </si>
  <si>
    <t>Trendreport: Sind #IIoT &amp; #Industrie40 schon zu spüren? Ein Spezialist für industrielle Kommunikation gibt Einblicke https://t.co/1OrS0bSoJN</t>
  </si>
  <si>
    <t>Der_Betriebsleiter</t>
  </si>
  <si>
    <t>Dr. Kammüller,#Trumpf:Wir sehen #Produktivitätssteigerungen von 30 % durch die Umsetzung von #Industrie40 als realistisch an @TRUMPF_News</t>
  </si>
  <si>
    <t>B2B-Magazin für Verantwortliche in Produktion und Betrieb sowie technische Führungskräfte in der Industrie</t>
  </si>
  <si>
    <t>@Siemens contributed benchmark results to vbm bayme #Industrie40 initiative #dual #VET @janinakugel @RosaRiera https://t.co/5R0BL6ekpr</t>
  </si>
  <si>
    <t>Dr. Rübling,#Trumpf zum Thema Mensch in der #Industrie40:Auch die Lernformen werden sich ändern,wir brauchen eine Didaktik 4.0 @TRUMPF_News</t>
  </si>
  <si>
    <t>RT @MarioReinsch: Trendreport: Sind #IIoT &amp; #Industrie40 schon zu spüren? Ein Spezialist für industrielle Kommunikation gibt Einblicke http…</t>
  </si>
  <si>
    <t>Messe Guide – Teil 2: Unterstützung und Beratung in Niedersachsen für Ihre Digitalisierungsprojekte https://t.co/NsDfN30CEG #industrie40</t>
  </si>
  <si>
    <t>.@iunoprojekt Security leaders &amp; academia facilitate the adoption of #Industrie40 #HMI16 https://t.co/D66YS2SAF8 https://t.co/xoa6P8x0Ju</t>
  </si>
  <si>
    <t>AXOOM DE</t>
  </si>
  <si>
    <t>#AXOOM &amp; #TRUMPF gewinnen Innovationspreis der deutschen Wirtschaft Kategorie #Industrie40 https://t.co/O576iGC8jm https://t.co/jOOq4v8C98</t>
  </si>
  <si>
    <t>Karlsruhe, Baden-Württemberg</t>
  </si>
  <si>
    <t>AXOOM ist Ihre digitale Geschäftsplattform für die Fertigung. Wir gehen mit Ihnen den Weg zur Industrie 4.0. https://t.co/FjGd2QTE5j</t>
  </si>
  <si>
    <t>DCAI 4.0</t>
  </si>
  <si>
    <t>Die Deutsch-Chinesische Allianz für Industrie 4.0 e.V. setzt sich für gemeinsame deutsch-chinesische Industrie 4.0 Normen und Standards ein.</t>
  </si>
  <si>
    <t>AUTONOMIK_DE</t>
  </si>
  <si>
    <t>@Autonomik40 bloggt: Neues aus den Projekten, Querschnittsthemen und #Industrie40 unter https://t.co/tlAnjBvKVF</t>
  </si>
  <si>
    <t>Hier twittert LHLK im Rahmen der Begleitforschung rund um das Technologieprogramm AUTONOMIK für Industrie 4.0</t>
  </si>
  <si>
    <t>#Industrie40-Lösungen von akquinet. Halle 11/Stand C13. Vereinbaren Sie einen Termin mit uns:https://t.co/UjIUBO3Vrl https://t.co/VUuauZMHYX</t>
  </si>
  <si>
    <t>Richtig: Reduzierung von #Fehlerquote und #Materialbedarf sind weitere! #IoT #I40 #Industrie40 https://t.co/gfr4RIwLA7</t>
  </si>
  <si>
    <t>A new version of the #Industrie40 diagram. By Dr Christina Reuter from #WZL @RWTH in a #I40 consortium project https://t.co/42eD7M6VHY</t>
  </si>
  <si>
    <t>Veranstaltungstipp auf der Hannover Messe: Forum „Mittelstand Digital“, Mittwoch Podiumsdiskussion https://t.co/qPMpGs7s9Q #industrie40</t>
  </si>
  <si>
    <t>RT @Frank_Reinelt: A new version of the #Industrie40 diagram. By Dr Christina Reuter from #WZL @RWTH in a #I40 consortium project https://t…</t>
  </si>
  <si>
    <t>Dominik Manteuffel</t>
  </si>
  <si>
    <t>Kassel, Hessen, Germany</t>
  </si>
  <si>
    <t>...ääh - was?</t>
  </si>
  <si>
    <t>Dr.Leibinger,#Trumpf:Wir glauben,dass #AdditiveManufacturing invielen Bereichen #Enabler für #Industrie40 sein kann https://t.co/pTnkRN8KkJ</t>
  </si>
  <si>
    <t>Rechtzeitig zur #HM2016: BostonConsulting entwarnt-deut. #KMU sind auf dem #Industrie40-Pfad https://t.co/nM3LuKF3ex https://t.co/q78HZojgY2</t>
  </si>
  <si>
    <t>Dr. Carlo Piltz</t>
  </si>
  <si>
    <t>Heute beim 1. @itSMF_DE L!VE Event 2016 in Frankfurt. Danke für die Einladung. Feue mich auf meinen Vortrag zu #Datenschutz und #Industrie40</t>
  </si>
  <si>
    <t>Lawyer at @JBB_Law // Co-Editor of Privacy in Germany (@PinG_Journal) // (views are my own) https://t.co/hSt1NgzftC #EUDataP #Datenschutz #privacy</t>
  </si>
  <si>
    <t>Dennis A. Seidel</t>
  </si>
  <si>
    <t>#industrie40 + #industrialinternet is out! https://t.co/tQQE3dMgz9 Stories via @chris_gdmn @ThorbenAlbrecht @aniaclug</t>
  </si>
  <si>
    <t>#IBMer - Knows Smarter Industry - Developer #juniordevforlife - Personal opinions!</t>
  </si>
  <si>
    <t>RT @foresight_lab: Rechtzeitig zur #HM2016: BostonConsulting entwarnt-deut. #KMU sind auf dem #Industrie40-Pfad https://t.co/nM3LuKF3ex htt…</t>
  </si>
  <si>
    <t>RT @DerKonstrukteu: Dr.Leibinger,#Trumpf:Wir glauben,dass #AdditiveManufacturing invielen Bereichen #Enabler für #Industrie40 sein kann htt…</t>
  </si>
  <si>
    <t>Dr.Kammüller,#Trumpf:#Industrie40 wird in unserer eigenen #Produktion innerhalb von 5 Jahren komplett umgesetzt sein https://t.co/2FwfFtpiFC</t>
  </si>
  <si>
    <t>Werbeagentur Beck</t>
  </si>
  <si>
    <t>Esslingen</t>
  </si>
  <si>
    <t>Hier tweetet die Werbeagentur Beck, Experten für Media, Corporate Publshing und BtoB-Marketing.</t>
  </si>
  <si>
    <t>Lisa Barclay</t>
  </si>
  <si>
    <t>RT @JordanOlivero1: Find the way to your own #Cognitive Business - visit @IBMIoT at the HANNOVER MESSE 2016 https://t.co/u8hF6oJUCQ #ibmhmi…</t>
  </si>
  <si>
    <t>Toronto</t>
  </si>
  <si>
    <t>I may work for IBM however the tweets are my own. #IoT #wine #beer #cider #politics #equality</t>
  </si>
  <si>
    <t>RT @CarloPiltz: Heute beim 1. @itSMF_DE L!VE Event 2016 in Frankfurt. Danke für die Einladung. Feue mich auf meinen Vortrag zu #Datenschutz…</t>
  </si>
  <si>
    <t>Dr.Leibinger,#Trumpf:Die rechtlichen Rahmenbedingungen sind noch nicht ausreichend f. die Umsetzung von #Industrie40 https://t.co/JBhchqyP4x</t>
  </si>
  <si>
    <t>Das #Technologieunternehmen #Trumpf,aktiv in #Industrie40,will #Arbeit mobil&amp;agil gestalten,den #Menschen mitnehmen https://t.co/udt5g4UNk5</t>
  </si>
  <si>
    <t>RT @mbaukarriere: Das #Technologieunternehmen #Trumpf,aktiv in #Industrie40,will #Arbeit mobil&amp;agil gestalten,den #Menschen mitnehmen https…</t>
  </si>
  <si>
    <t>Konkrete Entscheidungshilfe gibt Niko Bender, CMO bei PlusServer, im Gespräch mit CloudComputing-... https://t.co/t79aiIepjf #Industrie40</t>
  </si>
  <si>
    <t>O+P Magazin</t>
  </si>
  <si>
    <t>Mainz; Germany</t>
  </si>
  <si>
    <t>Das B2B-Magazin über fluidtechnische Komponenten und Systeme / our international account: @MDA_Technology</t>
  </si>
  <si>
    <t>Günther H. Oettinger</t>
  </si>
  <si>
    <t>Now! Watch our press conference on #DigitiseEU Industry. https://t.co/nI0RPquQfs https://t.co/Kh3nVh4WUN #Industrie40 #Industry40</t>
  </si>
  <si>
    <t>I am Günther H. Oettinger, EU Commissioner for Digital Economy and Society. This feed is maintained by me and my team.</t>
  </si>
  <si>
    <t>Weniger ausgebildetes Personal bedroht die Produktivität und Wachstum. #industrie40 #hmi16 https://t.co/X76gWOjN9R https://t.co/G7pfbMkmoD</t>
  </si>
  <si>
    <t>Rockwell Automation ist weltgrößter spezialisierter Anbieter von industriellen Automatisierungs- und Informationslösungen. Sitz in Österreich ist Linz.</t>
  </si>
  <si>
    <t>Weniger ausgebildetes Personal bedroht die Produktivität und Wachstum. #industrie40 #hmi16 https://t.co/ZGzKf0JnS5 https://t.co/EjchSn6PTQ</t>
  </si>
  <si>
    <t>Rockwell Automation ist weltgrößter spezialisierter Anbieter von industriellen Automatisierungs- und Informationslösungen. Sitz in Deutschland ist Düsseldorf.</t>
  </si>
  <si>
    <t>Weniger ausgebildetes Personal bedroht die Produktivität und Wachstum. #industrie40 #hmi16 https://t.co/12FnqNtAkA https://t.co/DRgSWDYkKA</t>
  </si>
  <si>
    <t>Rockwell Automation ist weltgrößter spezialisierter Anbieter von industriellen Automatisierungs- und Informationslösungen. Hauptsitz in der Schweiz ist Aarau.</t>
  </si>
  <si>
    <t>Vier verschiedene Vorträge in den nächsten 10 Tagen zu halten. Das kostet doch etwas Vorbereitungszeit. #Industrie40</t>
  </si>
  <si>
    <t>Pascale Dupont</t>
  </si>
  <si>
    <t>RT @GOettingerEU: Now! Watch our press conference on #DigitiseEU Industry. https://t.co/nI0RPquQfs https://t.co/Kh3nVh4WUN #Industrie40 #In…</t>
  </si>
  <si>
    <t>European Commission - Research &amp; Innovation</t>
  </si>
  <si>
    <t>Spiro Dhapi</t>
  </si>
  <si>
    <t>Founder &amp; CEO at https://t.co/5XRsHObDWd, Tech Legal and Policy Expert</t>
  </si>
  <si>
    <t>PLSD</t>
  </si>
  <si>
    <t>RT @PortalAlemania: #HM16 - #Obama bringt 1000-köpfige Delegation nach #Hannover. #Industrie40 https://t.co/758rz13Jqd vía @welt</t>
  </si>
  <si>
    <t>España</t>
  </si>
  <si>
    <t>Fundado en Diciembre de 2011</t>
  </si>
  <si>
    <t>dimitarstoyanov</t>
  </si>
  <si>
    <t>sofia</t>
  </si>
  <si>
    <t>former adviser regional development ministry, chairman bgkonwledge management associtaion</t>
  </si>
  <si>
    <t>#Bosch will bei #Industrie40 enger an die USA rücken #Hannover Messe #Messen https://t.co/FVErGauNpu</t>
  </si>
  <si>
    <t>PhotonicsEU</t>
  </si>
  <si>
    <t>Light and light based technologies are driving current science and innovation. Official account of the European Commission. #Horizon2020 #IYL2015</t>
  </si>
  <si>
    <t>Stella Vaskoudi</t>
  </si>
  <si>
    <t>RT GOettingerEU "Now! Watch our press conference on #DigitiseEU Industry. https://t.co/Uex1kVcatr https://t.co/Ajo0UmQDYw #Industrie40 #I…</t>
  </si>
  <si>
    <t>Attica, Greece</t>
  </si>
  <si>
    <t>EU Affairs &amp; Communications Policy at https://t.co/MIHRbjkbqg. All opinions and tweets are my own. Retweets are not endorsements.</t>
  </si>
  <si>
    <t>Christian V. Berg</t>
  </si>
  <si>
    <t>Dansk Energi / chb@danskenergi.dk/ +4522750411 #FTTH #gigabit #IoT #Cloud #OTT #4K #VR #DigitalSingleMarket RTs and Likes ≠ endorsements</t>
  </si>
  <si>
    <t>Dr.Kammüller,#Trumpf:#Industrie40 ist eine große Chance f. die #Industrie,ebenso wie #Lean,ich bin immer überrascht,wie wenige sie ergreifen</t>
  </si>
  <si>
    <t>Oliver Staffelbach</t>
  </si>
  <si>
    <t>Zürich, Schweiz</t>
  </si>
  <si>
    <t>Rechtsanwalt im Bereich IT-Recht, Mitglied der Vorstände von smama und SICTIC</t>
  </si>
  <si>
    <t>Zeljko Pazin</t>
  </si>
  <si>
    <t>Brussels</t>
  </si>
  <si>
    <t>Executive Director of EFFRA, the European Factories of the Future Research Association, &amp; Manager at Orgalime, the European Engineering Industries Association</t>
  </si>
  <si>
    <t>Aymard de Touzalin</t>
  </si>
  <si>
    <t>#Europe, #science, #technology, disruptive #research and #innovation working @fet_eu at European Commission in Brussels. Mes tweets n'engagent que moi!</t>
  </si>
  <si>
    <t>Bilz Werkzeugfabrik</t>
  </si>
  <si>
    <t>Ostfildern</t>
  </si>
  <si>
    <t>BILZ – wir halten, was wir versprechen Seit über 90 Jahren sind wir weltweit führend in den Bereichen Gewindespanntechnik und thermische Werkzeugspannung.</t>
  </si>
  <si>
    <t>Andreas Streim</t>
  </si>
  <si>
    <t>Digital Resident * Beruflich Pressesprecher beim Bitkom e.V., twittert hier privat / Vater, Linux-ianer mit Hang zu Androiden, bloggt &amp; programmiert</t>
  </si>
  <si>
    <t>#Digitalisierung: Eine Betrachtung abseits von Panik und Hype https://t.co/ill5xBCoWz @MigrosMagazin #Arbeiten40 #Industrie40</t>
  </si>
  <si>
    <t>FM_elektrotechnik</t>
  </si>
  <si>
    <t>@aeaktuell: Spezialist erklärt, welche Netzwerke in der industr. Kommunikation die Nase vorn haben #IoT #Industrie40 https://t.co/4tEtG2mpGA</t>
  </si>
  <si>
    <t>Dortmund</t>
  </si>
  <si>
    <t>Die Fachmesse für #Elektrotechnik und #Elektronik in den Bereichen #Gebäudetechnik, #Licht, #Industrie #Automation und #Elektromobilität #elektrotechnik2017</t>
  </si>
  <si>
    <t>Simon Schneider</t>
  </si>
  <si>
    <t>#Digitalisierung und Industrie 4.0: Deutscher Mittelstand liegt vor den USA https://t.co/WnZcDZ0qpA #industrie40 #mittelstand</t>
  </si>
  <si>
    <t>Sino-German Metal Eco City in #Jieyang Business Opportunities in #China. Based in #Munich. World traveller. Trends. Positive. Business Development. #Ecocity</t>
  </si>
  <si>
    <t>#industrie40 zu eng auf Produktion, #Bitkom diskutiert Cyber-Physical Sytems in breitem Kontext, Gastgeber @TCS_News https://t.co/Bz5CCrI3Eh</t>
  </si>
  <si>
    <t>RT @FM_Elektro: @aeaktuell: Spezialist erklärt, welche Netzwerke in der industr. Kommunikation die Nase vorn haben #IoT #Industrie40 https:…</t>
  </si>
  <si>
    <t>OpenScienceEU</t>
  </si>
  <si>
    <t>Science News</t>
  </si>
  <si>
    <t>RT @Bitkom_I40: #industrie40 zu eng auf Produktion, #Bitkom diskutiert Cyber-Physical Sytems in breitem Kontext, Gastgeber @TCS_News https:…</t>
  </si>
  <si>
    <t>TÜV NORD Politik</t>
  </si>
  <si>
    <t>RT @TUV_IT: #Digitalisierung #Industrie40 – aber sicher. #TÜVNORD Strategie mit Vorstand D.Stenkamp https://t.co/bynL82Ef7v https://t.co/rZ…</t>
  </si>
  <si>
    <t>Berlin/Hannover/Hamburg/Essen</t>
  </si>
  <si>
    <t>Hier twittert das Politik-Team der Berliner Konzernrepräsentanz der TÜV NORD GROUP - Impressum: http://t.co/MiH5y1zQjM</t>
  </si>
  <si>
    <t>Martina Werner</t>
  </si>
  <si>
    <t>Mitteilung der #EuropeanCommision zu #Industrie40: Verspäteter Upload! #Digitalisierung https://t.co/oQge0O52Zy</t>
  </si>
  <si>
    <t>Nordhessen/Brüssel/Straßburg</t>
  </si>
  <si>
    <t>Mitglied der @SPDEuropa im @europarl_de. Mitglied des Ausschusses Industrie, Forschung und Energie @EP_Industry. Nordhessin. Team twittert mit.</t>
  </si>
  <si>
    <t>GO GREEN</t>
  </si>
  <si>
    <t>Why destroy our fragile climate just to satisfy fossil fuel industry profit margins when we can Go Green and save life on earth.</t>
  </si>
  <si>
    <t>Deutschland digital: Neue Allianz definiert 7 Schritte in die Zukunft: https://t.co/3ImV9CWjrD #Industrie40 #Digitalisierung</t>
  </si>
  <si>
    <t>#Digitalisierung und #Industrie40. Deutsche Firmen noch vor den USA? https://t.co/zcz83BRs5T</t>
  </si>
  <si>
    <t>SAP IoT</t>
  </si>
  <si>
    <t>RT @UweKubach: Discover the most exciting #Industrie40 scenarios. Visit #SAP and partners at #HM16: https://t.co/8G9XxH7CzM #IoT @SAP_IoT</t>
  </si>
  <si>
    <t>Official SAP® Internet of Things Twitter channel</t>
  </si>
  <si>
    <t>Pressemitteilung – #AXOOM entwickelt sich zu begehrter Geschäftsplattform für die fertigende Industrie. #Industrie40 https://t.co/voF0Vtl4qr</t>
  </si>
  <si>
    <t>@changetokaizen @gsohn Da bin ich jetzt schon richtig gespannt, was da im #Shopfloor mit #Industrie40 läuft.</t>
  </si>
  <si>
    <t>RT @AxoomDe: Pressemitteilung – #AXOOM entwickelt sich zu begehrter Geschäftsplattform für die fertigende Industrie. #Industrie40 https://t…</t>
  </si>
  <si>
    <t>RT @akquinet: #Industrie40-Lösungen von akquinet. Halle 11/Stand C13. Vereinbaren Sie einen Termin mit uns:https://t.co/UjIUBO3Vrl https://…</t>
  </si>
  <si>
    <t>DialogEnergieZukunft</t>
  </si>
  <si>
    <t>#Industrie40 kennt jeder. Aber #Handwerk40 ? @Energieheld über #Digitalisierung + #Handwerk https://t.co/JtOkllfdbr https://t.co/RTKe4sNp2t</t>
  </si>
  <si>
    <t>Gemeinsam Energie neu denken: Jetzt mitdiskutieren im Energiewende-Blog! Energiewende aktuell - eine Initiative der EnBW. Moderiert von Hubertus Grass.</t>
  </si>
  <si>
    <t>From Hype to Business Value: Capgemini über #Industrie40, #IoT &amp; #BigData auf der #hm16 https://t.co/qMAg5SHFFK ^bas https://t.co/UwUCAIjGME</t>
  </si>
  <si>
    <t>#Industrie40 ist ein Weckruf für diejenigen, die die #Digitalisierung bis heute verschlafen haben.</t>
  </si>
  <si>
    <t>Barbara Stratton</t>
  </si>
  <si>
    <t>Chair, @eblida Expert Group on Information Law. Member, @IFLA &amp; @UKLACA copyright committees. Tweets are my own. RTs and links do not imply any endorsement.</t>
  </si>
  <si>
    <t>#Industrie40 live erleben auf der Hausmesse #Intech bei #Trumpf in Ditzingen, noch bis Samstag,23.4. @TRUMPF_News https://t.co/UvUB6f4zud</t>
  </si>
  <si>
    <t>HEAT Software</t>
  </si>
  <si>
    <t>HEAT auf #itSMF Event: Ganzheitliche Sicherheitkultur für #Industrie40 https://t.co/os3Oj27WLv</t>
  </si>
  <si>
    <t>On-Premise, Cloud oder Hybrid? HEATSoftware bietet innovatives Service-, Client- &amp; Unified Endpoint Management über eine Plattform – egal welche Bereitstellung.</t>
  </si>
  <si>
    <t>RT @HEATSoftwareDE: HEAT auf #itSMF Event: Ganzheitliche Sicherheitkultur für #Industrie40 https://t.co/os3Oj27WLv</t>
  </si>
  <si>
    <t>RT @Der_Betriebslei: #Industrie40 live erleben auf der Hausmesse #Intech bei #Trumpf in Ditzingen, noch bis Samstag,23.4. @TRUMPF_News http…</t>
  </si>
  <si>
    <t>ʎәʞɹɐqɹәʇsәʍ uɐɾ</t>
  </si>
  <si>
    <t>qɐɹʞǝʎʌıןןǝ</t>
  </si>
  <si>
    <t>ʍɥıɹןʍıup, googןǝɹ, pızzʎıugןʎ ǝugɐgıug dǝʇǝɹ dɐu ןıɟǝ. oɥ, ɐup, qʎ ʇɥǝ ʍɐʎ, ןǝss ןǝɐpǝɹsɥıp ɐup ɯoɹǝ ɯɐuɐgǝɯǝuʇ ıuʇo ʇɥǝ ɔoɯpןǝʇǝ uuʞoʍu, ןıʌıug ɐuʇɥǝuʇıɔɐןןʎ.</t>
  </si>
  <si>
    <t>Über dieses Portal haben ETL-Mandanten weltweit jederzeit einen schnellen und sicheren Zugriff au... https://t.co/3JyavI9Jw1 #Industrie40</t>
  </si>
  <si>
    <t>Erleben Sie, wie #Industrie40 funktionieren kann, live in der Blechfertigung #Trumpf #I40 #IoT https://t.co/E8mCBhYikD</t>
  </si>
  <si>
    <t>AHK Baltic States</t>
  </si>
  <si>
    <t>RT @BoschPresse: #Bosch will bei #Industrie40 enger an die USA rücken #Hannover Messe #Messen https://t.co/FVErGauNpu</t>
  </si>
  <si>
    <t>Riga, Latvia</t>
  </si>
  <si>
    <t>Erster Ansprechpartner und größtes Netzwerk für Estland, Lettland und Litauen. Your first contact and network for the German market.</t>
  </si>
  <si>
    <t>RT @DerKonstrukteu: Erleben Sie, wie #Industrie40 funktionieren kann, live in der Blechfertigung #Trumpf #I40 #IoT https://t.co/E8mCBhYikD</t>
  </si>
  <si>
    <t>RT @H_IT_D: Über dieses Portal haben ETL-Mandanten weltweit jederzeit einen schnellen und sicheren Zugriff au... https://t.co/3JyavI9Jw1 #I…</t>
  </si>
  <si>
    <t>Claas Borchers</t>
  </si>
  <si>
    <t>Hannes Klöpper</t>
  </si>
  <si>
    <t>"Die Qualifikation der Mitarbeiter ist die Herausforderung Nummer 1" Markus Lorenz, Partner BCG #Industrie40 https://t.co/OwOJcQrcL5</t>
  </si>
  <si>
    <t>Education should make lives not just more successful but also more significant. Co-Founder http://t.co/WWC2GFGZAO. Co-author Die Universität im 21. Jahrhundert</t>
  </si>
  <si>
    <t>#Industrie40 ist ein Zukunftsprojekt. #IoT #cloudcomputing #m2m #Digitalisierung @verlinked https://t.co/3ss45iS3Wq</t>
  </si>
  <si>
    <t>#Industrie40 : Stopp durch Berechtigungschaos? Management drohen Milliardenschäden via https://t.co/oYr4KW8qzp #MeinGeld #Digitalisierung</t>
  </si>
  <si>
    <t>#Industrie40 erfahren und erleben bei #Trumpf auf der Hausmesse #Intech, bis 23.4. @TRUMPF_News #I40 #IoT https://t.co/bnpM1izvm1</t>
  </si>
  <si>
    <t>#Morgen nicht verpassen - #Webinar: Umsetzung von #IoT,#m2m,#Industrie40 &amp; #Digitalisierung, https://t.co/xP9GxbOv7R https://t.co/7Ew7mUdwEY</t>
  </si>
  <si>
    <t>#Trumpf begleitet Unternehmen auf dem Weg in die vernetzte Fertigung,gibt #Industrie40-Wissen weiter in Schulungen https://t.co/Jw5V5EPX8E</t>
  </si>
  <si>
    <t>RT @Der_Betriebslei: #Trumpf begleitet Unternehmen auf dem Weg in die vernetzte Fertigung,gibt #Industrie40-Wissen weiter in Schulungen htt…</t>
  </si>
  <si>
    <t>Einkauf u Management</t>
  </si>
  <si>
    <t>Einkauf &amp; Supply Management - ÖPWZ-Jahreskongress https://t.co/7JgdxbbbN5 #industrie40 #digitalisierung #forumeinkauf #öpwz</t>
  </si>
  <si>
    <t>Wien</t>
  </si>
  <si>
    <t>Online-Magazin des Forum Einkauf im ÖPWZ, Wien, Impressum: https://t.co/U586P9YYTr</t>
  </si>
  <si>
    <t>canario_acosado</t>
  </si>
  <si>
    <t>Las Palmas de Gran Canaria</t>
  </si>
  <si>
    <t>StopAcosoPPCanario NoUtilizaraFCSEparaAcosarme NoAcosoSocialVecinal NoAllanarMiMorada NoViolarMiIntimidad NoAcosoDGJusticiaCanaria NoAcosoMédicsForensesLPalmas</t>
  </si>
  <si>
    <t>Diane Mievis</t>
  </si>
  <si>
    <t>Colleagues are organising a super interesting event on Factory of Future. Would you like to join us? #Industrie40 https://t.co/AGaUFSFc74</t>
  </si>
  <si>
    <t>Global Economic Affairs @DIGITALEUROPE. There might be some personal tweets in the lot. And all are my views only.</t>
  </si>
  <si>
    <t>Rebelión Aluminio</t>
  </si>
  <si>
    <t>RT CanarioAcosado "RT PortalAlemania: #HM16 - #Obama bringt 1000-köpfige Delegation nach #Hannover. #Industrie40 https://t.co/yeiW7b6XfL v…</t>
  </si>
  <si>
    <t>La Coruña, Galicia</t>
  </si>
  <si>
    <t>Nacida por unha necesidade</t>
  </si>
  <si>
    <t>RT @RebelinAluminio: RT CanarioAcosado "RT PortalAlemania: #HM16 - #Obama bringt 1000-köpfige Delegation nach #Hannover. #Industrie40 https…</t>
  </si>
  <si>
    <t>Sabrina Donnerstag</t>
  </si>
  <si>
    <t>Jetzt für #itsOWL Summer School bewerben! Fachwissen + #Industrie40-Praxisbeispiele für Nachwuchskräfte https://t.co/UFqxmQ4bpD @THINK_ING</t>
  </si>
  <si>
    <t>Paderborn, Bielefeld, Lemgo</t>
  </si>
  <si>
    <t>Marketing &amp; PR beim Technologie-Netzwerk Intelligente Technische Systeme OstWestfalenLippe (#itsOWL)</t>
  </si>
  <si>
    <t>itsOWL_Cluster: Jetzt für #itsOWL Summer School bewerben! Fachwissen + #Industrie40-Praxisbeispiele für Nachwuchskräfte …</t>
  </si>
  <si>
    <t>RT @ITK_OWL: itsOWL_Cluster: Jetzt für #itsOWL Summer School bewerben! Fachwissen + #Industrie40-Praxisbeispiele für Nachwuchskräfte …</t>
  </si>
  <si>
    <t>Es gibt keine Altersgrenze bei der Summer School :) Aber vielleicht ist hier was dabei: https://t.co/BMTFeX76AB @nowanda1 #Industrie40</t>
  </si>
  <si>
    <t>.@VDMAonline: Maschinen- und Anlagenbau ist bei #Industrie40 in der Pole-Position [VIDEO] #HM16 #IIoT https://t.co/cM2JjuvR3E</t>
  </si>
  <si>
    <t>Karlsruhe, 19. April 2016 – Mehrwerte für Kunden schaffen: mit diesem Ziel hat der Karlsruher Co-... https://t.co/mMa5AWncIM #Industrie40</t>
  </si>
  <si>
    <t>SCHEER</t>
  </si>
  <si>
    <t>Steigern Sie die Effizienz Ihrer Produktionsprozesse! Besuchen Sie uns @hannover_messe https://t.co/5ar2uSYAiV #Industrie40 #manufacturing</t>
  </si>
  <si>
    <t>Saarbrücken</t>
  </si>
  <si>
    <t>Hier twittert das Scheer Marketingteam Neuigkeiten und interessante Themen rund um die Scheer GmbH! Impressum: https://t.co/4TKNHMmz44</t>
  </si>
  <si>
    <t>RT @MarioReinsch: .@VDMAonline: Maschinen- und Anlagenbau ist bei #Industrie40 in der Pole-Position [VIDEO] #HM16 #IIoT https://t.co/cM2Jju…</t>
  </si>
  <si>
    <t>A Forlì un seminario su "#Internetdellecose, #industria40 "“ #InternetOfThings #Industrie40 https://t.co/VH1bp0cyT1 https://t.co/Ze6wRHYccX</t>
  </si>
  <si>
    <t>RT @Scheer_GmbH: Steigern Sie die Effizienz Ihrer Produktionsprozesse! Besuchen Sie uns @hannover_messe https://t.co/5ar2uSYAiV #Industrie4…</t>
  </si>
  <si>
    <t>RT @H_IT_D: Karlsruhe, 19. April 2016 – Mehrwerte für Kunden schaffen: mit diesem Ziel hat der Karlsruher Co-... https://t.co/mMa5AWncIM #I…</t>
  </si>
  <si>
    <t>bernard gainnier</t>
  </si>
  <si>
    <t>Chairman of PwC France and Francophone Africa. How PwC build trust in society and solve important problems @PwC_France @PwCCarrieres #digital Views are my own</t>
  </si>
  <si>
    <t>Innovative Lösungen der #Industrie40 präsentieren wir &amp; unsere Aussteller @hannover_messe: https://t.co/jXBhOIH1OY https://t.co/PzTqgwi7nK</t>
  </si>
  <si>
    <t>Nico Schilling</t>
  </si>
  <si>
    <t>Master of Laws - Talent Development - New Ways of Working @EYGSACareers - Passionate Runner - Opinions are my own</t>
  </si>
  <si>
    <t>DERDACK</t>
  </si>
  <si>
    <t>Alert notification &amp; anywhere response becomes part of #Industrie40 w/ #Derdack. See you at #Bitkom Innovation Area. https://t.co/xtKXMuajKm</t>
  </si>
  <si>
    <t>Germany / US</t>
  </si>
  <si>
    <t>Reliable incident alerting and anywhere response. 10x faster and super effective. https://t.co/8OEm46fhVs</t>
  </si>
  <si>
    <t>Informationsreihe: #Industrie40, #Digitalisierung, #Software, Prozessen und weiteren Themen https://t.co/lEBzZjopw3 https://t.co/pBKN1VNJP0</t>
  </si>
  <si>
    <t>w|maxx consulting</t>
  </si>
  <si>
    <t>#Eprocurement #Industrie40 im Einkauf. Wir haben Experten für jede Branche. https://t.co/8YXErWyDD6</t>
  </si>
  <si>
    <t>Weyhe, Deutschland</t>
  </si>
  <si>
    <t>Einkaufsberatung für Unternehmen, Kostenanalyse, Interimsmansgement.</t>
  </si>
  <si>
    <t>RT @wmaxx_consultig: #Eprocurement #Industrie40 im Einkauf. Wir haben Experten für jede Branche. https://t.co/8YXErWyDD6</t>
  </si>
  <si>
    <t>Automationstechnik</t>
  </si>
  <si>
    <t>Speech by @phoenixcontactM's specialist in #Industrie40 Frank Knafla at #Lodz #Industry40 conference today https://t.co/5CnXnnPXwz</t>
  </si>
  <si>
    <t>Kraków</t>
  </si>
  <si>
    <t>Manufacturer of high-tech equipment for the automation of production. Supplier of LEAN Manufacturing tools. Partner of BOSCH REXROTH in Poland.</t>
  </si>
  <si>
    <t>RT @Apandia: #Industrie40 ist ein Weckruf für diejenigen, die die #Digitalisierung bis heute verschlafen haben.</t>
  </si>
  <si>
    <t>Eilistraee</t>
  </si>
  <si>
    <t>Best adult Dating in your city https://t.co/CwLQ7PWSXa #Industrie40</t>
  </si>
  <si>
    <t>hammer1</t>
  </si>
  <si>
    <t>Click here</t>
  </si>
  <si>
    <t>DIN</t>
  </si>
  <si>
    <t>DIN veröffentlicht Standard für das Referenzarchitekturmodell #Industrie40 https://t.co/VcUzUIDScT</t>
  </si>
  <si>
    <t>DIN erarbeitet Normen &amp; Standards als Dienstleistung für Wirtschaft, Staat &amp; Gesellschaft. Impressum: http://t.co/MhdbXLPYln</t>
  </si>
  <si>
    <t>Only 6 days left till @hannover_messe! #HM16 #HM16USA #selectUSA #Industrie40 #IntegratedEnergy #TuesdayTravelTip https://t.co/iXCNhLsgLb</t>
  </si>
  <si>
    <t>CSA Group Europa</t>
  </si>
  <si>
    <t>#Industrie40 ist keine Vision, sondern Realität, sagt Marc Siemering von der @hannover_messe https://t.co/pcX4JpOdkU https://t.co/4JF91qATNk</t>
  </si>
  <si>
    <t>Folgen Sie dem Twitter Kanal der CSA Group in Europa - Ihr Anbieter von lokalen #Produktprüfungen &amp; #Zertifizierungen für den globalen #Marktzugang.</t>
  </si>
  <si>
    <t>#Industrie40 ist produktiver, effizienter, günstiger und schneller #IoT #cloudcomputing #m2m @verlinked https://t.co/3ss45iS3Wq</t>
  </si>
  <si>
    <t>RT @verlinked: #Industrie40 ist produktiver, effizienter, günstiger und schneller #IoT #cloudcomputing #m2m @verlinked https://t.co/3ss45…</t>
  </si>
  <si>
    <t>RT @CSAGroup_Europa: #Industrie40 ist keine Vision, sondern Realität, sagt Marc Siemering von der @hannover_messe https://t.co/pcX4JpOdkU h…</t>
  </si>
  <si>
    <t>Insgesamt steht damit zwar durchaus viel auf dem Plan, das neue Jahr wartet aber noch mit vielen ... https://t.co/YzsjQSMfSv #Industrie40</t>
  </si>
  <si>
    <t>#Industrie40 Konferenz von #PhoenixContact in Polen startet mit nettem Empfang https://t.co/B78ClR7v2M</t>
  </si>
  <si>
    <t>Ouest Valorisation</t>
  </si>
  <si>
    <t>Découvrez la nouvelle NewsTechno sur l'#industriedufutur --&gt; https://t.co/kBNtINEDdY @OuestValo #Technologie #innovation #Industrie40</t>
  </si>
  <si>
    <t>Rennes, Brest, Nantes</t>
  </si>
  <si>
    <t>La #SATT Ouest Valorisation est l'interface privilégiée, en #Bretagne et #PaysdelaLoire, entre la #recherche publique et le secteur industriel. #techtransfer</t>
  </si>
  <si>
    <t>Einlösen der Versprechen von #Industrie40 verlangt, auf Basis von #Bigdata Systemen in Echtzeit zu steuern https://t.co/iaaQR0WlJW ^mar</t>
  </si>
  <si>
    <t>POLYAS eDemocracy</t>
  </si>
  <si>
    <t>@BCG: Deutsche Firmen sehen sich bei #Industrie40 besser aufgestellt als US-Unternehmen: https://t.co/KLWKWnbkGL #Digitalisierung</t>
  </si>
  <si>
    <t>Berlin &amp; Kassel, Germany</t>
  </si>
  <si>
    <t>Election experts tweet about #onlinevoting #DigitalDemocracy, #elections, #evoting &amp; #voterturnout. Get in touch and tweet us!</t>
  </si>
  <si>
    <t>Presseinfo: #HannoverMesse 2016: Die Produktion auf einen Blick mit Plant@Hand3D https://t.co/yy3IiH9XtW #industrie40 #visualcomputing</t>
  </si>
  <si>
    <t>RT @JETZT_PRde: Presseinfo: #HannoverMesse 2016: Die Produktion auf einen Blick mit Plant@Hand3D https://t.co/yy3IiH9XtW #industrie40 #vi…</t>
  </si>
  <si>
    <t>RT @POLYASVoting: @BCG: Deutsche Firmen sehen sich bei #Industrie40 besser aufgestellt als US-Unternehmen: https://t.co/KLWKWnbkGL #Digital…</t>
  </si>
  <si>
    <t>Hubertus Grass</t>
  </si>
  <si>
    <t>RT @DEZblog: #Industrie40 kennt jeder. Aber #Handwerk40 ? @Energieheld über #Digitalisierung + #Handwerk https://t.co/JtOkllfdbr https://t…</t>
  </si>
  <si>
    <t>Stolpen</t>
  </si>
  <si>
    <t>Ökologie. Energiepolitik. Klimawandel. Damit auch die Enkel frohen Mutes Zukunft planen können.</t>
  </si>
  <si>
    <t>5 Tage #Industrie40: Bitkom Innovation Forum @hannover_messe. @TUslaender am Dienstag, 26.4. 13h. #BIF16 #HM16 https://t.co/u0ceNn4wxy</t>
  </si>
  <si>
    <t>Bericht für #Bionic Robotics auf Wirtschaftswoche wiwo.de https://t.co/8WVOAhUmua https://t.co/WP0dtEXvBM #industrie40 #hannovermesse</t>
  </si>
  <si>
    <t>German Beck</t>
  </si>
  <si>
    <t>.@docXter_de, @macinthemiddle #TechnischeDokumentation für #Industrie40 ist auf dem Weg: Mobil &amp; prozessorientiert! https://t.co/ymfgBGP0sZ</t>
  </si>
  <si>
    <t>Wiesbaden</t>
  </si>
  <si>
    <t>Wir erstellen #TechnischeDokumentation und entwickeln das prozessorientierte #Informationsmanagement für Industrie 4.0. Impressum: https://t.co/Ret9jMmKpD</t>
  </si>
  <si>
    <t>RT @dictaJet: .@docXter_de, @macinthemiddle #TechnischeDokumentation für #Industrie40 ist auf dem Weg: Mobil &amp; prozessorientiert! https://…</t>
  </si>
  <si>
    <t>RT @JETZT_PRde: Bericht für #Bionic Robotics auf Wirtschaftswoche wiwo.de https://t.co/8WVOAhUmua https://t.co/WP0dtEXvBM #industrie40…</t>
  </si>
  <si>
    <t>Bitkom: 5 Tage #Industrie40: Bitkom Innovation Forum hannover_messe. TUslaender am Dienstag, 26.4. 13h. #BIF16 #HM… https://t.co/tiJ96vxE0L</t>
  </si>
  <si>
    <t>RT @Bitkom: 5 Tage #Industrie40: Bitkom Innovation Forum @hannover_messe. @TUslaender am Dienstag, 26.4. 13h. #BIF16 #HM16 https://t.co/u0c…</t>
  </si>
  <si>
    <t>Karin Zühlke</t>
  </si>
  <si>
    <t>Über Chancen v. #Industrie40 &amp; #Digitalisierung spricht Roman Dumitrescu v. @itsOWL_Cluster im Interview https://t.co/weyEHUv6m8</t>
  </si>
  <si>
    <t>Haar bei München</t>
  </si>
  <si>
    <t>Leitende Redakteurin Markt&amp;Technik und elektroniknet.de - twittert rund um die Elektronik-Industrie zu Industrie 4.0, Digitalisierung, Trends und Standortthemen</t>
  </si>
  <si>
    <t>Bitkom: 5 Tage #Industrie40: Bitkom Innovation Forum hannover_messe. TUslaender am Dienstag, 26.4. 13h. #BIF16 #HM… https://t.co/yiROPZYSY8</t>
  </si>
  <si>
    <t>RT @Siemens_SFS: Want to know more about #financing #Industrie40? Come visit us next week at #HM16 in Hall 9, booth D35 https://t.co/mBdSDF…</t>
  </si>
  <si>
    <t>Geschäftsführer Roman Dumitrescu zu #Industrie40-Lösungen aus OWL + die internationale Rolle von #itsOWL in @mut_de https://t.co/tsTN4ZzzIo</t>
  </si>
  <si>
    <t>itsOWL_Cluster: Geschäftsführer Roman Dumitrescu zu #Industrie40-Lösungen aus OWL + die internationale Rolle von #itsOWL in mut_de …</t>
  </si>
  <si>
    <t>RT @itsOWL_Cluster: Geschäftsführer Roman Dumitrescu zu #Industrie40-Lösungen aus OWL + die internationale Rolle von #itsOWL in @mut_de htt…</t>
  </si>
  <si>
    <t>Friedrich Lütze GmbH</t>
  </si>
  <si>
    <t>Alle, aber auch wirklich alle sind bereit für eine erfolgreiche #HannoverMesse #hm16 #Industrie40 @induux_de #ixn https://t.co/nxJTwBJaBM</t>
  </si>
  <si>
    <t>D-Weinstadt</t>
  </si>
  <si>
    <t>Efficiency in Automation • Cable • Connectivity • Cabinet • Control</t>
  </si>
  <si>
    <t>U. Singer-Bayrle</t>
  </si>
  <si>
    <t>Gelnhausen (Germany,Hessen)</t>
  </si>
  <si>
    <t>I love to help others.</t>
  </si>
  <si>
    <t>RT @kommoptimierer: #Querdenker kommen mit #smarten #Produkten beim Hotspot #IoT #Industrie40 auf ihre Kosten! Garantiert https://t.co/X9a6…</t>
  </si>
  <si>
    <t>Als Mitglied des Cluster Mechatronik &amp; Automation war XITASO, als Experte für Softwarelösungen im... https://t.co/bgINE3CdIZ #Industrie40</t>
  </si>
  <si>
    <t>Christa Adelhardt</t>
  </si>
  <si>
    <t>Ein paar interessante Gedanken zum Thema #industrie40 und #IoT https://t.co/y2QPAzMXgz</t>
  </si>
  <si>
    <t>Weißenburg Germany</t>
  </si>
  <si>
    <t>ideas on social tech for better customer engagement</t>
  </si>
  <si>
    <t>Tim Shea</t>
  </si>
  <si>
    <t>Japan and Germany to Team on Industrial IoT Standard https://t.co/KsYzPLwwdD #IIoT #industrie40 @ShinzoAbejp https://t.co/3UQcVugZwV</t>
  </si>
  <si>
    <t>Dedham, MA</t>
  </si>
  <si>
    <t>Tim is part of the Oil &amp; Gas team at ARC and is focused primarily on upstream oil &amp; gas and the automation and technology solutions to enable Digital Oilfields.</t>
  </si>
  <si>
    <t>SPD für Europa</t>
  </si>
  <si>
    <t>#Industrie40-Pläne der @EU_Commission zur #Digitalisierung "Verspäteter Upload!": @MartinaWernerEU &amp; @ConstanzeKrehl https://t.co/ViKsr5sTvM</t>
  </si>
  <si>
    <t>Brüssel / Straßburg</t>
  </si>
  <si>
    <t>Gezwitscher vom Newsdesk der SPD im Europäischen Parlament @Europarl_DE. Gemeinsam für einen Neustart Europas!</t>
  </si>
  <si>
    <t>RT @H_IT_D: Als Mitglied des Cluster Mechatronik &amp; Automation war XITASO, als Experte für Softwarelösungen im... https://t.co/bgINE3CdIZ #I…</t>
  </si>
  <si>
    <t>Max von Merveldt</t>
  </si>
  <si>
    <t>Automatisierungs-Weltmeister #Deutschland bei #Industrie40 vorn. Kopf-an-Kopf-Rennen um die digitale Vorherrschaft https://t.co/s2hZcUggSn</t>
  </si>
  <si>
    <t>Kristina H.</t>
  </si>
  <si>
    <t>Medien- und Filmjunkie, interessiert an Internettrends und Social Media Themen, Medienwirtin, Weltenbummlerin and so much more...</t>
  </si>
  <si>
    <t>RT @TimSheaARC: Japan and Germany to Team on Industrial IoT Standard https://t.co/KsYzPLwwdD #IIoT #industrie40 @ShinzoAbejp https://t.co/3…</t>
  </si>
  <si>
    <t>Industry of Things</t>
  </si>
  <si>
    <t>Alles über das Bündnis für die #Zukunft des #IoT: https://t.co/nJzYn2D1Vj #IIC #Industrie40</t>
  </si>
  <si>
    <t>Auf dem Weg zur digitalen Fabrik müssen Konstrukteur, Ingenieur und IT-Experte eng zusammenarbeiten. Wir bringen alle Expertengruppen an einen Tisch.</t>
  </si>
  <si>
    <t>#Industrie40 stärkt den #Produktionsstandort #Deutschland. Verlagerung ins Ausland vor allem zur Markterschließung https://t.co/uL1FA7UpYX</t>
  </si>
  <si>
    <t>Fabienne Schumann</t>
  </si>
  <si>
    <t>Ontologie vernetzt Daten, Prozesse und Maschinen für die #TechnischeDokumentation der #Industrie40 https://t.co/MTPFzLPEmB via @dictaJet</t>
  </si>
  <si>
    <t>Rüsselsheim, Germany</t>
  </si>
  <si>
    <t>Former content manager. Learning, from you and by doing it, how businesses should engage on social media to build a sustainable corporate image. Eager to share!</t>
  </si>
  <si>
    <t>RT @fabielind: Ontologie vernetzt Daten, Prozesse und Maschinen für die #TechnischeDokumentation der #Industrie40 https://t.co/MTPFzLPEmB v…</t>
  </si>
  <si>
    <t>#TechnischeDokumentation Was hat Semantik mit #Industrie40 zu tun? https://t.co/xQw4nXtxvZ via @dictaJet</t>
  </si>
  <si>
    <t>Neue Hoffnung auf eine Neue Welt! https://t.co/AvLGi6FdHT #Industrie40 https://t.co/yWBh3P3dgv</t>
  </si>
  <si>
    <t>@clemensv Montag-Dienstag. Wir suchen Experten zum Thema #IoT #Industrie40 für @itmeetsindustry - Tweetup?</t>
  </si>
  <si>
    <t>Überlebensstrategie für den Standort Deutschland https://t.co/qPMlaFeOYX #industrie40</t>
  </si>
  <si>
    <t>RT @LutzVA: Überlebensstrategie für den Standort Deutschland https://t.co/qPMlaFeOYX #industrie40</t>
  </si>
  <si>
    <t>Jennifer Withelm</t>
  </si>
  <si>
    <t>#digitaletransformation im Gesundheitswesen #digitalisierung #conhIT #CONHIT2016 #Industrie40 #industryconf #IoT https://t.co/NRcxW6kmFL</t>
  </si>
  <si>
    <t>Expertin für charismatische #Führung aus #München, #Autorin von #Charismakompetenz /// #Expert for #Charisma &amp; #Leadership from #Munich, #Germany.</t>
  </si>
  <si>
    <t>Great products are made of creativity, love &amp; PLASTIC PARTS. Access UKs finest injection moulding companies via #zenMFG. #ukmfg #industrie40</t>
  </si>
  <si>
    <t>Board Academy Gründer Guido Happe erläutert die Rolle des Aufsichtsrats in der Digitalisierung. A... https://t.co/Lv6peImslA #Industrie40</t>
  </si>
  <si>
    <t>Rob Perkey</t>
  </si>
  <si>
    <t>RT @Databanque: Only 6 days left till @hannover_messe! #HM16 #HM16USA #selectUSA #Industrie40 #IntegratedEnergy #TuesdayTravelTip https://t…</t>
  </si>
  <si>
    <t>Let's go Bucs</t>
  </si>
  <si>
    <t>5 days #Industrie40: Discover exciting events at the @Bitkom Innovation Forum at #HM16 https://t.co/ZsZtflpwQE</t>
  </si>
  <si>
    <t>Glückwunsch zur neuen #Homepage! @NetzwerkI40 #industrie40 #digitaletransformation #digitalisierung #IoT #startup https://t.co/RPQW0ObnF9</t>
  </si>
  <si>
    <t>IBM Commerce</t>
  </si>
  <si>
    <t>RT @jo_h123: #Digitalisierung: Nur die Telekom und einige Banken machen es richtig, meint @welt https://t.co/3yi5gH3ECG… #Industrie40</t>
  </si>
  <si>
    <t>Austria, Germany &amp; Switzerland</t>
  </si>
  <si>
    <t>Die digitale Wertschöpfungskette im Zeitalter Kunde - stellen Sie ihn in den Mittelpunkt. Verantw: @RolandLauenroth. Wir folgen den IBM Social Media Guidelines.</t>
  </si>
  <si>
    <t>Noemie Bond</t>
  </si>
  <si>
    <t>Discover #industrie40 + how operating flows'll be transformed. Flexibility + individ. production logistics are prerequisite. #HannoverMesse</t>
  </si>
  <si>
    <t>Montréal, Québec</t>
  </si>
  <si>
    <t>Advisor, International Market Development @Chambremontreal, Private Sector Liaison Officer on behalf of @WorldBank &amp; Author @ShoeclackRadio.</t>
  </si>
  <si>
    <t>RT @IBMCommerceDACH: RT @jo_h123: #Digitalisierung: Nur die Telekom und einige Banken machen es richtig, meint @welt https://t.co/3yi5gH3EC…</t>
  </si>
  <si>
    <t>10 Tickets für die @hannover_messe zu gewinnen! #b2b #industrie40 https://t.co/7FuG4zYczQ https://t.co/UhP3f3eljR</t>
  </si>
  <si>
    <t>VDMA European Office</t>
  </si>
  <si>
    <t>"Brussels seeks €50 billion to digitalise Europe’s industry" @EurActiv https://t.co/uhsEd6dqXt #DigitiseEU #Industrie40 #HM16</t>
  </si>
  <si>
    <t>Frankfurt / Brussels</t>
  </si>
  <si>
    <t>German engineering association - Our 3,100 member companies build the machines for Industry 4.0 #DigitiseEU Tweets also on trade and environmental policy.</t>
  </si>
  <si>
    <t>Oliver Seifried</t>
  </si>
  <si>
    <t>#Marketing Manager @IBM. #BigData #IoT #Analytics #Data .Opinions mine.</t>
  </si>
  <si>
    <t>Dr. Thomas Wedel</t>
  </si>
  <si>
    <t>Ehningen, Deutschland</t>
  </si>
  <si>
    <t>Husband, Father, Long Distance Runner, Dog Owner, Motorcyclist on 2 or 3 Wheels. European Marketing Manager #IBM z Systems Software. All tweets are my own.</t>
  </si>
  <si>
    <t>Arno Guittard</t>
  </si>
  <si>
    <t>Présentation de la transformation chez @GroupePSA à Mulhouse #Industrie40 #campus40 https://t.co/q2XhBEqoFk</t>
  </si>
  <si>
    <t>Strasbourg, France</t>
  </si>
  <si>
    <t>Digital strategist @ccialsace Serial event organisateur dont @bzbalsace. Rock reporter. Expert en pannes du TER 200.#numerique #alsace #transfonum</t>
  </si>
  <si>
    <t>Rhenatic</t>
  </si>
  <si>
    <t>RT @aguittard: Présentation de la transformation chez @GroupePSA à Mulhouse #Industrie40 #campus40 https://t.co/q2XhBEqoFk</t>
  </si>
  <si>
    <t>Alsace, France</t>
  </si>
  <si>
    <t>Cluster du numérique dans la Région Est, au service des PME par @Jc_Gay</t>
  </si>
  <si>
    <t>#Industrie40 (DE), Industrie du Futur (FR), Industrie 2025 (CH), les termes sont posés. Bonne conférence #campus40 https://t.co/SSFcSvixMm</t>
  </si>
  <si>
    <t>RT @FraunhoferAISEC: Die Wette ist doch alt. Mittlerweil wird auf Kaufmaschinen und Anlegen gewettet... #Industrie40 https://t.co/gZYGL8sG…</t>
  </si>
  <si>
    <t>Alp ICT</t>
  </si>
  <si>
    <t>Industrie du futur : définitions, perspectives et applications. AlpICT est au #SIAMS ce soir #Industrie40 https://t.co/EUygoHmuAB</t>
  </si>
  <si>
    <t>Geneva, Switzerland</t>
  </si>
  <si>
    <t>We connect the dots between corporates and the digital innovation scene. #security #fintech #tourisme #smartfactory #health #wearables #smartcity</t>
  </si>
  <si>
    <t>PvO</t>
  </si>
  <si>
    <t>#Mulhouse</t>
  </si>
  <si>
    <t>Conseiller Municipal @Mulhouse délégué au monde #numérique. VP @MoDemAlsace délégué à #Mulhouse-Sud-#Alsace. Positions personnelles.</t>
  </si>
  <si>
    <t>Auch #KMUs werden von #DigitiseEU profitieren. EU-Gelder fuer regionale Innovationszentren. #Industrie40 https://t.co/u51EUWGaLK</t>
  </si>
  <si>
    <t>INSM</t>
  </si>
  <si>
    <t>.@BCG Studie: Deutsche für #Industrie40 besser vorbereitet als US-Firmen. 50% haben Konzepte für #Digitalisierung. https://t.co/Vvqwh2qfiP</t>
  </si>
  <si>
    <t>Die Initiative Neue Soziale Marktwirtschaft (INSM) setzt sich für marktwirtschaftliche Reformen ein. Impressum: http://t.co/7Bdq8RPiYc</t>
  </si>
  <si>
    <t>RT @MartinaWernerEU: Mitteilung der #EuropeanCommision zu #Industrie40: Verspäteter Upload! #Digitalisierung https://t.co/oQge0O52Zy</t>
  </si>
  <si>
    <t>Les premières thématiques retenues par Novatech #industriedufutur #industrie40 https://t.co/NIWszJendB</t>
  </si>
  <si>
    <t>RT @Alpict: Industrie du futur : définitions, perspectives et applications. AlpICT est au #SIAMS ce soir #Industrie40 https://t.co/EUygoHmu…</t>
  </si>
  <si>
    <t>RT GOettingerEU "RT MartinaWernerEU: Mitteilung der #EuropeanCommision zu #Industrie40: Verspäteter Upload! #Digi… https://t.co/wQfm2rb5r2"</t>
  </si>
  <si>
    <t>) Am Rande des TNO-ESI Symposiums, des jährlichen wissenschaftlichen Kongresses für eingebettete ... https://t.co/TcLbH9TzGL #Industrie40</t>
  </si>
  <si>
    <t>RT @aguittard: Les premières thématiques retenues par Novatech #industriedufutur #industrie40 https://t.co/NIWszJendB</t>
  </si>
  <si>
    <t>Ludovic Druelle</t>
  </si>
  <si>
    <t>RT @GOettingerEU: Auch #KMUs werden von #DigitiseEU profitieren. EU-Gelder fuer regionale Innovationszentren. #Industrie40 https://t.co/u51…</t>
  </si>
  <si>
    <t>All views personal. Working for the EU. Interest in EU Governance, Regional matters, Defence, Franco-German relations. Works @EU_CoR.</t>
  </si>
  <si>
    <t>Les partenaires de l'initiative industrie 2025 en #suisse #Industrie40 #industriedufutur https://t.co/3xJJqKL5CX</t>
  </si>
  <si>
    <t>RT @foresight_lab: Anteil der Sensoren bei Robotern von jetzt 15 Prozent wird sich stark erhöhen... #Industrie40 #arbeiten40 https://t.co/G…</t>
  </si>
  <si>
    <t>En Suisse, #industrie40 se dit #industrie2025 avec Inet qui introduit la partie suisse de #campus40 https://t.co/U9b49Kr1XU</t>
  </si>
  <si>
    <t>RT @aguittard: Les partenaires de l'initiative industrie 2025 en #suisse #Industrie40 #industriedufutur https://t.co/3xJJqKL5CX</t>
  </si>
  <si>
    <t>5 Tage #Industrie40: Bitkom Innovation Forum @hannover_messe. Dr. Kosch @Fujitsu_DE, Dienstag,26.4. 12h #BIF16 #HM16 https://t.co/SlTtz0UqsS</t>
  </si>
  <si>
    <t>Bitkom: 5 Tage #Industrie40: Bitkom Innovation Forum hannover_messe. Dr. Kosch Fujitsu_DE, Dienstag,26.4. 12h #BIF… https://t.co/bsg2DWkpM9</t>
  </si>
  <si>
    <t>Bitkom: 5 Tage #Industrie40: Bitkom Innovation Forum hannover_messe. Dr. Kosch Fujitsu_DE, Dienstag,26.4. 12h #BIF… https://t.co/adRh088iX1</t>
  </si>
  <si>
    <t>La chaîne verticale de virtualisation est un enjeu dans la filière d'automatisation pour l'#Industrie40 suisse https://t.co/nmqgjfoCGd</t>
  </si>
  <si>
    <t>TIMECODEX</t>
  </si>
  <si>
    <t>RT @Bitkom: 5 Tage #Industrie40: Bitkom Innovation Forum @hannover_messe. Dr. Kosch @Fujitsu_DE, Dienstag,26.4. 12h #BIF16 #HM16 https://t.…</t>
  </si>
  <si>
    <t>Bundespresse, Stv. Pressesprecher Piratenpartei NRW, Beisitzer KV Düsseldorf, FOTO: Christian Steinmetz CC BY NC SA</t>
  </si>
  <si>
    <t>Smart-Helmet (casque de réalité augmentée) pour l'#industrie40 par Actemium #campus40 https://t.co/P4kq4j6FBZ</t>
  </si>
  <si>
    <t>Actemium présente la #RA pour les Nuls avec une appli Flightradar24 lors de #campus40 #Industrie40 https://t.co/3Xu6CdRqz6</t>
  </si>
  <si>
    <t>RT @Rhenatic: Smart-Helmet (casque de réalité augmentée) pour l'#industrie40 par Actemium #campus40 https://t.co/P4kq4j6FBZ</t>
  </si>
  <si>
    <t>RT @Rhenatic: Actemium présente la #RA pour les Nuls avec une appli Flightradar24 lors de #campus40 #Industrie40 https://t.co/3Xu6CdRqz6</t>
  </si>
  <si>
    <t>RT @Rhenatic: La chaîne verticale de virtualisation est un enjeu dans la filière d'automatisation pour l'#Industrie40 suisse https://t.co/n…</t>
  </si>
  <si>
    <t>Sina Nick</t>
  </si>
  <si>
    <t>#Digitalisierung #Industrie40 #Arbeiten40 : Eignet sich Deutschland als digitaler Standort? https://t.co/Dud2FH5DeS</t>
  </si>
  <si>
    <t>Frankfurt am Main, Hessen ·</t>
  </si>
  <si>
    <t>HR-Passionate @ADP_GER; #HCM #Bigdata #BPO #digitalHR #industry40 #StrategicHR #payroll #digitalisierung. Love intercultural exchange. Tweets are my own.</t>
  </si>
  <si>
    <t>L'#Industrie40 à l'allemande et ses acteurs clés avec notamment le Hannover Messe à #campus40 https://t.co/p7phdCCjqp</t>
  </si>
  <si>
    <t>@JanusEngAg ist auch am Dienstag und Mittwoch auf der @hannover_messe Thema #Digitalisierung #Industrie40 https://t.co/V2US6Nnbzw</t>
  </si>
  <si>
    <t>docXter</t>
  </si>
  <si>
    <t>Technische Dokumentation für und mit iMac, iPad, iPhone &amp; Co., Terminologie, Softwareentwicklung, Übersetzung / Lokalisierung, Mobile Dokumentation, Voicehelp</t>
  </si>
  <si>
    <t>RT @KohlerDorothee: Compétitivité relationnelle:enjeu de la révolution numérique #Industrie40 dans #echos : https://t.co/JAvRZ1qQow https:/…</t>
  </si>
  <si>
    <t>Katja Althoff</t>
  </si>
  <si>
    <t>Dortmund, Nordrhein-Westfalen</t>
  </si>
  <si>
    <t>Technical translator and copy-editor English, French, German. Avid reader. In love with IT, tech stuff, books, literature, languages. Learning Czech.</t>
  </si>
  <si>
    <t>Place @YohannPERRON, représentant d'Alp ICT ce soir au #SIAMS #Industrie40 https://t.co/IOMUJuvx4b</t>
  </si>
  <si>
    <t>AllianceIndustrie</t>
  </si>
  <si>
    <t>Alliance industrie du futur : #industrie #numerique #electronique #electricite #automatisme #usine #formation #industriedufutur</t>
  </si>
  <si>
    <t>pi4_robotics rückt mit innovativem workerbot3? bei Hannover Messe 2016 in den Blickpunkt. Vor all... https://t.co/TxJnFo7eBu #Industrie40</t>
  </si>
  <si>
    <t>RT @H_IT_D: pi4_robotics rückt mit innovativem workerbot3? bei Hannover Messe 2016 in den Blickpunkt. Vor all... https://t.co/TxJnFo7eBu #I…</t>
  </si>
  <si>
    <t>Syntec Numérique</t>
  </si>
  <si>
    <t>Syndicat professionnel des #ESN, #Editeursdelogiciels, et sociétés #ConseilsTechnologie Suivez-nous sur LinkedIn</t>
  </si>
  <si>
    <t>Rouiller Christophe</t>
  </si>
  <si>
    <t>RT @Alpict: Place @YohannPERRON, représentant d'Alp ICT ce soir au #SIAMS #Industrie40 https://t.co/IOMUJuvx4b</t>
  </si>
  <si>
    <t>Western Switzerland</t>
  </si>
  <si>
    <t>Ines Oppermann</t>
  </si>
  <si>
    <t>Alnoor Dramsi</t>
  </si>
  <si>
    <t>We had a fantastic presentation by @SAPFrance on their vision on #Industrie40 and I was really impressed! https://t.co/6tLfzzgFu9</t>
  </si>
  <si>
    <t>Toulouse</t>
  </si>
  <si>
    <t>A&amp;D Segment coordinator at @Capgemini Member of the SAP CoE #mobile #aerospace #iot #digital #travel #bigdata #supplychain views are my own</t>
  </si>
  <si>
    <t>Vision Lasertechnik</t>
  </si>
  <si>
    <t>Erleben Sie die smarte Fabrik - Halle 17 D69 #HannoverMesse #@UNIORG #Industrie40 #SAPBusinessOne #@_bluebiz https://t.co/b88BR8Skdw</t>
  </si>
  <si>
    <t>Barsinghausen, Deutschland</t>
  </si>
  <si>
    <t>Laserschweißsysteme Lasermarkierungssysteme Sonderanlagenbau</t>
  </si>
  <si>
    <t>BrittaHVMNN</t>
  </si>
  <si>
    <t>Smart City Berlin at Senate Dpt for Economics, Technology and Research</t>
  </si>
  <si>
    <t>RT @alnoor31: We had a fantastic presentation by @SAPFrance on their vision on #Industrie40 and I was really impressed! https://t.co/6tLfzz…</t>
  </si>
  <si>
    <t>Andre Walter</t>
  </si>
  <si>
    <t>Senior Consultant @ Scheer Management tweeting on BPM, IT Strategy, Internet of Things, Digital, IT Sourcing and SCM. Tweets are my own opinion.</t>
  </si>
  <si>
    <t>RT @VDMAeu: "Brussels seeks €50 billion to digitalise Europe’s industry" @EurActiv https://t.co/uhsEd6dqXt #DigitiseEU #Industrie40 #HM16</t>
  </si>
  <si>
    <t>Neben Dr. Kickinger diskutierten beim Board Dialog unter anderem Experten von RWE, Beiten Burkhar... https://t.co/lN3uICFGnX #Industrie40</t>
  </si>
  <si>
    <t>machinads.com</t>
  </si>
  <si>
    <t>NEWS # EVENTS # PLACES # QUOTES https://t.co/f9VXNVLoIs B2b digital media to link metal and plastic industry. We connect the industrials, You're doing business.</t>
  </si>
  <si>
    <t>things of internet</t>
  </si>
  <si>
    <t>Italia</t>
  </si>
  <si>
    <t>Developing Internet Of Things is the best way to develop future</t>
  </si>
  <si>
    <t>RT @H_IT_D: Neben Dr. Kickinger diskutierten beim Board Dialog unter anderem Experten von RWE, Beiten Burkhar... https://t.co/lN3uICFGnX #I…</t>
  </si>
  <si>
    <t>#Industrie40 verändert die IT-Landschaft von Unternehmen: Unser PointofView für #CIOs: https://t.co/MQsgWuCEvg ^bas</t>
  </si>
  <si>
    <t>RT @CapgeminiDE: #Industrie40 verändert die IT-Landschaft von Unternehmen: Unser PointofView für #CIOs: https://t.co/MQsgWuCEvg ^bas</t>
  </si>
  <si>
    <t>Dr. Martina Ludwig</t>
  </si>
  <si>
    <t>RT @insm: .@BCG Studie: Deutsche für #Industrie40 besser vorbereitet als US-Firmen. 50% haben Konzepte für #Digitalisierung. https://t.co/V…</t>
  </si>
  <si>
    <t>Frankfurt am Main, Deutschland</t>
  </si>
  <si>
    <t>Leiterin Kommunikation und Nachhaltigkeit des Verbandes der Chemischen Industrie e.V. (VCI). Alle Tweets spiegeln meine persönliche Meinung wider.</t>
  </si>
  <si>
    <t>Patrick Cloarec</t>
  </si>
  <si>
    <t>RT @OuestValo: Découvrez la nouvelle NewsTechno sur l'#industriedufutur --&gt; https://t.co/kBNtINEDdY @OuestValo #Technologie #innovation #In…</t>
  </si>
  <si>
    <t>Rennes</t>
  </si>
  <si>
    <t>Le marketing le plus tôt pour les projets technologiques</t>
  </si>
  <si>
    <t>Produktmanager Blog</t>
  </si>
  <si>
    <t>Sieben Probleme: Diese Hürden muss Deutschland bei der Digitalisierung überwinden #prodmgmt #industrie40 https://t.co/0yssFC0m0V</t>
  </si>
  <si>
    <t>Here the official Twitter stream for my blog in IT Product Management. Interested in Innovation, Strategy, Softwaredevelopment.</t>
  </si>
  <si>
    <t>RT @ProdMgrNet: Sieben Probleme: Diese Hürden muss Deutschland bei der Digitalisierung überwinden #prodmgmt #industrie40 https://t.co/0yss…</t>
  </si>
  <si>
    <t>RT @hannover_messe: 5 days #Industrie40: Discover exciting events at the @Bitkom Innovation Forum at #HM16 https://t.co/ZsZtflpwQE</t>
  </si>
  <si>
    <t>David Bizien</t>
  </si>
  <si>
    <t>Chief Innovation Officer</t>
  </si>
  <si>
    <t>Markus Wiedenmaier</t>
  </si>
  <si>
    <t>DE-78259 Mühlhausen-Ehingen</t>
  </si>
  <si>
    <t>Consultant Technical Documentation; Softwaredeveloper C#, C++, Adobe FrameMaker, XML Technologies, oxygenxml</t>
  </si>
  <si>
    <t>Doreen Jacobi</t>
  </si>
  <si>
    <t>RT @Derdack: Alert notification &amp; anywhere response becomes part of #Industrie40 w/ #Derdack. See you at #Bitkom Innovation Area. https://t…</t>
  </si>
  <si>
    <t>Potsdam and Richmond</t>
  </si>
  <si>
    <t>I am passionate about IT &amp; a cofounder of #Derdack - leading vendor of anywhere incident response software #EnterpriseAlert #mobility #ITSM</t>
  </si>
  <si>
    <t>#Digitalisierung und #Industrie40 durch die Politik gefördert! https://t.co/5hKw2f3iTz</t>
  </si>
  <si>
    <t>RT @LReehten: #Digitalisierung und #Industrie40 durch die Politik gefördert! https://t.co/5hKw2f3iTz</t>
  </si>
  <si>
    <t>#Industrie40 #hm16 https://t.co/3UrZQDFwML</t>
  </si>
  <si>
    <t>RT @Bitkom_I40: #FoGip diskutiert mit Merkel wie junge digitale Unternehmen als Start-up auf den grünen Zweig kommen #industrie40 https://t…</t>
  </si>
  <si>
    <t>RT @s_w_weyer: Innere Leere - wo ist nur die I4.0-Pilotfabrik hin? Halle 8 - D20 @hannover_messe #SmartFactoryKL #Industrie40 https://t.co/…</t>
  </si>
  <si>
    <t>RT @proALPHA: #Industrie40 mit ERP ganz praktisch auf der #hm16: Die Produktionsstraße der #SmartFactoryKL in Halle 8/D20. https://t.co/qBN…</t>
  </si>
  <si>
    <t>RT @s_w_weyer: Die Pilotfabrik zur #Industrie40 - das Verbundprojekt der #SmartFactoryKL #SmartFactory #tukaiserslautern @StadtKL https://t…</t>
  </si>
  <si>
    <t>RT @plkey: Kann sich ein Unternehmen bei #Industrie40 das leisten? Die Antwort - Integration Layer s. #SmartFactoryKL #IBM https://t.co/0j…</t>
  </si>
  <si>
    <t>RT @Weidmueller: Infrastrukturlösung für die flexible Fertigung in der #SmartFactoryKL: https://t.co/uIJpT9TKi7 #Industrie40 https://t.co/0…</t>
  </si>
  <si>
    <t>RT @s_w_weyer: #Industrie40 - Sonderbeilage Handelsblatt - hat die Revolution begonnen? https://t.co/usYD4M1M9H #Digitalisierung</t>
  </si>
  <si>
    <t>RT @charisma_expert: Glückwunsch zur neuen #Homepage! @NetzwerkI40 #industrie40 #digitaletransformation #digitalisierung #IoT #startup http…</t>
  </si>
  <si>
    <t>t+m</t>
  </si>
  <si>
    <t>Gesamtverband der deutschen Textil- und Modeindustrie // Redaktion: Dr. Hartmut Spiesecke // Impressum: http://t.co/mcLMFzm4Pa</t>
  </si>
  <si>
    <t>Fanny</t>
  </si>
  <si>
    <t>Barcelona, Spain</t>
  </si>
  <si>
    <t>Swedish Swimrun athlete passionate about digital marketing, graphic design and exciting challenges. Representing Team Orca 2016 #orcaswimrun.</t>
  </si>
  <si>
    <t>Melita Delic</t>
  </si>
  <si>
    <t>Spokesperson of the #Bosch Group - international topics, Coordination of International Media Relations</t>
  </si>
  <si>
    <t>Sascha Kaus</t>
  </si>
  <si>
    <t>Cologne, Germany</t>
  </si>
  <si>
    <t>Sales Manager Capgemini Consulting DACH, all tweets are my opinion.</t>
  </si>
  <si>
    <t>Planen Sie Ihr Konzept jetzt für #Industrie40 !! https://t.co/MyxPlovF4E</t>
  </si>
  <si>
    <t>#Maschinenbau'er #Trumpf will in nur 5 Jahren die industrielle Fertigung komplett #digital'isieren https://t.co/1YrHVeAeO9 #Industrie40 #IoT</t>
  </si>
  <si>
    <t>RT @WSWMUC: #Maschinenbau'er #Trumpf will in nur 5 Jahren die industrielle Fertigung komplett #digital'isieren https://t.co/1YrHVeAeO9 #Ind…</t>
  </si>
  <si>
    <t>Antonio Santos⚙☘️</t>
  </si>
  <si>
    <t>Cork, Ireland</t>
  </si>
  <si>
    <t>Social Media Business Evangelist @Atos. Digital Strategy. Analytics Research Center.#SocialSelling #ESN #Inclusion #Neurodiversity.@plus10io @axschat co-founder</t>
  </si>
  <si>
    <t>Frank Düsterbeck</t>
  </si>
  <si>
    <t>Nachtrag vom i2b meet-up über #Industrie40: Der Mensch zählt https://t.co/A1T7voQSwW</t>
  </si>
  <si>
    <t>Bremen</t>
  </si>
  <si>
    <t>Agile Qualifizierung und Beratung von Menschen und Unternehmen in der IT #agile #scrum #kanban</t>
  </si>
  <si>
    <t>RT @fduesterbeck: Nachtrag vom i2b meet-up über #Industrie40: Der Mensch zählt https://t.co/A1T7voQSwW</t>
  </si>
  <si>
    <t>Schwerpunkte sollen dieses Mal Sicherheitsprobleme im Umfeld des Internets der Dinge und der Indu... https://t.co/XCoyZNo7UX #Industrie40</t>
  </si>
  <si>
    <t>RT @H_IT_D: Schwerpunkte sollen dieses Mal Sicherheitsprobleme im Umfeld des Internets der Dinge und der Indu... https://t.co/XCoyZNo7UX #I…</t>
  </si>
  <si>
    <t>Alf Oldman</t>
  </si>
  <si>
    <t>Latchi, Cyprus</t>
  </si>
  <si>
    <t>Blogs about politics, people &amp; travel. Expert in Strategic Change. Retired mainstream. Former executive, consultant, coach, researcher, author.</t>
  </si>
  <si>
    <t>Ulrich Wiegel übernimmt zusätzliche Verantwortung bei Rotkäppchen. Ulrich Wiegel, bislang Geschäf... https://t.co/UD8CxjpVGa #Industrie40</t>
  </si>
  <si>
    <t>RT @H_IT_D: Ulrich Wiegel übernimmt zusätzliche Verantwortung bei Rotkäppchen. Ulrich Wiegel, bislang Geschäf... https://t.co/UD8CxjpVGa #I…</t>
  </si>
  <si>
    <t>Die @faznet fragt: Was wird aus Deutschland, wenn Roboter die Arbeitswelt übernehmen? #IoT #Industrie40 #AI https://t.co/bsUCrnL6dM</t>
  </si>
  <si>
    <t>RT @Jo_H123: Die @faznet fragt: Was wird aus Deutschland, wenn Roboter die Arbeitswelt übernehmen? #IoT #Industrie40 #AI https://t.co/bsUCr…</t>
  </si>
  <si>
    <t>Post free ads for Industries &amp; Manufacturing in India #Industrie40 #manufacturing #productivity #Company https://t.co/yVIO7K4mqb</t>
  </si>
  <si>
    <t>Pour Les Patrons</t>
  </si>
  <si>
    <t>#Industriedufutur : Bruxelles (@UEfrance) s’empare du sujet https://t.co/zJ5gxR65mJ #Industrie40 par @GGresillon https://t.co/0Smgy1nwQ7</t>
  </si>
  <si>
    <t>Pour Les Patrons poursuit son évolution ! A venir : la mise en ligne d'un webzine multimédia pour les patrons et l'entreprise. Par @Ozil_Conseil.</t>
  </si>
  <si>
    <t>Robert Szilinski</t>
  </si>
  <si>
    <t>Ettlingen, Germany</t>
  </si>
  <si>
    <t>Apple Fan, Badminton Player and passioned Networker, CEO and founder of esentri, Head of the DOAG Development Community. #oracle #doag #apple #digitalisierung</t>
  </si>
  <si>
    <t>Stein Peeters</t>
  </si>
  <si>
    <t>#Industrie40 and lot size of 1 getting ready for the beach with Siemens PLM in production of customised surfboards https://t.co/llwabwCriM</t>
  </si>
  <si>
    <t>Twidere_Stein</t>
  </si>
  <si>
    <t>cloud, CH</t>
  </si>
  <si>
    <t>Engineer, MBA working on biz with tech #CloudFoundry #M2M #IIoT #IIConsortium #Industrie40 #OPCUA #BigData #ML #womenintech check @Swisscom_Dev @M2M_in_Action</t>
  </si>
  <si>
    <t>Heute wieder ein Tag voll gepackt mit #IoT und #Industrie40 🙃</t>
  </si>
  <si>
    <t>@ZVEIorg explains RAMI 4.0 for #industry40 #Industrie40 #normung https://t.co/xpZcBW1ym4</t>
  </si>
  <si>
    <t>RT @DKEAktuell: @ZVEIorg explains RAMI 4.0 for #industry40 #Industrie40 #normung https://t.co/xpZcBW1ym4</t>
  </si>
  <si>
    <t>#smart manufacturing und #IoT erfinden Geschäftsprozesse neu. Blog. #industrie40 #hm16 https://t.co/oaS0qXdUSE https://t.co/xBd5GAJVSl</t>
  </si>
  <si>
    <t>#smart manufacturing und #IoT erfinden Geschäftsprozesse neu. Blog. #industrie40 #hm16 https://t.co/HhVze1lLwP https://t.co/TN5qwOLz38</t>
  </si>
  <si>
    <t>#smart manufacturing und #IoT erfinden Geschäftsprozesse neu. Blog. #industrie40 #hm16 https://t.co/9dHvHSyxzL https://t.co/S4DJYOmXe1</t>
  </si>
  <si>
    <t>RT @ROKAutoCHDE: #smart manufacturing und #IoT erfinden Geschäftsprozesse neu. Blog. #industrie40 #hm16 https://t.co/9dHvHSyxzL https://t.c…</t>
  </si>
  <si>
    <t>RT @ROKAutomationDE: #smart manufacturing und #IoT erfinden Geschäftsprozesse neu. Blog. #industrie40 #hm16 https://t.co/HhVze1lLwP https:/…</t>
  </si>
  <si>
    <t>RT @ROKAutomationAT: #smart manufacturing und #IoT erfinden Geschäftsprozesse neu. Blog. #industrie40 #hm16 https://t.co/oaS0qXdUSE https:/…</t>
  </si>
  <si>
    <t>.@ZVEIorg explains RAMI 4.0 [VIDEO] #Industrie40 #IIoT https://t.co/tkcXqcyLAZ</t>
  </si>
  <si>
    <t>RT @MarioReinsch: .@ZVEIorg explains RAMI 4.0 [VIDEO] #Industrie40 #IIoT https://t.co/tkcXqcyLAZ</t>
  </si>
  <si>
    <t>#Industrie40: Überlebensstrategie für den Standort Deutschland - Sichtweise des @VDMAonline #iiot https://t.co/ds8kSkzaES</t>
  </si>
  <si>
    <t>RT @MarioReinsch: #Industrie40: Überlebensstrategie für den Standort Deutschland - Sichtweise des @VDMAonline #iiot https://t.co/ds8kSkzaES</t>
  </si>
  <si>
    <t>Atos Deutschland</t>
  </si>
  <si>
    <t>Wir sind bereit fürs ProSTEP iViP Symposium 2016 https://t.co/FtMH1hL84F #PLM #Industrie40 https://t.co/kXhuYHcoSm</t>
  </si>
  <si>
    <t>~100000 Menschen in 72 Ländern</t>
  </si>
  <si>
    <t>Der zuverlässige Partner für Ihre digitale Reise / Impressum: https://t.co/hMdHjdWdKv</t>
  </si>
  <si>
    <t>Warum @BarackObama wirklich zur @hannover_messe kommt. via @ke_NEXT #Industrie40 #IIoT @IIConsortium https://t.co/Oyzmh61B5k</t>
  </si>
  <si>
    <t>RT @MarioReinsch: Warum @BarackObama wirklich zur @hannover_messe kommt. via @ke_NEXT #Industrie40 #IIoT @IIConsortium https://t.co/Oyzmh6…</t>
  </si>
  <si>
    <t>Kerstin von Appen</t>
  </si>
  <si>
    <t>Spielwiese für #startups: #Industrie40 https://t.co/nsexMVM0ek</t>
  </si>
  <si>
    <t>Change- &amp; Organisationsberatung, Leadership Development, Digital Transformation. Executive Search for Media Companies. Founder of BusinessCoach-News</t>
  </si>
  <si>
    <t>RT @Atos_DE: Wir sind bereit fürs ProSTEP iViP Symposium 2016 https://t.co/FtMH1hL84F #PLM #Industrie40 https://t.co/kXhuYHcoSm</t>
  </si>
  <si>
    <t>https://t.co/Ontwf79kWh In 5 Jahren zur digitalen Fertigung #industrie40 via @handelsblatt</t>
  </si>
  <si>
    <t>) Die Logistik ist eine der tragenden Säulen in der akademischen Lehre und Forschung an der Techn... https://t.co/SYCSPCWTQx #Industrie40</t>
  </si>
  <si>
    <t>SMWA</t>
  </si>
  <si>
    <t>Wichtiges Thema: Gerade die kleinteilige Wirtschaft in #Sachsen hat noch Nachholbedarf. #Industrie40 @wiwo https://t.co/PTjm3TSBO5</t>
  </si>
  <si>
    <t>Dresden, Sachsen</t>
  </si>
  <si>
    <t>Sächsisches Staatsministerium für Wirtschaft, Arbeit und Verkehr (Pressestelle) / Impressum: http://t.co/h4jdcbicE8</t>
  </si>
  <si>
    <t>Anamaria Corca</t>
  </si>
  <si>
    <t>European at heart, my tweets are on EU health policy and things worth sharing. Retweets are not endorsements. The views represented here are my own.</t>
  </si>
  <si>
    <t>Jan Bause</t>
  </si>
  <si>
    <t>DimensionData Düsseldorf</t>
  </si>
  <si>
    <t>Head of Alliance Management, Dimension Data, passionate about digital transformation and new ways to work - - views expressed are my own.</t>
  </si>
  <si>
    <t>EU-Kommission mit gutem erstem Schritt zum Binnenmarkt für #Industrie40 https://t.co/LRyvZWCHVv https://t.co/nmlm7aHlrI</t>
  </si>
  <si>
    <t>RT @VDMAonline: EU-Kommission mit gutem erstem Schritt zum Binnenmarkt für #Industrie40 https://t.co/LRyvZWCHVv https://t.co/nmlm7aHlrI</t>
  </si>
  <si>
    <t>#SmartManufacturing and #IoT are reinventing business. Read the blog. #Industrie40 #hm16 https://t.co/VJSuHFI9HK https://t.co/Kqxc4vFIq7</t>
  </si>
  <si>
    <t>Unser neuer Beitrag im Blog der @DGQffm: «Mögliche Risiken und #ITSicherheit im Zusammenhang mit #Industrie40» https://t.co/G4jOjvFudu</t>
  </si>
  <si>
    <t>Carina Kontio</t>
  </si>
  <si>
    <t>Große Veränderungen fangen klein an. Redakteurin im Unternehmensressort Handelsblatt https://t.co/bGbEaxlSRu</t>
  </si>
  <si>
    <t>Lesol, S.A.</t>
  </si>
  <si>
    <t>Hernani</t>
  </si>
  <si>
    <t>LESOL, S.A manufactures and commercializes antivibration elements to prevent from vibration, shock and noise.</t>
  </si>
  <si>
    <t>Wie innovativ ist Deutschland und nutzen wir die Chancen der #Digitalisierung? https://t.co/NypugV0GxQ #KMU #Robotik #Industrie40 #IoT</t>
  </si>
  <si>
    <t>RT @PASSnews: Wie innovativ ist Deutschland und nutzen wir die Chancen der #Digitalisierung? https://t.co/NypugV0GxQ #KMU #Robotik #Industr…</t>
  </si>
  <si>
    <t>DeFrEnT C. Köbel</t>
  </si>
  <si>
    <t>Bin dabei: https://t.co/6EiL0OSd6F Kostenloser #industrie40 MOOC vom @HPI_DE</t>
  </si>
  <si>
    <t>63654 Büdingen (Germany)</t>
  </si>
  <si>
    <t>Certified Translator de-DE fr-FR en-GB specialized on IT, Tech &amp; IT-Marketing</t>
  </si>
  <si>
    <t>HEC GmbH</t>
  </si>
  <si>
    <t>Individuelle Softwareentwicklung, Beratung und Qualifizierung - Die Lösungsmanufaktur</t>
  </si>
  <si>
    <t>Christophe Michoud</t>
  </si>
  <si>
    <t>Life is on @SchneiderElecFR : les innovations pour notre quotidien en 2030 https://t.co/fLehS96NLd et l'opérateur augmenté #Industrie40</t>
  </si>
  <si>
    <t>BigData-Insider</t>
  </si>
  <si>
    <t>#industrie40 benötigt #Fachkräfte, so der #Bitkom https://t.co/2yzdy6fZcu @Bitkom_I40 @Bitkom https://t.co/FgbbiPKnwU</t>
  </si>
  <si>
    <t>BigData-Insider.de – Entscheiderwissen für Big Data Professionals</t>
  </si>
  <si>
    <t>Deutschland vs USA: Kopf-an-Kopf-Rennen um die digitale Vorherrschaft via @handelsblatt https://t.co/LBTZ5MWnYg #Industrie40 #SmartFactory</t>
  </si>
  <si>
    <t>Laszlo Istvan Etesi</t>
  </si>
  <si>
    <t>Jetzt online! Unser Teaser zum #Industrie40 Demonstrator auf https://t.co/RBUgSH9Jyq @FHNWTechnik @FHNW @fhnw_i4ds https://t.co/aUGIwiZcVV</t>
  </si>
  <si>
    <t>Switzerland, most of the time</t>
  </si>
  <si>
    <t>Research Associate, Family Man, Politically interested (concerned?) citizen. #ViewsMyOwn</t>
  </si>
  <si>
    <t>Christian HOHMANN</t>
  </si>
  <si>
    <t>Qu'est-ce qu'industrie 4.0? https://t.co/AwDh3ory0S #industrie40 #smartfactory #IOT</t>
  </si>
  <si>
    <t>Author, blogger, Webmaster &amp; Youtuber. I post &amp; share about ToC, #Lean, Operational Excellence &amp; the promises of factory of the future - https://t.co/f6F1VMMyZ0</t>
  </si>
  <si>
    <t>RT @laszloetesi: Jetzt online! Unser Teaser zum #Industrie40 Demonstrator auf https://t.co/RBUgSH9Jyq @FHNWTechnik @FHNW @fhnw_i4ds https:/…</t>
  </si>
  <si>
    <t>Deutschland liegt bei #Industrie40 vorn: Kopf-an-Kopf-Rennen um die digitale Vorherrschaft https://t.co/gcXzfU3YKc #Digitalisierung</t>
  </si>
  <si>
    <t>Guido Becherer</t>
  </si>
  <si>
    <t>die cloud und das fehlende vertrauen in ihre sicherheit via @contenmanagerD #Industrie40 #Digitalisierung https://t.co/XCfyJ0JXb7</t>
  </si>
  <si>
    <t>Düsseldorf, Deutschland</t>
  </si>
  <si>
    <t>people are the key to understand: design, architecture, marketing, food, wine. and trends. discover and be open-minded.</t>
  </si>
  <si>
    <t>Constanze Krehl</t>
  </si>
  <si>
    <t>Mitglied des Europäischen Parlaments, SPD, Koordinatorin im Regionalausschuss, Industrieausschuss, Vorsitzende der Chile-Delegation, Leipzigerin, Krimi-Fan</t>
  </si>
  <si>
    <t>InterCultureCapital</t>
  </si>
  <si>
    <t>#Bundesanstalt warnt erstmals vor mehr deutschen als chinesischen #Produkten #Produktqualität #Industrie40 @WWunder2 https://t.co/Y5EbiMqwKy</t>
  </si>
  <si>
    <t>#China_Portal mit #China_News, #Kultur_Chinas, interkulturellem #China_Blog, #Quiz u.v.m. Infos über #chinesische_Mitarbeiter, #China_Delegation, #Etikette etc.</t>
  </si>
  <si>
    <t>RT @genuanews: Deutschland liegt bei #Industrie40 vorn: Kopf-an-Kopf-Rennen um die digitale Vorherrschaft https://t.co/gcXzfU3YKc #Digital…</t>
  </si>
  <si>
    <t>5 Tage Bitkom Innovation Forum #BIF16 @hannover_messe. Sascha Glemser @KPMG_DE: Freitag, 29.04., 11:30 #industrie40 https://t.co/3EPK7AZVuf</t>
  </si>
  <si>
    <t>equeo</t>
  </si>
  <si>
    <t>equeo entwickelt Smart Learning Solutions zur Vermittlung von Fachinformationen und dem Lernen der Zukunft, besonders im Hinblick auf die Digitalisierung.</t>
  </si>
  <si>
    <t>HTxAlive</t>
  </si>
  <si>
    <t>RT @SMWA_SN: Wichtiges Thema: Gerade die kleinteilige Wirtschaft in #Sachsen hat noch Nachholbedarf. #Industrie40 @wiwo https://t.co/PTjm3T…</t>
  </si>
  <si>
    <t>Global &amp; Web</t>
  </si>
  <si>
    <t>Conference reach out by HTxA - HighTech x Agency • Making relevant knowledge flow faster to where it is most effective</t>
  </si>
  <si>
    <t>@SMWA_SN @wiwo ... dies sind auch Themen beim #SUGermanySummit #Industrie40 #ExponentionalOrganization</t>
  </si>
  <si>
    <t>Charlotte Hager</t>
  </si>
  <si>
    <t>#industrie40 ist Evolution nicht Revolution #tuevaustria #safetyday</t>
  </si>
  <si>
    <t>Baden</t>
  </si>
  <si>
    <t>Semiotik-Nerd, Brand Navigator, Analyst, Communication Scientist, Profiler, Motorbike-Enthusiast, Tori Amos Fan</t>
  </si>
  <si>
    <t>Thomas Lutzky</t>
  </si>
  <si>
    <t>This is the official account of Thomas Lutzky - Managing Director of #PhoenixContact (Austria) GmbH</t>
  </si>
  <si>
    <t>Reinhard Kluger</t>
  </si>
  <si>
    <t>RT @Der_Betriebslei: Dr. Kammüller,#Trumpf:Wir sehen #Produktivitätssteigerungen von 30 % durch die Umsetzung von #Industrie40 als realisti…</t>
  </si>
  <si>
    <t>Würzburg</t>
  </si>
  <si>
    <t>Nur noch 5 Tage bis zur #HannoverMesse. Besuchen Sie uns, #Tickets: https://t.co/S9GCbKJw47 #Digitalisierung #Industrie40 #cybersecurity</t>
  </si>
  <si>
    <t>Alexander Stocker</t>
  </si>
  <si>
    <t>Heute um 16:00 Vortrag auf der #ProSTEP zu @facts4workers IKT für worker in der #industrie40</t>
  </si>
  <si>
    <t>Graz, Austria</t>
  </si>
  <si>
    <t>Projektleiter Digitale Medien und Key Researcher für Wissensmanagement, Enterprise 2.0, Social Media, Social Business</t>
  </si>
  <si>
    <t>ANIS</t>
  </si>
  <si>
    <t>Bucharest, Romania</t>
  </si>
  <si>
    <t>Business association of software and services companies in Romania. Twitting: Valerica Dragomir, executive director</t>
  </si>
  <si>
    <t>Uwe Weber</t>
  </si>
  <si>
    <t>RT @Alex_Stocker: Heute um 16:00 Vortrag auf der #ProSTEP zu @facts4workers IKT für worker in der #industrie40</t>
  </si>
  <si>
    <t>Consulting practice for Business Transformation Management using EA, based on TOGAF since 2005. Cross industries references, certified TOGAF Trainings</t>
  </si>
  <si>
    <t>Standards And More..</t>
  </si>
  <si>
    <t>RT @DIN_Norm: DIN veröffentlicht Standard für das Referenzarchitekturmodell #Industrie40 https://t.co/VcUzUIDScT</t>
  </si>
  <si>
    <t>Neuried, Bayern</t>
  </si>
  <si>
    <t>Technisch-Wissenschaftliche Fachinformationen, Normenmanagement und mehr...</t>
  </si>
  <si>
    <t>Westfalenlob</t>
  </si>
  <si>
    <t>RT @itsOWL_Cluster: Deutschland vs USA: Kopf-an-Kopf-Rennen um die digitale Vorherrschaft via @handelsblatt https://t.co/LBTZ5MWnYg #Indus…</t>
  </si>
  <si>
    <t>Paderborn / Westfalen</t>
  </si>
  <si>
    <t>Tweets aus und über Westfalen. Themen sind Wirtschaft, Kunst/Kultur, Geschichte und Wissenschaft</t>
  </si>
  <si>
    <t>Tom Kostrzewa</t>
  </si>
  <si>
    <t>Commun.it</t>
  </si>
  <si>
    <t>Wollerau, Schwyz</t>
  </si>
  <si>
    <t>Entscheidende Übergangsphasen für #Führungskräfte und Organisationen produktiver gestalten: #Coaching #Executive #Transition.</t>
  </si>
  <si>
    <t>Thilo Dotzel</t>
  </si>
  <si>
    <t>Join #IBM @hannover_messe: Unleash your potential with Industrie 4.0 and cognitive #IoT https://t.co/1FDCi63Bm4 #IBMHMI #Industrie40</t>
  </si>
  <si>
    <t>#SmarterProcess, #Interoperability, #Integration &amp; #Connectivity, #IBMMiddleware, #CloudIntegration, #HybridCloud, @IBM **Tweets are my own**</t>
  </si>
  <si>
    <t>FHNW Technik</t>
  </si>
  <si>
    <t>Brugg-Windisch, Olten, Muttenz</t>
  </si>
  <si>
    <t>Offizieller Twitteraccount der Hochschule für Technik FHNW. Es twittern @run_sascha und @nydesan.</t>
  </si>
  <si>
    <t>ℚ∞ℝ</t>
  </si>
  <si>
    <t>Progress without people, In Defence of Luddism -David Noble; Hat nur wenig genutzt. Déjà-vu? Jamais-vu? #Industrie40 https://t.co/4ZsAjlUDNw</t>
  </si>
  <si>
    <t>Vienna,★</t>
  </si>
  <si>
    <t>known to be minimizing own unknown unknowns</t>
  </si>
  <si>
    <t>RT @thilodotzel: Join #IBM @hannover_messe: Unleash your potential with Industrie 4.0 and cognitive #IoT https://t.co/1FDCi63Bm4 #IBMHMI #I…</t>
  </si>
  <si>
    <t>personalmagazin</t>
  </si>
  <si>
    <t>Wettlauf um die #Technologie: In Sachen #Industrie40 liegen deutsche Unternehmen (noch) vorn -&gt; https://t.co/pXqvWa4ktg #Digitalisierung</t>
  </si>
  <si>
    <t>Bitly</t>
  </si>
  <si>
    <t>Deutschlands meistgelesenes Fachmagazin zum Personalmanagement. Aktuelle News zu Führung, Employer Branding, Weiterbildung, Organisation und Arbeitsrecht.</t>
  </si>
  <si>
    <t>KUKA AG</t>
  </si>
  <si>
    <t>Der Countdown läuft - besuchen Sie uns ab Montag auf der #hm16 und erleben Sie #Industrie40 auf dem KUKA Stand in Halle 17</t>
  </si>
  <si>
    <t>Augsburg, Deutschland</t>
  </si>
  <si>
    <t>Hier twittert die Pressestelle Neuigkeiten aus der KUKA Welt. KUKA ist einer der führenden Anbieter von intelligenten Automatisierungslösungen.</t>
  </si>
  <si>
    <t>RT @personalmagazin: Wettlauf um die #Technologie: In Sachen #Industrie40 liegen deutsche Unternehmen (noch) vorn -&gt; https://t.co/pXqvWa4kt…</t>
  </si>
  <si>
    <t>Metall &amp; Elektro</t>
  </si>
  <si>
    <t>Köln, Berlin</t>
  </si>
  <si>
    <t>Aktuelle News rund um das Thema Berufsausbildung in der Metall- und Elektro-Industrie für Schüler, Lehrer, Unternehmen und Verbände.</t>
  </si>
  <si>
    <t>Andreas Wittke</t>
  </si>
  <si>
    <t>Intel streicht 11% der Jobs bei gleichem Wachstum und zeigt, dass #Industrie40 Jobs vernichtet und nicht umschichtet https://t.co/z4SBG1XmVn</t>
  </si>
  <si>
    <t>Lübeck</t>
  </si>
  <si>
    <t>Founder mooin https://t.co/aAScBnxkn2 und LOOP https://t.co/obbsGk0hW3 #MOOC #OER #Innovation #TechnologyEvangelist leichter Wahnsinn mit Kreativität</t>
  </si>
  <si>
    <t>RT @Bitkom: 5 Tage Bitkom Innovation Forum #BIF16 @hannover_messe. Sascha Glemser @KPMG_DE: Freitag, 29.04., 11:30 #industrie40 https://t.c…</t>
  </si>
  <si>
    <t>Was ist eigentlich RAMI 4.0? Den Bauplan für #Industrie40 erklären wir im Podcast auf https://t.co/ZSqVzj8fUF #HM16 https://t.co/4kpJfUYlv0</t>
  </si>
  <si>
    <t>Redaktion acquisa</t>
  </si>
  <si>
    <t>Hier twittert die Redaktion acquisa über Aktuelles und Wissenswertes aus Marketing, E-Commerce und CRM</t>
  </si>
  <si>
    <t>Digitalwandel</t>
  </si>
  <si>
    <t>Bielefeld, Nordrhein-Westfalen</t>
  </si>
  <si>
    <t>Interessenslagen: Digitaler Wandel, Digital Transformation, Kommunikation, Digital Strategy, Marketing, PR, Social Media und Arbeiten in neuen digitalen Zeiten.</t>
  </si>
  <si>
    <t>Matthias Nolte</t>
  </si>
  <si>
    <t>You never know</t>
  </si>
  <si>
    <t>BI Professional, Notation Evangelist, DataViz Hustler, Fearless Fighter against Dark Data, Music Lover and Sketchnote Rookie. These are my personal views!</t>
  </si>
  <si>
    <t>Dirk Heeren</t>
  </si>
  <si>
    <t>D-41836 Hückelhoven</t>
  </si>
  <si>
    <t>Unternehmer im Bereich Automatisierung, Maschinensicherheit &amp; Softwareerstellung ... https://t.co/AanGn759Rf</t>
  </si>
  <si>
    <t>Gerade den Aufbau der Generalfabrik von @mitunsdigital besucht. Das wird was. Freu mich schon auf #HannoverMesse #industrie40</t>
  </si>
  <si>
    <t>TwitPane Android</t>
  </si>
  <si>
    <t>. @Bitkom: #Mittelstand &amp; #Start-ups profitieren von #DigitiseEU Strategie https://t.co/93GHswe7qd https://t.co/WMznXdL8qC #Industrie40</t>
  </si>
  <si>
    <t>RT @GOettingerEU: . @Bitkom: #Mittelstand &amp; #Start-ups profitieren von #DigitiseEU Strategie https://t.co/93GHswe7qd https://t.co/WMznXdL8q…</t>
  </si>
  <si>
    <t>RT @MarianKoeller: Gerade den Aufbau der Generalfabrik von @mitunsdigital besucht. Das wird was. Freu mich schon auf #HannoverMesse #indust…</t>
  </si>
  <si>
    <t>Automobilindustrie: Wagen, hol schon mal den Harry! #Digitalisierung #Industrie40 https://t.co/H5hcRiw1Zs</t>
  </si>
  <si>
    <t>#Arbeit40, #Arbeiten40, #Industrie40 - Wann ist Schluss mit der Illusion 4.0? https://t.co/lAFKZ9dYx6 #Digitalisierung #IoT #IIoT</t>
  </si>
  <si>
    <t>RT @insm: @BCG Studie: D für #Industrie40 besser vorbereitet als US-Firmen. 50% haben Konzepte für #Digitalisierung. https://t.co/ovbEf8S3Oz</t>
  </si>
  <si>
    <t>RT @insm: @BCG Studie: D für #Industrie40 besser vorbereitet als US-Firmen. 50% haben Konzepte für #Digitalisierung. https://t.co/hJ0TOoPBwU</t>
  </si>
  <si>
    <t>Jörn Dettmer</t>
  </si>
  <si>
    <t>Olpe, Sauerland</t>
  </si>
  <si>
    <t>IT-Verantwortlicher Kath. Hospitalgesellschaft Südwestfalen, Ortsvorsteher 57462 Olpe-Rhode, DFB-Stützpunkttrainer Olpe, Vorsitzender Einer für Kids e.V.</t>
  </si>
  <si>
    <t>USA und Deutschland haben bei #industrie40 weltweit die Nase vorn. #HannoverMesse https://t.co/Talo5zxyYO https://t.co/lxnYOMWxBP</t>
  </si>
  <si>
    <t>Gleich weiter nach Melle/Osnabrück: Kickoff Unternehmernetzwerk #industrie40 der örtlichen IHK.</t>
  </si>
  <si>
    <t>Martin ZAPPE</t>
  </si>
  <si>
    <t>#HM16 - vom 25.-29. April freuen wir uns auf Ihren Besuch: #Industrie40 #OPCUA #IoT https://t.co/s8WYpm7dzJ https://t.co/jq6ahpAl0z</t>
  </si>
  <si>
    <t>Frank Schröder</t>
  </si>
  <si>
    <t>RT @ZVEIorg: Was ist eigentlich RAMI 4.0? Den Bauplan für #Industrie40 erklären wir im Podcast auf https://t.co/ZSqVzj8fUF #HM16 https://t.…</t>
  </si>
  <si>
    <t xml:space="preserve">Deutschland 32676 Lügde </t>
  </si>
  <si>
    <t>Leiter Facility Management Phoenix Contact Electronics. Hier privat. Auch unter https://t.co/AIt2tkWw3S</t>
  </si>
  <si>
    <t>CSC in Deutschland</t>
  </si>
  <si>
    <t>RT @Bitkom: USA und Deutschland haben bei #industrie40 weltweit die Nase vorn #HannoverMesse https://t.co/BZ3ePWvfN6 https://t.co/gxWpPtnQOq</t>
  </si>
  <si>
    <t>Wiesbaden-München-Berlin-Köln</t>
  </si>
  <si>
    <t>IT-Beratung im Bereich #Cloud, #Cybersecurity, #BigData, #Mobility, #BPO, #Systemintegration. CSC-Blog: http://t.co/HQGaHqmOA9</t>
  </si>
  <si>
    <t>Elke Steinegger</t>
  </si>
  <si>
    <t>Senior Director Presales Germany @EMC_de tweets are my own. l like family &amp; friends, skiing, hiking, playing golf and Frankfurt!</t>
  </si>
  <si>
    <t>RT @Bitkom: USA und Deutschland haben bei #industrie40 weltweit die Nase vorn. #HannoverMesse https://t.co/Talo5zxyYO https://t.co/lxnYOMWx…</t>
  </si>
  <si>
    <t>RT @PierreKusz: Digitale Wirtschaft und Gesellschaft - vierten industriellen #Revolution - Zukunftsprojekt #Industrie40 https://t.co/heF6BW…</t>
  </si>
  <si>
    <t>Aufsichtsrat</t>
  </si>
  <si>
    <t>Das Deutsche Institut der Aufsichtsräte ist die führende Vermittlungsplattform für den qualifizierte Aufsichtsrat.</t>
  </si>
  <si>
    <t>Bitkom: USA und Deutschland haben bei #industrie40 weltweit die Nase vorn. #HannoverMesse https://t.co/TgJlYIf6bi… https://t.co/RPVAL2IemZ</t>
  </si>
  <si>
    <t>@MECHATRONIK_IGT - danke für den Artikel zu #industrie40 und unsere Empfehlungen. Lesenswert! https://t.co/ayqYUw1flO</t>
  </si>
  <si>
    <t>Bitkom: USA und Deutschland haben bei #industrie40 weltweit die Nase vorn. #HannoverMesse https://t.co/HhKd7atOY9… https://t.co/ifgwOYx58z</t>
  </si>
  <si>
    <t>RT @ROKAutomationDE: @MECHATRONIK_IGT - danke für den Artikel zu #industrie40 und unsere Empfehlungen. Lesenswert! https://t.co/ayqYUw1flO</t>
  </si>
  <si>
    <t>DETECON Consulting</t>
  </si>
  <si>
    <t>Köln, Nordrhein-Westfalen</t>
  </si>
  <si>
    <t>Hier twittern für Sie @ingridblessing, ^IB @tcoe ^TC, @pestolino ^KL, @gerhardauer ^GA und @RalfFaber ^RF</t>
  </si>
  <si>
    <t>Marco Lübbecke</t>
  </si>
  <si>
    <t>#Industrie40: #Digitalisierung und Vernetzung allein reichen nicht https://t.co/abT7Uw5pWk</t>
  </si>
  <si>
    <t>professor of operations research @RWTH, #math optimization in theory and practice, prescriptive #analytics, @INFORMS VP IT</t>
  </si>
  <si>
    <t>GlobalSign DE</t>
  </si>
  <si>
    <t>RT @ITK_OWL: Bitkom: USA und Deutschland haben bei #industrie40 weltweit die Nase vorn. #HannoverMesse https://t.co/HhKd7atOY9… https://t.c…</t>
  </si>
  <si>
    <t>Wir bieten vertrauenswürdige Identitäten für sicheren Handel, Kommunikation, Interaktionen und Transaktionen online. Impressum: https://t.co/EAfKDZp3KM</t>
  </si>
  <si>
    <t>USA und Deutschland laut deutschen Top-Managern bei #Industrie40 weltweit führend https://t.co/6qaG1EG5LW https://t.co/npEwyw9CUJ</t>
  </si>
  <si>
    <t>RT @BitkomResearch: USA und Deutschland laut deutschen Top-Managern bei #Industrie40 weltweit führend https://t.co/6qaG1EG5LW https://t.co/…</t>
  </si>
  <si>
    <t>IEBook</t>
  </si>
  <si>
    <t>RT @ROKAutomationUK: #SmartManufacturing and #IoT are reinventing business. Read the blog. #Industrie40 #hm16 https://t.co/VJSuHFI9HK https…</t>
  </si>
  <si>
    <t>Industrial Ethernet Book: Journal of Industrial Network Connectivity. Find technical articles and case studies on http://t.co/L6ar97M2TV.</t>
  </si>
  <si>
    <t>Peter Borchers</t>
  </si>
  <si>
    <t>Berlin, Munich</t>
  </si>
  <si>
    <t>Founder &amp; head of Deutsche Telekom's global incubator ‘hub:raum‘, author &amp; speaker on ‘Digital Transformation‘ https://t.co/OPL5oQ2bGl | https://t.co/xQvOhpgL2i</t>
  </si>
  <si>
    <t>Petra Wilmering</t>
  </si>
  <si>
    <t>Wuppertal</t>
  </si>
  <si>
    <t>Business Psychology, B.Sc. // eLearning, Social Media Geekette, HR, talent explorer // TAS Mülheim GmbH // Salsa Dancer, Singer</t>
  </si>
  <si>
    <t>CEMA AG</t>
  </si>
  <si>
    <t>Germany/Mannheim</t>
  </si>
  <si>
    <t>Wir bieten einen IT-Fullservice: IT-Consulting, IT-Lösungen &amp; mehr. Unser neues Angebot: CEMA ManagedOffice! https://t.co/2huCsijP3d https://t.co/pNmagKnPcp</t>
  </si>
  <si>
    <t>INAUTOMATION</t>
  </si>
  <si>
    <t>#Industrie40 geht mit großer Geschwindigkeit voran. https://t.co/H7hRBPvMxu Tickets #HM16 https://t.co/YhOUsJvD9V https://t.co/EKNA2iaJPt</t>
  </si>
  <si>
    <t>Mainz</t>
  </si>
  <si>
    <t>Die wichtigsten Neuheiten und Trends rund um die Mess- und Automatisierungstechnik</t>
  </si>
  <si>
    <t>RT @INAUTOMATION: #Industrie40 geht mit großer Geschwindigkeit voran. https://t.co/H7hRBPvMxu Tickets #HM16 https://t.co/YhOUsJvD9V https:/…</t>
  </si>
  <si>
    <t>HESSENMETALL</t>
  </si>
  <si>
    <t>Tolles Video zur Entwicklung von #Industrie40-Konzepten! https://t.co/8xULrC3nwe</t>
  </si>
  <si>
    <t>HESSENMETALL ist das Entscheider-Netzwerk der Metall- und Elektro-Industrie</t>
  </si>
  <si>
    <t>antriebstechnik</t>
  </si>
  <si>
    <t>antriebstechnik ist das B2B-Magazin für Konstuktion, Entwicklung und Anwendung von Antrieben und Steuerungen; our international account = @MDA_Technology</t>
  </si>
  <si>
    <t>Mobile Maschinen</t>
  </si>
  <si>
    <t>Das B2B-Magazin für mobile Arbeitsmaschinen</t>
  </si>
  <si>
    <t>Michael Burger</t>
  </si>
  <si>
    <t>An Wert-/Quer-Denker und alle, die an die inneren Werte im Unternehmen, Chardonnay und andere unterschätzte Werte glauben. Dazu der Blog http://t.co/NlUXtBUA6p</t>
  </si>
  <si>
    <t>Seit 25 Jahren reden wir über #CloudComputing. #IoT #Industrie40 #m2m #Digitalisierung @verlinked https://t.co/dZJk9V59Hy</t>
  </si>
  <si>
    <t>Karl Maurer</t>
  </si>
  <si>
    <t>Tolles Video mit @ChristianB42 und @geraldpitschek über Dokumenten Automation: https://t.co/MDnUeMBEk5 #dox42 #industrie40 #automatisierung</t>
  </si>
  <si>
    <t>Solution Architect @dox42: #agile #strategy #CRM #ERP #ECM #SharePoint #designthinking #ecommerce #startups #psychology #software #SAP #Microsoft #IT</t>
  </si>
  <si>
    <t>RT @karl__maurer: Tolles Video mit @ChristianB42 und @geraldpitschek über Dokumenten Automation: https://t.co/MDnUeMBEk5 #dox42 #industrie4…</t>
  </si>
  <si>
    <t>RT @verlinked: Seit 25 Jahren reden wir über #CloudComputing. #IoT #Industrie40 #m2m #Digitalisierung @verlinked https://t.co/dZJk9V59Hy</t>
  </si>
  <si>
    <t>Christian Zeller</t>
  </si>
  <si>
    <t>RT detecon: RT Bitkom: USA und Deutschland haben bei #industrie40 weltweit die Nase vorn. #HannoverMesse … https://t.co/XzPpRxPTPk</t>
  </si>
  <si>
    <t>Choiselat Franck</t>
  </si>
  <si>
    <t>RT @HOHMANN_Chris: Qu'est-ce qu'industrie 4.0? https://t.co/AwDh3ory0S #industrie40 #smartfactory #IOT</t>
  </si>
  <si>
    <t>Montmirey-le-Château, France</t>
  </si>
  <si>
    <t>#innovation #industrie40 #lean #management30 #paperindustry #papermills #astrophysique #quantique #paper #IoTworld #pub</t>
  </si>
  <si>
    <t>News: Industrie 4.0</t>
  </si>
  <si>
    <t>Industrie 4.0: @hannover_messe Obama, #TTIP und #Industrie40 #Digitalisierung #Partnerland #BigData https://t.co/Gc6LFsQK60</t>
  </si>
  <si>
    <t>Hier finden Sie News rund um die vierte industrielle Revolution | smart factories, CPS, Automatisierung, integrative Produktentwicklung, STENT-Methodik</t>
  </si>
  <si>
    <t>Chr M</t>
  </si>
  <si>
    <t>RT @Industrie_40: Industrie 4.0: @hannover_messe Obama, #TTIP und #Industrie40 #Digitalisierung #Partnerland #BigData https://t.co/Gc6LFsQK…</t>
  </si>
  <si>
    <t>Berufsbilder für #Industrie40 #Metall #Elektroindustrie https://t.co/vpFlj0O5p8 @MEArbeitgeber @IGMetall @ZVEIorg https://t.co/iIfYqO93dJ</t>
  </si>
  <si>
    <t>SmartCheck soll Betriebsdauer von Wälzlagern digital ermitteln. #Digitalisierung #PredictiveMaintenance #Industrie40 https://t.co/E5wKn2OivP</t>
  </si>
  <si>
    <t>T.A. Cook_DE</t>
  </si>
  <si>
    <t>Neueste Entwicklungen zu #SAPEAM #EnterpriseAssetManagement #Industrie40 Download Programm: https://t.co/Co3UE2rB12 https://t.co/YfrESNMwSU</t>
  </si>
  <si>
    <t>Industrie 4.0: verknüpft Mensch und Maschine #Software #Industrie40 #Experten #Netzwerk #Kombination https://t.co/yN8hxFDHXV</t>
  </si>
  <si>
    <t>Industrie 4.0: #SmartFactoryKL steuert intelligente #Industrie40-#Anlage mit #MES von #iTAC https://t.co/kFTMfBSDs1</t>
  </si>
  <si>
    <t>RT @Industrie_40: Industrie 4.0: verknüpft Mensch und Maschine #Software #Industrie40 #Experten #Netzwerk #Kombination https://t.co/yN8hxFD…</t>
  </si>
  <si>
    <t>think ING.</t>
  </si>
  <si>
    <t>#Industrie40: "Aus-, Fort- und Weiterbildung spielten eine Schlüsselrolle" https://t.co/SW8v8PRuOh</t>
  </si>
  <si>
    <t>Umfassende Informationen zu Ingenieurstudium und Ingenieurberuf sowie MINT-Förderung von Wolfgang Gollub, Nachwuchssicherung, Arbeitgeberverband Gesamtmetall</t>
  </si>
  <si>
    <t>RT @Industrie_40: Industrie 4.0: #SmartFactoryKL steuert intelligente #Industrie40-#Anlage mit #MES von #iTAC https://t.co/kFTMfBSDs1</t>
  </si>
  <si>
    <t>Industrie 4.0: Hochverfügbare #Infrastruktur für #Industrie40-#Anwendungen #IoT #Monitoring https://t.co/rRpNoDumIe</t>
  </si>
  <si>
    <t>RT @THINK_ING: #Industrie40: "Aus-, Fort- und Weiterbildung spielten eine Schlüsselrolle" https://t.co/SW8v8PRuOh</t>
  </si>
  <si>
    <t>NEW SEARCH</t>
  </si>
  <si>
    <t>Bruchsal</t>
  </si>
  <si>
    <t>Personal- und Managementberatung mit Sitz Bruchsal und Heidelberg seit 1996. Impressum: http://t.co/4zMUFSAndy</t>
  </si>
  <si>
    <t>RT @baymevbm: #Industrie40 Auswirkungen auf Aus- und #Weiterbildung in #MEIndustrie. Rückblick Ausbildungskongress: https://t.co/pcmvGdTW5J</t>
  </si>
  <si>
    <t>RT @baymevbm: #Industrie40 Auswirkungen auf Aus- und #Weiterbildung in #MEIndustrie. Rückblick Ausbildungskongress: https://t.co/QAUgBkK4mZ</t>
  </si>
  <si>
    <t>Dominic</t>
  </si>
  <si>
    <t>RT @onlinebynature: Intel streicht 11% der Jobs bei gleichem Wachstum und zeigt, dass #Industrie40 Jobs vernichtet und nicht umschichtet ht…</t>
  </si>
  <si>
    <t>Wettlauf um die #Technologie: In Sachen #Industrie40 liegen deutsche Unternehmen (noch) vorn https://t.co/rX5O4Lb685</t>
  </si>
  <si>
    <t>ORBIT IT Solutions</t>
  </si>
  <si>
    <t>Bonn, Germany</t>
  </si>
  <si>
    <t>ORBIT ist Ihr Komplettanbieter für individuelle IT-Lösungen und geschäftskritische Anwendungen.</t>
  </si>
  <si>
    <t>InfoTip Service GmbH</t>
  </si>
  <si>
    <t>Industrie 4.0 verknüpft Mensch und Maschine https://t.co/0mjvmFWFnq #digitalisierung #industrie40</t>
  </si>
  <si>
    <t>Bochum, Nordrhein-Westfalen</t>
  </si>
  <si>
    <t>InfoTip entwickelt SaaS-Lösungen zur Prozess-Optimierung im Umfeld von Service und Servicelogistik. Impressum: https://t.co/SC6lrgcv35</t>
  </si>
  <si>
    <t>Richard RALFS</t>
  </si>
  <si>
    <t>RT @mluebbecke: #Industrie40: #Digitalisierung und Vernetzung allein reichen nicht https://t.co/abT7Uw5pWk</t>
  </si>
  <si>
    <t>Königswinter, Rhein-Sieg, NRW</t>
  </si>
  <si>
    <t>Kopf: Medienwissenschaften-Soziologie-Psychologie - Herz: GRÜNE (BAG Medien/Netz, LAG Medien/Netz, LAG Kind/Jugend) - Geld: CEO ralfs-x-ralfs.de</t>
  </si>
  <si>
    <t>Sven Bartel</t>
  </si>
  <si>
    <t>USA und Deutschland sind bei #Industrie40 weltweit führend #bitkom #hmi https://t.co/H8dEa8BRu9</t>
  </si>
  <si>
    <t>IT-Consultant (Cologne Area) Vorher Studium der Wirtschaftsinformatik (M.Sc.) Interessen: #Digitalisierung #CloudComputing #IT #MobileBusiness #IoT</t>
  </si>
  <si>
    <t>RT @infotipgmbh: Industrie 4.0 verknüpft Mensch und Maschine https://t.co/0mjvmFWFnq #digitalisierung #industrie40</t>
  </si>
  <si>
    <t>Netter Überblicksartikel zu #Digitalisierung #Industrie40 und #DigitaleTransformation bei @handelsblatt https://t.co/h2Q32a02GT</t>
  </si>
  <si>
    <t>Astrid Albrecht</t>
  </si>
  <si>
    <t>Could not be part of #prostep? Meet Frank Riemensperger @hannover_messe and discuss #IIoT #Industrie40 #connected https://t.co/og8DyY1ndP</t>
  </si>
  <si>
    <t>Marketer @Accenture /@AccenturePLM / @AccentureInd. Favorites: sport, food, cooking &amp; laughing. Opinions are my own.</t>
  </si>
  <si>
    <t>Industrie 4.0: Trendreport - Sind #IIoT und #Industrie40 schon zu spüren? #Standards #Netzwerk #Feldbus https://t.co/y0bcHvO4H0</t>
  </si>
  <si>
    <t>Appian Deutschland</t>
  </si>
  <si>
    <t>#Industrie40 „Die Zeit der Einzelkämpfer ist vorbei“, so Alexander Rathfelder von A.T. Kearney. Interessante Analyse https://t.co/f1xIOnjRvV</t>
  </si>
  <si>
    <t>Offizieller Twitter-Account von Appian Deutschland, führendem Anbieter von BPM- und Case Management-Lösungen. Impressum: https://t.co/N55jKKMItk</t>
  </si>
  <si>
    <t>Fabian Meisinger</t>
  </si>
  <si>
    <t>Digitalisierung der Unternehmen nur entlang der Prozesse erreichbar! https://t.co/IR7MlPKWcE #Industrie40 #ProcessExperience</t>
  </si>
  <si>
    <t>Konstanz, Baden-Württemberg</t>
  </si>
  <si>
    <t>#processinnovation enthusiast</t>
  </si>
  <si>
    <t>Want to know how all production processes can be connected in a decentralized way? Visit #SAP at #HM16: https://t.co/15Tz89TnGT #Industrie40</t>
  </si>
  <si>
    <t>Bosch Connectivity</t>
  </si>
  <si>
    <t>Reutlingen, Baden-Württemberg</t>
  </si>
  <si>
    <t>We develop and market innovative connected devices and tailor-made solutions for the #InternetOfThings #IoT |Bosch Connected Devices and Solutions|</t>
  </si>
  <si>
    <t>RT @Industrie_40: Industrie 4.0: Trendreport - Sind #IIoT und #Industrie40 schon zu spüren? #Standards #Netzwerk #Feldbus https://t.co/y0bc…</t>
  </si>
  <si>
    <t>VhU</t>
  </si>
  <si>
    <t>Vereinigung der hessischen Unternehmerverbände</t>
  </si>
  <si>
    <t>Dr.Steffen Haack, #BoschRexroth: Wir haben #Industrie40- #Pilotprojekte in unseren eigenen Werken #hm16 #IoT #I40 https://t.co/S9N7JL2Fw6</t>
  </si>
  <si>
    <t>techcityathens</t>
  </si>
  <si>
    <t>Ελλάς</t>
  </si>
  <si>
    <t>made for tech citizens of Greece</t>
  </si>
  <si>
    <t>@Gesamtmetall, @IGMetall, @VDMAonline &amp; ZVEI prüfen Berufsbilder für #Industrie40 . Vorschläge noch 2016. Mehr auf https://t.co/zVgIz9xZ8T</t>
  </si>
  <si>
    <t>SusChem ETP</t>
  </si>
  <si>
    <t>@SPIRE2030 project workshop demonstrating how PPP supports deployment of #DigitiseEU and #Industrie40 agenda @DSMeu https://t.co/0kGY2bsrkQ</t>
  </si>
  <si>
    <t>Brussels, Europe</t>
  </si>
  <si>
    <t>The European Technology Platform for Sustainable Chemistry</t>
  </si>
  <si>
    <t>GenSearch Germany</t>
  </si>
  <si>
    <t>RT @charisma_expert: #digitaletransformation im Gesundheitswesen #digitalisierung #conhIT #CONHIT2016 #Industrie40 #industryconf #IoT http…</t>
  </si>
  <si>
    <t>Gensearch is a global HR service consultancy dedicated to the life sciences sector and all of its stakeholders</t>
  </si>
  <si>
    <t>Great, short, motivational read about #industrie40 &amp; #ukmfg! https://t.co/GkZ4ROmqkv</t>
  </si>
  <si>
    <t>Stephan Senfberg</t>
  </si>
  <si>
    <t>Wir haben das mit dem Datenschutz und der Datenspionage nicht gelöst, aber wir machen jetzt alle #Industrie40.</t>
  </si>
  <si>
    <t>Bad Homie</t>
  </si>
  <si>
    <t>Vergrämter Paläozoologe, Aquaponiker, interessiert an Verfahren zur Produktion gesunder Nahrungsmittel und umweltfreundlicher Energiegewinnung.</t>
  </si>
  <si>
    <t>Fujitsu CE</t>
  </si>
  <si>
    <t>Deutschland/Österreich/Schweiz</t>
  </si>
  <si>
    <t>Fujitsu Central Europe (Deutschland, Österreich und die Schweiz) ist ein führender europäischer Informations- und Telekommunikations-Komplettanbieter.</t>
  </si>
  <si>
    <t>Andreas Giesen</t>
  </si>
  <si>
    <t>Trendreport: Sind IIoT und Industrie 4.0 schon zu spüren? - all-electronics.de https://t.co/CPmmKn38qU #Industrie40 #IioT</t>
  </si>
  <si>
    <t>Nordrhein-Westfalen</t>
  </si>
  <si>
    <t>[The only constant is change - Nobody said it was easy - Devil in the details] #IoT #Industrie40 #BigData #Knowledge #Analytics #DevOps #AI Views are my own.</t>
  </si>
  <si>
    <t>#industrie40 #IoT Security of Things World 2016 https://t.co/5WFzevpnsi https://t.co/8OLEuIFPj5</t>
  </si>
  <si>
    <t>Indoor-Navigation per WLAN: Diese Open-Source-Software macht’s möglich https://t.co/O4KJT6pcRN via @t3n #Industrie40 #IoT</t>
  </si>
  <si>
    <t>Pascal Degen</t>
  </si>
  <si>
    <t>Das Gegenteil von Innovation ist Validieren! #Siams #innovation #Industrie40</t>
  </si>
  <si>
    <t>Liedertswil</t>
  </si>
  <si>
    <t>Dipl. NDS HF Management &amp; Leadership; Betriebsleiter Hans Kurt AG; Junior Coach, Clover Coaching AG</t>
  </si>
  <si>
    <t>#Industrie 4.0 bei #Bürgern negativ besetzt https://t.co/rXR5Zk3XoU via @wiwo #Industrie40 #IoT</t>
  </si>
  <si>
    <t>RT @samuel_vuadens: La révolution robotique grand public dans le matin dimanche https://t.co/32z9sJLEYr @bepogchBepog #robotics #industrie…</t>
  </si>
  <si>
    <t>klandestino</t>
  </si>
  <si>
    <t>www</t>
  </si>
  <si>
    <t>gedankenaktivist | politisch | cyberpunker</t>
  </si>
  <si>
    <t>KRAWALLI</t>
  </si>
  <si>
    <t>Vorne Baum rein, hinten kommt das Möbelstück raus! #Industrie40 https://t.co/dyvDhJcqWl</t>
  </si>
  <si>
    <t>Niedersachsen</t>
  </si>
  <si>
    <t>Showkuenstler.de ist ein Künstlerverzeichnis (© 2007 Jongleur Krawalli)</t>
  </si>
  <si>
    <t>RT @ShowkuenstlerDe: Vorne Baum rein, hinten kommt das Möbelstück raus! #Industrie40 https://t.co/dyvDhJcqWl</t>
  </si>
  <si>
    <t>#Industrie40 Obama macht Industrieschau zum Treffen der Superlative https://t.co/Xdr29NJJOs via @focusonline</t>
  </si>
  <si>
    <t>#USA und #Deutschland sind bei #Industrie40 weltweit führend https://t.co/aI9pNHqj0V</t>
  </si>
  <si>
    <t>Jörg Hackhausen</t>
  </si>
  <si>
    <t>Von der Industrie 1.0 bis 4.0 #industrie40 #HannoverMesse https://t.co/PcYoSb0s7i</t>
  </si>
  <si>
    <t>Schreibt über Wirtschaft, Märkte, Arbeit. Meinungen sind meine eigenen.</t>
  </si>
  <si>
    <t>Passen Berufsbilder für #Industrie40? Qualifizierungsbedarf? Das wollen Sozialpartner analysieren: https://t.co/6sUEewPFaH #Digitalisierung</t>
  </si>
  <si>
    <t>Passen Berufsbilder für #Industrie40? Qualifizierungsbedarf? Das wollen Sozialpartner analysieren: https://t.co/uoLVk5bq0u #Digitalisierung</t>
  </si>
  <si>
    <t>RT @Gesamtmetall: Passen Berufsbilder für #Industrie40? Qualifizierungsbedarf? Das wollen Sozialpartner analysieren: https://t.co/uoLVk5bq0…</t>
  </si>
  <si>
    <t>RT @MEArbeitgeber: Passen Berufsbilder für #Industrie40? Qualifizierungsbedarf? Das wollen Sozialpartner analysieren: https://t.co/6sUEewPF…</t>
  </si>
  <si>
    <t>Industrie 2025</t>
  </si>
  <si>
    <t>Maik Plischke</t>
  </si>
  <si>
    <t>Innovator, Netzwerker, Moderator, Feuerwehrmann</t>
  </si>
  <si>
    <t>"Der Maschinenbauer Trumpf will in 5 Jahren seine Werke vollständig digitalisiert haben" https://t.co/hL6abjppiH #HDS #industrie40</t>
  </si>
  <si>
    <t>M. Schottenhammer</t>
  </si>
  <si>
    <t>Nürnberg, Franken, Digitalisierung, Industrie 4.0, Webwirtschaft, Startups, https://t.co/R0YA9flagT.Nürnberg - mit diesem Profil privat unterwegs</t>
  </si>
  <si>
    <t>Stefan Denz</t>
  </si>
  <si>
    <t>Passionate about how ICT can support Business Innovation. Working @Fujitsu_Global. All views are my own.</t>
  </si>
  <si>
    <t>5 Tage Bitkom Innovation Forum #BIF16 @hannover_messe. Dirk Lindemeier @nokianetworks: Do., 28.04., 16h #Industrie40 https://t.co/pHVgg1EV3Q</t>
  </si>
  <si>
    <t>Christian K.</t>
  </si>
  <si>
    <t>a Zuagroasta</t>
  </si>
  <si>
    <t>RT @Bitkom_I40: 5 Tage Bitkom Innovation Forum #BIF16 @hannover_messe. Dirk Lindemeier @nokianetworks: Do., 28.04., 16h #Industrie40 https:…</t>
  </si>
  <si>
    <t>Industrie 4.0 sprengt den #Datenschutz https://t.co/DvthamzTme #Industrie40 #i40</t>
  </si>
  <si>
    <t>Johannes</t>
  </si>
  <si>
    <t>#Industrie40 :USA und Deutschland sind weltweit führend #HannoverMesse https://t.co/9lW8OWbIQH</t>
  </si>
  <si>
    <t>#Industrie40 :USA und Deutschland sind weltweit führend #HannoverMesse https://t.co/prcR0ciqbM</t>
  </si>
  <si>
    <t>RT @christophwitte: #Industrie40 :USA und Deutschland sind weltweit führend #HannoverMesse https://t.co/9lW8OWbIQH</t>
  </si>
  <si>
    <t>VDE</t>
  </si>
  <si>
    <t>Weltweit einmaliger Ansatz: Dt Industrie startet Normungsinitiative für #Industrie40 https://t.co/UWusOn1rJZ #Normung #Normen @DKEAktuell</t>
  </si>
  <si>
    <t>VDE Association for Electrical, Electronic &amp; Information Technologies | Smart Grids, E-Mobility, Industry 4.0, IT-Security... Join us: https://t.co/xy2OpamYEh</t>
  </si>
  <si>
    <t>Project EPOS</t>
  </si>
  <si>
    <t>RT @SusChem: @SPIRE2030 project workshop demonstrating how PPP supports deployment of #DigitiseEU and #Industrie40 agenda @DSMeu https://t.…</t>
  </si>
  <si>
    <t>Gand, Belgio</t>
  </si>
  <si>
    <t>Energy &amp; resourse efficiency via onsite and cross-sectorial symbiosis in industrial &amp; district clusters. @EU_H2020 - @SPIRE2030 project coordinated by @UGent</t>
  </si>
  <si>
    <t>RT @AGiesenNRW: Trendreport: Sind IIoT und Industrie 4.0 schon zu spüren? - all-electronics.de https://t.co/CPmmKn38qU #Industrie40 #IioT</t>
  </si>
  <si>
    <t>Ing.f.Kommunikation</t>
  </si>
  <si>
    <t>Kleine und mittlere Unternehmen benötigen aber noch Unterstützung/Motivation, sich mit #Industrie40 zu beschäftigen https://t.co/t9ANM4zBaO</t>
  </si>
  <si>
    <t>IfKom-Ingenieure für Kommunikation: größter Branchen-Ingenieurverband Deutschlands, Mitglied im Zentralverband d. Ingenieurvereine ZBI. Tweets v. Bundesvorstand</t>
  </si>
  <si>
    <t>transformation digitale-investissements $900B / an... https://t.co/Y8mutgHKnO via @PwC_France #industrie40 #SAPfr https://t.co/pt6IORkBlG</t>
  </si>
  <si>
    <t>RT @Angela_Josephs: #Industrie40 Konferenz von #PhoenixContact in Polen startet mit nettem Empfang https://t.co/B78ClR7v2M</t>
  </si>
  <si>
    <t>RT @IfKom_eV: Kleine und mittlere Unternehmen benötigen aber noch Unterstützung/Motivation, sich mit #Industrie40 zu beschäftigen https://t…</t>
  </si>
  <si>
    <t>RT @MeinGeldMedien: #Industrie40 : Stopp durch Berechtigungschaos? Management drohen Milliardenschäden via https://t.co/oYr4KW8qzp #MeinGel…</t>
  </si>
  <si>
    <t>Willenbrock</t>
  </si>
  <si>
    <t>Hannover und Bremen</t>
  </si>
  <si>
    <t>Hier twittert @StaplerPaul für #Willenbrock #Fördertechnik über Neuigkeiten und Leistungen aus den Bereichen #Stapler, #Intralogistik und #Digitalisierung.</t>
  </si>
  <si>
    <t>https://t.co/6CKTIHp3yd Deutschland, Platz 2 im #Industrie40 Ranking. Da bietet sich bestimmt eine steile #Karriere https://t.co/TTauOEuxgX</t>
  </si>
  <si>
    <t>#Industrie40 #Digitalisierung #Jobs #career https://t.co/HrXmPNuNrb</t>
  </si>
  <si>
    <t>#Karriere im #Industrie40 Umfeld gesucht? Hier entlang: https://t.co/2m7lC87VvN #jobs #consultant #ScheerGroove @ScheerKarriere @Scheer_GmbH</t>
  </si>
  <si>
    <t>Stephanie Yilmaz</t>
  </si>
  <si>
    <t>Wie durch die #Industrie40 neue Jobs für IT-Fachleute entstehen https://t.co/KSM9ET84tu @COMPUTERWOCHE https://t.co/ImYv3AAs7C</t>
  </si>
  <si>
    <t>#B2B Tech PR @hotwirePR_DE, interested in communication and politics, loves food. views are my own.</t>
  </si>
  <si>
    <t>Hannover Messe: USA und Deutschland tonangebend bei Industrie 4.0 - heise online https://t.co/pmcVHlkdJg @SAP_IoT #industrie40 #IoT #HM16</t>
  </si>
  <si>
    <t>Sven Marasek</t>
  </si>
  <si>
    <t>Neues OGS SSB Modul Maschinendatenerfassung im Kontext von Industrie 4.0 mit Monitoring. https://t.co/WV0Q4Tc5Cq #IBM #Industrie40 #PPS #ERP</t>
  </si>
  <si>
    <t>Sebastian Kosslers</t>
  </si>
  <si>
    <t>RT @VDE_Group: Weltweit einmaliger Ansatz: Dt Industrie startet Normungsinitiative für #Industrie40 https://t.co/UWusOn1rJZ #Normung #Norme…</t>
  </si>
  <si>
    <t>Wandel wird Standard - Views are my own @DKEAktuell #SmartGrid #SmartEnergy #Standardization #Normung #Standardisierung #Innovation #Frankfurt</t>
  </si>
  <si>
    <t>RT @smarasek: Neues OGS SSB Modul Maschinendatenerfassung im Kontext von Industrie 4.0 mit Monitoring. https://t.co/WV0Q4Tc5Cq #IBM #Indust…</t>
  </si>
  <si>
    <t>RT @ScheerKarriere: https://t.co/6CKTIHp3yd Deutschland, Platz 2 im #Industrie40 Ranking. Da bietet sich bestimmt eine steile #Karriere ht…</t>
  </si>
  <si>
    <t>RT @UweKubach: Hannover Messe: USA und Deutschland tonangebend bei Industrie 4.0 - heise online https://t.co/pmcVHlkdJg @SAP_IoT #industrie…</t>
  </si>
  <si>
    <t>RT @miss_ypsilon: Wie durch die #Industrie40 neue Jobs für IT-Fachleute entstehen https://t.co/KSM9ET84tu @COMPUTERWOCHE https://t.co/ImYv3…</t>
  </si>
  <si>
    <t>Hannover Messe: Obama, TTIP und #Industrie40 - heise online https://t.co/ULIxzb2MOz #IoT @SAP_IoT #hm16</t>
  </si>
  <si>
    <t>SICK Deutschland</t>
  </si>
  <si>
    <t>#Sensor-#Lösungen für #Fabrikautomation | #Logistikautomation | #Prozessautomation | Es twittert MarKom | Impressum: http://t.co/MiAkC35iU1</t>
  </si>
  <si>
    <t>#App-gestützte Auftragskommunikation live erleben https://t.co/e8ijL9PexJ #Industrie40 #Logistik #SupplyChain</t>
  </si>
  <si>
    <t>Autonome Autofabrik: Produktion der Zukunft steuert sich selbst. #BMWi #Fraunhofer #Industrie40 https://t.co/L5NkIyRHU6</t>
  </si>
  <si>
    <t>#Industrie40: Neue Aufgaben und neue Jobs für IT-Fachleute #Arbeit40 https://t.co/mz9VO3zuhB via @COMPUTERWOCHE</t>
  </si>
  <si>
    <t>Magazino</t>
  </si>
  <si>
    <t>#Industrie40: #TORU und @MagazinoGmbH heute wieder in der @wiwo: https://t.co/hjYZdcnDvx</t>
  </si>
  <si>
    <t>Magazino develops and builds mobile, perception driven robots for warehouse logistics and intralogistics. We provide item specific picking for the Industry 4.0</t>
  </si>
  <si>
    <t>mGuard CyberSecurity</t>
  </si>
  <si>
    <t>#HM16 Vortrag - jetzt vormerken! Sichere unternehmensübergreifende Kommunikation - Voraussetzung für #Industrie40: https://t.co/PioPHEq5ng</t>
  </si>
  <si>
    <t>News &amp; product information on #cybersecurity &amp; #remoteservices of #PhoenixContact, leading manufacturer of security appliances. #mGuard https://t.co/uzSJSyauw7</t>
  </si>
  <si>
    <t>konsultwerk</t>
  </si>
  <si>
    <t>Aus-, Fort- und Weiterbildung spielen eine Schlüsselrolle für die Herausforderung #Industrie40 #Zukunftskompetenzen https://t.co/VR24nJ3o6r</t>
  </si>
  <si>
    <t>Consulting people - Menschen beraten</t>
  </si>
  <si>
    <t>Industriesensorik im #IIOT - Müller: "Die vierte industrielle Revolution passiert auf der Datenebene" #Industrie40 https://t.co/9n9HUswMOj</t>
  </si>
  <si>
    <t>SEPEM Industries</t>
  </si>
  <si>
    <t>#SEPEM, une réponse groupée à toutes vos problématiques dans l’#industrie : #productivité, #maintenance, #sécurité, #environnement...</t>
  </si>
  <si>
    <t>PMBG</t>
  </si>
  <si>
    <t>Rüdersdorf bei Berlin</t>
  </si>
  <si>
    <t>Projektmanagementberatung Grosser - Tweets, News und Infos zu den Themen Tech, Startups, Projektmanagement und technologiegetriebene Innovationen</t>
  </si>
  <si>
    <t>Generation Robots DE</t>
  </si>
  <si>
    <t>Der führende Lieferant für Servicerobotik in Europa #Roboter #Robotik #NAO #Baxter #ROS</t>
  </si>
  <si>
    <t>Microsoft Politik</t>
  </si>
  <si>
    <t>Darum geht es ab Montag auf der #HM16 mit zahlreichen #Industrie40-Beispielen auch aus Deutschland https://t.co/EXZJuV9j2A</t>
  </si>
  <si>
    <t>Hier twittert das Politikteam von Microsoft Deutschland. http://t.co/6LxeEIwBQr</t>
  </si>
  <si>
    <t>Drahtlose Kommunikation: LiFi-Lösung für die Industrie - https://t.co/6qbePS6jgz #Industrie40 https://t.co/yguasTSZRv</t>
  </si>
  <si>
    <t>RT @Rhenatic: L'#Industrie40 à l'allemande et ses acteurs clés avec notamment le Hannover Messe à #campus40 https://t.co/p7phdCCjqp</t>
  </si>
  <si>
    <t>Packaging Journal</t>
  </si>
  <si>
    <t>Alex Franke</t>
  </si>
  <si>
    <t>Great key note by Henning Kagermann on #Industrie40 towards a #smartserviceworld @Der_BDI https://t.co/AvVqUEGKzA</t>
  </si>
  <si>
    <t>Berlin. Germany</t>
  </si>
  <si>
    <t>Managing Director &amp; Partner @etventure business ignition, lived&amp;worked in Palo Alto, Helsinki, Munich &amp; Berlin #innovation #digitalization #startup #corporates</t>
  </si>
  <si>
    <t>DAE Blog</t>
  </si>
  <si>
    <t>Frankfurt (Main)</t>
  </si>
  <si>
    <t>Der Blog von Data Assistance Europe (Data Privacy, Digital Identity, Encryption)</t>
  </si>
  <si>
    <t>#IndustrieDuFutur : #Bruxelles s’empare du sujet https://t.co/ExGBP9A5x8 via @LesEchos #UE #Industrie40 @EU_Commission</t>
  </si>
  <si>
    <t>RT @NeleReimers: Industriesensorik im #IIOT - Müller: "Die vierte industrielle Revolution passiert auf der Datenebene" #Industrie40 https:/…</t>
  </si>
  <si>
    <t>RT @HESSENMETALL: Tolles Video zur Entwicklung von #Industrie40-Konzepten! https://t.co/iGRLt2w0Wj</t>
  </si>
  <si>
    <t>RT @HESSENMETALL: Tolles Video zur Entwicklung von #Industrie40-Konzepten! https://t.co/H0krRSXxWj</t>
  </si>
  <si>
    <t>Die #Industrie ist eine Spielwiese für #Startups https://t.co/K1Sue9oHiq via @wiwo #Industrie40 neue #Geschäftsmodelle #ITExpertise</t>
  </si>
  <si>
    <t>#Sensorik &amp; #Messtechnik - spannendes und zukunftsträchtiges #Berufsfeld,Stichwort #Industrie40,#IoT,#DigitalFactory https://t.co/RGeZ9V2Rnu</t>
  </si>
  <si>
    <t>Was #Roboter schon heute alles können https://t.co/gEnze1h1f8 via @wiwo #Industrie40</t>
  </si>
  <si>
    <t>Austrian Standards</t>
  </si>
  <si>
    <t>Vienna/Austria</t>
  </si>
  <si>
    <t>Improving quality of life, safety, innovation and more through #standards</t>
  </si>
  <si>
    <t>RT @mbaukarriere: #Sensorik &amp; #Messtechnik - spannendes und zukunftsträchtiges #Berufsfeld,Stichwort #Industrie40,#IoT,#DigitalFactory http…</t>
  </si>
  <si>
    <t>RT @ahk_frankreich: Die #Industrie ist eine Spielwiese für #Startups https://t.co/K1Sue9oHiq via @wiwo #Industrie40 neue #Geschäftsmodelle…</t>
  </si>
  <si>
    <t>#Deutsche #Firmen liegen vor den USA https://t.co/OFDCg3Sibb via @wiwo #Industrie40 #Digitalisierung #Mittelstand</t>
  </si>
  <si>
    <t>#interpack mit Sonderthema #Industrie40 verzeichnet Rekordanmeldezahlen https://t.co/dBlDFpG2BL @MD_Gmbh #packaging</t>
  </si>
  <si>
    <t>BDI</t>
  </si>
  <si>
    <t>RT @Alex_Franke: Great key note by Henning Kagermann on #Industrie40 towards a #smartserviceworld @Der_BDI https://t.co/AvVqUEGKzA</t>
  </si>
  <si>
    <t>Bundesverband der Deutschen Industrie e.V. // Redaktion: Sabrina Esser und Swantje Fruth // Impressum: http://t.co/fDc1dnkSt0</t>
  </si>
  <si>
    <t>#Trumpf will #digitale #Werke – in fünf Jahren https://t.co/aFKKt2DT4X via @wiwo #Vorreiter #Industrie40 @TRUMPF_News</t>
  </si>
  <si>
    <t>#HannoverMesse : Wie die #Revolution der #Arbeitswelt vorangeht https://t.co/SEZtoEemn8 via @wiwo #Industrie40 @hannover_messe</t>
  </si>
  <si>
    <t>AristaFlow</t>
  </si>
  <si>
    <t>Nicht verpassen! AristaFlow auf dem DIALOG-Fachforum in Dresden. #Industrie40 #Digitalisierung #Automatisierung https://t.co/iIODK5Mfu6</t>
  </si>
  <si>
    <t>Neu-Ulm, Bayern</t>
  </si>
  <si>
    <t>BPM-Spezialist bietet branchenneutrale Software, Consulting, Umsetzung BPM-Projekte. Wir twittern Insidertipps und News für Prozessanalysten und Unternehmer.</t>
  </si>
  <si>
    <t>Peter Schütte</t>
  </si>
  <si>
    <t>#vortrag Wie bestimme ich meine individuelle #Industrie40 #I40 #roadmap 29.4.16 | 11:30 @HMi16 #IoT #BigData https://t.co/2THHHZyW2A"</t>
  </si>
  <si>
    <t>Big Data, Analytics, IoT, 4.0, Employer Branding, Agenda-Check, (.....)</t>
  </si>
  <si>
    <t>Lt. @Bitkom Umfrage USA und Deutschland führend in #Industrie40 https://t.co/jROzkv7ze6</t>
  </si>
  <si>
    <t>Rossmanith Blog</t>
  </si>
  <si>
    <t>Auch 2016 ist auf der #HannoverMesse die #normung für #Industrie40 Thema. #DIN erwartet mehrere 100 neue #Normen https://t.co/pOW8Vp9pG7</t>
  </si>
  <si>
    <t>Göppingen, Deutschland</t>
  </si>
  <si>
    <t>Seit über 15 Jahren ist die QM-Welt unser Zuhause - gemeinsam mit Experten aus den unterschiedlichsten Managementbereichen twittern wir hier für Sie.</t>
  </si>
  <si>
    <t>Die Draht- &amp; Federbearbeitung von morgen mit #SmartFactory 4.0 via @DRAHT2 #Industrie40 https://t.co/nuQzUcfhCA https://t.co/QI35NxL8We</t>
  </si>
  <si>
    <t>Beachtlich: @TRUMPF will industrielle Fertigung in 5 Jahren komplett digitalisieren. #Industrie40 #Digitalisierung https://t.co/4TxAHVnfqC</t>
  </si>
  <si>
    <t>RT @S_Koebernick: Lt. @Bitkom Umfrage USA und Deutschland führend in #Industrie40 https://t.co/jROzkv7ze6</t>
  </si>
  <si>
    <t>RT @S_Koebernick: Beachtlich: @TRUMPF will industrielle Fertigung in 5 Jahren komplett digitalisieren. #Industrie40 #Digitalisierung https…</t>
  </si>
  <si>
    <t>5 Tage Bitkom Innovation Forum #BIF16 @hannover_messe. @RiemenspergerF @AccentureDACH: Mi, 27.04., 16h #Industrie40 https://t.co/iGIo1BE2QF</t>
  </si>
  <si>
    <t>Bertram Geck</t>
  </si>
  <si>
    <t>IT-Architect at Federal Employment Agency - Bundesagentur für Arbeit. Research-Analyst &amp; Scout Consulting. Inspiring and Motivating teams for best results.</t>
  </si>
  <si>
    <t>RT @Bitkom_I40: 5 Tage Bitkom Innovation Forum #BIF16 @hannover_messe. @RiemenspergerF @AccentureDACH: Mi, 27.04., 16h #Industrie40 https:/…</t>
  </si>
  <si>
    <t>RFID im BLICK</t>
  </si>
  <si>
    <t>#Nokia Operations setzt auf globale #Industrie40-Strategie mit #RFID im Produkt | Teil 1 https://t.co/dK2IvQOQWl https://t.co/MwvIK1sdQQ</t>
  </si>
  <si>
    <t>For more than ten years, the international journal “#RFID im Blick” stands for latest RFID news and exclusive use case and technological innovation reports.</t>
  </si>
  <si>
    <t>Bericht für Bionic Robotics auf industrieweb.at https://t.co/AMZGrEN9Ya https://t.co/WP0dtEXvBM #hannovermesse #industrie40 #robotik</t>
  </si>
  <si>
    <t>Ronald Heinze</t>
  </si>
  <si>
    <t>Normungsinitiative #Industrie40: Standardization Council Industrie 4.0, siehe https://t.co/qwwubzqWsx Organisatorisch bei @DKEAktuell</t>
  </si>
  <si>
    <t>Editor @etz_vdeverlag @VDEVERLAG_oa | Publishing Director | Author | Engineer | Automation, MES &amp; Industrie 4.0 Specialist | Father of two sons | Runner</t>
  </si>
  <si>
    <t>Luis Batista</t>
  </si>
  <si>
    <t>Strategy &amp; Innovation – Ecosystem &amp; Partnership in Telecom Italia S.p.A. - TIM | https://t.co/qvuJzBqj5b | https://t.co/moJE4JBZLY</t>
  </si>
  <si>
    <t>VISAM GmbH</t>
  </si>
  <si>
    <t>Besuchen Sie uns bei der @IT2KO. Lassen Sie uns über #Industrie40 und Smart Production sprechen. #koblenz https://t.co/hYflj70wcE</t>
  </si>
  <si>
    <t>Neuwied</t>
  </si>
  <si>
    <t>VISAM twittert über HMI, SCADA, Automationstechnik, Industrie Computer usw....</t>
  </si>
  <si>
    <t>RFID Companies</t>
  </si>
  <si>
    <t>RT @rfidimblick: #Nokia Operations setzt auf globale #Industrie40-Strategie mit #RFID im Produkt | Teil 1 https://t.co/dK2IvQOQWl https://t…</t>
  </si>
  <si>
    <t>Radio Frequency Identification Directory about #RFIDcompanies #RFIDreaders #RFIDprinters #RFIDtechnology #rfidwallet #RFIDsolutions #RFIDUK #RFIDcomany #RFID</t>
  </si>
  <si>
    <t>Thorsten Fege</t>
  </si>
  <si>
    <t>Western Norway</t>
  </si>
  <si>
    <t>USA &amp; Deutschland sind bei #Industrie40 führend. Dtl. v.a. in traditionellen Industriebranchen tonangebend @Bitkom https://t.co/VvbTqaz2ab</t>
  </si>
  <si>
    <t>Wie angekündigt für April 16: RAMI4.0 für #industrie40 als Standard DIN SPEC 91345 vor #HM16 veröffentlicht.</t>
  </si>
  <si>
    <t>KID Magdeburg</t>
  </si>
  <si>
    <t>RT @Markenartikler: USA &amp; Deutschland sind bei #Industrie40 führend. Dtl. v.a. in traditionellen Industriebranchen tonangebend @Bitkom http…</t>
  </si>
  <si>
    <t>Magdeburg</t>
  </si>
  <si>
    <t>Kommunaler IT-Dienstleister, zu Hause in Sachsen-Anhalt. Impressum: http://t.co/Ob3NUJAPRB</t>
  </si>
  <si>
    <t>Presseinfo: @regify stellt Industrial Data Space-Lösung für #Industrie40 vor https://t.co/JpqLS6bF9l #IoT https://t.co/SSF3Ocvf8g</t>
  </si>
  <si>
    <t>#Industrie40 ...wissen – können – machen @acatech_de auf der Hannover Messe https://t.co/pUTdEEOvcx https://t.co/auEIirLg48</t>
  </si>
  <si>
    <t>Mynewsdesk</t>
  </si>
  <si>
    <t>INQA-Audit.de</t>
  </si>
  <si>
    <t>RT @Gesamtmetall: RT @HESSENMETALL: Tolles Video zur Entwicklung von #Industrie40-Konzepten! https://t.co/H0krRSXxWj</t>
  </si>
  <si>
    <t>#Unternehmenskultur Personalführung BGM Chancengl. Diversity Wissen Mitarbeiterorientierung, #Augenhöhe, #Arbeiten40, Es twittert das INQA-Audit-Team</t>
  </si>
  <si>
    <t>Faktenkontor</t>
  </si>
  <si>
    <t>#Industrie40: #Digitalisierung und Vernetzung allein reichen nicht https://t.co/ENXazEbmnV via @SopraSteria_de @mluebbecke</t>
  </si>
  <si>
    <t>Nils Ritter (nr) von der PR-Beratung Faktenkontor twittert über PR, Krisenkommunikation &amp; SocialMedia. http://t.co/sGJj46mjLH</t>
  </si>
  <si>
    <t>Eric Klingenburg</t>
  </si>
  <si>
    <t>Positive #Bilanz bei #Sensorik-Spezialisten #Sick: 2015 mit starkem Umsatzwachstum #industrie40 @SICK_de https://t.co/Wq6xG8picL</t>
  </si>
  <si>
    <t>SECbuddy</t>
  </si>
  <si>
    <t>#Industrie40: Wenn die Fracht dem Frachter Vertrauliches erzählt - #ITSicherheit #IoT #Verschlüsselung Golem.de https://t.co/Xypbqt5syV</t>
  </si>
  <si>
    <t>SECbuddy - #infosec #itsecurity #itsicherheit #privacy #datenschutz #securityawareness #encryption #verschlüsselung #crypto #pgp #bitcoin #tor #otr</t>
  </si>
  <si>
    <t>Stefan Klix</t>
  </si>
  <si>
    <t>Chemnitz, Dresden, Pirna</t>
  </si>
  <si>
    <t>Absolvent der @TUChemnitz, Business Analyst &amp; Strategic Consultant @KOMSA_AG. Privates Blog: http://t.co/Bx4sde5KYv</t>
  </si>
  <si>
    <t>Überblick zum gestrigen #DSM-Paket der @EU_Commission #DigitalSingleMarket #Industrie40 @WirtschaftNRW @DWNRW https://t.co/z4ZhTR64Aq</t>
  </si>
  <si>
    <t>RT @Ralf_Kuder: Überblick zum gestrigen #DSM-Paket der @EU_Commission #DigitalSingleMarket #Industrie40 @WirtschaftNRW @DWNRW https://t.co/…</t>
  </si>
  <si>
    <t>Wirtschaft.NRW</t>
  </si>
  <si>
    <t>Düsseldorf / NRW</t>
  </si>
  <si>
    <t>Ministerium für Wirtschaft, Energie, Industrie, Mittelstand und Handwerk des Landes Nordrhein-Westfalen</t>
  </si>
  <si>
    <t>RT @it_rebellen: #Industrie40 :USA und Deutschland sind weltweit führend #HannoverMesse https://t.co/prcR0ciqbM</t>
  </si>
  <si>
    <t>Daher setzt Device Insight bei seiner IoT-Plattform CENTERSIGHT weiter auf offene Standards. Die ... https://t.co/ppD1kIcsTS #Industrie40</t>
  </si>
  <si>
    <t>Bitkom: Geballte #Industrie40 Kompetenz: Offizielles Partnerland der hannover_messe ist USAgov. #HM16 … https://t.co/85rPHor1EL</t>
  </si>
  <si>
    <t>TRENDONE</t>
  </si>
  <si>
    <t>RT @matthiaslechner: Alle reden von #Digitalisierung und #Industrie40 … p&amp;p Marketing GmbH und TRENDONE GmbH holen diese Themen nach Inns…h…</t>
  </si>
  <si>
    <t>Hamburg / Berlin</t>
  </si>
  <si>
    <t>Creating Future For Your Business</t>
  </si>
  <si>
    <t>Bitkom: Geballte #Industrie40 Kompetenz: Offizielles Partnerland der hannover_messe ist USAgov. #HM16 … https://t.co/8vjq3UM59T</t>
  </si>
  <si>
    <t>RT @MarianKoeller: Btw: Losgröße eins ist nicht gleichbedeutend mit individuellen Produkten - volle (Losgrößen-)Flexibilität ist die Chance…</t>
  </si>
  <si>
    <t>RT @FDPFraktionNRW: W.Schröter: Herausforderung für #Handwerk, dass durch #Industrie40 auch Losgröße 1 in industriellen Prozessen möglich</t>
  </si>
  <si>
    <t>#Industrie40 ist Top-Thema der #HM16 - Erklärgrafik von #Bosch zur Geschichte des Namens https://t.co/L8GsLWeedE https://t.co/Zf4GrZYZW6</t>
  </si>
  <si>
    <t>Bericht für #Fraunhofer IGD auf Lectura #hannovermesse #hmi2016 #industrie40 https://t.co/p5RpRlgDig https://t.co/36kUfUCRPL</t>
  </si>
  <si>
    <t>RT @JETZT_PRde: Bericht für #Fraunhofer IGD auf Lectura #hannovermesse #hmi2016 #industrie40 https://t.co/p5RpRlgDig https://t.co/36kUf…</t>
  </si>
  <si>
    <t>RT @BoschPresse: #Industrie40 ist Top-Thema der #HM16 - Erklärgrafik von #Bosch zur Geschichte des Namens https://t.co/L8GsLWeedE https://t…</t>
  </si>
  <si>
    <t>Birol KAHVECİ</t>
  </si>
  <si>
    <t>RT @thomas_leubner: @Siemens contributed benchmark results to vbm bayme #Industrie40 initiative #dual #VET @janinakugel @RosaRiera https://…</t>
  </si>
  <si>
    <t>evli</t>
  </si>
  <si>
    <t>Industrie 4.0-Experte Dr. Stefan Assmann von #Bosch #HM16 #Industrie40 https://t.co/L8GsLWeedE https://t.co/NAQQtjGRXP</t>
  </si>
  <si>
    <t>Morgen, 11 Uhr, läuft das #Webinar zu #smartcities. Infos: https://t.co/TjCv30YfLs #Digitalisierung #ITStrategie #Industrie40 @Scheer_GmbH</t>
  </si>
  <si>
    <t>AfD-Fraktion Hamburg</t>
  </si>
  <si>
    <t>Dr. Bernd Baumann von der #AfD #Fraktion #Hamburg rechnet mit der #Industrie40 Politik des rotgrünen Senats ab: https://t.co/23oDlB6qIt</t>
  </si>
  <si>
    <t>frei zu haben: Animation von #Bosch zu Industrie 4.0 #HM16 #Industrie40 https://t.co/L8GsLWeedE https://t.co/XOZ70Z5AUj</t>
  </si>
  <si>
    <t>Juergen Gietl</t>
  </si>
  <si>
    <t>Managing Partner/ Geschäftsführer von Brand:Trust, der führenden Management Beratung für markenzentrierte Unternehmensführung. Spezialist für #Technologiemarken</t>
  </si>
  <si>
    <t>Morgen, 11 Uhr, läuft das #Webinar zu #smartcities. Infos: https://t.co/nV0ebvinMu #Digitalisierung #ITStrategie #Industrie40 @Scheer_GmbH</t>
  </si>
  <si>
    <t>Partnerland @hannover_messe ist @USAgov. @brohleder: "Win-win-Situation" für Top #Industrie40 Nationen DE&amp;USA. #HM16 https://t.co/sq4ViYjiWl</t>
  </si>
  <si>
    <t>5 Tage Bitkom Innovation Forum #BIF16 @hannover_messe. Michael Scheuer @WidasConcepts: Mi, 27.04., 13h #Industrie40 https://t.co/0Yssten01X</t>
  </si>
  <si>
    <t>RT @Bitkom_I40: 5 Tage Bitkom Innovation Forum #BIF16 @hannover_messe. Michael Scheuer @WidasConcepts: Mi, 27.04., 13h #Industrie40 https:/…</t>
  </si>
  <si>
    <t>RT @BoschPresse: frei zu haben: Animation von #Bosch zu Industrie 4.0 #HM16 #Industrie40 https://t.co/L8GsLWeedE https://t.co/XOZ70Z5AUj</t>
  </si>
  <si>
    <t>RT @Bitkom: Partnerland @hannover_messe ist @USAgov. @brohleder: "Win-win-Situation" für Top #Industrie40 Nationen DE&amp;USA. #HM16 https://t.…</t>
  </si>
  <si>
    <t>RT @ScheerKarriere: Morgen, 11 Uhr, läuft das #Webinar zu #smartcities. Infos: https://t.co/nV0ebvinMu #Digitalisierung #ITStrategie #Indus…</t>
  </si>
  <si>
    <t>WidasConcepts</t>
  </si>
  <si>
    <t>Als ein innovatives IT-Consultingunternehmen liefert WidasConcepts moderne Konzepte &amp; Lösungen - ob Big Data, Internet of Things oder Mobile- und Websolutions!</t>
  </si>
  <si>
    <t>Bitkom: Partnerland hannover_messe ist USAgov. brohleder: "Win-win-Situation" für Top #Industrie40 Nationen DE&amp;USA… https://t.co/nF5Rx7y99t</t>
  </si>
  <si>
    <t>AccenturePresse</t>
  </si>
  <si>
    <t>Wie Roboter &amp; Mensch künftig zusammenarbeiten: Accenture-Chef Frank Riemensperger @computerwoche https://t.co/u4AS2t3yzT #Industrie40 #HMI</t>
  </si>
  <si>
    <t>Kronberg, Wien, Zürich</t>
  </si>
  <si>
    <t>Offizieller Twitter-Account der Presseabteilung von Accenture Deutschland, Österreich, Schweiz Impressum: http://t.co/Sd3Cv9hE</t>
  </si>
  <si>
    <t>UmweltDialog</t>
  </si>
  <si>
    <t>Mangelnde Auskunft über digitale Transformation in Unternehmen? https://t.co/o9GozVGkeO #Industrie40</t>
  </si>
  <si>
    <t>Münster, Germany</t>
  </si>
  <si>
    <t>Das Nachrichtenportal #UmweltDialog berichtet seit 2003 täglich aktuell aus #Wirtschaft, #Politik &amp; #Zivilgesellschaft über #Nachhaltigkeit und #CSR.</t>
  </si>
  <si>
    <t>Preis verlieh die Stiftung an Dr. Max Sommer (Universität Stuttgart, Institut für Maschinenelemen... https://t.co/UrztJERh8T #Industrie40</t>
  </si>
  <si>
    <t>RT @H_IT_D: Preis verlieh die Stiftung an Dr. Max Sommer (Universität Stuttgart, Institut für Maschinenelemen... https://t.co/UrztJERh8T #I…</t>
  </si>
  <si>
    <t>Edgar Hellfritsch</t>
  </si>
  <si>
    <t>Ingenieure sollten keine PowerPoints machen. Bin gerade sehr erschüttert. #industrie40</t>
  </si>
  <si>
    <t>Informatiker, IT-Chef bei @doctima, Engagiert bei @tekom, Mitglied bei @germanupa. Themen: CMS, Web, XSL-T, Doku, mobile</t>
  </si>
  <si>
    <t>RT @UmweltDialog: Mangelnde Auskunft über digitale Transformation in Unternehmen? https://t.co/o9GozVGkeO #Industrie40</t>
  </si>
  <si>
    <t>RT @AccenturePresse: Wie Roboter &amp; Mensch künftig zusammenarbeiten: Accenture-Chef Frank Riemensperger @computerwoche https://t.co/u4AS2t…</t>
  </si>
  <si>
    <t>Bitkom: Partnerland hannover_messe ist USAgov. brohleder: "Win-win-Situation" für Top #Industrie40 Nationen DE&amp;USA… https://t.co/LXgRJs9pGG</t>
  </si>
  <si>
    <t>René Peinl</t>
  </si>
  <si>
    <t>#IT4industry event in Nuremberg. #SmartData meets #Industrie40 together with Valentin Plenk and Konstantin Böhm https://t.co/FVOfl5i6ep</t>
  </si>
  <si>
    <t>Oasys</t>
  </si>
  <si>
    <t>Barcelona, Cataluña</t>
  </si>
  <si>
    <t>Inteligencia operacional, M2M/IOT, Bus empresarial (ESB), MES, PLC/SCADA</t>
  </si>
  <si>
    <t>#Industrie40 ist zur Realität geworden: Mehr dazu in wenigen Tagen bei #Bosch auf der #HM16 https://t.co/L8GsLWeedE https://t.co/Uhln66cpzo</t>
  </si>
  <si>
    <t>✌️ Jan Firsching</t>
  </si>
  <si>
    <t>"Don't just talk about #Industrie40... #speedup." #SUGermanySummit SUGermanySummit https://t.co/XaYlUGIQD8</t>
  </si>
  <si>
    <t>Frankfurter living in Berlin. Social Media Berater bei BRANDPUNKT. ✒️@futurebiz_de ➡️https://t.co/BpmxiqO4Cw - Snapchat: janfirsching ⭐️@inreach_berlin</t>
  </si>
  <si>
    <t>Dr. Michael Hägele</t>
  </si>
  <si>
    <t>Nuzzel</t>
  </si>
  <si>
    <t>rund um Gesundheitsinformationen (health(y) information), e-health, e-patient, empower patients, health literacy, m-health(wearables), quantified self, PHR</t>
  </si>
  <si>
    <t>Mo</t>
  </si>
  <si>
    <t>RT @JanFirsching: "Don't just talk about #Industrie40... #speedup." #SUGermanySummit SUGermanySummit https://t.co/XaYlUGIQD8</t>
  </si>
  <si>
    <t>Only 5 days left till @hannover_messe! #HM16 #HM16USA #selectUSA #Industrie40 #IntegratedEnergy #WednesdayWisdom https://t.co/ccrIi5ytM9</t>
  </si>
  <si>
    <t>Christian Rothe</t>
  </si>
  <si>
    <t>Sonthofen, Germany</t>
  </si>
  <si>
    <t>Dipl Ing, Engineer @ Bosch, systems engineer, technical &amp; organisational catalyst, problem solver and project leader | Gen Y | Space | Golf</t>
  </si>
  <si>
    <t>RT @Databanque: Only 5 days left till @hannover_messe! #HM16 #HM16USA #selectUSA #Industrie40 #IntegratedEnergy #WednesdayWisdom https://t.…</t>
  </si>
  <si>
    <t>Siemens Press Office</t>
  </si>
  <si>
    <t>#HM16 @Siemens #press conference on April 25, 6:30 PM CEST with Klaus Helmrich. Live Broadcast at https://t.co/xYy0JSnBby #Industrie40 /sh</t>
  </si>
  <si>
    <t>Siemens Media Relations on Twitter. Follow us for the latest news from the Siemens Corporate Press Office. Imprint: http://t.co/48qobnxMgI</t>
  </si>
  <si>
    <t>Industrial Internet of Things &amp; #Industrie40 News https://t.co/ajmMYMOVYH #IIoT #Industry40 w/ Tweets @SlavisaTavic @MesseMuenchenHR</t>
  </si>
  <si>
    <t>TexData</t>
  </si>
  <si>
    <t>TexData informs the global textile industry with latest news, insights and stories helping our readers to grow their business. 70.000 people read our magazine.</t>
  </si>
  <si>
    <t>#Bosch Geschäftsführer Struth: #Industrie40 hilft dabei, wettbewerbsfähig zu bleiben #HM16 https://t.co/L8GsLWeedE https://t.co/8Jvh8EJbZW</t>
  </si>
  <si>
    <t>RT @BoschPresse: #Bosch Geschäftsführer Struth: #Industrie40 hilft dabei, wettbewerbsfähig zu bleiben #HM16 https://t.co/L8GsLWeedE https:/…</t>
  </si>
  <si>
    <t>Alice Timm</t>
  </si>
  <si>
    <t>RT @siemens_press: #HM16 @Siemens #press conference on April 25, 6:30 PM CEST with Klaus Helmrich. Live Broadcast at https://t.co/xYy0JSnBb…</t>
  </si>
  <si>
    <t>VP Communications &amp; Gov. Affairs Germany @Siemens. Entrepreneural multicultural spirit, believe that one can make a difference in this world. Views are my own.</t>
  </si>
  <si>
    <t>Vom Hype zur Chance für die Kapitalmarktteilnehmer #Industrie40 und #Blockchain https://t.co/O1WZOGgH4E @accenturefinanz</t>
  </si>
  <si>
    <t>S.C.Lettenbauer</t>
  </si>
  <si>
    <t xml:space="preserve">Munich/Bavaria </t>
  </si>
  <si>
    <t>Bayern-Autorin ARD, Deutschlandfunk @dlf @swr @ndr - BY &amp; Umland quergehört. nearly private.</t>
  </si>
  <si>
    <t>Ralph Rio</t>
  </si>
  <si>
    <t>New alliance coming between Japan &amp; Germany for a common #IoT standard effecting #IIoT &amp;amp; #Industrie40. https://t.co/SGdVo2xc2a</t>
  </si>
  <si>
    <t>Vice President @ARC_Advisory the think tank for manufacturing. Engineer &amp; MBA. Husband &amp; father. The curious have more interesting lives.</t>
  </si>
  <si>
    <t>Precision Digital</t>
  </si>
  <si>
    <t>RT @RalphRio: New alliance between Japan &amp; Germany for common #IoT standard effecting #IIoT, #Industrie40. https://t.co/tZaBWRGGvN</t>
  </si>
  <si>
    <t>Holliston, MA</t>
  </si>
  <si>
    <t>Steffi Dondit</t>
  </si>
  <si>
    <t>„Wir freuen uns, dass auch Dresden die Industrietrends 3D-Druck und Brennstoffzellen-Technologien... https://t.co/XSo4074Ur4 #Industrie40</t>
  </si>
  <si>
    <t>Faheem Farooq2642671</t>
  </si>
  <si>
    <t>Islamabad</t>
  </si>
  <si>
    <t>A proud Mohajir n devoted worker of Father and Leader Altaf Hussain Bhai RTs r not enforcement</t>
  </si>
  <si>
    <t>Telit IoT Platforms</t>
  </si>
  <si>
    <t>Attending Hannover Messe? Learn how Telit is simplifying the path to #Industrie40. @IIConsortium booth. #HM16 https://t.co/w0A8dCSKOR</t>
  </si>
  <si>
    <t>Boca Raton, Fl, USA</t>
  </si>
  <si>
    <t>Get to market faster. Reduce cost, complexity &amp; risk of deploying Internet of Things solutions. Secure #M2M / #IoTplatform &amp; #IoT cloud-based services.</t>
  </si>
  <si>
    <t>RT @H_IT_D: „Wir freuen uns, dass auch Dresden die Industrietrends 3D-Druck und Brennstoffzellen-Technologien... https://t.co/XSo4074Ur4 #I…</t>
  </si>
  <si>
    <t>RT @Telit_IoT: Attending Hannover Messe? Learn how Telit is simplifying the path to #Industrie40. @IIConsortium booth. #HM16 https://t.co/…</t>
  </si>
  <si>
    <t>HIV Kanton BERN</t>
  </si>
  <si>
    <t>Volkswirtschafter Beat Kappeler referiert an der HV 2016 der Sektion Lyss-Aarberg des @HIVBERN zu #Industrie40 https://t.co/IgnmYhwrRX</t>
  </si>
  <si>
    <t>"10 Important #Predictions for the Future of IoT" https://t.co/YUWjYbh0pK #technology #internetofthings #M2M #IoT #IIoT #Industrie40</t>
  </si>
  <si>
    <t>RT @francoisdex: SAP &amp; @FestoAG montent une ligne de production #Industrie40 taille réelle au siège de #SAPfr ! https://t.co/S6GCvx5H1z via…</t>
  </si>
  <si>
    <t>Saskia Esken</t>
  </si>
  <si>
    <t>Berlin / Nordschwarzwald</t>
  </si>
  <si>
    <t>MdB aus #BaWue im #btADA und #Bildung&amp;Forschung #DigitaleBildung #digVw #eHealth #DigitalLEBEN #smartcountry Resonanz knipst mein Leuchten an.</t>
  </si>
  <si>
    <t>GTAI</t>
  </si>
  <si>
    <t>@CarlosHaertel see you @hannover_messe! We are excited to have you at our panel on #industrie40 #hm16 @generalelectric</t>
  </si>
  <si>
    <t>Germany Trade &amp; Invest (GTAI) is the foreign trade and inward investment agency of the Federal Republic of Germany. RT ≠ endorsement | https://t.co/UOwq5etayf</t>
  </si>
  <si>
    <t>USA und Deutschland sind bei #Industrie40 weltweit führend https://t.co/tjibK8FraH</t>
  </si>
  <si>
    <t>EpicBot</t>
  </si>
  <si>
    <t>#Industrie40 sauft aufeinmal</t>
  </si>
  <si>
    <t>RandomTrendSet</t>
  </si>
  <si>
    <t>Hier gibt es alle 15 Minuten ein Tweet zu aktuellen Trends mit ZUFÄLLIG ausgewählten Satzteilen! Reicht eure Idee ein:</t>
  </si>
  <si>
    <t>RT @EpicsBot: #Industrie40 sauft aufeinmal</t>
  </si>
  <si>
    <t>menschen für medien</t>
  </si>
  <si>
    <t>#Deutschland und #USA weltweit bei #Industrie40 führend. Via @Markenartikler https://t.co/p470alzLEV</t>
  </si>
  <si>
    <t>Hier twittert die Berliner Agentur für Kommunikation, Politikberatung, Litigation-PR und Pressearbeit.</t>
  </si>
  <si>
    <t>RT @mfmberlin: #Deutschland und #USA weltweit bei #Industrie40 führend. Via @Markenartikler https://t.co/p470alzLEV</t>
  </si>
  <si>
    <t>"IoT powers this #robotic suit | ZDNet" https://t.co/RJQKIAnHxH #technology #AI #Robots #IoT #M2M #IIoT #Industrie40</t>
  </si>
  <si>
    <t>Ulrich Schumacher</t>
  </si>
  <si>
    <t>Die digitale Transformation gestalten - Was Personalvorstände zur #ZukunftderArbeit sagen https://t.co/xJFoKbthej #Industrie40</t>
  </si>
  <si>
    <t>André Mundo</t>
  </si>
  <si>
    <t>Senior Manager @MaibornWolff Tweets zu IT-Strategie, Digitalisierung, Digitale Transformation, Re-Organisation im Umfeld von eCommerce &amp; Mobilität</t>
  </si>
  <si>
    <t>Ulla Coester</t>
  </si>
  <si>
    <t>RT @MatthiasKietzma: #PhoenixContact Chef Stührenberg zu #Industrie40: Amerikaner haben das Internet, wir haben die Dinge. https://t.co/yo…</t>
  </si>
  <si>
    <t>Journalistin</t>
  </si>
  <si>
    <t>CriticalMatrix</t>
  </si>
  <si>
    <t>Revolutions cause displacements. Move something or move over. It's here NOW #Industrie40 #CIOCAN #CIOPF2016</t>
  </si>
  <si>
    <t>Toronto, Ontario</t>
  </si>
  <si>
    <t>Your innovative leading strategic consulting partner specializing in #microsoft technologies and CIO Advisory services. Consulting with a conscience.</t>
  </si>
  <si>
    <t>Lean in digital age: sensors and data https://t.co/I3tq5rBThL #lean #IoT #smartfactory #Industrie40</t>
  </si>
  <si>
    <t>Siemens Sensors</t>
  </si>
  <si>
    <t>Siemens Sensors is a leading innovator with many years of experience in industrial process instrumentation and weighing solutions.</t>
  </si>
  <si>
    <t>Statt produktiv zu arbeiten, verbringen Knowledge Worker wöchentlich bis zu 28 Stunden mit der In... https://t.co/hdjenC2XOF #Industrie40</t>
  </si>
  <si>
    <t>#Europe has to invest more to #win #Industrie40 #SAPfr https://t.co/SRfAD25kCz</t>
  </si>
  <si>
    <t>KEP</t>
  </si>
  <si>
    <t>@weintekfans has your #Industrie40 #solutions contact @KesslerEllis for more info. or visit us at #HannoverMesse https://t.co/rwxNyMM3zJ</t>
  </si>
  <si>
    <t>Bernhard Rohleder</t>
  </si>
  <si>
    <t>Bernhard Rohleder, CEO of BITKOM, the leading German ICT association.</t>
  </si>
  <si>
    <t>Ideen brauchen eine innovationsorientierte Unternehmensphilosophie! https://t.co/8PZqSq3ch6 #industrie40 #HMI ^mar</t>
  </si>
  <si>
    <t>50 milliards d’euros pour l’industrie 4.0 ! #industrie40 #business #europe #industrie https://t.co/FdUHp7qLLo https://t.co/hp1OPG1Ach</t>
  </si>
  <si>
    <t>RT @AMETRAInge: 50 milliards d’euros pour l’industrie 4.0 ! #industrie40 #business #europe #industrie https://t.co/FdUHp7qLLo https://t.co/…</t>
  </si>
  <si>
    <t>Louis</t>
  </si>
  <si>
    <t>Nicole Cienskowski</t>
  </si>
  <si>
    <t>RT @CapgeminiDE: Ideen brauchen eine innovationsorientierte Unternehmensphilosophie! https://t.co/8PZqSq3ch6 #industrie40 #HMI ^mar</t>
  </si>
  <si>
    <t>Healthcare Consultant focusing on Digital Health Beraterin im Bereich Healthcare/ Public follow me https://t.co/zT1GZtWNGh Capgemini DE https://t.co/tE0kwThAQX</t>
  </si>
  <si>
    <t>Post free ads for Industries &amp; Manufacturing in India #Industrie40 #manufacturing #productivity #Company https://t.co/cOXlM9IZ4c</t>
  </si>
  <si>
    <t>Messevorstand Jochen Köckler ließ sich das Leitthema der Hannover Messe 2016 bei der Auftaktpress... https://t.co/bbSVmFQnwd #Industrie40</t>
  </si>
  <si>
    <t>Brad</t>
  </si>
  <si>
    <t>American By #patriot #usFactory</t>
  </si>
  <si>
    <t>RT @H_IT_D: Messevorstand Jochen Köckler ließ sich das Leitthema der Hannover Messe 2016 bei der Auftaktpress... https://t.co/bbSVmFQnwd #I…</t>
  </si>
  <si>
    <t>Thomas Mann</t>
  </si>
  <si>
    <t>Big Data Enthusiast</t>
  </si>
  <si>
    <t>Deutsche Arbeitnehmer, Führungskräfte können mit #Digitalisierung &amp; #Industrie40 wenig anfangen https://t.co/RXzQuwXRAV via @carstenknop</t>
  </si>
  <si>
    <t>Siegbert Pinger</t>
  </si>
  <si>
    <t>Bad NeuenahrAhrweiler</t>
  </si>
  <si>
    <t>Privat! Siegbert Pinger, GF vem.die arbeitgeber (@vemdiearbeitgeb). Impressum: http://t.co/r0BNPiSBRu</t>
  </si>
  <si>
    <t>vem.die arbeitgeber</t>
  </si>
  <si>
    <t>Koblenz, Germany</t>
  </si>
  <si>
    <t>Arbeitgeberverband vem.die arbeitgeber. Es twittert GF Siegbert Pinger. Impressum: http://t.co/wUyj0zKjzj</t>
  </si>
  <si>
    <t>arnaud the young</t>
  </si>
  <si>
    <t>Asnières-sur-Seine, Ile-de-France</t>
  </si>
  <si>
    <t>RT @MEArbeitgeber: RT @insm: @BCG Studie: D für #Industrie40 besser vorbereitet als US-Firmen. 50% haben Konzepte für #Digitalisierung. htt…</t>
  </si>
  <si>
    <t>#iiot powerhouse @GE_Digital @dell @ptc @sap #iot #industrialinternet #Industrie40 @breannakuhl @DenzilSamuels https://t.co/HbvvWUB9Hd</t>
  </si>
  <si>
    <t>Alexander Richter</t>
  </si>
  <si>
    <t>Industrie 4.0 Index 2015: Zunehmend Lean-Ansätze und Umdenken in der Führungsethik https://t.co/D11HTmbfNH #Industrie40 #umdenken #gutso</t>
  </si>
  <si>
    <t>Zukunfts-Optimist #iot #geschaeftsmodelle #industrie40</t>
  </si>
  <si>
    <t>RT @INDIZbot: USA und Deutschland sind bei #Industrie40 weltweit führend https://t.co/tjibK8FraH</t>
  </si>
  <si>
    <t>Fotis Amanatides</t>
  </si>
  <si>
    <t>RT @ZVEIorg: @Gesamtmetall, @IGMetall, @VDMAonline &amp; ZVEI prüfen Berufsbilder für #Industrie40 . Vorschläge noch 2016. Mehr auf https://t.c…</t>
  </si>
  <si>
    <t>Liberalismus ist keine Beliebigkeit, sondern die Selbstverpflichtung zu einem permanenten Abwägen. Politikwissenschaftler @Unicologne Freier Demokrat</t>
  </si>
  <si>
    <t>Um #Industrie40 umzusetzen, braucht es neue Berufe. #Digitalisierung https://t.co/wXqyddR4Vg</t>
  </si>
  <si>
    <t>Stormchild</t>
  </si>
  <si>
    <t>Lacht kaputt was euch kaputt macht. Ex-Pirat, jetzt neuer Liberaler. Gründe stehen hier: https://t.co/vRRelEXlMz</t>
  </si>
  <si>
    <t>Zuzanka Breach</t>
  </si>
  <si>
    <t>RT @ROKAutoCHDE: jahrestagung in windisch #Industrie40 https://t.co/2wcSLBz2Uw</t>
  </si>
  <si>
    <t>HARARE ZIMBABWE</t>
  </si>
  <si>
    <t>Sυper Speed Delιvery! Geт 5ĸ Twιттer Followerѕ ғor $29!, тry ιт ɴow!, мore ιɴғo https://t.co/HjGQ4r0JBx</t>
  </si>
  <si>
    <t>Commercial Service</t>
  </si>
  <si>
    <t>#invest #engineering #iot #Industrie40 #manufacturing #entrepreneur 🇩🇪🇺🇸 https://t.co/OZPbwpksRO</t>
  </si>
  <si>
    <t>U.S. Embassy - Commercial Section / U.S. Botschaft - Handelsabteilung</t>
  </si>
  <si>
    <t>Mike Haller</t>
  </si>
  <si>
    <t>Singapur</t>
  </si>
  <si>
    <t>Chief Product Owner at Bosch Software Innovations for Bosch IoT Cloud Marketplace</t>
  </si>
  <si>
    <t>ExportArizona</t>
  </si>
  <si>
    <t>RT @CSGermany: #invest #engineering #iot #Industrie40 #manufacturing #entrepreneur 🇩🇪🇺🇸 https://t.co/OZPbwpksRO</t>
  </si>
  <si>
    <t>Arizona</t>
  </si>
  <si>
    <t>Arizona District Export Council – Arizona’s Voice for Global Trade</t>
  </si>
  <si>
    <t>Hochpräzise Laser, flexible und vielseitig einsetzbare Lasersysteme, leistungsstarke Innovationen... https://t.co/DczMzlBXkT #Industrie40</t>
  </si>
  <si>
    <t>Nicole Menkhaus</t>
  </si>
  <si>
    <t>RT @H_IT_D: Hochpräzise Laser, flexible und vielseitig einsetzbare Lasersysteme, leistungsstarke Innovationen... https://t.co/DczMzlBXkT #I…</t>
  </si>
  <si>
    <t>*** Leben in einer VUCA-Welt mit #Industrie40 #Arbeitenviernull *** Schöpferisches Unternehmertum als Anpassung... https://t.co/IvrHomaWQQ</t>
  </si>
  <si>
    <t>RT @MelanieVogel_: *** Leben in einer VUCA-Welt mit #Industrie40 #Arbeitenviernull *** Schöpferisches Unternehmertum als Anpassung... https…</t>
  </si>
  <si>
    <t>Hochpräzise Laser, flexible und vielseitig einsetzbare Lasersysteme, leistungsstarke Innovationen... https://t.co/gOh0MzyBk1 #Industrie40</t>
  </si>
  <si>
    <t>RT @ptrs_stein: #Industrie40 and lot size of 1 getting ready for the beach with Siemens PLM in production of customised surfboards https://…</t>
  </si>
  <si>
    <t>RT @H_IT_D: Hochpräzise Laser, flexible und vielseitig einsetzbare Lasersysteme, leistungsstarke Innovationen... https://t.co/gOh0MzyBk1 #I…</t>
  </si>
  <si>
    <t>Pierre Kúsz</t>
  </si>
  <si>
    <t>Budapest, Hungary</t>
  </si>
  <si>
    <t>Entrepreneur | #eBusiness &amp; IT project managing | #procurement #lean | Enthusiast of #Industrie40 #SupplyChain &amp; #GrowthHacking #earlystage</t>
  </si>
  <si>
    <t>Thomas Renken</t>
  </si>
  <si>
    <t>Hannover Messe: USA und Deutschland tonangebend bei Industrie 4.0 - #industrie40 #digitaltransformation https://t.co/XdLZ2R9Asg</t>
  </si>
  <si>
    <t>Social Intranet expert @namics #intranet #socbiz #e20 #DigitalWorkplace. Photographer for Street &amp; Portrait #StreetPhotography #UrbanShots - #foodnerd #lifehack</t>
  </si>
  <si>
    <t>RT @intranettoday: Hannover Messe: USA und Deutschland tonangebend bei Industrie 4.0 - #industrie40 #digitaltransformation https://t.co/XdL…</t>
  </si>
  <si>
    <t>Agustí Pena</t>
  </si>
  <si>
    <t>#Blitzmarathon! Herr #Lies - sehr gut, dass wir #Niedersachsen uns auf #Industrie40 #IoT und #HannoverMesse konzentrieren.</t>
  </si>
  <si>
    <t>#Blitzmarathon Bravo!!! - Niedersachsen und #OlafLies konzentrieren sich auf #Industrie40 #IoT und #HannoverMesse https://t.co/bR4D68Fqer</t>
  </si>
  <si>
    <t>RT @kommoptimierer: #Blitzmarathon Bravo!!! - Niedersachsen und #OlafLies konzentrieren sich auf #Industrie40 #IoT und #HannoverMesse https…</t>
  </si>
  <si>
    <t>Wales Buzz</t>
  </si>
  <si>
    <t>Bliksem Maritz Broer 002 2016 US</t>
  </si>
  <si>
    <t>Colwyn Bay, Wales</t>
  </si>
  <si>
    <t>#TwitterBot simulation tests. Don't follow me, I am lost #Twitter #API product testing for @DigihubWales</t>
  </si>
  <si>
    <t>oxaion</t>
  </si>
  <si>
    <t>Ettlingen, Baden-Württemberg</t>
  </si>
  <si>
    <t>Willkommen auf der offiziellen Twitter-Seite von #oxaion. Wir stehen seit über 35 Jahren für maßgeschneiderte #ERP-Software. Impressum: http://t.co/PRFW5Ka5s1</t>
  </si>
  <si>
    <t>Nicola Peschke</t>
  </si>
  <si>
    <t>Neue Studiengänge zu #Digitalisierung und #Industrie40: https://t.co/lZ84fLT3UW #ZukunftderArbeit</t>
  </si>
  <si>
    <t>#ZukunftderArbeit | #futureofwork | See also @arbeiten40 | Bertelsmann Stiftung | here personal views in GER and EN | RT # endorsement</t>
  </si>
  <si>
    <t>Miriam Brüser</t>
  </si>
  <si>
    <t>Bei #Industrie40 lt.Bitcom-Umfrage USA auf Platz 1, Deutschland Platz 2. Befragt wurden nur deutsche Unternehmen... https://t.co/FcRrfvssOY</t>
  </si>
  <si>
    <t>Paderborn &amp; NRW, Deutschland</t>
  </si>
  <si>
    <t>Quer-und-mehr-Denkerin. Change Coach. Word Nerd. Mensch. Founder/CEO. #Wandel #DigitalTransformation #retail #Kommunikation #andersdenken #IoT #unterwegs</t>
  </si>
  <si>
    <t>RT @m_brueser: Bei #Industrie40 lt.Bitcom-Umfrage USA auf Platz 1, Deutschland Platz 2. Befragt wurden nur deutsche Unternehmen... https://…</t>
  </si>
  <si>
    <t>Ich folge dem Stern</t>
  </si>
  <si>
    <t>Denken und danken sind verwandte Wörter; wir danken dem Leben, in dem wir es bedenken.</t>
  </si>
  <si>
    <t>Visionico</t>
  </si>
  <si>
    <t>#Industrie braucht neue #Informatiker - https://t.co/YSBZcQ3yPQ - #smartfactory #industrie40 #digitaleFabrik via @COMPUTERWOCHE</t>
  </si>
  <si>
    <t>Aitrach</t>
  </si>
  <si>
    <t>Founder &amp; CEO Visionico GmbH &amp; Co. KG | Consulting - Coaching - Mediation | Gemeinsam bauen wir Brücken und erzielen Wirkung! Impressum: https://t.co/sN7HwIah7F</t>
  </si>
  <si>
    <t>#Informationssicherheit spielt eine große Rolle in #Industrie40. Was ist am wichtigsten? https://t.co/XyYmO2Lzvl ^bas</t>
  </si>
  <si>
    <t>Treffen Sie UL bei Hannover Messe 2016, und lernen sie wie wir #Industrie40 unterstützen: https://t.co/kfDbTXPQnU https://t.co/2Iz2kGpOwW</t>
  </si>
  <si>
    <t>Treffen Sie UL bei Hannover Messe 2016, und lernen sie wie wir #Industrie40 unterstützen: https://t.co/0ImJ8pbFry https://t.co/rIzv3uarXh</t>
  </si>
  <si>
    <t>Ann-Katrin Kratzer</t>
  </si>
  <si>
    <t>@EBienkowskaEU we look forward to welcoming you at our #industrie40 panel @hannover_messe #hm16</t>
  </si>
  <si>
    <t>Aravind</t>
  </si>
  <si>
    <t>Bangalore, India</t>
  </si>
  <si>
    <t>Indian,Proud father,Engineer,Loves gadgets,Twitter for Fun :)</t>
  </si>
  <si>
    <t>BOLDLY GO INDUSTRIES</t>
  </si>
  <si>
    <t>Viele Gründe um auch uns zu besuchen #Energiemanagement für #Industrie40 #SAP #HM16 https://t.co/46kIIbu7BF</t>
  </si>
  <si>
    <t>Wir sind Wegbereiter für #Innovation und #Technologie. Auf den Feldern #Strategy, #Design, #Data und Technology wagen wir mutige Schritte im digitalen Zeitalter</t>
  </si>
  <si>
    <t>[#IndustrieDuFutur] Votre programme SAP pour le salon de l’industrie de Hanovre 2016 https://t.co/Y8ayZzitbK #HM16 #Industrie40</t>
  </si>
  <si>
    <t>#Chemie und #Industrie40 – Passt das zusammen? Experten von @Evonik und @BASF kommentieren: https://t.co/k3PdtjScfK</t>
  </si>
  <si>
    <t>Christian Viermann</t>
  </si>
  <si>
    <t>Bitkom: USA und Deutschland führend bei Industrie 4.0 https://t.co/vW4RC0Jo0Y via @Channelobserver #IoT #Industrie40</t>
  </si>
  <si>
    <t>PRM, EMC, StG, JGU, FLA, ESC, FSV, SVW, RUS, QbA, FIT, ROM, FCL. Opinions are my OWN.</t>
  </si>
  <si>
    <t>Yann COLLOT</t>
  </si>
  <si>
    <t>#Industrie40 #M2M https://t.co/ykUXPovkQi</t>
  </si>
  <si>
    <t>#eHealth , #Innovation &amp; #Sustainable #development are a leverage for a strong economy. #IoT #FollowMe</t>
  </si>
  <si>
    <t>Unser 10-Punkte-Papier: https://t.co/Y2Q4REqwpi #Industrie40 #Digitalisierung #Arbeitenviernull https://t.co/5tj0YQSO65</t>
  </si>
  <si>
    <t>Unser 10-Punkte-Papier: https://t.co/f9cXoKaJ9C #Industrie40 #Digitalisierung #Arbeitenviernull https://t.co/WbymWoRBBy</t>
  </si>
  <si>
    <t>RT @MEArbeitgeber: Unser 10-Punkte-Papier: https://t.co/f9cXoKaJ9C #Industrie40 #Digitalisierung #Arbeitenviernull https://t.co/WbymWoRBBy</t>
  </si>
  <si>
    <t>RT @Gesamtmetall: Unser 10-Punkte-Papier: https://t.co/Y2Q4REqwpi #Industrie40 #Digitalisierung #Arbeitenviernull https://t.co/5tj0YQSO65</t>
  </si>
  <si>
    <t>Hannover Messe2016–#industriedufutur illustrée https://t.co/M5TxxnuF1g #HM16 @GEOFFROYPhilip #industrie40 #SAPfr https://t.co/Lp6ItFei2f</t>
  </si>
  <si>
    <t>Studien, Prototypen und ein Online-Kurs #Industrie40 - Veranstaltungen der @acatech_de auf der #HM16 https://t.co/Kv5LIofQEB #hmi16 #hmi2016</t>
  </si>
  <si>
    <t>Als CIO ist Stubbe für die IT und deren 30 Mitarbeiter zuständig. Industrie 4.0 erweitert die kla... https://t.co/gbpySG8rJu #Industrie40</t>
  </si>
  <si>
    <t>sandrine D</t>
  </si>
  <si>
    <t>RT @YCOLLOT: #Industrie40 #M2M https://t.co/ykUXPovkQi</t>
  </si>
  <si>
    <t>E passionnee de sante</t>
  </si>
  <si>
    <t>RT @acatech_de: Die digitale Transformation gestalten - Was Personalvorstände zur #ZukunftderArbeit sagen https://t.co/xJFoKbthej #Industri…</t>
  </si>
  <si>
    <t>ein klares Statement von Personalvorständen zur #ZukunftderArbeit #arbeiten40 #Industrie40 https://t.co/gZY0m4D19r https://t.co/6ZLZoL3WIK</t>
  </si>
  <si>
    <t>Deutsche Industrie startet Normungsinitiative für #Industrie40 https://t.co/4Z1v4Kjr5E https://t.co/sGjm0YdZJ4</t>
  </si>
  <si>
    <t>Christian Stebler</t>
  </si>
  <si>
    <t>RT @SGE: Erleben Sie #Industrie40 mit spannenden Referenten, wie @Google_CH + @Logitech am #awf16: https://t.co/FQYBEJJipB https://t.co/kIj…</t>
  </si>
  <si>
    <t>Hermikon</t>
  </si>
  <si>
    <t>#industrie40 par @fepapier @ESSECKnowledge ? https://t.co/4UTDwo2DLn #industriedufutur #SAPfr https://t.co/C0Za2MAKlD</t>
  </si>
  <si>
    <t>FH St. Pölten</t>
  </si>
  <si>
    <t>Nachlese: „Industrie 4.0“-Veranstaltung von ecoplus an der #fhstp https://t.co/0cjelXBfrc #industrie40</t>
  </si>
  <si>
    <t>St. Pölten, Austria</t>
  </si>
  <si>
    <t>Hochschulausbildung in Bahntechnologie &amp; Mobilität, Gesundheit, Informatik &amp; Security, Medien &amp; Digitale Technologien, Medien &amp; Wirtschaft und Soziales.</t>
  </si>
  <si>
    <t>Auch @BM_Services setzt auf #integratedindustry: #Industrie40 für den gesamten Lebenszyklus https://t.co/4FpdjwdthL https://t.co/TUg4UOJe8s</t>
  </si>
  <si>
    <t>TRUMPF</t>
  </si>
  <si>
    <t>Innovative Lösungen, Themendialoge, Führungen &amp; eine interaktive Ausstellung rund um #industrie40 #TRUMPF #Intech https://t.co/GKV4ZzDorc</t>
  </si>
  <si>
    <t>Ditzingen, Germany</t>
  </si>
  <si>
    <t>Weltweit führendes Hochtechnologieunternehmen, das Werkzeugmaschinen, Laser und Elektronik herstellt (Impressum: http://t.co/kT1ADN1OfM)</t>
  </si>
  <si>
    <t>#Industrie40 – Produktionsunternehmen machen Ernst, so eine Studie von #PwC https://t.co/iv125h6gxu @pwc_de</t>
  </si>
  <si>
    <t>Infos rund um #Digitalisierung, #Industrie40 und Lösungen @Apandia-Blog https://t.co/PQon58RF9l #KMU #Mittelstand https://t.co/C2Q2vf5juO</t>
  </si>
  <si>
    <t>RT @Apandia: Infos rund um #Digitalisierung, #Industrie40 und Lösungen @Apandia-Blog https://t.co/PQon58RF9l #KMU #Mittelstand https://t.co…</t>
  </si>
  <si>
    <t>#Bitkom 27.04.2016,10:00 Neue Geschäftsmodelle durch #Industrie40 Fluch oder Segen https://t.co/Dla7zxWPto @hannover_messe #edsmartservices</t>
  </si>
  <si>
    <t>#Industrie40 bekommt ein Gerüst. Deutsche #Industrie startet Normungsinitiative. #Normung #I40 #Digitalisierung https://t.co/BPkQyQch2X</t>
  </si>
  <si>
    <t>Praxis-Highlight im April: https://t.co/flW3qROCzJ #Automationspraxis #Industrie40 #Automation #Kuka https://t.co/eIg33mCpRn</t>
  </si>
  <si>
    <t>Wir machen den Mittelstand fit #Industrie40: Best-Practice-Beispiele in unserer Broschüre https://t.co/0Qfpc1TREh https://t.co/JTYteiMKKQ</t>
  </si>
  <si>
    <t>Noch 4 Tage bis zur #hm16 Wie funktioniert #Industrie40 für den Mittelstand in der Praxis? https://t.co/zLwl0gnaXH https://t.co/CFZvjUMcgc</t>
  </si>
  <si>
    <t>IIoT Top News: Industrialized | @ThingsExpo #IoT #IIoT https://t.co/vU2Ru25X9P #Industrie40</t>
  </si>
  <si>
    <t>André Engelhorn</t>
  </si>
  <si>
    <t>iSAX first pure #IoT Value Added Reseller for PTC #ThingWorx in Germany #industrie40 https://t.co/IKPOeP3oxi @ThingWorx</t>
  </si>
  <si>
    <t>Dresden (work), Meißen (home)</t>
  </si>
  <si>
    <t>Geschäftsbereichsleiter iSAX GmbH &amp; Co. KG #IoT, #Industrie40, (agiles) Projektmanagement, Innovation, Startups, moderne Unternehmensführung</t>
  </si>
  <si>
    <t>#DerKonstrukteur 4/2016 mit Fokusthema #Industrie40 ist erschienen, zum #kostenlosen #epaper https://t.co/tuhPg9pL45 https://t.co/Jzyl4Haju1</t>
  </si>
  <si>
    <t>KVD e.V.</t>
  </si>
  <si>
    <t>#Industrie40: Unternehmen investieren weltweit laut @pwc_de über 900 Mrd. Dollar https://t.co/bZhdfRWUjz</t>
  </si>
  <si>
    <t>Impressum:</t>
  </si>
  <si>
    <t>- der Service Verband in Deutschland</t>
  </si>
  <si>
    <t>#Industrie40 verändert nicht nur die #Ausbildung, sondern auch die #Weiterbildung, den Umgang mit dem Thema Lernen https://t.co/g93xG5rIkc</t>
  </si>
  <si>
    <t>#Industrie40 bekommt ein Gerüst. Deutsche #Industrie startet Normungsinitiative. #Normung #I40 #Digitalisierung https://t.co/fi3J1bYgrX</t>
  </si>
  <si>
    <t>itsOWL_Cluster: Wir machen den Mittelstand fit #Industrie40: Best-Practice-Beispiele in unserer Broschüre https://t.co/247wZ3rIvt …</t>
  </si>
  <si>
    <t>itsOWL_Cluster: RT VDE_Group: Weltweit einmaliger Ansatz: Dt Industrie startet Normungsinitiative für #Industrie40 https://t.co/Z3y3Wg3CWU…</t>
  </si>
  <si>
    <t>#Industrie40 hat dt. Fabriken erreicht – fast jedes zweite Unternehmen nutzt Industrie 4.0: https://t.co/VuN32DSTvo https://t.co/e3eGfgVPeS</t>
  </si>
  <si>
    <t>Maren Köppen</t>
  </si>
  <si>
    <t>RT @viermac: Bitkom: USA und Deutschland führend bei Industrie 4.0 https://t.co/vW4RC0Jo0Y via @Channelobserver #IoT #Industrie40</t>
  </si>
  <si>
    <t>Marketing Expert in Germany. IT (Partner) Marketing + Communications + Social Media. Bloggerin. Impressum: https://t.co/AFSejmgcYu</t>
  </si>
  <si>
    <t>Normungs-Initiative #Industrie40 Weltweite Plattformen gibt es viele... https://t.co/qUBRN4D0Hq https://t.co/5m1nmiVEEY</t>
  </si>
  <si>
    <t>RT @Bitkom: #Industrie40 hat dt. Fabriken erreicht – fast jedes zweite Unternehmen nutzt Industrie 4.0: https://t.co/VuN32DSTvo https://t.c…</t>
  </si>
  <si>
    <t>Bizadilly</t>
  </si>
  <si>
    <t>Social Media &amp; Content Marktplatz für Unternehmen | ideal für B2B Inbound Marketing</t>
  </si>
  <si>
    <t>Roland M. Dürre</t>
  </si>
  <si>
    <t>RT @foresight_lab: ein klares Statement von Personalvorständen zur #ZukunftderArbeit #arbeiten40 #Industrie40 https://t.co/gZY0m4D19r https…</t>
  </si>
  <si>
    <t>Munich (Neubiberg)</t>
  </si>
  <si>
    <t>duerre.de if-blog.de Entkruster Taglöhner Vater Unternehmer IT-Pionier Ex-Programmierer Dipl.-Math TUM Fahrrad Fußball Schach Schwimmen Theater | @InterFaceAG</t>
  </si>
  <si>
    <t>MESSEKALENDER: Triff uns auf der @hannover_messe vom 25. - 29. April. Infos: https://t.co/ENwyP5s06M #Karriere #Industrie40</t>
  </si>
  <si>
    <t>RT @SICK_Karriere: MESSEKALENDER: Triff uns auf der @hannover_messe vom 25. - 29. April. Infos: https://t.co/ENwyP5s06M #Karriere #Industri…</t>
  </si>
  <si>
    <t>Davon sollten Beratungs- und Dienstleistungsunternehmen wie ORBIS in den kommenden Jahren überdur... https://t.co/hM7XAXQa9o #Industrie40</t>
  </si>
  <si>
    <t>Manale Ossor</t>
  </si>
  <si>
    <t>RT @SAPFrance: [#IndustrieDuFutur] Votre programme SAP pour le salon de l’industrie de Hanovre 2016 https://t.co/Y8ayZzitbK #HM16 #Industri…</t>
  </si>
  <si>
    <t>Digital Marketing Assistant @SAPFrance Tweete beaucoup de #Webmarketing #SEO #SocialMedia #TransfoNum mais pas que ! Tweets are my own</t>
  </si>
  <si>
    <t>#I40 wird Realität. Laut @Bitkom nutzt fast jedes zweite dt. Unternehmen ab 100 MA #Industrie40 Anwendungen. https://t.co/G465HsvYSL</t>
  </si>
  <si>
    <t>BStBK</t>
  </si>
  <si>
    <t>Bundessteuerberaterkammer KdÖR</t>
  </si>
  <si>
    <t>Jörg Nachbaur</t>
  </si>
  <si>
    <t>Vienna</t>
  </si>
  <si>
    <t>Committee Manager at ASI - Austrian Standards Institute: Environmental Technology (water, ambient- &amp; indoor air, spa technology etc.), Smart Cities, IT</t>
  </si>
  <si>
    <t>MT @digfuturecircle: The role of data in #Industrie40. #GenerationInsight @sektionschef #SUGermanySummit https://t.co/XyoC7la5sh</t>
  </si>
  <si>
    <t>#Industrie40 ist Realität, zeigt #Bosch in wenigen Tagen auf der #HM16 https://t.co/L8GsLWeedE https://t.co/fBxvUJNRtC</t>
  </si>
  <si>
    <t>.@FEEI_Austria: #Österreich braucht mehr F&amp;E in den Schlüsseltechnologien der Zukunft. #Industrie40 #IKT #IT https://t.co/DkMWyW4aJm</t>
  </si>
  <si>
    <t>Heute Exkursion des #Bitkom bei @KUKA_RoboticsEN zum Thema Champion-Standards in #industrie40 https://t.co/mdyI00O1wQ</t>
  </si>
  <si>
    <t>Bitkom: #Industrie40 hat dt. Fabriken erreicht – fast jedes zweite Unternehmen nutzt Industrie 4.0: … https://t.co/AcKsRbCYZk</t>
  </si>
  <si>
    <t>eutschli</t>
  </si>
  <si>
    <t>Schweiz auf Platz 3 mit meisten #IoT Geräten #Industrie40 #Digitalisierung Liebe KMUs verschlaft den Wandel nicht! https://t.co/Lfgi2HZmcf</t>
  </si>
  <si>
    <t>Lucerne</t>
  </si>
  <si>
    <t>#Onlinemarketer &amp; #Digitalnative from Switzerland deeply #inlovewiththeinternet I love #cats, #dogs and #cheese Interested in #Industrie40 #OnlineMarketing</t>
  </si>
  <si>
    <t>Margot Reboul</t>
  </si>
  <si>
    <t>50 milliards d’euros pour l'industrie 4.0. européenne | @frsilicon https://t.co/2ySqYSxqcs #Industrie40 #IoT #Cloud https://t.co/nR0kvX7vfe</t>
  </si>
  <si>
    <t>PR Consultant @RumeurPublique | ex @ISITParis | #RP #Digital #Tech #IT #B2B #Corporate #SocialMedia #cloud #bigdata | Travelling lover</t>
  </si>
  <si>
    <t>Dt. Industrie schon weiter als gedacht? Laut @Bitkom nutzt bereits fast jedes zweite Unternehmen #Industrie40 #I40 https://t.co/aQh13HrW6w</t>
  </si>
  <si>
    <t>#Industrie40 hat dt. Fabriken erreicht, aber die Investitionen sind eher noch gering https://t.co/gG0jM3nnho https://t.co/oegiM3IOGi</t>
  </si>
  <si>
    <t>RT @DerKonstrukteu: #DerKonstrukteur 4/2016 mit Fokusthema #Industrie40 ist erschienen, zum #kostenlosen #epaper https://t.co/tuhPg9pL45 ht…</t>
  </si>
  <si>
    <t>#Industrie40 :Bei vielen Unternehmen zwar im Einsatz - Investitionen laufen aber auf Sparflamme. #HannoverMesse https://t.co/zWAvsk5QBn</t>
  </si>
  <si>
    <t>#Industrie40 :Bei vielen Unternehmen zwar im Einsatz - Investitionen laufen aber auf Sparflamme. #HannoverMesse https://t.co/fsIjhBmTKm</t>
  </si>
  <si>
    <t>TUI InfoTec</t>
  </si>
  <si>
    <t>#bitkom research: Gute Jobchancen für #IT-Spezialisten: #Industrie40 schafft Arbeitsplätze für Fachkräfte: https://t.co/fh1TsiHjLB</t>
  </si>
  <si>
    <t>IT-Dienstleister Outsourcing/Offshoring. Es twittert: Alice Reich.</t>
  </si>
  <si>
    <t>Bitkom: #Industrie40 hat dt. Fabriken erreicht – fast jedes zweite Unternehmen nutzt Industrie 4.0: … https://t.co/gusONwKcMp</t>
  </si>
  <si>
    <t>#Digitalisierung: Hype oder Revolution? Strategie ist Pflicht für Erfolg. https://t.co/9rx7qKSMAN #Industrie40 #KMU https://t.co/xcM7JixhT7</t>
  </si>
  <si>
    <t>Kalyan Kumar (KK)</t>
  </si>
  <si>
    <t>#SUGermanySummit Andrew Wegner talking about #3dprinting and #Industrie40</t>
  </si>
  <si>
    <t>New Delhi (Home)</t>
  </si>
  <si>
    <t>Global IT Professional, EVP &amp; CTO @HCLTECH Drums/Percussion @Contrabandindia, Globe Trotter, Avid Reader, Author, Proud Dad. Views are personal</t>
  </si>
  <si>
    <t>S-GE</t>
  </si>
  <si>
    <t>#Industrie40 live: der @FPRobotoicsAG Roboter schenkt Kaffee aus am #awf16 Mehr zum Thema: https://t.co/BmzaWY5fA7 https://t.co/nb999wksdB</t>
  </si>
  <si>
    <t>Zürich | Lausanne | Lugano</t>
  </si>
  <si>
    <t>Switzerland Global Enterprise (S-GE) fosters exports, imports and investments. Follow us for news about internationalization. For foreign investors: @investCH</t>
  </si>
  <si>
    <t>Edmund Komar</t>
  </si>
  <si>
    <t>Download Flyer: http://t.co/0q5a6wG0Uf</t>
  </si>
  <si>
    <t>Sandeep Yadav</t>
  </si>
  <si>
    <t>RT @kklive: #SUGermanySummit Andrew Wegner talking about #3dprinting and #Industrie40</t>
  </si>
  <si>
    <t>Gurgaon, India</t>
  </si>
  <si>
    <t>#Brand #Events #Campaign &amp; #DigitalMarketing @hcltech Proud Husband &amp; father.!! Tweets are purely personal. RT's are not endorsements.</t>
  </si>
  <si>
    <t>„Zusammenarbeit sichert Erfolg bei #Industrie40“, so Dr. Mittelbach auf der ZVEI-Pressekonferenz zur #hm16 @LNI40 https://t.co/mXysvzaj4b</t>
  </si>
  <si>
    <t>RT @ITK_OWL: Bitkom: #Industrie40 hat dt. Fabriken erreicht – fast jedes zweite Unternehmen nutzt Industrie 4.0: … https://t.co/gusONwKcMp</t>
  </si>
  <si>
    <t>Balluff Service</t>
  </si>
  <si>
    <t>RT @ZVEIorg: „Zusammenarbeit sichert Erfolg bei #Industrie40“, so Dr. Mittelbach auf der ZVEI-Pressekonferenz zur #hm16 @LNI40 https://t.co…</t>
  </si>
  <si>
    <t>73765 Neuhausen a.d.F.,Germany</t>
  </si>
  <si>
    <t>Impressum: http://t.co/gsdkBEsuLD</t>
  </si>
  <si>
    <t>RT @BoschPresse: #Industrie40 ist Realität, zeigt #Bosch in wenigen Tagen auf der #HM16 https://t.co/L8GsLWeedE https://t.co/fBxvUJNRtC</t>
  </si>
  <si>
    <t>Holger Schmidt</t>
  </si>
  <si>
    <t>Investitionen in #Industrie40 sind noch sehr gering. https://t.co/8sY930SkV2 https://t.co/QpKt1gkWtC</t>
  </si>
  <si>
    <t>Berlin/Frankfurt</t>
  </si>
  <si>
    <t>Journalist | Keynote-Speaker. Tweets zur digitalen Transformation der Wirtschaft | Industrie 4.0. Hauptaccount: @HolgerSchmidt. Kontakt: hs@netzoekonom.de</t>
  </si>
  <si>
    <t>Investitionen in #Industrie40 sind noch sehr gering. https://t.co/ZrSQh7r3OH https://t.co/YwKNcxxFuF</t>
  </si>
  <si>
    <t>Berlin | Frankfurt</t>
  </si>
  <si>
    <t>Journalist | Dozent. Schreibe über die digitale Transformation der Wirtschaft. FOCUS Magazin | Netzoekonom.de | TU Darmstadt. hs@netzoekonom.de</t>
  </si>
  <si>
    <t>RT @HolgerSchmidt: Investitionen in #Industrie40 sind noch sehr gering. https://t.co/ZrSQh7r3OH https://t.co/YwKNcxxFuF</t>
  </si>
  <si>
    <t>Delievering SAP Value Add for CXO´s This is my personal account - Views expressed are mine</t>
  </si>
  <si>
    <t>ATS</t>
  </si>
  <si>
    <t>ATS Advanced Telematic Systems provides data-driven solutions to develop and manage ecosystems around #ConnectedCars. Company updates &amp; #mobility news.</t>
  </si>
  <si>
    <t>ITandBusinessDE</t>
  </si>
  <si>
    <t>. @GFOS_mbH verzeichnet einen starken Auftragseingang durch #Digitalisierung und #Industrie40: https://t.co/gsW3Wrv4fz #itbusiness16</t>
  </si>
  <si>
    <t>Messe Stuttgart</t>
  </si>
  <si>
    <t>Hier twittert die IT &amp; Business - Fachmesse für digitale Prozesse und Lösungen. Nächster Termin: 4. - 6.10.2016 Impressum: http://t.co/8ITV33CcsF</t>
  </si>
  <si>
    <t>RT @ITK_OWL: itsOWL_Cluster: RT VDE_Group: Weltweit einmaliger Ansatz: Dt Industrie startet Normungsinitiative für #Industrie40 https://t.c…</t>
  </si>
  <si>
    <t>RT @DigitalTrans_HS: Investitionen in #Industrie40 sind noch sehr gering. https://t.co/8sY930SkV2 https://t.co/QpKt1gkWtC</t>
  </si>
  <si>
    <t>BMAS</t>
  </si>
  <si>
    <t>RT @BEMA_Consulting: Arbeit 4.0: Filmfestival Futurale in Tübingen https://t.co/GeJ1vzeuKz #Industrie40 #arbeit40 #employerbranding</t>
  </si>
  <si>
    <t>Aktuelle Nachrichten aus dem Bundesministerium für Arbeit und Soziales. Impressum: https://t.co/XPuXJrgVa7</t>
  </si>
  <si>
    <t>RT @BitkomResearch: #Industrie40 hat dt. Fabriken erreicht, aber die Investitionen sind eher noch gering https://t.co/gG0jM3nnho https://t.…</t>
  </si>
  <si>
    <t>EFFRA</t>
  </si>
  <si>
    <t>#EU's #FoF_EU playing central role in #DigtiseEU https://t.co/WA0tBDnERi | #IndustrieDuFutur #Industrie40 #fabbricaintelligente</t>
  </si>
  <si>
    <t>Transforming manufacturing in Europe #EFFRA #FoF_EU</t>
  </si>
  <si>
    <t>LÖSUNGEN FÜR #Industrie40 IM MITTELSTAND. #IoT #cloudcomputing #m2m @verlinked https://t.co/DA3VbW0x5B</t>
  </si>
  <si>
    <t>5 Tage Bitkom Innovation Forum #BIF16 @hannover_messe. @prof_scheer @Scheer_GmbH: Mo,25.04.,15h #Industrie40 #HM16 https://t.co/iMmUBtb3hQ</t>
  </si>
  <si>
    <t>Marc Feige</t>
  </si>
  <si>
    <t>Wenn #Industrie40 und #M2M auf #InternetofThings trifft. Spannendes neues Portal: https://t.co/tZBinzR9Vj @itmeetsindustry</t>
  </si>
  <si>
    <t>Aktuelle News aus dem B2B-Umfeld, Schwerpunkt Marketing</t>
  </si>
  <si>
    <t>#HannoverMesse: USA und Deutschland tonangebend bei #Industrie40. https://t.co/Vi1Fdz70rD</t>
  </si>
  <si>
    <t>RT @Bitkom_I40: 5 Tage Bitkom Innovation Forum #BIF16 @hannover_messe. @prof_scheer @Scheer_GmbH: Mo,25.04.,15h #Industrie40 #HM16 https:/…</t>
  </si>
  <si>
    <t>Morad Salehi</t>
  </si>
  <si>
    <t>50 milliards d’euros pour l’#industrie 4.0 européenne https://t.co/2OsLzJlMbn via @frsilicon #Industrie40 #EU #Cloud #IoT #Cybersécurité</t>
  </si>
  <si>
    <t>Attaché de presse @HotwireFrance - du tech, du web, du marketing, de la pub, de la sécurité informatique... et PAF ça fait des RP!</t>
  </si>
  <si>
    <t>RT @verlinked: LÖSUNGEN FÜR #Industrie40 IM MITTELSTAND. #IoT #cloudcomputing #m2m @verlinked https://t.co/DA3VbW0x5B</t>
  </si>
  <si>
    <t>Möller Horcher PR</t>
  </si>
  <si>
    <t>RT @HolgerSchmidt: Investitionen in #Industrie40 sind noch sehr gering. https://t.co/pWcWdQYYtk https://t.co/HR7YdVp9PE</t>
  </si>
  <si>
    <t>Offenbach am Main; Freiberg</t>
  </si>
  <si>
    <t>Aus der Redaktion von Möller Horcher twittern Hannah Winter-Ulrich (HW) und Julia Götzschel (JG), aus dem Consulting twittert Dominique-Silvia Kemp (DK)</t>
  </si>
  <si>
    <t>#Robots: le #Japon fait sa troisième révolution industrielle https://t.co/0aQ03PDzli #IndustrieDuFutur #Industrie40 #I40 #industrie</t>
  </si>
  <si>
    <t>FOMforscht</t>
  </si>
  <si>
    <t>News aus den Forschungsprojekten, Instituten und KompetenzCentren der FOM Hochschule. Impressum: https://t.co/Q2yBOiC8t6</t>
  </si>
  <si>
    <t>Infineon</t>
  </si>
  <si>
    <t>Our semiconductor and system solutions contribute to a better future – making our world easier, safer and greener. http://t.co/lHDSIGqzHM</t>
  </si>
  <si>
    <t>Digitalisierung &amp; Industrie 4.0 sind zurzeit allgegenwärtige Themen. Bereits 2015 war deutlich sp... https://t.co/xWRkdjYcgB #Industrie40</t>
  </si>
  <si>
    <t>startupticker</t>
  </si>
  <si>
    <t>RT @SGE: #Industrie40 live: der @FPRobotoicsAG Roboter schenkt Kaffee aus am #awf16 Mehr zum Thema: https://t.co/BmzaWY5fA7 https://t.co/nb…</t>
  </si>
  <si>
    <t>The independent Swiss innovation news channel. Everything about ambitious start-ups, experienced supporters and risk-taking investors.</t>
  </si>
  <si>
    <t>Fast jedes 2. Unternehmen nutzt #Industrie40, Investitionsbereitschaft aber gering. @Bitkom https://t.co/2X8g67HlyH https://t.co/8eLzUqozRz</t>
  </si>
  <si>
    <t>#Industrie40 auf amerikanische Art https://t.co/7WOHacZpXL #IndustrialInternetConsortium #IIC #IoT #IIoT</t>
  </si>
  <si>
    <t>RT @catkinEU: #Industrie40 auf amerikanische Art https://t.co/7WOHacZpXL #IndustrialInternetConsortium #IIC #IoT #IIoT</t>
  </si>
  <si>
    <t>Eckelmann AG</t>
  </si>
  <si>
    <t>As a specialist in automation technology, we offer industry- and customer-specific solutions based on standards for devices, machinery and industrial plants.</t>
  </si>
  <si>
    <t>wirtschaft@bremen_de</t>
  </si>
  <si>
    <t>Digitalisierung in der #Logistik: Kurzvorträge, Get-together &amp; mehr. Heute 16h, BIBA, Hochschulring 20 https://t.co/AcquErt22p #Industrie40</t>
  </si>
  <si>
    <t>Bremen, Germany</t>
  </si>
  <si>
    <t>Wirtschaft und Arbeit in Bremen: Wir twittern zum innovativen Wirtschaftsstandort, Veranstaltungen und rund um die Arbeitswelt. http://t.co/Uj4RCiyxgg</t>
  </si>
  <si>
    <t>#Industrie40-#Honeypot: Während der #CeBIT gab es täglich 14.000-19.500 Scans &amp; 8 intelligente Angriffe https://t.co/siDLpIPnqD</t>
  </si>
  <si>
    <t>Avidok Engineering</t>
  </si>
  <si>
    <t>#Industrie40 (noch nicht) mit #Sicherheit zu verbinden? https://t.co/cdPNJl1YqT</t>
  </si>
  <si>
    <t>Kiel</t>
  </si>
  <si>
    <t>Wir arbeiten in allen Teilbereichen der #Entwicklung von #komplexen Systemen, von der Idee bis zur technischen Dokumentation. https://t.co/IfMZ4Oktvz</t>
  </si>
  <si>
    <t>#hmi2016: #obama # merkel #roboter #Industrie40 #ingenieur ... Montag gehts los! https://t.co/DjWyTdYbcu</t>
  </si>
  <si>
    <t>Nächste Woche Industrie 4.0 live zum Anfassen und Erleben auf der @hannover_messe #hm2016 #ibm https://t.co/r7t0uAq6a6 #industrie40</t>
  </si>
  <si>
    <t>Planungssicherheit bei #Industrie40 Investitionen ist gefragt, wir helfen @hannover_messe Halle 7, D21 https://t.co/bgeYfPNmj4</t>
  </si>
  <si>
    <t>Bridge imp GmbH</t>
  </si>
  <si>
    <t>#Industrie40 in der #Logistik - Viele Erfolge und einige Hürden: https://t.co/SNLdCAMjyE</t>
  </si>
  <si>
    <t>Grünwald bei München, Bayern</t>
  </si>
  <si>
    <t>Bridge imp gehört zu den Marktführern in der Vermittlung operativer Interim Manager – für alle Branchen und Funktionen, national und international.</t>
  </si>
  <si>
    <t>Fraglich was man alles "direkt" unter #Industrie40 Investitionen packt ... https://t.co/VdHWGGmLVW</t>
  </si>
  <si>
    <t>um die etablierte schlanke Fertigung ergänzen zu können, haben sich @JohnDeere &amp; IBM Forsch zusammengetan #industrie40 live @hannover_messe</t>
  </si>
  <si>
    <t>Tag der Logistik</t>
  </si>
  <si>
    <t>RT @hbde_wirtschaft: Digitalisierung in der #Logistik: Kurzvorträge, Get-together &amp; mehr. Heute 16h, BIBA, Hochschulring 20 https://t.co/A…</t>
  </si>
  <si>
    <t>Unternehmen, Organisationen und Institute öffnen ihre Türen und gewähren Einblick in die Logistik. Hashtag #tdl16 Impressum: https://t.co/wFvPrM5H2M</t>
  </si>
  <si>
    <t>Fast jedes zweite Industrieunternehmen nutzt #industrie40 aber eher noch verhalten https://t.co/afdZRq09dU @Bitkom</t>
  </si>
  <si>
    <t>Exec Capital Coach</t>
  </si>
  <si>
    <t>DE | EU</t>
  </si>
  <si>
    <t>Executive Coaching für Unternehmens-Finanz: Analyse Klärung Strat Planung für Führungskräfte und Entscheider | Newsletter FINANZ NEXUS : https://t.co/MSZ8yAUIQ3</t>
  </si>
  <si>
    <t>Joachim Petersen</t>
  </si>
  <si>
    <t>Media, Social Media, Big Data, Photography, Art &amp; Mountains. News Magazine FOCUS, Hubert Burda Media. Private Account.</t>
  </si>
  <si>
    <t>Marc van der Ham</t>
  </si>
  <si>
    <t>MEP @vickyford emphasises to @Ansip_EU need 2 work on global standards 4 digital services cooperation. Also in #TTIP context #industrie40</t>
  </si>
  <si>
    <t>European. Dutch. Transatlantisist. D66. Love to jog &amp; swim. Music addict. Eats newspapers. I work at Google in Brussels. Amsterdam is home. My opinions only.</t>
  </si>
  <si>
    <t>Bericht für #Fraunhofer IGD auf mittelstand-nachrichten #hmi2016 #hannovermesse #industrie40 https://t.co/mgenuXIquc https://t.co/LRkqn9vh1l</t>
  </si>
  <si>
    <t>IBMInsider_Adremcom</t>
  </si>
  <si>
    <t>Neue #Industrie40-Studie von #PwC: Produktionsunternehmen machen Ernst. Hier geht's zum kostenlosen Download: https://t.co/N3G394nkfX</t>
  </si>
  <si>
    <t>www-01.ibm.com/software/de/big</t>
  </si>
  <si>
    <t>#ibm #bigdata #analytics #watson #ibmwatson #digitalisierung #IoT #industrie40 #smartanything #cloud</t>
  </si>
  <si>
    <t>Bericht für Bionic Robotics auf Industrieweb.at #hannovermesse #hmi2016 #industrie40 https://t.co/AMZGrF4KPI</t>
  </si>
  <si>
    <t>Gerd Betz</t>
  </si>
  <si>
    <t>RT @reanvent: #Bitkom 27.04.2016,10:00 Neue Geschäftsmodelle durch #Industrie40 Fluch oder Segen https://t.co/Dla7zxWPto @hannover_messe #e…</t>
  </si>
  <si>
    <t>Herrenberg</t>
  </si>
  <si>
    <t>Visualisierung und Automatisierung von Geschäftsprozessen in der Supply Chain, E-Services und Outtasking. Unser Blog http://t.co/Naj8kvNb</t>
  </si>
  <si>
    <t>Presseinfo: Fraunhofer IGD #HMI16: Interaktive Strömungssimulation in Echtzeit #industrie40 https://t.co/uG24NbVbSl https://t.co/dKLrSOjCvP</t>
  </si>
  <si>
    <t>Schaeffler Group</t>
  </si>
  <si>
    <t>Discover #Schaeffler solutions for predictive maintenance @hannover_messe #industrie40 #hm16 https://t.co/BYeV6UzEK2 https://t.co/XIn08HYqEB</t>
  </si>
  <si>
    <t>Radian6 -Social Media Management</t>
  </si>
  <si>
    <t>Herzogenaurach, Germany</t>
  </si>
  <si>
    <t>As a global technology company we want to create a significant value to help our customers to drive #mobility for tomorrow. Imprint: http://t.co/UXxPXuc9MN</t>
  </si>
  <si>
    <t>VDI TZ</t>
  </si>
  <si>
    <t>Wie sieht die vernetzte Fabrik der #Zukunft aus? Eine #VDI Ingenieursgeschichte: https://t.co/rEr0qjwnQr #Industrie40 #Digitalisierung</t>
  </si>
  <si>
    <t>Düsseldorf, Berlin</t>
  </si>
  <si>
    <t>Die VDI Technologiezentrum GmbH twittert über Forschung &amp; Entwicklung in Medizintechnik, Nano, Photonik, Sicherheit und Nachhaltigkeit.</t>
  </si>
  <si>
    <t>Nutzen/Risiken vernetzter Systeme: die Anwendung von #Industrie40-Technologien auf der #HM16 am #Pipeline-Modell. https://t.co/Kp30vBAHsc</t>
  </si>
  <si>
    <t>Bericht für #Fraunhofer IGD auf automobilwoche.de #hannovermesse #hmi2016 #industrie40 https://t.co/eNZp23YwNT https://t.co/RbCN2WVZ24</t>
  </si>
  <si>
    <t>Valerie D. Rödder</t>
  </si>
  <si>
    <t>Rezension: #Digitalisierung industrieller Arbeit. #Industrie40 und ihre sozialen Herausforderungen https://t.co/JF5Zqi0FB8 #soziologie</t>
  </si>
  <si>
    <t>Interested in Internet Policy, Sociology, Iot, Work 4.0, future research | Degree in Poltical Science &amp; Sociology; Social Media &amp; Marketing | #HAE</t>
  </si>
  <si>
    <t>Interview with Harriet Green from IBM. #IoT #Industrie40 https://t.co/sdjJEV8yXq</t>
  </si>
  <si>
    <t>IoT #Industrie40 https://t.co/Ju3x2CV2q3</t>
  </si>
  <si>
    <t>So haben 11 Prozent der Unternehmen, die Industrie 4.0 anwenden oder dies planen, im vergangenen ... https://t.co/0JOojOc1zl #Industrie40</t>
  </si>
  <si>
    <t>Mappen? #HM16 ist #Digitalisierung und #Industrie40 live ;-) https://t.co/4S4wCawq8W</t>
  </si>
  <si>
    <t>RT @H_IT_D: So haben 11 Prozent der Unternehmen, die Industrie 4.0 anwenden oder dies planen, im vergangenen ... https://t.co/0JOojOc1zl #I…</t>
  </si>
  <si>
    <t>SearchNetworking.de</t>
  </si>
  <si>
    <t>Alles rund um Netzwerktechnologie. Everything about network technology. Impressum:https://t.co/MlAQBIsVBI</t>
  </si>
  <si>
    <t>WTI Frankfurt</t>
  </si>
  <si>
    <t>#Industrie40 #Nanotechnologie #SeriousGames #Biotechnologie - Themen unserer Newsletter https://t.co/22y7maG4ID https://t.co/pj4lLyAfcv</t>
  </si>
  <si>
    <t>Führender Anbieter von ingenieurwissenschaftlichem Wissen für Forschung, Hochschulen und Unternehmen - verlagsunabhängig, anwendungsorientiert, praxisrelevant!</t>
  </si>
  <si>
    <t>Breakout Session mit @csschweiz: #DigitaleTransformation in einer sich stark wandelnden Branche #awf16 #Industrie40</t>
  </si>
  <si>
    <t>Breakout Session mit @PwC_Switzerland: Mit #Industrie40 steht ein epochaler Umbau bevor - was bedeutet dies für KMU?</t>
  </si>
  <si>
    <t>Wenn Industrieroboter für #KMU preislich attraktiv werden, verhilft das #Industrie40 zum Durchbruch. #robotics https://t.co/bPZw556VWG</t>
  </si>
  <si>
    <t>Weltweit wachsen mit #ecommerce; Chancen für Schweizer Produkte: Breakout Session mit Asendia #awf16 #Industrie40</t>
  </si>
  <si>
    <t>PwC Switzerland</t>
  </si>
  <si>
    <t>RT @SGE: Breakout Session mit @PwC_Switzerland: Mit #Industrie40 steht ein epochaler Umbau bevor - was bedeutet dies für KMU?</t>
  </si>
  <si>
    <t>PwC Switzerland. Leader in Assurance, Tax and Advisory. #audit #tax #advisory #cybersecurity #ustrIII #dataanalytics #energytogrow</t>
  </si>
  <si>
    <t>Altim France</t>
  </si>
  <si>
    <t>#Industrie40 : Schneider présente ses technologies pour l'opérateur augmenté https://t.co/DzXExOLmV0 #HighTech @SchneiderUK</t>
  </si>
  <si>
    <t>Boulogne-Billancourt</t>
  </si>
  <si>
    <t>Cabinet d'expertise spécialisé dans la #TVNum, l'informatique embarquée. #Linux #IoT #drone #robot #eHealth Altim recrute !</t>
  </si>
  <si>
    <t>Durch unsere Mitarbeit bei #itsOWL konnten wir Kontakte zu innovativen Partnern knüpfen. #Industrie40 #IoT #m2m https://t.co/DA3VbW0x5B</t>
  </si>
  <si>
    <t>Martina Weidmann</t>
  </si>
  <si>
    <t>#Lünendonk und @tsystemsde: Smart Factory ist Herzstück der #Industrie40 @Produktion_de https://t.co/H54wak71zx #einfachmachen #telekomwall</t>
  </si>
  <si>
    <t>Pressesprecherin / Press spokes person @deutschetelekom #IoT #Digitalisierung #smartfactory #cloud #connectivity #security #sicherheit #netze #sensorik</t>
  </si>
  <si>
    <t>Klemens Roth</t>
  </si>
  <si>
    <t>RT @SGE: Weltweit wachsen mit #ecommerce; Chancen für Schweizer Produkte: Breakout Session mit Asendia #awf16 #Industrie40</t>
  </si>
  <si>
    <t>www.netzaktiv.de</t>
  </si>
  <si>
    <t>Irgendwann wird ein Schnitzel kommen um die Welt zu verändern.</t>
  </si>
  <si>
    <t>M-Exchange</t>
  </si>
  <si>
    <t>So profitiert die #Beschaffung von der #Digitalisierung. #einkauf #industrie40 https://t.co/JFjX8SpeqP</t>
  </si>
  <si>
    <t>Lohmar</t>
  </si>
  <si>
    <t>Branchenübergreifende Beschaffungslösungen für Mittelstand und Konzerne sowie Spezialentwicklungen für Stadtwerke, Ver- und Entsorger + Energiedatenmanagement.</t>
  </si>
  <si>
    <t>Stefan Roggatz</t>
  </si>
  <si>
    <t>Experte für Industrie 4.0, Beschaffungsoptimierung, Vertriebsoutsourcing, Anforderungsmanagement, Marketingoutsourcing</t>
  </si>
  <si>
    <t>#Industrie40 - USA und Deutschland sind Weltmeister &gt;&amp;gt; https://t.co/fb30vEneS5 via @automotive_IT</t>
  </si>
  <si>
    <t>Vor 20 Jahren startete das Unternehmen mit 10 Mitarbeitern und ist zu einem der leistungsstärkste... https://t.co/JoGhNZF03W #Industrie40</t>
  </si>
  <si>
    <t>#ME-Sozialpartner analysieren Berufsbilder&amp;Qualifizierungsbedarf für #Industrie40 @ZVEIorg @Gesamtmetall @VDMAonline https://t.co/Nj5PLQ4yUI</t>
  </si>
  <si>
    <t>Häufig gestellte Fragen zu #Industrie40 beantworten vom @BMWi_Bund https://t.co/H0H2Yn9ILV Ein kurzer Überblick.</t>
  </si>
  <si>
    <t>Notre compte-rendu de la conférence organisée par @CEP_Jurabernois en marge du #SIAMS : https://t.co/kVauGoL1tN #Industrie40</t>
  </si>
  <si>
    <t>EconomieJurabernois</t>
  </si>
  <si>
    <t>RT @Alpict: Notre compte-rendu de la conférence organisée par @CEP_Jurabernois en marge du #SIAMS : https://t.co/kVauGoL1tN #Industrie40</t>
  </si>
  <si>
    <t>Jura bernois</t>
  </si>
  <si>
    <t>Chambre d'économie publique du Jura bernois: cercle de réflexion, représentante de l'économie régioanle et porteuse de projets</t>
  </si>
  <si>
    <t>FoF_EU</t>
  </si>
  <si>
    <t>RT @EFFRA_Live: #EU's #FoF_EU playing central role in #DigtiseEU https://t.co/WA0tBDnERi | #IndustrieDuFutur #Industrie40 #fabbricaintelli…</t>
  </si>
  <si>
    <t>#FoF_EU #PPPs_EU under #H2020 is centred on the priorities of ‘Factories of the Future 2020’, an ambitious &amp; far-sighted strategic Multi-annual Roadmap</t>
  </si>
  <si>
    <t>BMWi Bund</t>
  </si>
  <si>
    <t>#Industrie40 zum Anfassen: PSt @brigittezypries besuchte gestern das #FabLab der @HochschuleRW in Kamp-Lintfort https://t.co/d5kn3IhQAm</t>
  </si>
  <si>
    <t>some.io</t>
  </si>
  <si>
    <t>Berlin | Bonn</t>
  </si>
  <si>
    <t>Aktuelle Nachrichten aus dem Bundesministerium für Wirtschaft und Energie∙ Impressum: http://t.co/7bstSg3rea</t>
  </si>
  <si>
    <t>innovate@swissmem</t>
  </si>
  <si>
    <t>Das #awf16 von @SGE widmet sich #Industrie40 . @Industrie2025 ist zusammen mit @FHNWTechnik dabei.</t>
  </si>
  <si>
    <t>Zürich</t>
  </si>
  <si>
    <t>Die Platform für Innovation, Forschung und Technologie in der MEM- Industrie. Es twittert @robert_rudolph</t>
  </si>
  <si>
    <t>BeuthBonus</t>
  </si>
  <si>
    <t>BeuthBonus ist ein Qualifizierungsprogramm für zugewanderte Hochschulabsolvent/-innen mit IT-Abschlüssen an der Beuth Hochschule für Technik Berlin</t>
  </si>
  <si>
    <t>RT @BMWi_Bund: #Industrie40 zum Anfassen: PSt @brigittezypries besuchte gestern das #FabLab der @HochschuleRW in Kamp-Lintfort https://t.co…</t>
  </si>
  <si>
    <t>Wie setzen wir selbst das #connected enterprise um? #industrie40 #iiot #hm16 https://t.co/vIb9kahhvR https://t.co/VGU9NKuqHe</t>
  </si>
  <si>
    <t>Wie setzen wir selbst das #connected enterprise um? #industrie40 #iiot #hm16 https://t.co/ZCNQ1D8FSi https://t.co/5qhT64Pngk</t>
  </si>
  <si>
    <t>Wie setzen wir selbst das #connected enterprise um? #industrie40 #iiot #hm16 https://t.co/ubJwpB5URy https://t.co/NpgLaQDXg1</t>
  </si>
  <si>
    <t>Genau, wir sind mit unseren Experten und dem Schoggi-Roboter am #awf16 und zeigen die süsse Seite von #Industrie40.. https://t.co/2L5qwHgxmH</t>
  </si>
  <si>
    <t>@inet_innovation wir zeigen eben auch die Herausforderungen mit #Industrie40 :)</t>
  </si>
  <si>
    <t>RT @Markenartikler: Fast jedes 2. Unternehmen nutzt #Industrie40, Investitionsbereitschaft aber gering. @Bitkom https://t.co/2X8g67HlyH htt…</t>
  </si>
  <si>
    <t>.@danielkueng eröffnet das #awf16 2016 zu #Industrie40 und den Chancen für KMU im Export #4IR https://t.co/sKmoA1pXIA</t>
  </si>
  <si>
    <t>#Livestream: Smart Health - Chancen und Herausforderungen der Digitalisierung https://t.co/xIS9oFHHy7 #Industrie40 #Microsoft</t>
  </si>
  <si>
    <t>Angelika Birkner</t>
  </si>
  <si>
    <t>Marketing &amp; Communications Lead Avanade Germany, Austria, Switzerland</t>
  </si>
  <si>
    <t>Tech XB</t>
  </si>
  <si>
    <t>RT @prxpragma: Wenn Industrieroboter für #KMU preislich attraktiv werden, verhilft das #Industrie40 zum Durchbruch. #robotics https://t.co…</t>
  </si>
  <si>
    <t>London</t>
  </si>
  <si>
    <t>Steve Nicholls Digital Strategist | Author of Social Media in Business Get Free White Papers : https://t.co/TH7YJCMk46</t>
  </si>
  <si>
    <t>Sina Pries</t>
  </si>
  <si>
    <t>RT @SGE: .@danielkueng eröffnet das #awf16 2016 zu #Industrie40 und den Chancen für KMU im Export #4IR https://t.co/sKmoA1pXIA</t>
  </si>
  <si>
    <t>Zurich</t>
  </si>
  <si>
    <t>Media Relations @SGE &amp; @investCH / A bit of everything: PR &amp; Politics, Social &amp; Traditional, Cooking &amp; Baking / Tweets &amp; views are my own</t>
  </si>
  <si>
    <t>#Industrie40 #IoT - Ein Thema für die #Konstruktion -ein #Kommentar von Dr. Michael Döppert https://t.co/tuhPg9pL45 https://t.co/YH6PT1pkxL</t>
  </si>
  <si>
    <t>#Industrie40 schafft neue Absatzchancen für KMU + wird unsere Wirtschaft vorantreiben, so @danielkueng #awf16</t>
  </si>
  <si>
    <t>.@danielkueng: Dank #Industrie40 können KMU agil auf Kundenbedürfnisse reagieren #awf16 https://t.co/kBMY2YVjsX https://t.co/w2Pp0Ypifi</t>
  </si>
  <si>
    <t>Erleben Sie unsere Innovationen #live auf der #hm16 https://t.co/cidAyOl5mB #smartfactory #industrie40 #industry40 https://t.co/kKDrd45E2a</t>
  </si>
  <si>
    <t>Industrie startet Normungsinitiative für #Industrie40 https://t.co/2SdcXUQVOr via https://t.co/WQ7JTCE6SU #Normung #Digitalisierung</t>
  </si>
  <si>
    <t>Metal Eco City</t>
  </si>
  <si>
    <t>#Industrie40 trifft intelligente Produktion Guangdong – Kooperationskonferenz – https://t.co/qg043BA1Ry</t>
  </si>
  <si>
    <t>ZhongDe Metal Group GmbH</t>
  </si>
  <si>
    <t>Unser neues Video zur #smartfactory #industrie40 ist #live: https://t.co/Df2j2cQgdq @induux_de #industry40 #HM16 #HM16USA</t>
  </si>
  <si>
    <t>Unsere Themenseite #Industrie40 zur @hannover_messe informiert über Monitoring &amp; Fernwartung https://t.co/wRH129SGbw https://t.co/yHXocuUM9l</t>
  </si>
  <si>
    <t>RT @M_Exchange_AG: So profitiert die #Beschaffung von der #Digitalisierung. #einkauf #industrie40 https://t.co/JFjX8SpeqP</t>
  </si>
  <si>
    <t>.@danielkueng: Das Erfolgsrezept für #Industrie40: Daten, Talente, Innovationsfähigkeit und Partnerschaften #4IR</t>
  </si>
  <si>
    <t>#Webcast: Willkommen, #Industrie40“ Durchstarten dank intelligenter #M2M-Kommunikation #IoT https://t.co/8loGIVDCj0</t>
  </si>
  <si>
    <t>Inst 4D Technologies</t>
  </si>
  <si>
    <t>Brugg-Windisch, Switzerland</t>
  </si>
  <si>
    <t>We're an interdisciplinary Institute of researchers in domains of Computer Science,Civil Engineering,Process Management,Architecture,Design, Mathematics&amp;Physics</t>
  </si>
  <si>
    <t>RT @FHNWTechnik: Genau, wir sind mit unseren Experten und dem Schoggi-Roboter am #awf16 und zeigen die süsse Seite von #Industrie40.. https…</t>
  </si>
  <si>
    <t>#Hannover #Messe 2016: Potenziale der #Digitalisierung erkennen#HM16 #Industrie40 #20DMAG16 https://t.co/sft2di3W4l https://t.co/vwROvVTuw2</t>
  </si>
  <si>
    <t>RT @Der_Betriebslei: #Hannover #Messe 2016: Potenziale der #Digitalisierung erkennen#HM16 #Industrie40 #20DMAG16 https://t.co/sft2di3W4l ht…</t>
  </si>
  <si>
    <t>Edukatico</t>
  </si>
  <si>
    <t>Experten erklären Details zur Industrie 4.0 ab Montag bei @openHPI #i40 #Industrie40 https://t.co/sf002DzBhu https://t.co/lww1197Na5</t>
  </si>
  <si>
    <t>E-Learning Verzeichnis mit tausenden Online-Kursen aus 22 Fachgebieten</t>
  </si>
  <si>
    <t>Dominik Stankowski</t>
  </si>
  <si>
    <t>CEO of @Logitech Bracken P. Darrell talking about #Industrie40 at Aussenwirtschaftsforum @SGE https://t.co/IJtmChy5Me</t>
  </si>
  <si>
    <t>Phnom Penh</t>
  </si>
  <si>
    <t>I am a software engineer living in Phnom Penh, Cambodia. I like good discussions, clean code and to make things happen.</t>
  </si>
  <si>
    <t>Ob Mobility, Konstruktion oder Automotive – Unternehmen aller Branchen können ihre Ideen noch bis... https://t.co/2P4itFtXHG #Industrie40</t>
  </si>
  <si>
    <t>Ab Montag Industrie 4.0 Wissen für alle: https://t.co/jpHT0FyTxS ... Hands-on #industrie40! https://t.co/yi8uYcZBHc https://t.co/IaVsbSVwdX</t>
  </si>
  <si>
    <t>Franz Steiger</t>
  </si>
  <si>
    <t>Darrell, CEO of @Logitech : Jeden Tag werden 5.5 Mio. Gegenstände neu mit dem Internet verbunden #IoT #Industrie40 #awf16</t>
  </si>
  <si>
    <t>Zürich und Menziken</t>
  </si>
  <si>
    <t>Finanzmann mit Leib und Seele - mit Interessen in Wirtschaft, Politik und IT *** views are my own ***</t>
  </si>
  <si>
    <t>[#IndustrieDuFutur] En amont de l'#Industrie40, une vision digitale et un esprit de solution | via @usinenouvelle https://t.co/hi6wn2pI4t</t>
  </si>
  <si>
    <t>Lovato Electric GmbH</t>
  </si>
  <si>
    <t>Die Deutsche Tochtergesellschaft von Lovato Electric mit Lager und Büro in Waldbronn bei Karlsruhe. Produkte f. E-Management, E-Verteiler, Maschinen, Anl.+ SSB.</t>
  </si>
  <si>
    <t>Martina Palm</t>
  </si>
  <si>
    <t>Überlebensstrategie für den Standort Deutschland #Industrie40 #I40 #IIoT https://t.co/bQRbwM7fsc</t>
  </si>
  <si>
    <t>Immenstaad</t>
  </si>
  <si>
    <t>Views are my own - Marketing Manager at #Bosch Software Innovations with a focus #manufacturing &amp; #logistics oriented #IoT #Industry40.</t>
  </si>
  <si>
    <t>RT @Martina_Palm: Überlebensstrategie für den Standort Deutschland #Industrie40 #I40 #IIoT https://t.co/bQRbwM7fsc</t>
  </si>
  <si>
    <t>Beni Seiler</t>
  </si>
  <si>
    <t>#Industrie40 Concepts of @Logitech CEO:be excited,be selective,reinvent yourself,small is great 5)be hungry #awf16 https://t.co/ajgcOTyAhJ</t>
  </si>
  <si>
    <t>Lulatsch, Blogger, Journalismousse- und Communicare Student</t>
  </si>
  <si>
    <t>RT @inno_swissmem: Das #awf16 von @SGE widmet sich #Industrie40 . @Industrie2025 ist zusammen mit @FHNWTechnik dabei.</t>
  </si>
  <si>
    <t>#Industrie40 is a reality, #Bosch will show in a few days live at #HM16 https://t.co/zTYVjY4bml https://t.co/CHOpfQZz3b</t>
  </si>
  <si>
    <t>@SaitowAg Bitte informieren Sie uns, die #arbeiten40 und #industrie40 Community, über Ihre Fortschritte regelmäßig. :) #BigData #IoT</t>
  </si>
  <si>
    <t>Smart Service World</t>
  </si>
  <si>
    <t>#Industrie40 Consulting &amp; Academy for a #SmartWorld</t>
  </si>
  <si>
    <t>Roland Waijenberg</t>
  </si>
  <si>
    <t>RT @schaefflergroup: Discover #Schaeffler solutions for predictive maintenance @hannover_messe #industrie40 #hm16 https://t.co/BYeV6UzEK2 h…</t>
  </si>
  <si>
    <t>Leeuwarden</t>
  </si>
  <si>
    <t>It doesn't matter if the glass is half full or half empty - there is clearly room for more!</t>
  </si>
  <si>
    <t>Patrick Hofer</t>
  </si>
  <si>
    <t>RT @BeniSeiler: #Industrie40 Concepts of @Logitech CEO:be excited,be selective,reinvent yourself,small is great 5)be hungry #awf16 https:/…</t>
  </si>
  <si>
    <t>Globally connected</t>
  </si>
  <si>
    <t>Swiss Transformation Consultant @ The Digital Interface of Business, Creativity &amp; Human Technology</t>
  </si>
  <si>
    <t>iotfablab</t>
  </si>
  <si>
    <t>#IIoT for retrofitting of industrial machinery #Industrie40 #tdl2016 https://t.co/dwT60eOEjU</t>
  </si>
  <si>
    <t>Bremen, Deutschland</t>
  </si>
  <si>
    <t>We are a fab lab for the development of internet of things projects #iot and #iiot from research prototypes through industrial installations</t>
  </si>
  <si>
    <t>Clarissa Haller</t>
  </si>
  <si>
    <t>Zurich Switzerland</t>
  </si>
  <si>
    <t>Comms and reputation. If I tweet here views are mine.</t>
  </si>
  <si>
    <t>"worst thing about success is getting it" @brackendarrell CEO @Logitech #stayhungry #Industrie40 #awf16</t>
  </si>
  <si>
    <t>What is digital? #CIOPF2016 #ciocan do you know your #asteroid is coming - #Industrie40 need Aerosmith to play in the background #CIOPF2016</t>
  </si>
  <si>
    <t>Swiss Business Hub</t>
  </si>
  <si>
    <t>Der Swiss Business Hub Germany ist die Vertretung von @SGE in Deutschland. Bitte folgen Sie uns, um Informationen zur Standort- und Exportförderung zu erhalten.</t>
  </si>
  <si>
    <t>RT @BarEngels: @elawprof : die e-Person ist ein schönes Label, das die Probleme nicht löst. #Industrie40 #Digitalisierung @Der_BDI</t>
  </si>
  <si>
    <t>RT @YouGov_DE: Spannende Diskussion bei #Industrie40 'digitale Wirtschaft - analoges Recht?' des @Der_BDI u.a mit Dr. Ole Schröder https://…</t>
  </si>
  <si>
    <t>#Industrie40 auf der #HannoverMesse #hm16 @20DMAG16 epaper #DerKonstrukteur lesen https://t.co/CLblXqkTmx https://t.co/cJffEPVLpy</t>
  </si>
  <si>
    <t>RT @BoschPresse: #Industrie40 is a reality, #Bosch will show in a few days live at #HM16 https://t.co/zTYVjY4bml https://t.co/CHOpfQZz3b</t>
  </si>
  <si>
    <t>RT @b2b_nachrichten: Wenn #Industrie40 und #M2M auf #InternetofThings trifft. Spannendes neues Portal: https://t.co/tZBinzR9Vj @itmeetsindu…</t>
  </si>
  <si>
    <t>@verlinked Geschäftspotenziale für intelligente Maschinen und Dienstleistungen. #Industrie40 #IoT #m2m https://t.co/DA3VbW0x5B #m2m</t>
  </si>
  <si>
    <t>RT @DerKonstrukteu: #Industrie40 auf der #HannoverMesse #hm16 @20DMAG16 epaper #DerKonstrukteur lesen https://t.co/CLblXqkTmx https://t.co…</t>
  </si>
  <si>
    <t>Management Circle</t>
  </si>
  <si>
    <t>"#Industrie40 ist eine große Chance für die deutsche Industrie" so Prof. Dr. Olesch, #GF @PhoenixContactD https://t.co/uFh8lrdDif</t>
  </si>
  <si>
    <t>Eschborn, Deutschland</t>
  </si>
  <si>
    <t>Wir twittern live von unseren #Digital-Veranstaltungen und Aktuellem zum Thema Digitalisierung. [Impressum: https://t.co/8XL9AG3toY ]</t>
  </si>
  <si>
    <t>Christine A. Frank</t>
  </si>
  <si>
    <t>Now this is cool! Good old fashion dirty jobs it's finest with #IIoT #iot #Industrie40 https://t.co/Oz66FcV5Qb</t>
  </si>
  <si>
    <t>Mom of 2 beautiful girls! Friends &amp; family come first! I believe humor cures anything! Live life for today, enjoy the small moments. Industrial Automation Guru!</t>
  </si>
  <si>
    <t>Welche Technologien für die wichtigsten Werttreiber der #Industrie40 unabdingbar sind: https://t.co/8InO15RGz3 ^bas</t>
  </si>
  <si>
    <t>Frank Riemensperger</t>
  </si>
  <si>
    <t>Industrie 4.0 hat die Fariken erreicht! #IoT #Industrie40 https://t.co/H1VEZ5Pe3N</t>
  </si>
  <si>
    <t>Germany, Austria, Switzerland</t>
  </si>
  <si>
    <t>Country Managing Director Accenture Germany // Opinions expressed are my own.</t>
  </si>
  <si>
    <t>Only 4 days left till @hannover_messe! #HM16 #HM16USA #selectUSA #Industrie40 #IntegratedEnergy #Thursdaymotivation https://t.co/9mTXZHIRpc</t>
  </si>
  <si>
    <t>MKKrueger</t>
  </si>
  <si>
    <t>Redaktion f+h Fördern und Heben Redaktion Antriebstechnik - Vereinigte Fachverlage GmbH (Mainz)</t>
  </si>
  <si>
    <t>Dr. Eberhard Veit zu #Industrie40: Die horizontale Integration von Arbeitsvorgängen erhöht Flexibilität und Produktivität #awf16</t>
  </si>
  <si>
    <t>RT @RiemenspergerF: Industrie 4.0 hat die Fariken erreicht! #IoT #Industrie40 https://t.co/H1VEZ5Pe3N</t>
  </si>
  <si>
    <t>Eberhard Veit im @SRF #Tagesgespräch zu #Industrie40 am heutigen #awf16 https://t.co/O6dAkoMvOk https://t.co/0N6Gm3bb3y</t>
  </si>
  <si>
    <t>RT @SGE: Eberhard Veit im @SRF #Tagesgespräch zu #Industrie40 am heutigen #awf16 https://t.co/O6dAkoMvOk https://t.co/0N6Gm3bb3y</t>
  </si>
  <si>
    <t>KMU Digital Netzwerk</t>
  </si>
  <si>
    <t>Plume for Android</t>
  </si>
  <si>
    <t>Wir unterstützen den #Mittelstand mit Veranstaltungen, Workshops und aktivem Austausch zur #Digitalisierung</t>
  </si>
  <si>
    <t>Industrial Internet of Things &amp; #Industrie40 News https://t.co/Y3ovBKBOGh #IIoT #Industry40 w/ Tweets @IT_Kommunal_PH @M_Exchange_AG</t>
  </si>
  <si>
    <t>Teilnehmer der Konferenz waren unter anderem: Generalkonsul Liang Jianquan und Zhu Weige, Konsul ... https://t.co/8EBVwFUpEF #Industrie40</t>
  </si>
  <si>
    <t>Datenbrillen in der #Industrie40? Hannes Walter @evolaris am Di., 26.04., 10h beim #BIF @hannover_messe #HM16 https://t.co/udmyPV7Rbu</t>
  </si>
  <si>
    <t>RT @IT2Industry: Industrial Internet of Things &amp; #Industrie40 News https://t.co/Y3ovBKBOGh #IIoT #Industry40 w/ Tweets @IT_Kommunal_PH @M_E…</t>
  </si>
  <si>
    <t>RT @Ronald_Heinze: Normungsinitiative #Industrie40: Standardization Council Industrie 4.0, siehe https://t.co/qwwubzqWsx Organisatorisch be…</t>
  </si>
  <si>
    <t>Unser #Industrie40 Demonstrator ist heute in ZH am #awf16. Den Teaser dazu gibts unter https://t.co/RBUgSH9Jyq @SGE https://t.co/aA3PWOtozI</t>
  </si>
  <si>
    <t>Vereinbarung: IG Metall und Arbeitgeber machen Ausbildung fit für #Digitalisierung und #Industrie40 https://t.co/B0aumwHrha 1/4</t>
  </si>
  <si>
    <t>Salesforce Germany</t>
  </si>
  <si>
    <t>Automotive Smart Factory aus der Cloud von @tsystemsde #SmartFactory #Industrie40 https://t.co/GHcJrX9MKq</t>
  </si>
  <si>
    <t>Offizieller Twitter Account von Salesforce in Central Europe. Themen: Cloud &amp; Social Media für Sales, Service, Marketing.</t>
  </si>
  <si>
    <t>BearingPoint DACH</t>
  </si>
  <si>
    <t>BearingPoint ist eine unabhängige, partnergeführte Unternehmensberatung, die Management- und Technologiekompetenz vereint. Hier twittert die D-A-CH-Region.</t>
  </si>
  <si>
    <t>Wie kann #Industrie40 die #Hafenbranche verändern? Juha Pankakoski weiß es https://t.co/Z16hJL4975 #Port #Hafen #iot</t>
  </si>
  <si>
    <t>Melanie Moll</t>
  </si>
  <si>
    <t>ICT - Future of Work - Social Enterprise - Information Scientist - Runner &amp; Mountain Lover. All opinions expressed here are my own.</t>
  </si>
  <si>
    <t>RT @Konecranes_DE: Wie kann #Industrie40 die #Hafenbranche verändern? Juha Pankakoski weiß es https://t.co/Z16hJL4975 #Port #Hafen #iot</t>
  </si>
  <si>
    <t>Übrigens, liebe Teilnehmende des #awf16 @SGE: Die #FHNW bietet neu eine Weiterbildung im Bereich #industrie40 an. https://t.co/PedcX7M08i</t>
  </si>
  <si>
    <t>AXA Newsroom</t>
  </si>
  <si>
    <t>#AXA freut sich, heute am Aussenwirtschaftsforum #awf16 zu #Industrie40 als Partner mit dabei zu sein @SGE #AXAMedia https://t.co/81cqSUopBB</t>
  </si>
  <si>
    <t>Schweiz</t>
  </si>
  <si>
    <t>Offizieller Twitter-Account des Newsrooms der #AXA Winterthur. Besuchen Sie den #AXABlog unter https://t.co/YYaszEohUx.</t>
  </si>
  <si>
    <t>marketing-BÖRSE</t>
  </si>
  <si>
    <t>Fast jedes zweite Industrieunternehmen nutzt #Industrie40 https://t.co/cKjWflBAzT</t>
  </si>
  <si>
    <t>Waghäusel Karlsruhe Germany</t>
  </si>
  <si>
    <t>Dienstleisterverzeichnis rund um Marketing und mehr. Redaktion: Gabriele Braun</t>
  </si>
  <si>
    <t>.@PwC_Switzerland: Die Anforderungen an Mitarbeiter verändern sich durch #Industrie40 + wir brauchen digitale Skills https://t.co/opNsGvUUAR</t>
  </si>
  <si>
    <t>RT @AXACH_Media: #AXA freut sich, heute am Aussenwirtschaftsforum #awf16 zu #Industrie40 als Partner mit dabei zu sein @SGE #AXAMedia https…</t>
  </si>
  <si>
    <t>#Industrie40: Mann muss nicht alles auf einmal umsetzen. Die Erfolgsfaktoren für KMU @PwC_Switzerland #awf16 https://t.co/7WL8pzR1XC</t>
  </si>
  <si>
    <t>USA und Deutschland sind bei Industrie 4.0 weltweit führend https://t.co/OGsAsZrMXS @automotive_IT #Industrie40</t>
  </si>
  <si>
    <t>RT @frankcausa: Now this is cool! Good old fashion dirty jobs it's finest with #IIoT #iot #Industrie40 https://t.co/Oz66FcV5Qb</t>
  </si>
  <si>
    <t>RT @Bitkom_I40: Datenbrillen in der #Industrie40? Hannes Walter @evolaris am Di., 26.04., 10h beim #BIF @hannover_messe #HM16 https://t.co…</t>
  </si>
  <si>
    <t>NeoSpace Foundation</t>
  </si>
  <si>
    <t>Building a foundation for a brighter space for future generations. https://t.co/SamDqxIylm</t>
  </si>
  <si>
    <t>RT @VDMAonline: Deutsche Industrie startet Normungsinitiative für #Industrie40 https://t.co/4Z1v4Kjr5E https://t.co/sGjm0YdZJ4</t>
  </si>
  <si>
    <t>@RueckertTanja - see you on Monday @hannover_messe for our panel on #industrie40! #hm16 @SAP</t>
  </si>
  <si>
    <t>"Global Study To Explore Business Value Of The Industrial #InternetOfThings" https://t.co/2SetUa8pkF #technology #IoT #IIoT #Industrie40</t>
  </si>
  <si>
    <t>Die größten Hürden beim Einsatz von #industrie40: hohe Investitionskosten und #Datenschutz: https://t.co/VuN32DSTvo https://t.co/DyvbXln81h</t>
  </si>
  <si>
    <t>RT @Bitkom: Die größten Hürden beim Einsatz von #industrie40: hohe Investitionskosten und #Datenschutz: https://t.co/VuN32DSTvo https://t.c…</t>
  </si>
  <si>
    <t>Uwe Pfeil</t>
  </si>
  <si>
    <t>Regensburg, Bayern</t>
  </si>
  <si>
    <t>Clustermanager Elektromobilität/IT-Logistik</t>
  </si>
  <si>
    <t>VDEpolitik</t>
  </si>
  <si>
    <t>Berlin - Brüssel - Frankfurt</t>
  </si>
  <si>
    <t>Retweets not an endorsement.</t>
  </si>
  <si>
    <t>Plusquellec</t>
  </si>
  <si>
    <t>Merci @lespepitestech pour ce référencement. Heureux d'y être. #Industrie40 #usinedufutur #HANA #Cloud https://t.co/h0zOIlMWsY</t>
  </si>
  <si>
    <t>Caen, Basse-Normandie</t>
  </si>
  <si>
    <t>Passionné par les SI de l'entreprise et la transformation digitale #BigData #lifecycle #PLM #ERP #IoT #Mobility #apps #Industriedufutur</t>
  </si>
  <si>
    <t>RT @IGMetall: Vereinbarung: IG Metall und Arbeitgeber machen Ausbildung fit für #Digitalisierung und #Industrie40 https://t.co/B0aumwHrha 1…</t>
  </si>
  <si>
    <t>Rethink Robotics zeigt auf der Hannover Messe 2016 ( https://t.co/VL2SwpDpu1 ) seinen ho... https://t.co/SkRwcI1XE5 #Industrie40</t>
  </si>
  <si>
    <t>Chris</t>
  </si>
  <si>
    <t>Stuttgart, DE</t>
  </si>
  <si>
    <t>GPA-djp Bildung</t>
  </si>
  <si>
    <t>Wissen ist Macht ... am Anfang war der Bildungsverein (Jura Soyfer)</t>
  </si>
  <si>
    <t>Jan Engelhardt</t>
  </si>
  <si>
    <t>IG Metall. Eigene Ideen.</t>
  </si>
  <si>
    <t>Bitkom: Die größten Hürden beim Einsatz von #industrie40: hohe Investitionskosten und #Datenschutz: … https://t.co/ZfAOHwNfG7</t>
  </si>
  <si>
    <t>T-Systems DE</t>
  </si>
  <si>
    <t>RT @SalesforceDE: Automotive Smart Factory aus der Cloud von @tsystemsde #SmartFactory #Industrie40 https://t.co/GHcJrX9MKq</t>
  </si>
  <si>
    <t>Offizieller Twitter-Kanal der T-Systems International GmbH, Großkundensparte Dt. Telekom. Facebook: http://t.co/bEcJzsl2TE Impressum: http://t.co/PT1uNxiVoH</t>
  </si>
  <si>
    <t>RT @MartinaWeidmann: #Lünendonk und @tsystemsde: Smart Factory ist Herzstück der #Industrie40 @Produktion_de https://t.co/H54wak71zx #einfa…</t>
  </si>
  <si>
    <t>Bitkom: Die größten Hürden beim Einsatz von #industrie40: hohe Investitionskosten und #Datenschutz: … https://t.co/3bizWhvyiQ</t>
  </si>
  <si>
    <t>#IoT Tech Expo in #Berlin, 13. - 14.06.2016: Referent von Konecranes wird einen Vortrag halten https://t.co/8gpcKCtoPf @wotwitt #Industrie40</t>
  </si>
  <si>
    <t>Progress Software DE</t>
  </si>
  <si>
    <t>.@bigdata_insider Wie Industrieunternehmen #BigData #Analytics besser nutzen können. Lesen Sie hier https://t.co/jEH9y3OgDu #Industrie40</t>
  </si>
  <si>
    <t>Progress ist ein weltweites Unternehmen, mit dessen Lösungen Firmen auf wechselnde Bedingungen reagieren können #appdev #PaaS #BRMS #BPM #CMS #mobile</t>
  </si>
  <si>
    <t>Kunden innovativer bedienen + #Prozesse optimieren #awf16 Kaminfeuergespräch mit T.Gottstein @csschweiz #Industrie40 https://t.co/OW1oOaSO29</t>
  </si>
  <si>
    <t>Finanziell eingeschränkt? Umso wichtiger ist #Industrie40 #awf16 Kaminfeuergespräch mit C.Magerl-Studer @MILA_DOPIZ https://t.co/Bu3D5HlZ4j</t>
  </si>
  <si>
    <t>Wachstum über digitale Kanäle generieren #awf16 Kaminfeuergespräch mit P. Warnking @Google_CH #Industrie40 #4IR https://t.co/fhZjhrlu29</t>
  </si>
  <si>
    <t>Neue Berufsbilder durch #Industrie40 fordern HR heraus. #awf16 Kaminfeuergespräch mit M. Stoffel, Haufe umantis #4IR https://t.co/rsJJ7xfKzY</t>
  </si>
  <si>
    <t>CreativeConstruction</t>
  </si>
  <si>
    <t>Trumpf will Werke in fünf Jahren digitalisieren https://t.co/eb4HqH1Da1 #digitaltransformation #industrie40 https://t.co/zUbfHi3Z33</t>
  </si>
  <si>
    <t>Digital Innovation - Delivered. http://t.co/WkfElowkOK</t>
  </si>
  <si>
    <t>Sandra Rohrbach</t>
  </si>
  <si>
    <t>Pressesprecherin bei T-Systems/Telekom, Tweets zum vernetzten Fahren, M2M, Industrie 4.0, Digitalisierung, Echtzeit, Cloud</t>
  </si>
  <si>
    <t>#Industrie40 bedeutet auch richtig zu investieren. #awf16 Kaminfeuergespräch mit R. Cadonau, dorma+kaba https://t.co/hcbmcDtxup</t>
  </si>
  <si>
    <t>Schweizer #KMU müssen #Industrie40 aktiv mitgestalten. #awf16 Kaminfeuergespräch mit P. Kaufmann @Starmind #4IR https://t.co/XqvLvwn6OM</t>
  </si>
  <si>
    <t>@ruthmetzler wird von @mona_vetsch in die Zange genommen:gut positioniert ist halb exportiert ;)#awf16 #Industrie40 https://t.co/6mfAhh0ChC</t>
  </si>
  <si>
    <t>Dominik Bürgi</t>
  </si>
  <si>
    <t>Tammo Schwindt</t>
  </si>
  <si>
    <t>Experience Industry 4.0 NOW!!!with #bosch #rexroth #IIoT #Industrie40 https://t.co/wlboEBs4Un</t>
  </si>
  <si>
    <t>Alleine ist man schneller, und zusammen laufen wir weiter</t>
  </si>
  <si>
    <t>Mark Asbach</t>
  </si>
  <si>
    <t>(Co-)Founder of @pixolus, a mobile vision startup based in Cologne.</t>
  </si>
  <si>
    <t>Infosys</t>
  </si>
  <si>
    <t>Explore our #virtualreality based solutions at Stand E34, Hall 7 at #hm16 from April 25-29 https://t.co/uMRmh2mTJG #Industrie40 #HMI #IoT</t>
  </si>
  <si>
    <t>Infosys is a global leader in consulting, technology, outsourcing &amp; next-gen services. We enable clients in 50+ countries to stay a step ahead of competition.</t>
  </si>
  <si>
    <t>Nitin Kolwadkar</t>
  </si>
  <si>
    <t>RT @Infosys: Explore our #virtualreality based solutions at Stand E34, Hall 7 at #hm16 from April 25-29 https://t.co/uMRmh2mTJG #Industrie4…</t>
  </si>
  <si>
    <t>|| Nationalist || SAP Consultant ||NAMO Bhakt || BJP Supporter|| Motivator ||</t>
  </si>
  <si>
    <t>Philippa Oldham</t>
  </si>
  <si>
    <t>Is your #ukmfg business ready for #Industrie40? Willl it improve #productivity? See @IMechE &amp; @BDOManufacture survey https://t.co/IaICFiu2W8</t>
  </si>
  <si>
    <t>Chartered #engineer, Head of #Transport &amp; #Manufacturing @IMechE report &amp; policy statements inc. #ITS, #LCA, #SportsEngineering, #WomeninEng #ukmfg</t>
  </si>
  <si>
    <t>Bitkom: RT Bitkom_I40: Datenbrillen in der #Industrie40? Hannes Walter evolaris am Di., 26.04., 10h beim #BIF han… https://t.co/Kd2CO1GJB1</t>
  </si>
  <si>
    <t>Mohamed Anis</t>
  </si>
  <si>
    <t>"Explore our #virtualreality based solutions at Stand E34, Hall 7 at #hm16 from April 25-29 https://t.co/PYBx7QbgLT #Industrie40 #HMI #IoT"</t>
  </si>
  <si>
    <t>BDO Manufacturing</t>
  </si>
  <si>
    <t>RT @Philippa_IMechE: Is your #ukmfg business ready for #Industrie40? Willl it improve #productivity? See @IMechE &amp; @BDOManufacture survey h…</t>
  </si>
  <si>
    <t>BDO is the leading adviser to mid market manufacturing businesses. Expert insights and support for the sector.</t>
  </si>
  <si>
    <t>Hürden bei #Industrie40 Umsetzung: #Datenschutz #investments &amp; Fachkräftemangel . #Digitalisierung https://t.co/TODQ9XHO4H</t>
  </si>
  <si>
    <t>Ronald Schlager</t>
  </si>
  <si>
    <t>St. Poelten, Austria</t>
  </si>
  <si>
    <t>Helping you to understand and select communications solutions #voip #ucc #ipv6 #lan #wan #mobile a. services is my passion. Train, consult, write, blog</t>
  </si>
  <si>
    <t>Michael Linke</t>
  </si>
  <si>
    <t>Wie #BigData #smart wurde! #Industrie40 https://t.co/HQmSXMWT6G</t>
  </si>
  <si>
    <t>Consultant Public Sector Capgemini Deutschland GmbH | Xing: https://t.co/ueU735Eow7</t>
  </si>
  <si>
    <t>Bitkom: RT Bitkom_I40: Datenbrillen in der #Industrie40? Hannes Walter evolaris am Di., 26.04., 10h beim #BIF han… https://t.co/n7mDRcFJ9j</t>
  </si>
  <si>
    <t>Young Members</t>
  </si>
  <si>
    <t>UK &amp; Int'l Regions</t>
  </si>
  <si>
    <t>The official feed of the Institution of Mechanical Engineers Young Members (IMechE). We represent the interests of over 70,000 young members</t>
  </si>
  <si>
    <t>IETYoungProfessional</t>
  </si>
  <si>
    <t>Keeping you up to date with the latest news from the IET Young Professionals Community Committee</t>
  </si>
  <si>
    <t>Angelika Ostertag</t>
  </si>
  <si>
    <t>RT @LReehten: um die etablierte schlanke Fertigung ergänzen zu können, haben sich @JohnDeere &amp; IBM Forsch zusammengetan #industrie40 live…</t>
  </si>
  <si>
    <t>IBM Portfolio Market Manager South. Entries are my personal opinion</t>
  </si>
  <si>
    <t>Wir sind auf der #HM16 mit Projekten zu #Industrie40, der Zukunft der Arbeit &amp; vielen Prototypen. Übersicht: https://t.co/Ki1fOk9EbX</t>
  </si>
  <si>
    <t>brigitte zypries</t>
  </si>
  <si>
    <t>de/t900677 Wie optimieren Einzelfertiger ihre Wertschöpfung im Spannungsfeld von Industrie 4.0 un... https://t.co/l65okNvnUk #Industrie40</t>
  </si>
  <si>
    <t>SaNdEeP  ChAuDhArY</t>
  </si>
  <si>
    <t>Aligarh</t>
  </si>
  <si>
    <t>i choose growth &amp; challenges...</t>
  </si>
  <si>
    <t>Stefan Junge</t>
  </si>
  <si>
    <t>Die Flurförderzeuge sind intelligent geworden. #Industrie40 https://t.co/dduQjb2T3U</t>
  </si>
  <si>
    <t>Digital Marketing | Trends | Digital Transformation | Industry 4.0</t>
  </si>
  <si>
    <t>Stefan Pechardscheck</t>
  </si>
  <si>
    <t>USA und Deutschland sind bei Industrie 4.0 weltweit führend https://t.co/eMVg193yB1 @automotive_IT #Industrie40</t>
  </si>
  <si>
    <t>Partner @BE_DACH - Passionate about Digitalization, IT strategy &amp; governance, sourcing, running &amp; reading. Tweets = my opinion.</t>
  </si>
  <si>
    <t>Wie Sie auch den CFO Ihres Unternehmens als Unterstützer der #Industrie40 gewinnen können: https://t.co/OPL10jXTKK ^bas</t>
  </si>
  <si>
    <t>#Industrie40 hat dt. Fabriken erreicht, aber die Investitionen sind eher noch gering https://t.co/rZRV956AZS #IoT</t>
  </si>
  <si>
    <t>Jochen Frömming</t>
  </si>
  <si>
    <t>RT @stefan_junge: Die Flurförderzeuge sind intelligent geworden. #Industrie40 https://t.co/dduQjb2T3U</t>
  </si>
  <si>
    <t>Neunkirchen</t>
  </si>
  <si>
    <t>Meine Passion: Die Zusammenarbeit zwischen Kunden, Geschäftspartnern und SSI SCHÄFER Impressum http://t.co/kBxG1Y1nE1</t>
  </si>
  <si>
    <t>Chancen der #Industrie40 nutzen: Dr. Harald Schöning @SoftwareAG, Di.,26.04., 12:15h beim #BIF @hannover_messe #HM16 https://t.co/Z0ZftfBSRJ</t>
  </si>
  <si>
    <t>ExpertenDerIT</t>
  </si>
  <si>
    <t>Trends zu #Industrie40 und #IoT auf der @hannover_messe 2016 #hm16 https://t.co/QsMYh94tuk https://t.co/Jecm6XliEY</t>
  </si>
  <si>
    <t>Experten der IT ist der Auftritt von engagierten IT-Experten aus dem Bereich Cloud Computing, Storage-, Server- und Desktop-Virtualisierung.</t>
  </si>
  <si>
    <t>DatacenterExperten</t>
  </si>
  <si>
    <t>Trends zu #Industrie40 und #IoT auf der @hannover_messe 2016 #hm16 https://t.co/FlQqCmJ50f https://t.co/jVaqzyaNBo</t>
  </si>
  <si>
    <t>Kirchseeon</t>
  </si>
  <si>
    <t>Ehemals @StorageExperten. IT-Experten reden hier über alle Aspekte einer Rechenzentrumsinfrastruktur: Storage, Server, Netzwerk.</t>
  </si>
  <si>
    <t>IoTExperten</t>
  </si>
  <si>
    <t>Trends zu #Industrie40 und #IoT auf der @hannover_messe 2016 #hm16 https://t.co/X8p6wE0nrI https://t.co/mHkkfpnCbs</t>
  </si>
  <si>
    <t>Hier dreht sich alles um das Internet der Dinge und Industrie 4.0</t>
  </si>
  <si>
    <t>SecurityExperten</t>
  </si>
  <si>
    <t>Trends zu #Industrie40 und #IoT auf der @hannover_messe 2016 #hm16 https://t.co/lvDfir7D73 https://t.co/GXkg6Ge7qY</t>
  </si>
  <si>
    <t>MobilityExperten</t>
  </si>
  <si>
    <t>Trends zu #Industrie40 und #IoT auf der @hannover_messe 2016 #hm16 https://t.co/JAauirOxsr https://t.co/L9cbUpNevB</t>
  </si>
  <si>
    <t>ehemals @NetworkExperten</t>
  </si>
  <si>
    <t>CloudExperten</t>
  </si>
  <si>
    <t>Trends zu #Industrie40 und #IoT auf der @hannover_messe 2016 #hm16 https://t.co/5AqXTyJ8YU https://t.co/cCtkrkdcRn</t>
  </si>
  <si>
    <t>CloudExperten ist der Auftritt von einigen Experten aus dem Bereich Cloud Computing sowie Server-, Storage- und Destop-Virtualisierung.</t>
  </si>
  <si>
    <t>How we managed our own journey to The #ConnectedEnterprise? #Industrie40 #IIoT #HM16 https://t.co/69RkiOMU57 https://t.co/4GXiIXhYLz</t>
  </si>
  <si>
    <t>RT @Bitkom_I40: Chancen der #Industrie40 nutzen: Dr. Harald Schöning @SoftwareAG, Di.,26.04., 12:15h beim #BIF @hannover_messe #HM16 https:…</t>
  </si>
  <si>
    <t>Wissen + Konzepte</t>
  </si>
  <si>
    <t>#BAUMA2016: Riesenmaschinen für die Industrie 4.0. Wir waren vor Ort! https://t.co/iv62NsZa5k #Industrie40 https://t.co/dLRvZcmb4P</t>
  </si>
  <si>
    <t>Wissen + Konzepte – Kommunikation für Forschung, Technik und Medizin. Ein Unternehmensbereich der transQUER GmbH. Impressum: https://t.co/jnw7jp4wI0</t>
  </si>
  <si>
    <t>RT @wisskonzept: #BAUMA2016: Riesenmaschinen für die Industrie 4.0. Wir waren vor Ort! https://t.co/iv62NsZa5k #Industrie40 https://t.co/dL…</t>
  </si>
  <si>
    <t>RT @CloudExperten: Trends zu #Industrie40 und #IoT auf der @hannover_messe 2016 #hm16 https://t.co/5AqXTyJ8YU https://t.co/cCtkrkdcRn</t>
  </si>
  <si>
    <t>RT @MobilExperten: Trends zu #Industrie40 und #IoT auf der @hannover_messe 2016 #hm16 https://t.co/JAauirOxsr https://t.co/L9cbUpNevB</t>
  </si>
  <si>
    <t>Michael Kemme</t>
  </si>
  <si>
    <t>Modellfabriken für #Industrie40 - @BCG will Anwendungen im eigenen #Innovation-Center testen: https://t.co/lfSqmHJehz #Digitalisierung</t>
  </si>
  <si>
    <t>Kommunikationsprofi. Geschäftsführer bei @OSK_Germany. Fußballfan. Dauerläufer. Autofahrer. Rheinländer.</t>
  </si>
  <si>
    <t>Cyril Daloz</t>
  </si>
  <si>
    <t>RT @iObeya: Deploying #Industrie40 ? Have you ever thought about using @iObeya ? #Industry40 #DigitalTransformation #Innovation https://t.c…</t>
  </si>
  <si>
    <t>Île-de-France, France</t>
  </si>
  <si>
    <t>Entrepreneur. Fondateur et CEO de @KAP_IT et @iObeya. Papa de deux garçons.</t>
  </si>
  <si>
    <t>RT @SecExperten: Trends zu #Industrie40 und #IoT auf der @hannover_messe 2016 #hm16 https://t.co/lvDfir7D73 https://t.co/GXkg6Ge7qY</t>
  </si>
  <si>
    <t>Bitkom: RT Bitkom_I40: Chancen der #Industrie40 nutzen: Dr. Harald Schöning SoftwareAG, Di.,26.04., 12:15h beim #B… https://t.co/ysqc1FELwA</t>
  </si>
  <si>
    <t>Cumulocity</t>
  </si>
  <si>
    <t>@Cumulocity and @AsteaService transform Field Services Automation with #IoT #m2m #InternetOfThings #Industrie40 https://t.co/qjN4Rb3d80</t>
  </si>
  <si>
    <t>The Leading M2M / IoT Cloud Platform since 2010.</t>
  </si>
  <si>
    <t>The IMechE team</t>
  </si>
  <si>
    <t>We're the Institution of Mechanical Engineers (IMechE), and we're raising the profile of mechanical engineering.</t>
  </si>
  <si>
    <t>RT @Cumulocity: @Cumulocity and @AsteaService transform Field Services Automation with #IoT #m2m #InternetOfThings #Industrie40 https://t.…</t>
  </si>
  <si>
    <t>Astea International</t>
  </si>
  <si>
    <t>Astea International (NASDAQ: ATEA) is a global provider of software solutions that offer all the cornerstones of service lifecycle management</t>
  </si>
  <si>
    <t>antoine ⌨</t>
  </si>
  <si>
    <t>infosec, lolcats and stuff - zurich</t>
  </si>
  <si>
    <t>Bitkom: RT Bitkom_I40: Chancen der #Industrie40 nutzen: Dr. Harald Schöning SoftwareAG, Di.,26.04., 12:15h beim #B… https://t.co/uPp6JLM7Dd</t>
  </si>
  <si>
    <t>DIGITUS</t>
  </si>
  <si>
    <t>DIGITUS bringt #VernetzteProduktion #Industrie40 auf@hannover_messe: Initialzündung für #Industrie40 @fraunhoferiao :https://t.co/JCpw4F9gkD</t>
  </si>
  <si>
    <t>DIGITUS ist das Magazin für Digital Business. Neue Geschäftsmodelle. Technologien. Wirtschaft. DIGITUS ist Unternehmen 4.0. Industrie 4.0. Connected Life.</t>
  </si>
  <si>
    <t>FERCHAU Engineering</t>
  </si>
  <si>
    <t>HANNOVER MESSE 2016: Wir sind live vor Ort &amp; berichten rund um #Industrie40 &amp;amp; Co. #Technik #hm16 @hannover_messe</t>
  </si>
  <si>
    <t>Mit mehr als 6.600 Mitarbeitern in über 90 Niederlassungen und Standorten ist FERCHAU die erste Adresse für Engineering- &amp; IT-Projekte. https://t.co/ROZ0pVGnHT</t>
  </si>
  <si>
    <t>Diese Sensortechnologien sollen so eine direkte und sichere Interaktion von Menschen und Robotern... https://t.co/bigDIOZIJw #Industrie40</t>
  </si>
  <si>
    <t>Just do it! DIGITUS und @BoschSI Ansatz zur #Industrie40 noch VOR der @hannover_messe lesen: https://t.co/sekkKUjBwQ https://t.co/YRROipsXAy</t>
  </si>
  <si>
    <t>RT @DIGITUSmagazin: Just do it! DIGITUS und @BoschSI Ansatz zur #Industrie40 noch VOR der @hannover_messe lesen: https://t.co/sekkKUjBwQ ht…</t>
  </si>
  <si>
    <t>RT @H_IT_D: Diese Sensortechnologien sollen so eine direkte und sichere Interaktion von Menschen und Robotern... https://t.co/bigDIOZIJw #I…</t>
  </si>
  <si>
    <t>Connected Things</t>
  </si>
  <si>
    <t>Internet of every-thing - Cloud - The Nerdy Stuff</t>
  </si>
  <si>
    <t>RT @Konecranes_DE: #IoT Tech Expo in #Berlin, 13. - 14.06.2016: Referent von Konecranes wird einen Vortrag halten https://t.co/8gpcKCtoPf @…</t>
  </si>
  <si>
    <t>Thorsten Greiten</t>
  </si>
  <si>
    <t>Thorsten Greiten (41) is CEO at NetFederation and responsible for the sector digital financial communication. #digitalization #transformation</t>
  </si>
  <si>
    <t>Microcity Neuchâtel</t>
  </si>
  <si>
    <t>Neuchâtel Switzerland</t>
  </si>
  <si>
    <t>Pôle d'innovation neuchâtelois - Neuchatel Innovation Park - Top Swiss innovators are here -(En attendant le profil officiel...)</t>
  </si>
  <si>
    <t>"Implementing IIoT Communications | @ThingsExpo #IIoT #IoT #M2M #ML" https://t.co/Sm5vn4hOwo #technology #Industrie40</t>
  </si>
  <si>
    <t>Ralph Giebel</t>
  </si>
  <si>
    <t>Dieses stand ganz im Zeichen von Industrie 4.0 und der Bedeutung dieser vierten industriellen Rev... https://t.co/JxUSNedkAo #Industrie40</t>
  </si>
  <si>
    <t>RT @H_IT_D: Dieses stand ganz im Zeichen von Industrie 4.0 und der Bedeutung dieser vierten industriellen Rev... https://t.co/JxUSNedkAo #I…</t>
  </si>
  <si>
    <t>Nando Förster</t>
  </si>
  <si>
    <t>Attending #HM16? Learn how Telit is simplifying the path to #Industrie40 @IIConsortium booth. Hall 8, C24 https://t.co/hubesvufiy</t>
  </si>
  <si>
    <t>RT @TammoSchwindt: Experience Industry 4.0 NOW!!!with #bosch #rexroth #IIoT #Industrie40 https://t.co/wlboEBs4Un</t>
  </si>
  <si>
    <t>Thomas Konnopka</t>
  </si>
  <si>
    <t>Hückeswagen</t>
  </si>
  <si>
    <t>E-Health-Lösungen im Gesundheitsmanagement setzen neue Impulse für das BGM. Leistungsstarke Tools für Ihre Mitarbeiter.</t>
  </si>
  <si>
    <t>Carolin Becker</t>
  </si>
  <si>
    <t>Kommunikateurin, schwärmt für Technik und Wissenschaft, mag Hegel. Beruflich bei @FirstSensor, hier aber privat</t>
  </si>
  <si>
    <t>Torben Frederiksen</t>
  </si>
  <si>
    <t>Denmark</t>
  </si>
  <si>
    <t>Salgsingeniør Schaeffler</t>
  </si>
  <si>
    <t>Dr. KS</t>
  </si>
  <si>
    <t>4.0 Nachrichten</t>
  </si>
  <si>
    <t>Was bzw. wen möchtet ihr euch auf der HANNOVER MESSE 2016 gerne ansehen? #industrie40 #i40 #hannovermesse #HM16</t>
  </si>
  <si>
    <t>Nachrichten-Aggregator für die Industrie 4.0 // Facebook: http://t.co/Ta34D2Q8XF // #industrie40</t>
  </si>
  <si>
    <t>Meubles</t>
  </si>
  <si>
    <t>Naboo</t>
  </si>
  <si>
    <t>Reisjournalist</t>
  </si>
  <si>
    <t>Angelinux3000</t>
  </si>
  <si>
    <t>Mexico D.F.</t>
  </si>
  <si>
    <t>MexItalian Entrepreneur IT - RHEL Architect DevOps Linux - Learn Programming Language - AngularJS &amp; Polymer - Biker Rudito - #Pumas #HalaMadrid</t>
  </si>
  <si>
    <t>RT @HDSintGroup: "Der Maschinenbauer Trumpf will in 5 Jahren seine Werke vollständig digitalisiert haben" https://t.co/hL6abjppiH #HDS #ind…</t>
  </si>
  <si>
    <t>Manfred Neidel</t>
  </si>
  <si>
    <t>Sauerlach</t>
  </si>
  <si>
    <t>Digitalisierung. Interimsmanagement. IT. - Impressum: https://t.co/0cKqK7GEzU</t>
  </si>
  <si>
    <t>RT @deviceWISEM2M: Attending #HM16? Learn how Telit is simplifying the path to #Industrie40 @IIConsortium booth. Hall 8, C24 https://t.co/…</t>
  </si>
  <si>
    <t>Rudolf Schuler</t>
  </si>
  <si>
    <t>#Industrie40 / International : les industriels vont investir massivement - Le Moci https://t.co/hyMkL0GyCQ via @Le_MOCI</t>
  </si>
  <si>
    <t>100-mal schneller; bei 2 Prozent des ursprünglichen Stromverbrauches https://t.co/80GLPzvNHC #singularcomputing #Industrie40</t>
  </si>
  <si>
    <t>Daniel Kueng</t>
  </si>
  <si>
    <t>RT @SGE: .@danielkueng: Das Erfolgsrezept für #Industrie40: Daten, Talente, Innovationsfähigkeit und Partnerschaften #4IR</t>
  </si>
  <si>
    <t>Zurich and wherever it happens</t>
  </si>
  <si>
    <t>Global markets expert, innovation passionate and CEO at Switzerland Global Enterprise @SGE</t>
  </si>
  <si>
    <t>RT @SGE: .@danielkueng: Dank #Industrie40 können KMU agil auf Kundenbedürfnisse reagieren #awf16 https://t.co/kBMY2YVjsX https://t.co/w2Pp0…</t>
  </si>
  <si>
    <t>RT @SGE: #Industrie40 schafft neue Absatzchancen für KMU + wird unsere Wirtschaft vorantreiben, so @danielkueng #awf16</t>
  </si>
  <si>
    <t>Mick Langdale</t>
  </si>
  <si>
    <t>RT @ROKAutomationUK: How we managed our own journey to The #ConnectedEnterprise? #Industrie40 #IIoT #HM16 https://t.co/69RkiOMU57 https://t…</t>
  </si>
  <si>
    <t>Carlton In Lindrick</t>
  </si>
  <si>
    <t>I work for Rockwell Automation offering solutions to the Water Industry. I am the Account Manager for Yorkshire Northumbrian Scottish and UU Water Companies.</t>
  </si>
  <si>
    <t>Ralf Hasford</t>
  </si>
  <si>
    <t xml:space="preserve">10589 Berlin · Brahestraße 13 </t>
  </si>
  <si>
    <t>#hasford #businesskommunikation #berater #moderation #digitalbusiness #Produktentwicklung #Konfliktmanagment #IoT #Mittelstand40 #IoS #I40 #geschäftsmodelle</t>
  </si>
  <si>
    <t>Katrin Friehmelt</t>
  </si>
  <si>
    <t>RT @FERCHAU: HANNOVER MESSE 2016: Wir sind live vor Ort &amp; berichten rund um #Industrie40 &amp;amp; Co. #Technik #hm16 @hannover_messe</t>
  </si>
  <si>
    <t>Marketing Manager HANNOVER MESSE</t>
  </si>
  <si>
    <t>RT @tomweisz: 100-mal schneller; bei 2 Prozent des ursprünglichen Stromverbrauches https://t.co/80GLPzvNHC #singularcomputing #Industrie40</t>
  </si>
  <si>
    <t>LOSTnFOUND AG</t>
  </si>
  <si>
    <t>LOSTnFOUND specializes on intelligent solutions for the protection, monitoring and retrieval of mobile devices and systems helping to monitor people.</t>
  </si>
  <si>
    <t>#iot #IIoT #Industrie40 https://t.co/qOK77mcPuN</t>
  </si>
  <si>
    <t>RT @frankcausa: #iot #IIoT #Industrie40 https://t.co/qOK77mcPuN</t>
  </si>
  <si>
    <t>Norbert Keil</t>
  </si>
  <si>
    <t>Project-Manager @WassenhovenUG - I follow back - #XING-#Ambassador: https://t.co/fdYCmddcI3 #EnergyMngmt #DataCenter #IT #Marketing</t>
  </si>
  <si>
    <t>Sarah Stief</t>
  </si>
  <si>
    <t>#WING #Doktorand #Industrie40 #digitaletransformation #Bigdata #CPS #leadingdigital #businessdevelopment #IT #runner #KIT #BadenWuerttemberg</t>
  </si>
  <si>
    <t>RT @H_IT_D: Langsam wird’s konkret: Auf der diesjährigen Hannover Messe präsentieren zahlreiche Unternehmen L... https://t.co/r5G7zTRwTO #I…</t>
  </si>
  <si>
    <t>@ateidhoff Da haben wir mal eine Brücke zwischen #Industrie40 und dem Namen unseres LS #doch ichtaufdemholzweg #phd https://t.co/aJ5cQElylO</t>
  </si>
  <si>
    <t>RT @sarhapu: @ateidhoff Da haben wir mal eine Brücke zwischen #Industrie40 und dem Namen unseres LS #doch ichtaufdemholzweg #phd https://t.…</t>
  </si>
  <si>
    <t>Ohne #CloudComputing braucht man über #Industrie40 nicht nachdenken https://t.co/rmPn5AzueE - ist das auch sicher? https://t.co/KEJ1rshOrc</t>
  </si>
  <si>
    <t>Ludger Krusenbaum</t>
  </si>
  <si>
    <t>Philosoph</t>
  </si>
  <si>
    <t>RT @TLinn_Visionico: Ohne #CloudComputing braucht man über #Industrie40 nicht nachdenken https://t.co/rmPn5AzueE - ist das auch sicher? h…</t>
  </si>
  <si>
    <t>Im #MOOC40 geben #Experten aus Wirtschaft und Wissenschaft Tipps zur erfolgreichen Einführung von #Industrie40: https://t.co/6mQwXu1XlW</t>
  </si>
  <si>
    <t>RT @openHPI: Im #MOOC40 geben #Experten aus Wirtschaft und Wissenschaft Tipps zur erfolgreichen Einführung von #Industrie40: https://t.co/6…</t>
  </si>
  <si>
    <t>#Industrie40 hat die Fabriken erreicht @COMPUTERWOCHE https://t.co/GvHqJJY3Ep https://t.co/7R4yvAsFcm</t>
  </si>
  <si>
    <t>RT @Frank_Reinelt: #Industrie40 hat die Fabriken erreicht @COMPUTERWOCHE https://t.co/GvHqJJY3Ep https://t.co/7R4yvAsFcm</t>
  </si>
  <si>
    <t>Andreas Petrongari</t>
  </si>
  <si>
    <t>SVP IT at SMARTRAC TECHNOLOGY, passionate about Digitalization, Internet-of-Things and Industry4.0. This is my personal account, views expressed are mine.</t>
  </si>
  <si>
    <t>#Digitalisierung &amp; #Industrie40 gehört zusammen! #Visionico meint: https://t.co/A2or8NnSx6 #BigData #IoT #ERP https://t.co/ba3SaMYYZw</t>
  </si>
  <si>
    <t>75 Prozent aller Industrieunternehmen sagen, dass hohe Investitionskosten den Einsatz von Industr... https://t.co/ABXvlcaVGA #Industrie40</t>
  </si>
  <si>
    <t>RT @TLinn_Visionico: #Digitalisierung &amp; #Industrie40 gehört zusammen! #Visionico meint: https://t.co/A2or8NnSx6 #BigData #IoT #ERP https:…</t>
  </si>
  <si>
    <t>RT @H_IT_D: 75 Prozent aller Industrieunternehmen sagen, dass hohe Investitionskosten den Einsatz von Industr... https://t.co/ABXvlcaVGA #I…</t>
  </si>
  <si>
    <t>Rethink Robotics</t>
  </si>
  <si>
    <t>Sawyer #Robot to Make Inaugural Appearance in Germany at @Hannover_Messe https://t.co/o7xSHvmRQw #HM16 #Industrie40 https://t.co/bJmZKHwAdQ</t>
  </si>
  <si>
    <t>Founded by Chairman &amp; CTO @rodneyabrooks, #Boston based Rethink Robotics developed Baxter, the world’s first #Robot w/Common Sense for manufacturing + research.</t>
  </si>
  <si>
    <t>John Rivers</t>
  </si>
  <si>
    <t>RT @RethinkRobotics: Sawyer #Robot to Make Inaugural Appearance in Germany at @Hannover_Messe https://t.co/o7xSHvmRQw #HM16 #Industrie40 ht…</t>
  </si>
  <si>
    <t>Decolonizing yoga. Trans-black and proud. Free speech activist. Hotep Brotha.</t>
  </si>
  <si>
    <t>Tim Reichardt</t>
  </si>
  <si>
    <t>Ludwigsburg, Germany</t>
  </si>
  <si>
    <t>My interests lay in astronomy and spaceflight. Go to school and work hard.</t>
  </si>
  <si>
    <t>Patricia Panchak</t>
  </si>
  <si>
    <t>Cleveland, Ohio</t>
  </si>
  <si>
    <t>Editor-in-Chief, IndustryWeek, covering world-class manufacturing trends, strategies, best practices &amp; policy issues that impact manufacturing competitiveness.</t>
  </si>
  <si>
    <t>In diese Übersicht fließen Meldungen von Unternehmen ein, die jeweils mehr als 100 Stellen abbaue... https://t.co/A4KTef3kjv #Industrie40</t>
  </si>
  <si>
    <t>RT @H_IT_D: In diese Übersicht fließen Meldungen von Unternehmen ein, die jeweils mehr als 100 Stellen abbaue... https://t.co/A4KTef3kjv #I…</t>
  </si>
  <si>
    <t>Stefan Döring</t>
  </si>
  <si>
    <t>#Recruiting #EmployerBranding #SocialMedia #Personalmarketing #ServiceHR I Personaler auf Jobsuche, Autor, Redner, Berater I Admin @eogov_muc I Privat-Account</t>
  </si>
  <si>
    <t>GermanBirdy</t>
  </si>
  <si>
    <t>RT @VDMAonline: Berufsbilder für #Industrie40 #Metall #Elektroindustrie https://t.co/vpFlj0O5p8 @MEArbeitgeber @IGMetall @ZVEIorg https://t…</t>
  </si>
  <si>
    <t>Neeraj Deuskar</t>
  </si>
  <si>
    <t>@Infosys excited for #Industrie40 solutions #IoT @rajesh266</t>
  </si>
  <si>
    <t>Look forward to #industrie40 and #IoT solutions from @Infosys @rajesh266 https://t.co/tlHW1JYd70</t>
  </si>
  <si>
    <t>@Infosys @SudipSingh1 speaks on #Industrie40 topic</t>
  </si>
  <si>
    <t>Valentina Puksic</t>
  </si>
  <si>
    <t>Sindelfingen</t>
  </si>
  <si>
    <t>Managerin Marketing &amp; Recruiting @logicline amante del idioma, de la cultura y de la gente espanol/a, language-lover, creativity is the way to express yourself</t>
  </si>
  <si>
    <t>Oliver Santen</t>
  </si>
  <si>
    <t>#Siemens CEO Joe Kaeser about the impact of #digitalization #Industrie40 https://t.co/7zsBG6alYG</t>
  </si>
  <si>
    <t>Berlin + Munich</t>
  </si>
  <si>
    <t>berlin &amp; nyc lover | ex-journalist @BILD | head of pr @Siemens_press | views are my own</t>
  </si>
  <si>
    <t>Seite heute #live!! Unsere #Industrie40 #smartfactory Seite: https://t.co/6HyTaSeNcY #HM16 #future https://t.co/9oL3pfumXF</t>
  </si>
  <si>
    <t>mit konkreten Beispielen, was #Industrie40 leisten kann und soll #robotics #digitaltransformation https://t.co/9hhsjB7PtI</t>
  </si>
  <si>
    <t>Swissmem</t>
  </si>
  <si>
    <t>Schöne Spielerei. Wo die CH Industrie bzgl. #Industrie40 steht, zeigt der Industrietag https://t.co/Wm5tt34Mxe ^iz https://t.co/FR3weVIglK</t>
  </si>
  <si>
    <t>Werk- und Denkplatz Schweiz</t>
  </si>
  <si>
    <t>Verband der Schweizer Maschinen-, Elektro- und Metall-Industrie (MEM-Industrie). Es twittern @IvoZimmermann ^iz, @d_zygmont ^dz und Corinne Stucki ^cs.</t>
  </si>
  <si>
    <t>Victor Reichardt</t>
  </si>
  <si>
    <t>RT @osanten: #Siemens CEO Joe Kaeser about the impact of #digitalization #Industrie40 https://t.co/7zsBG6alYG</t>
  </si>
  <si>
    <t>Europe–Germany–Berlin</t>
  </si>
  <si>
    <t>Journalist bei @Bild_Berlin und @Bzberlin, Ex-@BILD_Politik. Schreibt über alles, was die Hauptstadtregion bewegt! RT+FAV≠endorsement</t>
  </si>
  <si>
    <t>Oliver Opitz</t>
  </si>
  <si>
    <t>#Industrie40 @hannover_messe Join INNOposium in September 2016 https://t.co/mqwro0ao1R @we_online @TXInstruments https://t.co/bFKAMPBIht</t>
  </si>
  <si>
    <t>RT @SEWEURODRIVE: Seite heute #live!! Unsere #Industrie40 #smartfactory Seite: https://t.co/6HyTaSeNcY #HM16 #future https://t.co/9oL3pfumXF</t>
  </si>
  <si>
    <t>RT @swissmem: Schöne Spielerei. Wo die CH Industrie bzgl. #Industrie40 steht, zeigt der Industrietag https://t.co/Wm5tt34Mxe ^iz https://t.…</t>
  </si>
  <si>
    <t>RT @foresight_lab: mit konkreten Beispielen, was #Industrie40 leisten kann und soll #robotics #digitaltransformation https://t.co/9hhsjB7P…</t>
  </si>
  <si>
    <t>Würth Elektronik</t>
  </si>
  <si>
    <t>RT @OpitzOliver: #Industrie40 @hannover_messe Join INNOposium in September 2016 https://t.co/mqwro0ao1R @we_online @TXInstruments https://t…</t>
  </si>
  <si>
    <t>Niedernhall, Germany</t>
  </si>
  <si>
    <t>With a range of products from circuit boards, intelligent systems to electronic &amp; electromechanical components we are right at home in many growth markets.</t>
  </si>
  <si>
    <t>Axel Höpner</t>
  </si>
  <si>
    <t>"Die menschenlose Fabrik wird es nicht geben." Großes Interview zu #Industrie40 heute im #handelsblatt #HMI2016 https://t.co/c4A78BxYZo</t>
  </si>
  <si>
    <t>Unterbrunn</t>
  </si>
  <si>
    <t>Büroleiter bei @handelsblatt München. Vorsitz Club Wirtschaftspresse München. Ich twittere über Siemens &amp; Co, gute Bücher, Bayern. private Meinung.</t>
  </si>
  <si>
    <t>Deutsche Industrie startet Normungsinitiative für #Industrie40: „Standardization Council Industrie 4.0“ #iiot #hm16 https://t.co/qoRAzfcD1Z</t>
  </si>
  <si>
    <t>RT @MarioReinsch: Deutsche Industrie startet Normungsinitiative für #Industrie40: „Standardization Council Industrie 4.0“ #iiot #hm16 https…</t>
  </si>
  <si>
    <t>RT @AxHoepner: "Die menschenlose Fabrik wird es nicht geben." Großes Interview zu #Industrie40 heute im #handelsblatt #HMI2016 https://t.co…</t>
  </si>
  <si>
    <t>Kaiser Management</t>
  </si>
  <si>
    <t>#Telekom gibt bei der Digitalen #Transformation den Ton an https://t.co/3jL1t0vo2Q #Digitalisierung #Industrie40</t>
  </si>
  <si>
    <t>Sie finden in mir einen leidenschaftlichen #Projektmanager und Berater mit dem Schwerpunkt #ITSourcing, #Projektmanagement und #Risikomanagement.</t>
  </si>
  <si>
    <t>GYS France</t>
  </si>
  <si>
    <t>Témoignage @SASGYS sur #IndustrieduFutur pour #RdvDeLaMécanique organisé par @CetimFrance. #FrenchTech, #Industrie40 https://t.co/2pkWuMeOZF</t>
  </si>
  <si>
    <t>Laval, France</t>
  </si>
  <si>
    <t>GYS is a family-owned industrial group that manufactures Arc Welding Equipment, Collision Repair Equipment &amp; Battery Support Equipment.</t>
  </si>
  <si>
    <t>bearlytech</t>
  </si>
  <si>
    <t>RT @SASGYS: Témoignage @SASGYS sur #IndustrieduFutur pour #RdvDeLaMécanique organisé par @CetimFrance. #FrenchTech, #Industrie40 https://t.…</t>
  </si>
  <si>
    <t>crossbotload</t>
  </si>
  <si>
    <t>Our philosophy Be Early Adopter technology!! #startuplover #iot #betech #frenchtech #growthacking #smartcity Powered by @crossnode_io</t>
  </si>
  <si>
    <t>Bruno Bouygues</t>
  </si>
  <si>
    <t>FRANCE</t>
  </si>
  <si>
    <t>CEO @SASGYS (https://t.co/Zx8h6x2ICn) // @CNCCEF &amp; @YPO. Interests include Manufacturing, International Markets, Internet of Things &amp; Digital Transformation.</t>
  </si>
  <si>
    <t>Stephen Rose</t>
  </si>
  <si>
    <t>My tweets are my own and this is a private account.I'm a German Brit, father, husband, cook, 1860 &amp; Villa fan and of course: Communications Manager at Siemens.</t>
  </si>
  <si>
    <t>almost ready for #HM16 - come vist https://t.co/rBqyy4cSXO #Industrie40 https://t.co/HXCPtSANeV</t>
  </si>
  <si>
    <t>Frank Leibiger</t>
  </si>
  <si>
    <t>Pressesprecher Telekom: Cyber Security, Cloud Computing</t>
  </si>
  <si>
    <t>Stand bei #HM16 im Aufbau. Wir freuen uns auf ihren Besuch Halle 8 come visit #Industrie40 https://t.co/rBqyy4cSXO https://t.co/IANE6nFblS</t>
  </si>
  <si>
    <t>RT @LNI40: Stand bei #HM16 im Aufbau. Wir freuen uns auf ihren Besuch Halle 8 come visit #Industrie40 https://t.co/rBqyy4cSXO https://t.co…</t>
  </si>
  <si>
    <t>#Robotik als Treiber der Prozesseffizienz in der #Industrie40 https://t.co/Z3l1gsHv6P #IoT ^bas</t>
  </si>
  <si>
    <t>časopis Automa</t>
  </si>
  <si>
    <t>Bezobslužná továrna podle konceptu #Industrie40 SmartFactoryKL na #HM16. Ukázka denně v 10, 12 a 14 h v hale 8, stánek D20.</t>
  </si>
  <si>
    <t>Praha</t>
  </si>
  <si>
    <t>Odborný časopis pro měřicí, regulační a automatizační techniku a průmyslovou informatiku. Czech trade magazine for control technology. Editor: @PetrBartosik</t>
  </si>
  <si>
    <t>RT @CapgeminiDE: #Robotik als Treiber der Prozesseffizienz in der #Industrie40 https://t.co/Z3l1gsHv6P #IoT ^bas</t>
  </si>
  <si>
    <t>xethix</t>
  </si>
  <si>
    <t>information &amp; discussion about ethics and how the internet is changing society</t>
  </si>
  <si>
    <t>.@IDC #Manufacturing Insights-Les meilleurs MES 2016... https://t.co/0bWlUDoE6b @IDCFrance #SAPfr #industrie40 https://t.co/dFixNQrD8X</t>
  </si>
  <si>
    <t>Mit den schlanken Stechdrehwerkzeugen VG-CUT von Vargus lassen sich alle für ein Gewinde erforder... https://t.co/TIBm2N8wYz #Industrie40</t>
  </si>
  <si>
    <t>#Industrie40: #USA und #Deutschland sind Weltmeister https://t.co/6Yu3rbrVRe #automotiveIT</t>
  </si>
  <si>
    <t>#Industrie40 ganz einfach erklärt! Besuchen Sie unser #Special zum Thema #Smartfactory https://t.co/gPi3FMB1BS #HM16 https://t.co/uEMtwNFWAd</t>
  </si>
  <si>
    <t>Vlada</t>
  </si>
  <si>
    <t>RT @Casopis_Automa: Bezobslužná továrna podle konceptu #Industrie40 SmartFactoryKL na #HM16. Ukázka denně v 10, 12 a 14 h v hale 8, stánek…</t>
  </si>
  <si>
    <t>Prague, CZ</t>
  </si>
  <si>
    <t>Some inspiration posts and retweets from everyone. Creativity, inspiration and freedom supported :-) CZ/EN posts</t>
  </si>
  <si>
    <t>Guido Göldenitz</t>
  </si>
  <si>
    <t>RT @automotive_IT: #Industrie40: #USA und #Deutschland sind Weltmeister https://t.co/6Yu3rbrVRe #automotiveIT</t>
  </si>
  <si>
    <t>Fachmedien und Kongresse @automotive_IT @carIT_magazin business impact</t>
  </si>
  <si>
    <t>sandimschuh</t>
  </si>
  <si>
    <t>Tübingen, Baden-Württemberg</t>
  </si>
  <si>
    <t>A Cross-Domain Topic Channel about Software Development, Life Science, Big Data, Growth Hacking, Marketing, IoT... Tweeted by a Dancer, Traveller and Shutterbug</t>
  </si>
  <si>
    <t>Warum Skalierbarkeit immens wichtig für #Industrie40 ist? https://t.co/zxOsvxkzrj @DIHK_News #IoT #Digitalisierung</t>
  </si>
  <si>
    <t>RT @tobias_goers: Warum Skalierbarkeit immens wichtig für #Industrie40 ist? https://t.co/zxOsvxkzrj @DIHK_News #IoT #Digitalisierung</t>
  </si>
  <si>
    <t>Bechtle AG</t>
  </si>
  <si>
    <t>#Industrie40: USA und Deutschland laut @Bitkom-Umfrage führend. https://t.co/uKgJYI9TNd #digitalisierung</t>
  </si>
  <si>
    <t>Neckarsulm</t>
  </si>
  <si>
    <t>Bechtle ist Ihr starker IT-Partner. Mit 66 IT-Systemhäusern und IT-E-Commerce in 14 europäischen Ländern. Impressum: https://t.co/Ym0MvNXMu7</t>
  </si>
  <si>
    <t>Webducation</t>
  </si>
  <si>
    <t>RT @mbesch: Allensbach-Umfrage: #Industrie40 und #Digitalisierung bei Deutschen negativ besetzt https://t.co/uHUt6RAQiN via @HolgerSchmidt</t>
  </si>
  <si>
    <t>Jetzt online: #Industrie40 Konferenz-Programm zur #IT2I16: Themen &amp; Sprecher 21-24 Jun https://t.co/Cuo6JBqDOH #IIoT https://t.co/44YvVthIok</t>
  </si>
  <si>
    <t>RT @IT2Industry: Jetzt online: #Industrie40 Konferenz-Programm zur #IT2I16: Themen &amp; Sprecher 21-24 Jun https://t.co/Cuo6JBqDOH #IIoT https…</t>
  </si>
  <si>
    <t>#Forschung zu #Industrie40 und #Digitalisierung zusammen mit @ateidhoff https://t.co/byPYbxuqGJ #digitaltransformation in firms #digitalage</t>
  </si>
  <si>
    <t>Wer kommt auch auf die #HMI16? #FreudenbergITde ist dabei und macht die spannendsten #Industrie40-Szenarien greifbar https://t.co/iTXcwGNMt9</t>
  </si>
  <si>
    <t>RT @FreudenbergITde: Wer kommt auch auf die #HMI16? #FreudenbergITde ist dabei und macht die spannendsten #Industrie40-Szenarien greifbar h…</t>
  </si>
  <si>
    <t>RT @sarhapu: #Forschung zu #Industrie40 und #Digitalisierung zusammen mit @ateidhoff https://t.co/byPYbxuqGJ #digitaltransformation in firm…</t>
  </si>
  <si>
    <t>RT @SGE: #Industrie40: Mann muss nicht alles auf einmal umsetzen. Die Erfolgsfaktoren für KMU @PwC_Switzerland #awf16 https://t.co/7WL8pzR…</t>
  </si>
  <si>
    <t>Was sind Cyber-Physical-Systems? Die Anwort finden Sie hier: https://t.co/x7Aj6Kji7D #HM16 @induux_de #industrie40 https://t.co/kYfU2tMyGi</t>
  </si>
  <si>
    <t>APuZ</t>
  </si>
  <si>
    <t>Druckfreigabe für "Arbeit und Digitalisierung" - erscheint am 2. Mai #arbeit40 #Industrie40</t>
  </si>
  <si>
    <t>Hier twittert die Redaktion von Aus Politik und Zeitgeschichte, Zeitschrift der Bundeszentrale für politische Bildung.</t>
  </si>
  <si>
    <t>RT @SEWEURODRIVE: Was sind Cyber-Physical-Systems? Die Anwort finden Sie hier: https://t.co/x7Aj6Kji7D #HM16 @induux_de #industrie40 https:…</t>
  </si>
  <si>
    <t>Pascal Geißler</t>
  </si>
  <si>
    <t>RT @APuZ_bpb: Druckfreigabe für "Arbeit und Digitalisierung" - erscheint am 2. Mai #arbeit40 #Industrie40</t>
  </si>
  <si>
    <t>Ich denke manchmal laut. Und manchmal schreibe ich es auf. Dann kann man es hier lesen. Im Herzen Soziologe #science #politics #soccer</t>
  </si>
  <si>
    <t>Harald Wolf</t>
  </si>
  <si>
    <t>Göttingen</t>
  </si>
  <si>
    <t>Soziologe am Soziologischen Forschungsinstitut in Göttingen, interessiert an Arbeit, Gesellschaft, Psyche and all that</t>
  </si>
  <si>
    <t>RT @foresight_lab: Zum Stand von #Industrie40 -Projekten in D: eine informative &amp; interaktive Map #innovation https://t.co/rC5eTpSZ7C https…</t>
  </si>
  <si>
    <t>RT @bechtle_ag: #Industrie40: USA und Deutschland laut @Bitkom-Umfrage führend. https://t.co/uKgJYI9TNd #digitalisierung</t>
  </si>
  <si>
    <t>VDI-Umfrage: Schwach aufgestellt für die digitale Transformation #I40 #Industrie40 https://t.co/M6owjiXIyc via @COMPUTERWOCHE</t>
  </si>
  <si>
    <t>Gartner identifies the top 10 Internet of Things technologies for 2017 &amp; 2018 https://t.co/wMbwmxfgOk #IoT #Industrie40</t>
  </si>
  <si>
    <t>Rajesh Kavathekar</t>
  </si>
  <si>
    <t>RT @neerajdeuskar79: Look forward to #industrie40 and #IoT solutions from @Infosys @rajesh266 https://t.co/tlHW1JYd70</t>
  </si>
  <si>
    <t>Harrow, United Kingdom</t>
  </si>
  <si>
    <t>Voracious reader, father of a pre-teen son, an Engineer by education &amp; profession, Internet &amp; music junkie, sports &amp; movie fan - all rolled into one! You?</t>
  </si>
  <si>
    <t>Digitalisierung im Zeichen von #Industrie40 https://t.co/jlFSeOzLyO #Mehrwert durch #Software https://t.co/fgc00MTM0v</t>
  </si>
  <si>
    <t>Covering 3,500 m2, our @Siemens booth in hall 9 is the largest single booth at #HM16. https://t.co/xYy0JS5ZMY #siemensstats #Industrie40 /sh</t>
  </si>
  <si>
    <t>Meine Tipp: Das White Paper zum Thema #Industrie40 von @SEWEURODRIVE jetzt #gratis bestellen https://t.co/WtRz1eDFC3 https://t.co/wqvY9npAMy</t>
  </si>
  <si>
    <t>RT @VDMAonline: Digitalisierung im Zeichen von #Industrie40 https://t.co/jlFSeOzLyO #Mehrwert durch #Software https://t.co/fgc00MTM0v</t>
  </si>
  <si>
    <t>#Digitalisierung #Industrie40 @Netzoekonom @tobias_goers D wieder skeptisch-gesunde Vorsicht oder verpasste Chance? https://t.co/GsOzcEKX7b</t>
  </si>
  <si>
    <t>RT @Martina_Palm: VDI-Umfrage: Schwach aufgestellt für die digitale Transformation #I40 #Industrie40 https://t.co/M6owjiXIyc via @COMPUTERW…</t>
  </si>
  <si>
    <t>Erfüllt Ihr Unternehmen bereits die notwendigen Voraussetzungen für die #Industrie40? https://t.co/DjtwnwG6cD ^bas https://t.co/IVB43yTG8P</t>
  </si>
  <si>
    <t>Ab Montag ist #VDE auf #hm16 Halle 13 Stand C 20. Alle Infos hier: https://t.co/HUW5jqvMM9 #Industrie40 #IoT #lnp16 https://t.co/peFIKoIDrN</t>
  </si>
  <si>
    <t>Walter Sattlberger</t>
  </si>
  <si>
    <t>RT @siemens_press: Covering 3,500 m2, our @Siemens booth in hall 9 is the largest single booth at #HM16. https://t.co/xYy0JS5ZMY #siemensst…</t>
  </si>
  <si>
    <t>Spokesman @Siemens_Austria. Views are my own.</t>
  </si>
  <si>
    <t>@KUKA_RoboticsDE @KUKA_Systems we look forward to having DR. CHRISTIAN SCHLÖGEL (CTO) at our panel on #industrie40! #hm16 @hannover_messe</t>
  </si>
  <si>
    <t>#Industrie40 ist mehr als Verschmelzung von IT und Produktionsanlagen. Sie verwandelt Struktur u Kultur v. Firmen. https://t.co/n73ps0c31H</t>
  </si>
  <si>
    <t>#Industrie40 ist mehr als Verschmelzung von IT und Produktionsanlagen. Sie verwandelt Struktur u Kultur v. Firmen. https://t.co/CJbRjxv5t3</t>
  </si>
  <si>
    <t>VOICE e.V.</t>
  </si>
  <si>
    <t>#Industrie40 ist mehr als Verschmelzung von IT und Produktionsanlagen. Sie verwandelt Struktur u Kultur v. Firmen. https://t.co/NjUMC1n4ik</t>
  </si>
  <si>
    <t>Berlin/München</t>
  </si>
  <si>
    <t>VOICE ist das Netzwerk und Forum für den fachlichen Austausch der IT-Anwender und vertritt als Bundesverband die Interessen seiner Mitglieder.</t>
  </si>
  <si>
    <t>Rainer Reitz</t>
  </si>
  <si>
    <t>Die vernetzte Fabrik - ein Jobmotor: https://t.co/kAgfQxwqAX via @View85 @VDE_Group @wboermann #industrie40 #hm16</t>
  </si>
  <si>
    <t>Germany, Frankfurt</t>
  </si>
  <si>
    <t>Manager #OnlineMarketing @VDEpresse #SocialMedia #Electronics #ContentMarketing #Digital #TechWriter #Gadgets #nonprofit #HighTech #Kaizen #finance #CoolTools</t>
  </si>
  <si>
    <t>RT @VDE_Group: Ab Montag ist #VDE auf #hm16 Halle 13 Stand C 20. Alle Infos hier: https://t.co/HUW5jqvMM9 #Industrie40 #IoT #lnp16 https://…</t>
  </si>
  <si>
    <t>Smarte Sensortags bringen #Motoren in die #Industrie40-Welt @abbdeutschland #hm16 #20ABB16 https://t.co/45GipvAzFm https://t.co/KFVUEk9bzR</t>
  </si>
  <si>
    <t>Verena Gründel</t>
  </si>
  <si>
    <t>RT @rreitz1: Die vernetzte Fabrik - ein Jobmotor: https://t.co/kAgfQxwqAX via @View85 @VDE_Group @wboermann #industrie40 #hm16</t>
  </si>
  <si>
    <t>Für @iBusiness_de schreibe ich über alle Online- und Digitalthemen. Außerdem twittere ich zu Marketing, Werbung, Wirtschaft, Gender-Themen, Food &amp; Fitness.</t>
  </si>
  <si>
    <t>Auch zu sehen auf unserem Stand auf der #HM16: Anwendungen für #Industrie40. https://t.co/FP256olHfy</t>
  </si>
  <si>
    <t>Sabine Gillessen</t>
  </si>
  <si>
    <t>Europäerin zwischen den Meeren, Feministin überall, Genusssüchtig sowieso, Bloggerin</t>
  </si>
  <si>
    <t>RT @Fraunhofer_IPA: Auch zu sehen auf unserem Stand auf der #HM16: Anwendungen für #Industrie40. https://t.co/FP256olHfy</t>
  </si>
  <si>
    <t>FortisPR</t>
  </si>
  <si>
    <t>PR agency with focus on technology, consumer electronics and lifestyle. Find out who we are.</t>
  </si>
  <si>
    <t>#Industrie40: #Roboter revolutionieren den deutschen #Mittelstand https://t.co/EdqtahSQQH #Automation #Digitalisierung #IoT #Tech</t>
  </si>
  <si>
    <t>Studie: Wir fragten 345 Unternehmen, was Mitarbeiter für #Industrie40 können müssen https://t.co/GHhEceKNxY #Jobs https://t.co/qUSPMxC4Mm</t>
  </si>
  <si>
    <t>Sie leisten sich noch einen überbezahlten unzuverlässigen Vorstand? Warum setzen sie nicht einfach unseren Vorstands-Bot ein? #Industrie40</t>
  </si>
  <si>
    <t>Den Vorstands-Bot gibt's auch mit der Option "Strategie", für bessere strategische Entscheidungen. #Industrie40</t>
  </si>
  <si>
    <t>Weiterhin vertreiben wir Bots für alle Hierarchiestufen: Bereichsleiter-Bot, Abteilungsleiter-Bot und auch einen Teamleiter-Bot.#Industrie40</t>
  </si>
  <si>
    <t>Marktbeobachtung</t>
  </si>
  <si>
    <t>Credit Suisse CH</t>
  </si>
  <si>
    <t>Chancen und Risiken der #Industrie40: https://t.co/X5vPlayTOU #SmartManufactoring #InternetderDinge #BigData</t>
  </si>
  <si>
    <t>Der offizielle Twitter-Kanal der Credit Suisse für den Heimmarkt Schweiz. Folgt uns auch auf @creditsuisse, @csapac, @csresearch und @CareersatCS</t>
  </si>
  <si>
    <t>#Trendreport: Sind #IIoT und #Industrie40 schon zu spüren? https://t.co/VeL1phFLt0</t>
  </si>
  <si>
    <t>Machen sie bei der Automatisierung nicht halt vor der Führungsriege! Unsere Bots können es locker mit jedem Chef aufnehmen! #Industrie40</t>
  </si>
  <si>
    <t>RT @heidelbergmobil: #Trendreport: Sind #IIoT und #Industrie40 schon zu spüren? https://t.co/VeL1phFLt0</t>
  </si>
  <si>
    <t>#Industrie40 und #Logistik: Wenn die Fracht dem Frachter Vertrauliches erzählt https://t.co/9QIWTZuxsj via @golem</t>
  </si>
  <si>
    <t>Fachmagazin LOGISTRA</t>
  </si>
  <si>
    <t>LOGISTRA - das Praxismagazin für Nfz-Fuhrpark und Lagerlogistik</t>
  </si>
  <si>
    <t>Tanit Koch</t>
  </si>
  <si>
    <t>Editor in Chief, BILD</t>
  </si>
  <si>
    <t>RT @csschweiz: Chancen und Risiken der #Industrie40: https://t.co/X5vPlayTOU #SmartManufactoring #InternetderDinge #BigData</t>
  </si>
  <si>
    <t>" #Industrie40 ist unser Leitbild für die Produktion der Zukunft" Zitat @RolandBent Das zeigen wir auf #HM16 #PhoenixContact</t>
  </si>
  <si>
    <t>Niklas Bent</t>
  </si>
  <si>
    <t>RT @Angela_Josephs: " #Industrie40 ist unser Leitbild für die Produktion der Zukunft" Zitat @RolandBent Das zeigen wir auf #HM16 #PhoenixCo…</t>
  </si>
  <si>
    <t>This is the official account of Niklas Bent - #SocialMedia Manager at #PhoenixContact. #digitalpioneer</t>
  </si>
  <si>
    <t>Der Weg zur #Industrie40 von 1970 bis heute. Mehr auf unserer #smartfactory Seite: https://t.co/D4tTMg3lqM #HM16 https://t.co/m0jKTRUitZ</t>
  </si>
  <si>
    <t>Heike Steinmetz</t>
  </si>
  <si>
    <t>RT @catkinEU: #Industrie40 und #Logistik: Wenn die Fracht dem Frachter Vertrauliches erzählt https://t.co/9QIWTZuxsj via @golem</t>
  </si>
  <si>
    <t>PR-Beraterin mit einem Faible für Logistik</t>
  </si>
  <si>
    <t>Heute in #FAZ, S. 21: „#Datenschutz muss besser werden“ #Digitalisierung #Industrie40 @FAZ_Wirtschaft https://t.co/z0Jy7k0AZn</t>
  </si>
  <si>
    <t>RT @SEWEURODRIVE: Der Weg zur #Industrie40 von 1970 bis heute. Mehr auf unserer #smartfactory Seite: https://t.co/D4tTMg3lqM #HM16 https://…</t>
  </si>
  <si>
    <t>Tobias Wendehost</t>
  </si>
  <si>
    <t>Digitalisierung vor dem Durchbruch? #Siemens auf der Hannover Messe https://t.co/zAxJsZFCmw via @wiwo #Industrie40 #HannoverMesse</t>
  </si>
  <si>
    <t>Tobias Wendehost (auch privat) von @TechTargetDE. Themen: #Software, #Storage, #Netzwerk, #Security und #DataCenter.</t>
  </si>
  <si>
    <t>TechTargetDE</t>
  </si>
  <si>
    <t>Digitalisierung vor dem Durchbruch? #Siemens auf der Hannover Messe https://t.co/FpOnm0IRid via @wiwo #Industrie40 #HannoverMesse</t>
  </si>
  <si>
    <t>Tweets der 5 deutschen TechTarget-Seiten. Hier finden Sie aktuelle News,Tipps und Beratung von IT-Experten. #DataCenter #Netzwerk #ITSecurity #Storage #EntSoft</t>
  </si>
  <si>
    <t>sEnterpriseSoftware</t>
  </si>
  <si>
    <t>Digitalisierung vor dem Durchbruch? #Siemens auf der Hannover Messe https://t.co/GOhjIakyK9 via @wiwo #Industrie40 #HannoverMesse</t>
  </si>
  <si>
    <t>Tweets von SearchEnterpriseSoftware.de zu den Themen #BusinessIntelligence, #BigData, #Hadoop, #CRM, #ERP, #SAP und #Softwareentwicklung.</t>
  </si>
  <si>
    <t>RT @tubezweinull: Digitalisierung vor dem Durchbruch? #Siemens auf der Hannover Messe https://t.co/zAxJsZFCmw via @wiwo #Industrie40 #Hann…</t>
  </si>
  <si>
    <t>Markus Kleeb</t>
  </si>
  <si>
    <t>Wie soll die Industrie 4.0 finanziert und gestaltet werden? Spannende Fragen in @FAZ_Wirtschaft #Industrie40 https://t.co/Efg6flZN6l</t>
  </si>
  <si>
    <t>Susanne Plaumann</t>
  </si>
  <si>
    <t>Zwitschere zweisprachig zu / Tweeting bilingually about Social Media, HR &amp; Datenschutz/Data Privacy. Trainer für / Trainings for XING, Twitter, Facebook, et al.</t>
  </si>
  <si>
    <t>RT @technikzukunft: Wie sieht die vernetzte Fabrik der #Zukunft aus? Eine #VDI Ingenieursgeschichte: https://t.co/rEr0qjwnQr #Industrie40 #…</t>
  </si>
  <si>
    <t>Industrie 4.0 : les industriels vont investir massivement ! #industrie40 #france #business https://t.co/Xmny9lb3D7 https://t.co/ktKtlcw75h</t>
  </si>
  <si>
    <t>Nach @printthefilm dreht sich #FUTURALE-Gespräch um #3DDruck und #Industrie40 - mit @SCANOTEC @IGMetall_BW @uni_tue https://t.co/9UXZvXr2qT</t>
  </si>
  <si>
    <t>socialBench</t>
  </si>
  <si>
    <t>RT @AMETRAInge: Industrie 4.0 : les industriels vont investir massivement ! #industrie40 #france #business https://t.co/Xmny9lb3D7 https:/…</t>
  </si>
  <si>
    <t>Lemoine</t>
  </si>
  <si>
    <t>#Industrie40 - 53% sehen Mangel an Fachkräften als Hürde #skillsgap #digitaltransformation https://t.co/54JJPKk32W</t>
  </si>
  <si>
    <t>RT @joworf: #Industrie40 - 53% sehen Mangel an Fachkräften als Hürde #skillsgap #digitaltransformation https://t.co/54JJPKk32W</t>
  </si>
  <si>
    <t>Deutschland hat die Verweigerungshaltung aufgegeben und investiert (endlich) in #Digitalisierung. #Industrie40 https://t.co/w2aELEoObt @wiwo</t>
  </si>
  <si>
    <t>EEN NRW</t>
  </si>
  <si>
    <t>NRW.Europa unterstützt als Partner im Enterprise Europe Network bei Internationalisierung, Innovation, Technologietransfer, Geschäftsanbahnung und Finanzierung</t>
  </si>
  <si>
    <t>Fabien</t>
  </si>
  <si>
    <t>PRAY for Paris #innovation #recrutement</t>
  </si>
  <si>
    <t>Stephan Weyer</t>
  </si>
  <si>
    <t>HannoverMesse-Szenario: Veranschaulichung einer smarten I4.0-Fabrik #SmartFactoryKL #Industrie40 @hannover_messe https://t.co/qWm11JGkvy</t>
  </si>
  <si>
    <t>Researcher - focused on #Industrie40 #Automation #Digitalization #DigitalManufacturing #DigitalTwin #SmartFactory #InternetofThings</t>
  </si>
  <si>
    <t>La @ccialsace leader d'une démarche collective autour des offreurs de solutions pour l'#Industrie40 #UDFleJeu https://t.co/Sb3vypaGIo</t>
  </si>
  <si>
    <t>Samarelli</t>
  </si>
  <si>
    <t>Pierrat Olivier</t>
  </si>
  <si>
    <t>RT @Rhenatic: La @ccialsace leader d'une démarche collective autour des offreurs de solutions pour l'#Industrie40 #UDFleJeu https://t.co/Sb…</t>
  </si>
  <si>
    <t>Schiltigheim</t>
  </si>
  <si>
    <t>Pratice Leader Digital Convergence, Innovation leader SOGETI. Architect .NET, win8,Windows Phone, IoT, digital transformation, ALM, SCRUM. SogetiLabs member.</t>
  </si>
  <si>
    <t>Clementine</t>
  </si>
  <si>
    <t>Bericht für #Fraunhofer IGD auf zulieferermarkt.de #HMI16 #hannovermesse #industrie40 https://t.co/Mk7HIV22Pj https://t.co/7k7rFIuZeQ</t>
  </si>
  <si>
    <t>@INTRA_NET_WORK Amazing app for the Berlin Event! Looking forward to next week! #innovation #Industrie40 #intranet</t>
  </si>
  <si>
    <t>Bericht für Bionic Robotics in industrieanzeiger.de #HMI16 #hannovermesse #industrie40 https://t.co/3MCL1pIcDE https://t.co/gxR7Cl974V</t>
  </si>
  <si>
    <t>Bericht für Bionic Robotics in derbetriebsleiter.de #HMI16 #hannovermesse #industrie40 https://t.co/yeP8emGVJc https://t.co/4Syy72xywp</t>
  </si>
  <si>
    <t>@Omni_ID we look forward to having Ed Nabrotzky at our panel on Monday! #industrie40 #hm16 @hannover_messe</t>
  </si>
  <si>
    <t>#Digitalisierungsdruck bei deutschen Unternehmen nimmt zu #Industrie40 auf Hannover Messe via https://t.co/wbyr1FAI7i @MeinGeldMedien</t>
  </si>
  <si>
    <t>Bericht für Bionic Robotics auf productivity.de #HMI16 #hannovermesse #industrie40 https://t.co/WrZmH4POm3 https://t.co/RmF1otiNQ6</t>
  </si>
  <si>
    <t>Die #SmartFactoryKL auf der HannoverMesse 2016 - ein Szenario zur #Industrie40 #tukl #mittelstand40 @mitunsdigital https://t.co/qWm11JGkvy</t>
  </si>
  <si>
    <t>Podium: "#Industrie40 Go Startup" beim @Bitkom Innovation Forum https://t.co/XIoKUGoHkc (27.4., 16:00 Uhr, Halle 7, D28) #HM16 #HMI #HMI16</t>
  </si>
  <si>
    <t>Industrie 4.0 : quels opportunités et défis ? #france #vendredi #industrie40 #business https://t.co/ASFlo1GJWl https://t.co/umasS72bvJ</t>
  </si>
  <si>
    <t>Warum #Industrie40 professionelles Marketing braucht https://t.co/iOmmo283tV @conosco</t>
  </si>
  <si>
    <t>#Industrie40 aus internationaler Sicht: #USA treiben #Digitalisierung voran via @elektroAutomation https://t.co/H185wc9EIp</t>
  </si>
  <si>
    <t>Franck MALATIER</t>
  </si>
  <si>
    <t>Lyon, France</t>
  </si>
  <si>
    <t>Marketing Manager SIMATIC IT Preactor at Siemens Industry Software -</t>
  </si>
  <si>
    <t>META-LEVEL Software</t>
  </si>
  <si>
    <t>Meta-Level Software AG - Imagefilm 2016 - #industrie40 #software services #workflow #webportale https://t.co/KOk7Qz9DUc via @YouTube</t>
  </si>
  <si>
    <t>Softwarehaus, 1983 gegründet, Spezialist für individuelle Softwarelösungen, Industrie 4.0, GIS und Web-Portale / Workflow-Management</t>
  </si>
  <si>
    <t>Trau dich, #Logistik: ein Plädoyer für IT-Innovationen https://t.co/dnwCJGu4l4 #Digitalisierung #Industrie40 #IoT</t>
  </si>
  <si>
    <t>Energize</t>
  </si>
  <si>
    <t>UK - Belgium - Germany</t>
  </si>
  <si>
    <t>Our vision is to become the market leaders of service standards in the global IT and Digital recruitment industry.</t>
  </si>
  <si>
    <t>Diese Lösung sorgt für eine zentralisierte Planung über drei Standorte hinweg und unterstützt dam... https://t.co/3oUxatskK3 #Industrie40</t>
  </si>
  <si>
    <t>Natalia Capel</t>
  </si>
  <si>
    <t>Adelaide, South Australia</t>
  </si>
  <si>
    <t>Android Programmer &amp; GrowthHacker 4 WakeUp Mobile Apps.We subsidise our startup with sales. When you see something you need or want, buy it and support us.</t>
  </si>
  <si>
    <t>RT @induux_de: Warum #Industrie40 professionelles Marketing braucht https://t.co/iOmmo283tV @conosco</t>
  </si>
  <si>
    <t>RT @s_w_weyer: Die #SmartFactoryKL auf der HannoverMesse 2016 - ein Szenario zur #Industrie40 #tukl #mittelstand40 @mitunsdigital https://…</t>
  </si>
  <si>
    <t>Robots Army</t>
  </si>
  <si>
    <t>robots.army bot</t>
  </si>
  <si>
    <t>Classified</t>
  </si>
  <si>
    <t>I serve @PlatisSolutions and orchestrate a #robotic undertaking.</t>
  </si>
  <si>
    <t>Gerhard Auer</t>
  </si>
  <si>
    <t>#Industrie40 #detecon https://t.co/w6gbXct2uC</t>
  </si>
  <si>
    <t>auch Pressesprecher, Spokesperson Detecon; Fan: MSV Duisburg</t>
  </si>
  <si>
    <t>Gustavo Ponce</t>
  </si>
  <si>
    <t>Canada</t>
  </si>
  <si>
    <t>RT @ChrisSpahnADP: Deutschland hat die Verweigerungshaltung aufgegeben und investiert (endlich) in #Digitalisierung. #Industrie40 https://t…</t>
  </si>
  <si>
    <t>RT @AMETRAInge: Industrie 4.0 : quels opportunités et défis ? #france #vendredi #industrie40 #business https://t.co/ASFlo1GJWl https://t.co…</t>
  </si>
  <si>
    <t>Akquinet Ind40 / IoT</t>
  </si>
  <si>
    <t>Welcome everybody! #IoT #IIoT #Ind40 #Industrie40 We are finally here to talk about our IIoT activities.</t>
  </si>
  <si>
    <t>Impressum: https://t.co/bTqpPLlGEL</t>
  </si>
  <si>
    <t>3D-grenzenlos.de</t>
  </si>
  <si>
    <t>Fachbeitrag – Additive Manufacturing und Industrie 4.0 – Zukunft und Stand der Gegenwart: https://t.co/zsGMw9pz1l #3Dprinting #Industrie40</t>
  </si>
  <si>
    <t>Online-Magazin über 3D-Drucker. Aktuelle Informationen &amp; Nachrichten rund um die Welt der 3D-Drucker &amp; 3D-Drucktechnologien. Kostenlos, unabhängig, grenzenlos.</t>
  </si>
  <si>
    <t>Herzlich Willkommen!#IoT #IIoT #Ind40 #Industrie40 Endlich sind wir soweit und sprechen über unsere @akquinet Industrie 4.0 Aktivitäten.</t>
  </si>
  <si>
    <t>@SEWEURODRIVE zeigt auf neuer Microsite seine Vision von #Industrie40 und #SmartFactory https://t.co/zXqBsbbKWV</t>
  </si>
  <si>
    <t>Die #Digitalisierung wird die Arbeitswelt verändern. #IoT #cloudcomputing #Industrie40 #itsOWL https://t.co/7CCDqS1rA8 @verlinked</t>
  </si>
  <si>
    <t>Fortsetzung der #Industrie40-Reihe: Neue Broschüre #Technologietransfer zeigt Best Practice https://t.co/X9KaoUYQT0 https://t.co/osPygZkW5D</t>
  </si>
  <si>
    <t>Daniel Hardt</t>
  </si>
  <si>
    <t>RT @acquisa: Internet 4.0: Hannover Messe wird Weltbühne der vernetzten Industrie: https://t.co/Bba8Zngsyr #Industrie40 #IoT</t>
  </si>
  <si>
    <t>München, Germany</t>
  </si>
  <si>
    <t>Kommunikation. Social Media. Marketing. Trends. Über: Technik, Gadgets, IT, Consumer Electronics, Games, SciFi, Politik &amp; Gesellschaft</t>
  </si>
  <si>
    <t>itsOWL_Cluster: Fortsetzung der #Industrie40-Reihe: Neue Broschüre #Technologietransfer zeigt Best Practice https://t.co/rRQ1FyBcNT …</t>
  </si>
  <si>
    <t>RT @akquinet_Ind40: Herzlich Willkommen!#IoT #IIoT #Ind40 #Industrie40 Endlich sind wir soweit und sprechen über unsere @akquinet Industrie…</t>
  </si>
  <si>
    <t>Predictive Maintenance: Mehr Effizienz durch Cloud-basierte Lösungen https://t.co/RqovTu5A9l #industrie40 #IoT #hm16 https://t.co/aLyeM7ZHw5</t>
  </si>
  <si>
    <t>iObeya</t>
  </si>
  <si>
    <t>#DigitalTransformation at the heart of #Industry40 @rautsan https://t.co/Jy5pl87lmu #industrie40 #smartfactory https://t.co/pOdTWeJlFb</t>
  </si>
  <si>
    <t>Around the world</t>
  </si>
  <si>
    <t>Digital Visual Management platform for #Lean, #ProjectManagement, #Brainstorming, #Agile practices and much more! #digital #VisualManagement #digitalVM</t>
  </si>
  <si>
    <t>"Mittelstandsorientierter #Technologietransfer aus Forschung in industrielle Anwendung kritisch für #Industrie40 " https://t.co/uF01rX5LZM</t>
  </si>
  <si>
    <t>KUKA Roboter GmbH</t>
  </si>
  <si>
    <t>Nächste Woche startet die @hannover_messe! Wir freuen uns darauf, dortt neue #Roboter und Lösungen zu präsentieren! #HM16 #Industrie40</t>
  </si>
  <si>
    <t>Die KUKA Roboter GmbH mit Hauptsitz in Augsburg, ist ein Unternehmen der KUKA Aktiengesellschaft und gilt als weltweit führender Anbieter von Industrierobotern.</t>
  </si>
  <si>
    <t>thyssenkrupp</t>
  </si>
  <si>
    <t>engineering. tomorrow. together. #brandblue Impr.: https://t.co/8mExpNqSo7</t>
  </si>
  <si>
    <t>MaTi</t>
  </si>
  <si>
    <t>RT @AVSGroupAG: AVS; The #IoT &amp; #Industrie40 company! AVS #Intellihouse https://t.co/J3xe1u5rEM #smarthome #HomeAutomation #WEF16 https://t…</t>
  </si>
  <si>
    <t>Knowing love, I can allow all things to come and go ... My heart is as open as the sky. (Kama Sutra)</t>
  </si>
  <si>
    <t>ManutelligenceH2020</t>
  </si>
  <si>
    <t>RT @iotfablab: #IIoT for retrofitting of industrial machinery #Industrie40 #tdl2016 https://t.co/dwT60eOEjU</t>
  </si>
  <si>
    <t>Manutelligence is an EU project funded under the GA n°636951. Manutelligence will improve the product and service development through manufacturing intelligence</t>
  </si>
  <si>
    <t>Ruth Metzler im @10vor10 Studiogespräch zu den Herausforderungen im #Export #Industrie40 https://t.co/WcjBIPHkWI https://t.co/rZIxjH42sS</t>
  </si>
  <si>
    <t>revistamanutencao</t>
  </si>
  <si>
    <t>Porto</t>
  </si>
  <si>
    <t>Revista técnica de manutenção</t>
  </si>
  <si>
    <t>Die Digitalisierung kommt ins Rollen. Immer mehr Unternehmen befassen sich mit dem Thema. Die Dig... https://t.co/NZ0lu0z3ZG #Industrie40</t>
  </si>
  <si>
    <t>RT @H_IT_D: Die Digitalisierung kommt ins Rollen. Immer mehr Unternehmen befassen sich mit dem Thema. Die Dig... https://t.co/NZ0lu0z3ZG #I…</t>
  </si>
  <si>
    <t>„Aus dem Konferenzraum in die Werkshalle “ von @christinepaulus auf @LinkedIn https://t.co/ilXsoEdQPt #industrie40</t>
  </si>
  <si>
    <t>Neue Initiative "Standardization Council Industrie 4.0" startet #Normungsinitiative für #Industrie40 https://t.co/TMNATdhEOp #hm16</t>
  </si>
  <si>
    <t>Pedro Reboredo</t>
  </si>
  <si>
    <t>Looking forward for a great #HM16 with SmartFactory-KL! https://t.co/1Dz6muYapX #Industrie40 #InternetOfThings @DFKI</t>
  </si>
  <si>
    <t>Arne Schuldt</t>
  </si>
  <si>
    <t>Das Internet der Dinge rückt näher, @DHLPaket! 😊 #IoT #industrie40 https://t.co/PLhdGWc7Oe</t>
  </si>
  <si>
    <t>Lives and works in Bremen. Acts as co-founder @aimpulse, alumnus @unibremen, and fanboy @mexicantears.</t>
  </si>
  <si>
    <t>Felix Gerg</t>
  </si>
  <si>
    <t>Schöner Leitfaden zur Indeensammlung! #Digitalisierung #Industrie40 #ConnectedIndustry https://t.co/o6NuS4Uhng</t>
  </si>
  <si>
    <t>Internet der Dinge #IoT &amp; Industrie 4.0 Strategie #Zukunft gestalten wir jetzt. #ConnectedIndustry https://t.co/oHdbQ5wU70 Berater &amp; Redner</t>
  </si>
  <si>
    <t>Schleifen, schweißen, montieren: „#Roboter, als Automatisierungskomponenten wichtiger Bestandteil von #Industrie40“ https://t.co/D0JnsIPAwH</t>
  </si>
  <si>
    <t>Pilz GmbH &amp; Co. KG</t>
  </si>
  <si>
    <t>Register for the #HannoverMesse Guided Tours #Industrie40 #Innovation #IndustrialAutomation and meet us! https://t.co/OCH3zcMj7Z #hm16</t>
  </si>
  <si>
    <t>Ostfildern, Stuttgart, Germany</t>
  </si>
  <si>
    <t>As Ambassador of Safety for human, machines and the environment, Pilz offers safe and complete automation solutions worldwide. Imprint:http://t.co/Ab8DgFx959</t>
  </si>
  <si>
    <t>Karsten Pohnke</t>
  </si>
  <si>
    <t>Gütersloh, Germany</t>
  </si>
  <si>
    <t>Consultant Digital Business. #IoT #Collaboration #SharePoint #CRM @Ilikesharepoint</t>
  </si>
  <si>
    <t>#Industrie40: ProSTEP iViP startet Interoperabilitätsinitiative https://t.co/RE8r3faIaM #automotiveIT #IoT</t>
  </si>
  <si>
    <t>Welche #Roboter unseren #Alltag erobern https://t.co/eehqPDVKv9 via @wiwo #HannoverMesse #Industrie40 #Digitalisierung</t>
  </si>
  <si>
    <t>#BAUMA2016 - wir waren vor Ort! https://t.co/iv62NsZa5k #Industrie40 #Bauma https://t.co/7ZCFO3Dsix</t>
  </si>
  <si>
    <t>Full Speed Systems</t>
  </si>
  <si>
    <t>Oracle – JD Edwards Kundenevent FSS #ERP #JDEdwards #Industrie40 https://t.co/jdK76RSGgg</t>
  </si>
  <si>
    <t>Sursee, Schweiz</t>
  </si>
  <si>
    <t>Jörn Menninger</t>
  </si>
  <si>
    <t>Münchener Startup erhält 7,5 Millionen von Valley-Investoren | Gründerszene #industrie40 #konux https://t.co/DFbFe3kQtK</t>
  </si>
  <si>
    <t>#Consultant in #Capmarkets /Part time #Entrepreneur / Tweeting about #Econ, #Startup, #VC, #FX, #Investments, #Banking #AssetManagement /RT ≠ Endorsement</t>
  </si>
  <si>
    <t>Stephanie Reitz</t>
  </si>
  <si>
    <t>Vom mechanischen Webstuhl zu #Industrie40 So sichert Industrie 4.0 Ihren Wettbewerbsvorteil https://t.co/dtfpqm7YQl #collaboration @swabr</t>
  </si>
  <si>
    <t>The Social Network for Your Company - Follow us http://t.co/KH9n1EW7f4 &amp; https://t.co/X6bBsuWHIy - Get updates with #microblogging #e20 #socsoft #socb</t>
  </si>
  <si>
    <t>thitipan sarakarn</t>
  </si>
  <si>
    <t>RT @OJaeger: In DE kommt #Industrie40 langsam, aber sicher https://t.co/uTYC65BNgl via @AnnetteHodapp @IBM #bigdata #strategie https://t.co…</t>
  </si>
  <si>
    <t>ประเวศ, กรุงเทพมหานคร</t>
  </si>
  <si>
    <t>Manager for ISO all system , Interest NDT for oil &amp; gas &amp; energy. And Windsurfing. Construction systems.</t>
  </si>
  <si>
    <t>#Industrie40 treibt die Entwicklung von „Schatten-IT“ voran – unser PointofVoew für #CIO ´s: https://t.co/MQsgWuCEvg ^bas</t>
  </si>
  <si>
    <t>Karin Braeckle</t>
  </si>
  <si>
    <t>Manager Media Relations at @Infineon -- Design addict, food lover and mother of 2 -- views are my own</t>
  </si>
  <si>
    <t>Software AG Dtld.</t>
  </si>
  <si>
    <t>Von hier bis zum Mond und noch viel weiter: #Industrie40 made in Germany! https://t.co/TUmzKY9Jal</t>
  </si>
  <si>
    <t>Darmstadt, Deutschland</t>
  </si>
  <si>
    <t>Hier twittern Mitglieder des PR-Teams Neues und Interessantes rund um die Software AG und die deutsche Software-Branche.</t>
  </si>
  <si>
    <t>Neuer #Industrie40 Innovation Award von @VDEVERLAG_oa in Kooperation mit @ZVEI: Einreichungen bis 10.6. siehe https://t.co/1fjoKHEkIK</t>
  </si>
  <si>
    <t>RT @Ronald_Heinze: Neuer #Industrie40 Innovation Award von @VDEVERLAG_oa in Kooperation mit @ZVEI: Einreichungen bis 10.6. siehe https://t…</t>
  </si>
  <si>
    <t>RT @SoftwareAG_D: Von hier bis zum Mond und noch viel weiter: #Industrie40 made in Germany! https://t.co/TUmzKY9Jal</t>
  </si>
  <si>
    <t>Fabio Santos</t>
  </si>
  <si>
    <t>Only two days before @POTUS inaugurates #HannoverMesse! Can't wait to see him there. #HM16 #Industrie40 https://t.co/kuGkBIJadg</t>
  </si>
  <si>
    <t>Zühlke Engineering GmbH, der Innovationsdienstleister aus Eschborn bei Frankfurt, präsentiert auf... https://t.co/SKXi9LTHEG #Industrie40</t>
  </si>
  <si>
    <t>Centigrade GmbH</t>
  </si>
  <si>
    <t>Embracing great UX. Usability. Design. Engineering. - Saarbrücken, Mülheim an der Ruhr, Frankfurt am Main, München - Imprint: https://t.co/wFT8Bi6WMe</t>
  </si>
  <si>
    <t>RT @H_IT_D: Zühlke Engineering GmbH, der Innovationsdienstleister aus Eschborn bei Frankfurt, präsentiert auf... https://t.co/SKXi9LTHEG #I…</t>
  </si>
  <si>
    <t>Bei Entwicklungen(...)müssen technische und menschliche Aspekte(...)berücksichtigt werden. https://t.co/7CCDqS1rA8 #IoT #Industrie40 #itsOWL</t>
  </si>
  <si>
    <t>karin maier</t>
  </si>
  <si>
    <t>Ulm, Baden-Württemberg</t>
  </si>
  <si>
    <t>Leiterin Unternehmenskommunikation Wieland-Werke AG</t>
  </si>
  <si>
    <t>#Industrie40 trifft #MADEINCHINA 2025 – 2. Deutsch-Chinesische Mittelstandskonferenz 6. -8. Juni Jieyang. ANMELDEN https://t.co/AHu4k6pcVQ</t>
  </si>
  <si>
    <t>all-electronics.de</t>
  </si>
  <si>
    <t>Trendreport von @hmsnetworks: Sind #IIoT und #Industrie40 schon zu spüren? #Automatisierung https://t.co/2x5ZNFGj1z https://t.co/5ftQRdQ82y</t>
  </si>
  <si>
    <t>Landsberg / Heidelberg</t>
  </si>
  <si>
    <t>Hier twittern die Redakteure von all-electronics.de über Neuigkeiten, Trends und Highlights aus Elektronik, Fertigung und Automatisierung.</t>
  </si>
  <si>
    <t>RT @FelixGerg: Schöner Leitfaden zur Indeensammlung! #Digitalisierung #Industrie40 #ConnectedIndustry https://t.co/o6NuS4Uhng</t>
  </si>
  <si>
    <t>RT @markherten: "Mittelstandsorientierter #Technologietransfer aus Forschung in industrielle Anwendung kritisch für #Industrie40 " https://…</t>
  </si>
  <si>
    <t>RT @aeaktuell: Trendreport von @hmsnetworks: Sind #IIoT und #Industrie40 schon zu spüren? #Automatisierung https://t.co/2x5ZNFGj1z https://…</t>
  </si>
  <si>
    <t>Digitalisierungsdruck bei deutschen Unternehmen nimmt zu: #Industrie40 dominierendes Thema auf der @hannover_messe https://t.co/IQ7i2ixjEv</t>
  </si>
  <si>
    <t>Berlin / Bonn</t>
  </si>
  <si>
    <t>Germany Trade &amp; Invest (GTAI) ist die Gesellschaft der Bundesrepublik Deutschland für Außenwirtschaft und Standortmarketing. http://t.co/oqzTFR192O</t>
  </si>
  <si>
    <t>Robert Weber</t>
  </si>
  <si>
    <t>@UdLDigital Danke für das Gespräch. #industrie40 und Gaming https://t.co/BniJCHRfIh @fachpresse_de @LinaRusch @mluebbecke</t>
  </si>
  <si>
    <t>Veitshöchheim, Deutschland</t>
  </si>
  <si>
    <t>✏ ️Fachjournalist für Industriethemen, Arbeit 4.0 &amp; Bildung 4.0 und Entwickler von Newsgames. https://t.co/keoNeaPv6c</t>
  </si>
  <si>
    <t>Moritz Klämt</t>
  </si>
  <si>
    <t>RT @GTAI_de: Digitalisierungsdruck bei deutschen Unternehmen nimmt zu: #Industrie40 dominierendes Thema auf der @hannover_messe https://t.c…</t>
  </si>
  <si>
    <t>Twitter for  iPhone</t>
  </si>
  <si>
    <t>Work for @TwitterDE, love developing brands, (jazz) music, running and tennis.</t>
  </si>
  <si>
    <t>Passend zur #hm16 https://t.co/BniJCHRfIh Gaming für #Industrie40</t>
  </si>
  <si>
    <t>Wie smarte Produkte Unternehmen verändern https://t.co/fQXIruemMF via @COMPUTERWOCHE #Industrie40</t>
  </si>
  <si>
    <t>RT @Robert_Weber_: Passend zur #hm16 https://t.co/BniJCHRfIh Gaming für #Industrie40</t>
  </si>
  <si>
    <t>#IndustrialGames Robert Weber für #Industrie40! Eine neue Mission für Snowden 4.0. Ich freue mich und wünsche ihm... https://t.co/5dzY9SjZKl</t>
  </si>
  <si>
    <t>Der nächste Schritt kommt mit #Arbeiten40 auch in die Fertigung. #Digitalisierung #Industrie40 https://t.co/UUPELpERgx</t>
  </si>
  <si>
    <t>Blogpost von @brohleder zu #Industrie40: Von der Vision hin zur Realität #HMI #Bitkom https://t.co/y0oy3qoQKu ^mar</t>
  </si>
  <si>
    <t>Interesse an #News zu #Digitalisierung, #Industrie40 und #IoT? Dann am besten @INDIZbot folgen! Immer informativ und spannend! #FF</t>
  </si>
  <si>
    <t>itsOWL_Cluster: RT FelixGerg: Schöner Leitfaden zur Indeensammlung! #Digitalisierung #Industrie40 #ConnectedIndustry …</t>
  </si>
  <si>
    <t>RT @POLYASVoting: Interesse an #News zu #Digitalisierung, #Industrie40 und #IoT? Dann am besten @INDIZbot folgen! Immer informativ und span…</t>
  </si>
  <si>
    <t>david photiade</t>
  </si>
  <si>
    <t>France/Deutschland</t>
  </si>
  <si>
    <t>#techie #europeancitizen #german #espanol #francais #italiano #greek #british #portuguese</t>
  </si>
  <si>
    <t>RT @CapgeminiDE: Blogpost von @brohleder zu #Industrie40: Von der Vision hin zur Realität #HMI #Bitkom https://t.co/y0oy3qoQKu ^mar</t>
  </si>
  <si>
    <t>RT @prxagentur: Der nächste Schritt kommt mit #Arbeiten40 auch in die Fertigung. #Digitalisierung #Industrie40 https://t.co/UUPELpERgx</t>
  </si>
  <si>
    <t>#Industrie40: Jedes 2. Industrieunternehmen nutzt vernetze Anwendungen https://t.co/fgEgZSgXwN via @iBusiness_de</t>
  </si>
  <si>
    <t>RT @itsOWL_Cluster: OWL zeigt #Industrie40-Lösungen auf der @Hannover_Messe: Mehr auf unserer Landingpage https://t.co/bce5YfzsCf https://t…</t>
  </si>
  <si>
    <t>Datalogic, globaler Marktführer für automatische Datenerfassung und industrielle Automatisierung ... https://t.co/DTHmSFwxmN #Industrie40</t>
  </si>
  <si>
    <t>#Hacker soll den Eindruck gewinnen, dass er ein echtes #Industrie40 #Transport-System kompromittiert https://t.co/srOgqgGq39</t>
  </si>
  <si>
    <t>#hm16: Beispiele für lohnenden Einstieg in #Industrie40 bei SmartFactoryKL und Smart Electronic Factory #ERP https://t.co/t0VkrhRWay</t>
  </si>
  <si>
    <t>RT @proALPHA: #hm16: Beispiele für lohnenden Einstieg in #Industrie40 bei SmartFactoryKL und Smart Electronic Factory #ERP https://t.co/t0V…</t>
  </si>
  <si>
    <t>TransitionNumérique+</t>
  </si>
  <si>
    <t>#digital Les entreprises du secteur industriel investissent dans #Industrie40 https://t.co/HMPZSUFGDx via @PwC_UK https://t.co/xLkyxxNaB5</t>
  </si>
  <si>
    <t>Programme gouvernemental</t>
  </si>
  <si>
    <t>L'Association Transition Numérique Plus réunit industriels #IT et partenaires institutionnels afin d'accompagner les #TPE et #PME vers la #TransfoNum</t>
  </si>
  <si>
    <t>Cybus</t>
  </si>
  <si>
    <t>Meet us at @hannover_messe! @bitkom Innovation Area Hall 7, D28 @bitkom_service #hm16 #industrie40 #cybusready https://t.co/nSnOgrv9TO</t>
  </si>
  <si>
    <t>The Smart Industry API</t>
  </si>
  <si>
    <t>Peter Sorowka</t>
  </si>
  <si>
    <t>RT @cybus_io: Meet us at @hannover_messe! @bitkom Innovation Area Hall 7, D28 @bitkom_service #hm16 #industrie40 #cybusready https://t.co/…</t>
  </si>
  <si>
    <t>#Engineer&amp;More ----- IoT-Infrastructure-Architect cybus.io -- Sailor, Climber --- Father of two</t>
  </si>
  <si>
    <t>#autonomesfahren #autonomouscars #autos #Industrie40 https://t.co/MflCp0AuI7</t>
  </si>
  <si>
    <t>#DigitiseEU: Montag @hannover_messe Konferenz zur #Digitalisierung der Industrie mit @GOettingerEU #Industrie40 #DSM https://t.co/Eu2UC2wAaG</t>
  </si>
  <si>
    <t>KMWE / DutchAero</t>
  </si>
  <si>
    <t>CEO #KMWE Edward Voncken geeft tekst en uitleg over de broedplaats voor de nieuwe industrie. #BICampus #Industrie40 https://t.co/tfvE43OYqk</t>
  </si>
  <si>
    <t>KMWE / DutchAero is your partner for High Tech Equipement and Aerospace. Specialized in #5-axis machining, #Mechatronics #Systems and #Value Engineering.</t>
  </si>
  <si>
    <t>HARTING</t>
  </si>
  <si>
    <t>Our excitement for #HM16 is now palpable!2 Days to go, @HARTING_MICA Here for the win! @hannover_messe #Industrie40 https://t.co/0WYm14eHRu</t>
  </si>
  <si>
    <t>Chennai</t>
  </si>
  <si>
    <t>Company</t>
  </si>
  <si>
    <t>Siemens Industry</t>
  </si>
  <si>
    <t>World’s leading supplier of innovative &amp; eco friendly products, solutions &amp; services for industrial customers. Topics: #FutureOfManufacturing &amp; #Digitalization</t>
  </si>
  <si>
    <t>RT @Ronald_Heinze: Wie angekündigt für April 16: RAMI4.0 für #industrie40 als Standard DIN SPEC 91345 vor #HM16 veröffentlicht.</t>
  </si>
  <si>
    <t>AnalytikaByCimetrics</t>
  </si>
  <si>
    <t>Using #BigData model-based #Analytics to transform building, #Pharma and #MFG process management #IoT #EnergyEfficiency #SmartBuildings #CRE #Sustainability #FM</t>
  </si>
  <si>
    <t>RT @WinfriedFelser: #IndustrialGames Robert Weber für #Industrie40! Eine neue Mission für Snowden 4.0. Ich freue mich und wünsche ihm... ht…</t>
  </si>
  <si>
    <t>#Industrie40: 60% der deut. Unternehmen wollen in Datenanalyse investieren https://t.co/GHhEceKNxY … #HM16 https://t.co/Q66YFmqjh3</t>
  </si>
  <si>
    <t>Industrie 4.0 hat die Fabriken erreicht https://t.co/ai4e0NhiHP via @COMPUTERWOCHE #Industrie40 #i40 #Bitkom #Studie</t>
  </si>
  <si>
    <t>Christian Kotschy</t>
  </si>
  <si>
    <t>Da sind wir schon mindestens 2 :) #HannoverMesse #Industrie40 https://t.co/vU30lbtrBm</t>
  </si>
  <si>
    <t>Braunschweig / Hannover</t>
  </si>
  <si>
    <t>Innovationszentrum Niedersachsen GmbH</t>
  </si>
  <si>
    <t>RT @ITP_Redaktion Online-Kurs bietet Orientierungswissen für #Industrie40 (by @acatech_de) https://t.co/3pFjmMFsOW</t>
  </si>
  <si>
    <t>TM 2.0</t>
  </si>
  <si>
    <t>Industrie 4.0: Mehr Weiterbildung für den Mittelstand nötig https://t.co/c4j20aX2SM #Industrie40 #Weiterbildung #Digitalisierung</t>
  </si>
  <si>
    <t>Essen, Germany</t>
  </si>
  <si>
    <t>100 Jahre Innovation. News aus Forschung und Technik, Unternehmensmeldungen, Fachartikel, Interviews, Rezensionen … Impressum: https://t.co/HnATaIQYIQ</t>
  </si>
  <si>
    <t>Vier Revolutionen: Infografik von #Bosch zu #Industrie40 zur #HM16 https://t.co/L8GsLWeedE https://t.co/eDOKswOvVz</t>
  </si>
  <si>
    <t>Blog: Fast jedes zweite Unternehmen nutzt #Industrie40 -Anwendungen #HMI #Bitkom https://t.co/y0oy3qoQKu ^mar https://t.co/yKHSCZe1kM</t>
  </si>
  <si>
    <t>Prof. Syska sagt "#Industrie40 ist ein Schritt in die Vergangenheit" https://t.co/zIz8NKe5Ft</t>
  </si>
  <si>
    <t>Only 3 days left till @hannover_messe! #HM16 #HM16USA #selectUSA #Industrie40 #IntegratedEnergy #FridayFeeling https://t.co/5vRdmvytWt</t>
  </si>
  <si>
    <t>Die Welt: Herr Ziesemer, Sie halten zum Auftakt der Hannover Messe die Begrüßungsrede für die deu... https://t.co/1bjAHTPSkK #Industrie40</t>
  </si>
  <si>
    <t>LeanKnowledge: Prof. Syska sagt "#Industrie40 ist ein Schritt in die Vergangenheit" https://t.co/jLikGBqyCK</t>
  </si>
  <si>
    <t>OMNI-ID</t>
  </si>
  <si>
    <t>RT @GTAI_com: @Omni_ID we look forward to having Ed Nabrotzky at our panel on Monday! #industrie40 #hm16 @hannover_messe</t>
  </si>
  <si>
    <t>Rochester, NY 14615 USA</t>
  </si>
  <si>
    <t>Omni-ID is a leading force driving the Internet of Things (IoT) revolution in manufacturing and industry by providing complete auto-ID solutions.</t>
  </si>
  <si>
    <t>Aus der Zusammenarbeit im Netzwerk entstehen neue Geschäftsideen.#IoT #cloudcomputing #Industrie40 #itsOWL https://t.co/7CCDqS1rA8</t>
  </si>
  <si>
    <t>RT @verlinked: Aus der Zusammenarbeit im Netzwerk entstehen neue Geschäftsideen.#IoT #cloudcomputing #Industrie40 #itsOWL https://t.co/7CCD…</t>
  </si>
  <si>
    <t>RT @Lean_john: LeanKnowledge: Prof. Syska sagt "#Industrie40 ist ein Schritt in die Vergangenheit" https://t.co/jLikGBqyCK</t>
  </si>
  <si>
    <t>Women in Digital</t>
  </si>
  <si>
    <t>#Digitalisierung #Industrie40 Unsere @Women_Digital Gründerin @TijenOnaran &amp; ihr #Gastbeitrag beim @handelsblatt: https://t.co/XobWd4kS1p</t>
  </si>
  <si>
    <t>#digital #frau #spannendestory? Dann bist Du bei uns richtig! Wir freuen uns auf Dich!</t>
  </si>
  <si>
    <t>#Industrie40 ist in den Werkhallen angekommen https://t.co/tfbUnrvGkz @COMPUTERWOCHE @Bitkom #Digitalisierung</t>
  </si>
  <si>
    <t>RT @SEWEURODRIVE: Erleben Sie unsere Innovationen #live auf der #hm16 https://t.co/cidAyOl5mB #smartfactory #industrie40 #industry40 https:…</t>
  </si>
  <si>
    <t>RT @KMWEprecision: CEO #KMWE Edward Voncken geeft tekst en uitleg over de broedplaats voor de nieuwe industrie. #BICampus #Industrie40 http…</t>
  </si>
  <si>
    <t>#Industrie40 - Zukunftsmusik? Mitnichten! Das zeigt #Bosch ab Montag auf der #HM16 https://t.co/L8GsLWeedE https://t.co/OsMJIBcZxV</t>
  </si>
  <si>
    <t>Wie die #Industrie40 sich im wahrsten Sinne des Wortes auszahlt https://t.co/L5ghM7kDcs / #usecase aus der Praxis ^bas</t>
  </si>
  <si>
    <t>Fehlende Koordination und fehlender Mut zur Veränderung blockieren Unternehmen auf dem Weg in die #Industrie40 https://t.co/HK0YdcA2Jl ^mar</t>
  </si>
  <si>
    <t>RT @CapgeminiDE: Wie die #Industrie40 sich im wahrsten Sinne des Wortes auszahlt https://t.co/L5ghM7kDcs / #usecase aus der Praxis ^bas</t>
  </si>
  <si>
    <t>RT @BoschPresse: #Industrie40 - Zukunftsmusik? Mitnichten! Das zeigt #Bosch ab Montag auf der #HM16 https://t.co/L8GsLWeedE https://t.co/Os…</t>
  </si>
  <si>
    <t>Weiterbildung IEMS</t>
  </si>
  <si>
    <t>[Studie] Welche Kompetenzen braucht der Ingenieur der Zukunft? Wo #Weiterbildung für #Industrie40 gebraucht wird: https://t.co/0JPe1g5n8F</t>
  </si>
  <si>
    <t>Das Weiterbildungsprogramm Intelligente Einbettete Mikrosysteme (IEMS) der Uni Freiburg über Weiterbildung für Industrie 4.0 &amp; im Bereich Embedded Systems</t>
  </si>
  <si>
    <t>Tanja Carstensen</t>
  </si>
  <si>
    <t>Internet, Technik, Arbeit, Gender, https://t.co/J8LhM6qwFf, https://t.co/153ioc2NmU, https://t.co/7GNL9v2Plh, https://t.co/wA83up01rB</t>
  </si>
  <si>
    <t>Silke Stumvoll</t>
  </si>
  <si>
    <t>Interested in IT, PR, web 2.0, security, video surveillance... PR Manager at Axis Communications in Munich. All views expressed here are my own.</t>
  </si>
  <si>
    <t>ACONEXT</t>
  </si>
  <si>
    <t>Der offizielle Twitter-Kanal der ACONEXT Gruppe mit News, Jobs, Karriere-Tipps und interessanten Themen zu Automobilbranche und Engineering</t>
  </si>
  <si>
    <t>Device Insight GmbH</t>
  </si>
  <si>
    <t>IoT-/M2M-Lösungsanbieter. Unser Flaggschiff ist die IoT-Plattform CENTERSIGHT für individuelle Anwendungen wie Data Analytics, Reporting &amp; Remote Service.</t>
  </si>
  <si>
    <t>Unternehmen müssen Geschäftsmodelle prüfen, um Potenzial von #industrie40 auszuschöpfen,so @brohleder: https://t.co/HYNyvMg8ZL @CapgeminiDE</t>
  </si>
  <si>
    <t>BetaRepublik</t>
  </si>
  <si>
    <t>Wer nur Weichen für die Zukunft stellt, glaubt auch, dass die alten Schienen noch da sind #betarepublik #industrie40 https://t.co/t0tswUmhmp</t>
  </si>
  <si>
    <t>Wir glauben, dass es Deutschland gut tun würde, mehr Neues zu testen. Mehr anfangen, ohne perfekt sein zu müssen. Machen. Und dabei lernen.</t>
  </si>
  <si>
    <t>Sascha Radzuweit</t>
  </si>
  <si>
    <t>RT @betarepublik: Wer nur Weichen für die Zukunft stellt, glaubt auch, dass die alten Schienen noch da sind #betarepublik #industrie40 http…</t>
  </si>
  <si>
    <t>Aeries 2</t>
  </si>
  <si>
    <t>Werne, Nordrhein-Westfalen</t>
  </si>
  <si>
    <t>Coding and Gaming since C64. Quickly found my home @Windows and @Xbox. I'm Studying at FH Dortmund and I graduated as IT Assistant.</t>
  </si>
  <si>
    <t>Tijen Onaran</t>
  </si>
  <si>
    <t>RT @Women_Digital: #Digitalisierung #Industrie40 Unsere @Women_Digital Gründerin @TijenOnaran &amp; ihr #Gastbeitrag beim @handelsblatt: https:…</t>
  </si>
  <si>
    <t>#Founder #WomeninDigital @women_digital, #Founder @startupaffairs // #PR #Communications #host #Speaker // in love with Leo, the most handsome dog in the world</t>
  </si>
  <si>
    <t>#Robot : le Japon fait sa troisième révolution industrielle https://t.co/AcqBQPTuDM in @LEXPRESS #Industrie40 #IA https://t.co/IVGFd7inSB</t>
  </si>
  <si>
    <t>RT @Bitkom: Unternehmen müssen Geschäftsmodelle prüfen, um Potenzial von #industrie40 auszuschöpfen,so @brohleder: https://t.co/HYNyvMg8ZL…</t>
  </si>
  <si>
    <t>Bitkom: Unternehmen müssen Geschäftsmodelle prüfen, um Potenzial von #industrie40 auszuschöpfen,so brohleder: … https://t.co/kVoHPS5zHw</t>
  </si>
  <si>
    <t>Pknihon</t>
  </si>
  <si>
    <t>@kristjanna deswegen klappt es im Support nicht, aber wenn möglich und durch #Industrie40 + #BGE wird es irgendwann kommen :)</t>
  </si>
  <si>
    <t>Thüringen, Deutschland</t>
  </si>
  <si>
    <t>Schreibt mich an, bin neu bei Twitter :)</t>
  </si>
  <si>
    <t>Der Vortrag stellte die Positionierung sowie die Aufgaben moderner MES-Lösungen im Kontext von In... https://t.co/DEqQeWJYIn #Industrie40</t>
  </si>
  <si>
    <t>Bitkom: Unternehmen müssen Geschäftsmodelle prüfen, um Potenzial von #industrie40 auszuschöpfen,so brohleder: … https://t.co/TtNsL05r0e</t>
  </si>
  <si>
    <t>Wo liegt der Mehrwert der #Industrie40? Markus Eisel @SyroCon am Mi.,27.4.,10:45h beim #BIF16 @hannover_messe #HM16 https://t.co/7nJHChDsq7</t>
  </si>
  <si>
    <t>RT @Nihonpk_ef: @kristjanna deswegen klappt es im Support nicht, aber wenn möglich und durch #Industrie40 + #BGE wird es irgendwann kommen…</t>
  </si>
  <si>
    <t>startupaffairs</t>
  </si>
  <si>
    <t>#PublicAffairs &amp; #PR #Experts for #Startups and #VCs #Regulation #Consulting #Storytelling @TijenOnaran @DullerMarco @AnnaGeuchmann</t>
  </si>
  <si>
    <t>#Industrie40 -Liefern Start-ups womöglich die revolutionären Ideen? #HMI #Bitkom https://t.co/y0oy3qoQKu ^mar https://t.co/LrcgghlfUP</t>
  </si>
  <si>
    <t>Haben Sie 2016 Investitionsbudget für #Industrie40 eingeplant? https://t.co/uSgSO7wSfn via @ITP_Redaktion https://t.co/Lz77q35Q40</t>
  </si>
  <si>
    <t>#Industrie40 - Mehr Effizienz durch cloud-basierende Lösungen für vorausschauende Wartung https://t.co/02LU7uIj69</t>
  </si>
  <si>
    <t>Optimum GmbH</t>
  </si>
  <si>
    <t>Besuchen Sie @pickertgmbh und uns vom 26. bis 29. April @Messe_Stuttgart Halle 5 Stand 5430 und erleben Sie #Industrie40 #i40 #SchlauerKlaus</t>
  </si>
  <si>
    <t>New office in Berlin for @zenMFG #distributed #remote #company #europe #industrie40 #ukmfg https://t.co/cW2p4cFe6m</t>
  </si>
  <si>
    <t>4 Gründe warum #Deutschland bei #Industrie40 derzeit nicht gewinnen kann. https://t.co/t5oFmrz0UU https://t.co/TqOVYFQQH3</t>
  </si>
  <si>
    <t>Simon Schmitt</t>
  </si>
  <si>
    <t>Michael Heihsel</t>
  </si>
  <si>
    <t>Friedrichshain-Kreuzberg</t>
  </si>
  <si>
    <t>Stv. Vorsitzender @fdpxhain</t>
  </si>
  <si>
    <t>Schluss mit Silodenken: Weg zur #industrie40 erfordert Offenheit für neue digitale Geschäftsmodelle @CapgeminiDE: https://t.co/qSEUHyZ9cU</t>
  </si>
  <si>
    <t>Charlotte Aguilar</t>
  </si>
  <si>
    <t>RT @ATNplus: #digital Les entreprises du secteur industriel investissent dans #Industrie40 https://t.co/HMPZSUFGDx via @PwC_UK https://t.co…</t>
  </si>
  <si>
    <t>PARIS</t>
  </si>
  <si>
    <t>Communication &amp; digital manager @ Sika. Webmarketing, community management, PR, branding, analytics, e-reputation...</t>
  </si>
  <si>
    <t>Bitkom: Schluss mit Silodenken: Weg zur #industrie40 erfordert Offenheit für neue digitale Geschäftsmodelle Capgem… https://t.co/HRbEIKwJ2y</t>
  </si>
  <si>
    <t>Blog: @brohleder über digitale Gewinner und revolutionäre Ideen #industrie40 https://t.co/qOQkAqm0uG</t>
  </si>
  <si>
    <t>Bitkom: Schluss mit Silodenken: Weg zur #industrie40 erfordert Offenheit für neue digitale Geschäftsmodelle Capgem… https://t.co/ztykPpwCb5</t>
  </si>
  <si>
    <t>CIOs können im #BigData Labor Experimente durchführen. Lesen Sie hier mehr https://t.co/edqXEUMhn8 #Industrie40 #PredictiveAnalytics</t>
  </si>
  <si>
    <t>Business France DE</t>
  </si>
  <si>
    <t>Industrie 4.0 ist im Herzen Europas angekommen #hannovermesse2016 #Industrie40 @hannover_messe @acalregion https://t.co/pmlOzJuSzY</t>
  </si>
  <si>
    <t>Business France ist die französische Agentur für die internationale Entwicklung der französischen Wirtschaft.</t>
  </si>
  <si>
    <t>#Industrie40 consortium project earlier this week @ #WZL @RWTH #I40 https://t.co/E8mJyyYxP8</t>
  </si>
  <si>
    <t>RT @Bitkom_I40: Wo liegt der Mehrwert der #Industrie40? Markus Eisel @SyroCon am Mi.,27.4.,10:45h beim #BIF16 @hannover_messe #HM16 https:/…</t>
  </si>
  <si>
    <t>Bitkom: RT Bitkom_I40: Wo liegt der Mehrwert der #Industrie40? Markus Eisel SyroCon am Mi.,27.4.,10:45h beim #BIF1… https://t.co/c1xiS3HhAb</t>
  </si>
  <si>
    <t>Im #SiliconValley kümmert man sich um #ConsumerTech - in #Deutschland um #B2B und #Industrie-#StartUps https://t.co/sdXg56XQC6 #Industrie40</t>
  </si>
  <si>
    <t>C-Level #Consultant | Lecturer | #Speaker |Visionary #DigitalTransformation #Strategist | helping the #Automotive #Industry to become #digital | #BusinessModels</t>
  </si>
  <si>
    <t>Nicolette Barnard</t>
  </si>
  <si>
    <t>Melbourne, Australia</t>
  </si>
  <si>
    <t>Namibian born, South African living happily in Aus! Passionate HR professional working for a great company. Views expressed here are my own.</t>
  </si>
  <si>
    <t>Région ACAL</t>
  </si>
  <si>
    <t>RT @BF_Deutschland: Industrie 4.0 ist im Herzen Europas angekommen #hannovermesse2016 #Industrie40 @hannover_messe @acalregion https://t.c…</t>
  </si>
  <si>
    <t>Bienvenue sur le compte officiel de la Région Alsace Champagne-Ardenne Lorraine. #GrandEst</t>
  </si>
  <si>
    <t>Bitkom: RT Bitkom_I40: Wo liegt der Mehrwert der #Industrie40? Markus Eisel SyroCon am Mi.,27.4.,10:45h beim #BIF1… https://t.co/0rnUb9r21Z</t>
  </si>
  <si>
    <t>HPE Germany</t>
  </si>
  <si>
    <t>Vereinbaren Sie einen Termin mit unseren #HPE-Experten auf der #HM16: https://t.co/iy3UlzhMmx #Industrie40 #IoT https://t.co/g8tgAl9G74</t>
  </si>
  <si>
    <t>#AcceleratingNext Infos zu Cloud, Server, Storage, Netzwerktechnologie, Software und Seminarangeboten von HPE Deutschland. Impressum: https://t.co/dacYPA4Vn5</t>
  </si>
  <si>
    <t>RT @HPE_DE: Vereinbaren Sie einen Termin mit unseren #HPE-Experten auf der #HM16: https://t.co/iy3UlzhMmx #Industrie40 #IoT https://t.co/g8…</t>
  </si>
  <si>
    <t>RT @ITK_OWL: Bitkom: RT Bitkom_I40: Wo liegt der Mehrwert der #Industrie40? Markus Eisel SyroCon am Mi.,27.4.,10:45h beim #BIF1… https://t.…</t>
  </si>
  <si>
    <t>Unterstützt von Business France präsentiert sich die neu formierte Region und mit ihr zehn innova... https://t.co/KliP2OjGgJ #Industrie40</t>
  </si>
  <si>
    <t>RT @WSWMUC: Im #SiliconValley kümmert man sich um #ConsumerTech - in #Deutschland um #B2B und #Industrie-#StartUps https://t.co/sdXg56XQC6…</t>
  </si>
  <si>
    <t>#Kultur Warum #Deutschland bei #Industrie40 die Nase vorne hat - und vielleicht nicht gewinnen kann... https://t.co/CzGYJ6CrZx #disruption</t>
  </si>
  <si>
    <t>Marco Duller</t>
  </si>
  <si>
    <t>#PublicAffairs #Consulting #expert for regulated markets @startupaffairs</t>
  </si>
  <si>
    <t>RT @WSWMUC: #Kultur Warum #Deutschland bei #Industrie40 die Nase vorne hat - und vielleicht nicht gewinnen kann... https://t.co/CzGYJ6CrZx…</t>
  </si>
  <si>
    <t>Jeannette Schollbach</t>
  </si>
  <si>
    <t>SWABR-Software</t>
  </si>
  <si>
    <t>Folgen Sie uns auf @LinkedIn für News &amp; Tipps rund um #SocBiz, #Cloud &amp;amp; #Industrie40 unter https://t.co/HMgBvFMEFk https://t.co/FwiLIegF6u</t>
  </si>
  <si>
    <t>Made in Germany</t>
  </si>
  <si>
    <t>Das Interaktive Intranet für Ihr Unternehmen. News: https://t.co/KH9n1EW7f4 &amp; https://t.co/X6bBsuWHIy. Updates: #social #intranet #microblogging #e20 #socbiz</t>
  </si>
  <si>
    <t>Tracy Gay</t>
  </si>
  <si>
    <t>Ruth Metzler im @10vor10 Studiogespräch zu den Herausforderungen im #Export #Industrie40 https://t.co/5J5yE2HXeA https://t.co/LcvDtrhZnp</t>
  </si>
  <si>
    <t>RT @DanielKueng: Ruth Metzler im @10vor10 Studiogespräch zu den Herausforderungen im #Export #Industrie40 https://t.co/5J5yE2HXeA https://t…</t>
  </si>
  <si>
    <t>Lukas Pfeiffer</t>
  </si>
  <si>
    <t>Jetzt @swabr auf @LinkedIn folgen für News rund um #SocBiz, #Cloud &amp; #Industrie40 unter https://t.co/ojAWN1Y0wM https://t.co/39wmlFXYq6</t>
  </si>
  <si>
    <t>Berlin | Germany</t>
  </si>
  <si>
    <t>#social #business #software @swabr #enterprise20 #cloud #saas #socbiz #e20 #emb #microblogging #socsoft #esn #marketing #berlin</t>
  </si>
  <si>
    <t>Vontobel Zertifikate</t>
  </si>
  <si>
    <t>#Industrie40, #Brexit, #Gold, #Öl - wertvolle Berichte im aktuellen mehrwert-Magazin. Hier kostenlos lesen: https://t.co/2xQE9TpKvy</t>
  </si>
  <si>
    <t>Ihr Anbieter für Aktienanleihen, Zertifikate und Hebelprodukte. Impressum: https://t.co/V6KnT1kFNq</t>
  </si>
  <si>
    <t>RT @swabr: Folgen Sie uns auf @LinkedIn für News &amp; Tipps rund um #SocBiz, #Cloud &amp;amp; #Industrie40 unter https://t.co/HMgBvFMEFk https://t.co/…</t>
  </si>
  <si>
    <t>Dianke Daffe-Rachow</t>
  </si>
  <si>
    <t>K Hall - Author</t>
  </si>
  <si>
    <t>Minnesota, USA</t>
  </si>
  <si>
    <t>The I Do Book ~ Delightful &amp; Funny! An easy read! Supremely Entertaining! A ton of laugh-out-loud fun! I Do takes you on a journey! Don't miss it!</t>
  </si>
  <si>
    <t>Von 2008 bis 2012 hatte die Hamburger Industrie im Rahmen ihrer Selbstverpflichtung den jährliche... https://t.co/qCME9Vrhza #Industrie40</t>
  </si>
  <si>
    <t>RT @H_IT_D: Von 2008 bis 2012 hatte die Hamburger Industrie im Rahmen ihrer Selbstverpflichtung den jährliche... https://t.co/qCME9Vrhza #I…</t>
  </si>
  <si>
    <t>Free License, Hannover Messe, Consulting Packages. In case u missed our recent newsletter, here it is: https://t.co/24lz9mVNAm #industrie40</t>
  </si>
  <si>
    <t>Thorsten Huelsmann</t>
  </si>
  <si>
    <t>www.iml.fraunhofer.de,</t>
  </si>
  <si>
    <t>CEO at EffizienzCluster Management GmbH, Industrial Data Space Association Head Office, Fraunhofer IML, Dortmund, Germany</t>
  </si>
  <si>
    <t>Andy Kuijpers</t>
  </si>
  <si>
    <t>N 51°25' 0'' / E 5°33' 0''</t>
  </si>
  <si>
    <t>@steffi_kow please follow us and also would like to connect with you about #Industrie40 and #IIoT</t>
  </si>
  <si>
    <t>PROJECT CONSULT</t>
  </si>
  <si>
    <t>Independent Management Consulting for EIM Enterprise Information, ECM Enterprise Content, PM Project &amp; CM Change Management in Germany | http://t.co/Gcvvjbdy</t>
  </si>
  <si>
    <t>RT @DIGITUSmagazin: DIGITUS bringt #VernetzteProduktion #Industrie40 auf@hannover_messe: Initialzündung für #Industrie40 @fraunhoferiao :ht…</t>
  </si>
  <si>
    <t>RT @DIGITUSmagazin: Sicheres #BPM für #Industrie40 @Jürgen Huhle für @aristaflow im #DIGITUSmagazin: https://t.co/jxj9B8JpNN #digitalisier…</t>
  </si>
  <si>
    <t>Digitalization Makes an Impact. https://t.co/VNKbF1Netm #IIoT #HM16 #Industrie40 https://t.co/fCy1XizYj1</t>
  </si>
  <si>
    <t>Connect your “things” to your “apps”. Seamlessly integrate any device, production asset &amp; remote sensor with enterprise systems. #IoT #IIoT #Industry40</t>
  </si>
  <si>
    <t>Telematik-Markt.de</t>
  </si>
  <si>
    <t>weitere #Industrie40-Lösung mit einem #roboter der markieren, lesen, prüfen kann #Telematik https://t.co/ftLEVB8tJj https://t.co/dbb1eOsxuK</t>
  </si>
  <si>
    <t>Mediengruppe Telematik-Markt.de: Print - Online - TV (Telematik vernetzt Telekommunikation, Navigation, Ortung und Informatik) Der beste Blick auf die Branche!</t>
  </si>
  <si>
    <t>Sarah Hashish</t>
  </si>
  <si>
    <t>RT @osanten: Only two days before @POTUS inaugurates #HannoverMesse! Can't wait to see him there. #HM16 #Industrie40 https://t.co/kuGkBIJadg</t>
  </si>
  <si>
    <t>Proud Egyptian &amp; Siemens H-Class gas turbines junkie. A digital immigrant whose soul is in fact that of a digital native. All views are my own!</t>
  </si>
  <si>
    <t>Microsoft Mfg</t>
  </si>
  <si>
    <t>Hannover Messe 2016: Epicenter of #Industrie40 https://t.co/NxsfwLgTA8 @MicrosoftIoT | #HM16 #IoT https://t.co/OANkWrTCxw</t>
  </si>
  <si>
    <t>Redmond, WA</t>
  </si>
  <si>
    <t>The official Twitter page for Microsoft’s worldwide industry group in the automotive, aerospace, industrial, high tech &amp; electronics sectors.</t>
  </si>
  <si>
    <t>Mariner</t>
  </si>
  <si>
    <t>msftmfg: Hannover Messe 2016: Epicenter of #Industrie40 https://t.co/Sq3rCmTicr MicrosoftIoT | #HM16 #IoT https://t.co/DOEzwGFxgl</t>
  </si>
  <si>
    <t>Charlotte, NC</t>
  </si>
  <si>
    <t>Applying advanced analytics, IoT &amp; machine learning to help business leaders quickly draw a target on the results they want &amp; deliver measurable ROI,</t>
  </si>
  <si>
    <t>Phil Morris</t>
  </si>
  <si>
    <t>philip_w_morris: msftmfg: Hannover Messe 2016: Epicenter of #Industrie40 https://t.co/pylmrB3kdD MicrosoftIoT | #… https://t.co/DSTutJ859Q</t>
  </si>
  <si>
    <t>Charlotte NC</t>
  </si>
  <si>
    <t>CEO of @MarinerLLC enabling digital transformation through advanced analytics and IoT. Father of 4. Guitarist with delusions of adequacy. Award winning brewer.</t>
  </si>
  <si>
    <t>Colby Ford, M.Sc.</t>
  </si>
  <si>
    <t>msftmfg: Hannover Messe 2016: Epicenter of #Industrie40 https://t.co/F1c4ezdNYF MicrosoftIoT | #HM16 #IoT https://t.co/uDwqmbJiPH</t>
  </si>
  <si>
    <t>| Applied Mathematician &amp; Data Scientist | PhD student in Bioinformatics and Computational Biology | Quod Erat Demonstrandum |</t>
  </si>
  <si>
    <t>RT @TelematikMarkt: weitere #Industrie40-Lösung mit einem #roboter der markieren, lesen, prüfen kann #Telematik https://t.co/ftLEVB8tJj htt…</t>
  </si>
  <si>
    <t>Kirsten Dohmeyer</t>
  </si>
  <si>
    <t>automotive electronics marketing and business strategy communication at Bosch - thoughts on this space are my own.</t>
  </si>
  <si>
    <t>Joseph Guy</t>
  </si>
  <si>
    <t>MarinerLLC: msftmfg: Hannover Messe 2016: Epicenter of #Industrie40 https://t.co/Z23lTpQ8Gr MicrosoftIoT | #HM16 … https://t.co/LSP0BNWZKR</t>
  </si>
  <si>
    <t>Charlotte</t>
  </si>
  <si>
    <t>@MarinerLLC co-founder, family lovin', tennis bum, foodie</t>
  </si>
  <si>
    <t>Want to know how to make #Industrie40 work for you? Watch this video! #HM16 https://t.co/41UaLYqdyO https://t.co/0J144ErB2e</t>
  </si>
  <si>
    <t>Sally Ann Frank</t>
  </si>
  <si>
    <t>msftmfg: Hannover Messe 2016: Epicenter of #Industrie40 https://t.co/7th9DulA2X MicrosoftIoT | #HM16 #IoT https://t.co/dHR1yVMX7A</t>
  </si>
  <si>
    <t>#Geek &amp; #Yogi, #MFG &amp; #Distribution Industry #Marketing Mgr @Microsoft for #DynamicsCRM &amp; #DynamicsAX. Lover of all things #IoT. #Yogi &amp; studio owner @TheBindu.</t>
  </si>
  <si>
    <t>RT @sallyafrank: msftmfg: Hannover Messe 2016: Epicenter of #Industrie40 https://t.co/7th9DulA2X MicrosoftIoT | #HM16 #IoT https://t.co/dHR…</t>
  </si>
  <si>
    <t>EngineeringFutures</t>
  </si>
  <si>
    <t>RT @zen_mfg: Great, short, motivational read about #industrie40 &amp; #ukmfg! https://t.co/GkZ4ROmqkv</t>
  </si>
  <si>
    <t>Teesside</t>
  </si>
  <si>
    <t>Founded 1864 - one of the oldest institution of its kind in the World. Uniting and Educating the: Scientific; Materials; Metallurgical; Engineering community</t>
  </si>
  <si>
    <t>design work w tangible prototypes #Industrie40 #iot #sap by Thomas and Olekd https://t.co/f1CdRwIdXq</t>
  </si>
  <si>
    <t>@foresight_lab @PascalFrai Durch #Industrie40 bekommen wir eine #Chance das #Gesamtkonzept unserer #Gesellschaft neu zu überdenken</t>
  </si>
  <si>
    <t>RT @tomweisz: @foresight_lab @PascalFrai Durch #Industrie40 bekommen wir eine #Chance das #Gesamtkonzept unserer #Gesellschaft neu zu überd…</t>
  </si>
  <si>
    <t>Klaus</t>
  </si>
  <si>
    <t>Germany, Bargteheide</t>
  </si>
  <si>
    <t>born '71, programming &amp;ge;'86, studied some physics &amp; it, software engineer &amp;ge;'97, #Java+EE &amp;ge;'98, #Freifunk + #IoT enthusiast &amp;ge;'14. Threema-ID YMUJWEMC</t>
  </si>
  <si>
    <t>RT @ReboredoPedro: Looking forward for a great #HM16 with SmartFactory-KL! https://t.co/1Dz6muYapX #Industrie40 #InternetOfThings @DFKI</t>
  </si>
  <si>
    <t>Peter Schleinitz</t>
  </si>
  <si>
    <t>An IBM #Industrie40 PoV shows, how manufacturing will change thru increased integration, analytics: https://t.co/3srutgaIOy</t>
  </si>
  <si>
    <t>Erfurt, Germany</t>
  </si>
  <si>
    <t>Executive Architect @ IBM. Tweets and opinions are my own.</t>
  </si>
  <si>
    <t>en sich anderen führenden Unternehmen für Verbraucher- und Industrieprodukte an, wie etwa Procter... https://t.co/QufNJxR2EC #Industrie40</t>
  </si>
  <si>
    <t>RT @H_IT_D: en sich anderen führenden Unternehmen für Verbraucher- und Industrieprodukte an, wie etwa Procter... https://t.co/QufNJxR2EC #I…</t>
  </si>
  <si>
    <t>Carsten Dierig</t>
  </si>
  <si>
    <t>"Es muss radikal umgedacht werden" – @ZVEIorg-Präsident Ziesemer über #Industrie40 und #Obama @hannover_messe https://t.co/Ybh5Joo6xh @welt</t>
  </si>
  <si>
    <t>Reporter für die Wirtschaftsredaktion von WELT und Welt am Sonntag</t>
  </si>
  <si>
    <t>RT @CarstenDierig: "Es muss radikal umgedacht werden" – @ZVEIorg-Präsident Ziesemer über #Industrie40 und #Obama @hannover_messe https://t.…</t>
  </si>
  <si>
    <t>Peter Poulin</t>
  </si>
  <si>
    <t>Mobility's role in #Industry40, #industrie40 https://t.co/Y99aO7SabF</t>
  </si>
  <si>
    <t>Husband, Father, Tech startup and turnaround guy - currently tweeting about business transformation, marketing, sales, mobile computing, and @motioncomputing</t>
  </si>
  <si>
    <t>Julijana Ristov</t>
  </si>
  <si>
    <t>Manchester, England</t>
  </si>
  <si>
    <t>Business Manager @Siemens. Love people, Engineering and creativity. Wife to a great guy and mum of gorgeous twin boys. All views expressed here are my own!</t>
  </si>
  <si>
    <t>Gregor Rodehüser</t>
  </si>
  <si>
    <t>#Industrie40 bedeutet mehr als eine smarte Fabrik: https://t.co/mNiFMxb87L #HM16 #infineon https://t.co/VgNJbAQRA3</t>
  </si>
  <si>
    <t>Pressesprecher @Infineon. Verreist, vernetzt, verbal. Views are my own. Versprochen.</t>
  </si>
  <si>
    <t>RT @GregRodehueser: #Industrie40 bedeutet mehr als eine smarte Fabrik: https://t.co/mNiFMxb87L #HM16 #infineon https://t.co/VgNJbAQRA3</t>
  </si>
  <si>
    <t>Looking forward to an awesome week at #HannoverMesse #IIoT #AugmentedReality #Industrie40 😬 https://t.co/3tC31TTmSD</t>
  </si>
  <si>
    <t>Bernd Hops</t>
  </si>
  <si>
    <t>Head of External Communications @Infineon - Views are my own, retweet ≠ endorsement</t>
  </si>
  <si>
    <t>Thorsten Meier</t>
  </si>
  <si>
    <t>Martin Wibbe</t>
  </si>
  <si>
    <t>RT @Bitkom: Bitkom auf @hannover_messe – in diesem Jahr mit Forum und Gemeinschaftsstand: https://t.co/4PHsXb70Tp #Industrie40 https://t.co…</t>
  </si>
  <si>
    <t>Global Sales COO for @Atos Industry Clients, european IT-champion, @Atos_IDA leader &amp; world-class solutions! loves cooking, sports and #AtosDigital fanatic</t>
  </si>
  <si>
    <t>Thomas Bürger</t>
  </si>
  <si>
    <t>Jetzt: #FUTURALE-Festivalgespräch zu #Industrie40 - Konkurrenz o. Kooperation? mit @SCANOTEC @IGMetall_BW @uni_tue https://t.co/cDB1As7zG5</t>
  </si>
  <si>
    <t>Onuora Ogbukagu</t>
  </si>
  <si>
    <t>HANNOVER MESSE Spokesman</t>
  </si>
  <si>
    <t>RT @BMAS_Bund: Jetzt: #FUTURALE-Festivalgespräch zu #Industrie40 - Konkurrenz o. Kooperation? mit @SCANOTEC @IGMetall_BW @uni_tue https://t…</t>
  </si>
  <si>
    <t>Antonio Figueiredo</t>
  </si>
  <si>
    <t>Why Everyone Must Get Ready For The 4th Industrial Revolution via @forbes https://t.co/dLQcHmNUum #Industrie40</t>
  </si>
  <si>
    <t>Global Director of Internet of Things @Salesforce. Twits on #IoT, #BigData, #DigitalTransformation #Mobile, #API and more. Views expressed are my own.</t>
  </si>
  <si>
    <t>Kristian Erik Munk</t>
  </si>
  <si>
    <t>RT @afigueiredo: Why Everyone Must Get Ready For The 4th Industrial Revolution via @forbes https://t.co/dLQcHmNUum #Industrie40</t>
  </si>
  <si>
    <t>7430 Ikast Denmark Europe</t>
  </si>
  <si>
    <t>Man, 41 year, is computer geek in microsoft windows and ms office. Also techie interest internet og network and coding, are single</t>
  </si>
  <si>
    <t>Robert Jansen</t>
  </si>
  <si>
    <t>http://t.co/KVCxnhmcfC / Techniek&amp;Marketing / Sales / Bosschenaar / Volley / Bassist / Vader</t>
  </si>
  <si>
    <t>JeffersonUK</t>
  </si>
  <si>
    <t>Frodsham, England</t>
  </si>
  <si>
    <t>Jefferson UK is the recruitment partner of choice for the advanced manufacturing sector adopting lean principles into its own #recruitmentfactory 07756 408579</t>
  </si>
  <si>
    <t>Oliver</t>
  </si>
  <si>
    <t>RT @Bitkom: Schluss mit Silodenken: Weg zur #industrie40 erfordert Offenheit für neue digitale Geschäftsmodelle @CapgeminiDE: https://t.co/…</t>
  </si>
  <si>
    <t>Nordrhein-Westfalen, Deutschland</t>
  </si>
  <si>
    <t>Die Innovationskraft der Branche wurde auch in diesem Jahr auf der Prolight + Sound deutlich. „Ei... https://t.co/LvDC46fbFY #Industrie40</t>
  </si>
  <si>
    <t>RT @H_IT_D: Die Innovationskraft der Branche wurde auch in diesem Jahr auf der Prolight + Sound deutlich. „Ei... https://t.co/LvDC46fbFY #I…</t>
  </si>
  <si>
    <t>Ohne #CloudComputing braucht man über #Industrie40 nicht nachdenken https://t.co/rmPn5AzueE - ist das auch sicher? https://t.co/fZDyMembal</t>
  </si>
  <si>
    <t>RT @TLinn_Visionico: Ohne #CloudComputing braucht man über #Industrie40 nicht nachdenken https://t.co/rmPn5AzueE - ist das auch sicher? htt…</t>
  </si>
  <si>
    <t>#Digitalisierung &amp; #Industrie40 gehört zusammen! #Visionico meint: https://t.co/A2or8NnSx6 #BigData #IoT #ERP https://t.co/WoWoG1GE10</t>
  </si>
  <si>
    <t>RT @TLinn_Visionico: #Digitalisierung &amp; #Industrie40 gehört zusammen! #Visionico meint: https://t.co/A2or8NnSx6 #BigData #IoT #ERP https…</t>
  </si>
  <si>
    <t>Reinhold Achatz</t>
  </si>
  <si>
    <t>bluecue consulting</t>
  </si>
  <si>
    <t>Die Spezialisten für den digitalen Wandel, https://t.co/IXdSiUM5Fu</t>
  </si>
  <si>
    <t>Rudolf Hurth</t>
  </si>
  <si>
    <t>Warum #Industrie40? In einer Minute von Gunnar Ebner erklärt [Video] https://t.co/XB4JkIZkj8 ^bas</t>
  </si>
  <si>
    <t>Treffen Sie UL bei Hannover Messe 2016, und lernen sie wie wir #Industrie40 unterstützen: https://t.co/kfDbTXPQnU https://t.co/dp86Nbv1GO</t>
  </si>
  <si>
    <t>Treffen Sie UL bei Hannover Messe 2016, und lernen sie wie wir #Industrie40 unterstützen: https://t.co/0ImJ8pbFry https://t.co/19qFcavaK2</t>
  </si>
  <si>
    <t>#France, #Suisse et #Allemagne : à chacun sa vision de l'#industriedufutur https://t.co/dNGFn74T7m #industrie40 https://t.co/QIvIfytIVg</t>
  </si>
  <si>
    <t>Internet of Things Solutions | IoT Scenarios | SAP #iot #Industrie40 https://t.co/zKkZOAx8Pf</t>
  </si>
  <si>
    <t>RT @ProdMgrNet: Internet of Things Solutions | IoT Scenarios | SAP #iot #Industrie40 https://t.co/zKkZOAx8Pf</t>
  </si>
  <si>
    <t>Christoph Richter</t>
  </si>
  <si>
    <t>Hersbruck</t>
  </si>
  <si>
    <t>Unterwegs in Sachen Wein und Social Media</t>
  </si>
  <si>
    <t>Wollen Sie wissen , wie Sie #industrie40 realsieren können? Video ansehen!: #hm16 https://t.co/WASkZjUYmW https://t.co/0wwFJt1zVu</t>
  </si>
  <si>
    <t>Wollen Sie wissen , wie Sie #industrie40 realsieren können? Video ansehen!: #hm16 https://t.co/c19aYcigHT https://t.co/NEqSk2vpKl</t>
  </si>
  <si>
    <t>Wollen Sie wissen , wie Sie #industrie40 realsieren können? Video ansehen!: #hm16 https://t.co/2SuqQ2zhXw https://t.co/evbjO6Hapk</t>
  </si>
  <si>
    <t>RT @ROKAutoCHDE: Wollen Sie wissen , wie Sie #industrie40 realsieren können? Video ansehen!: #hm16 https://t.co/2SuqQ2zhXw https://t.co/evb…</t>
  </si>
  <si>
    <t>RT @ROKAutomationDE: Wollen Sie wissen , wie Sie #industrie40 realsieren können? Video ansehen!: #hm16 https://t.co/c19aYcigHT https://t.co…</t>
  </si>
  <si>
    <t>RT @ROKAutomationAT: Wollen Sie wissen , wie Sie #industrie40 realsieren können? Video ansehen!: #hm16 https://t.co/WASkZjUYmW https://t.co…</t>
  </si>
  <si>
    <t>"Als iRobot 2003 an die Börse ging, standen 13 Millionen US-Dollar Umsatz und ein Verlust in Höhe... https://t.co/rGe8eTrSmq #Industrie40</t>
  </si>
  <si>
    <t>#Digitalisierungsdruck bei deutschen Unternehmen nimmt zu #Industrie40 auf Hannover Messe via https://t.co/wbyr1Fj7fK @MeinGeldMedien</t>
  </si>
  <si>
    <t>Wie der Einsatz eines #SmartProductszu signifikanten Effizienzsteigerungen in der #Industrie40 führen kann https://t.co/fiN6pBqSrZ #IoT ^bas</t>
  </si>
  <si>
    <t>RT @MeinGeldMedien: #Digitalisierungsdruck bei deutschen Unternehmen nimmt zu #Industrie40 auf Hannover Messe via https://t.co/wbyr1Fj7fK @…</t>
  </si>
  <si>
    <t>RT @H_IT_D: "Als iRobot 2003 an die Börse ging, standen 13 Millionen US-Dollar Umsatz und ein Verlust in Höhe... https://t.co/rGe8eTrSmq #I…</t>
  </si>
  <si>
    <t>Heiko Geiger</t>
  </si>
  <si>
    <t>RT @Vontobel_FP_DE: #Industrie40, #Brexit, #Gold, #Öl - wertvolle Berichte im aktuellen mehrwert-Magazin. Hier kostenlos lesen: https://t.c…</t>
  </si>
  <si>
    <t>Wirklich ein paar nette #Beispiele aus der Praxis #IoT #Industrie40 https://t.co/MeZAbN1R6O</t>
  </si>
  <si>
    <t>Unser Exponat ist auch schon da, es kann also losgehen! Ready for #HM16, https://t.co/kjQWosgZns #industrie40 https://t.co/o7aaCwytn6</t>
  </si>
  <si>
    <t>GTAI_Hong Kong</t>
  </si>
  <si>
    <t>Hong Kong</t>
  </si>
  <si>
    <t>Franc J. Dorfer</t>
  </si>
  <si>
    <t>Montag kommt neuer #report zu #industrie40 des @strategicpolicyforumfordigitalentrepreneurship https://t.co/wEVYPUIoy0</t>
  </si>
  <si>
    <t>Unternehmer | apeiron Corporate Finance GmbH</t>
  </si>
  <si>
    <t>RT @FJDorfer: Montag kommt neuer #report zu #industrie40 des @strategicpolicyforumfordigitalentrepreneurship https://t.co/wEVYPUIoy0</t>
  </si>
  <si>
    <t>#Industrie40: Infineon macht Vernetzung greifbar; 30 Mrd EUR Invest bis 2020 #HM16 #Infineon https://t.co/mNiFMxb87L https://t.co/k9bYtzsCNj</t>
  </si>
  <si>
    <t>IT-MITTELSTAND</t>
  </si>
  <si>
    <t>EMS-Dienstleister mit smarter Fertigung https://t.co/35SqMrsngP Ersa begleitet Limtronik auf dem Weg zur #Industrie40</t>
  </si>
  <si>
    <t>Bergisch Gladbach</t>
  </si>
  <si>
    <t>IT-Business im Mittelstand - Impressum: http://t.co/YfjtgYYqLk</t>
  </si>
  <si>
    <t>RT @ITMredaktion: EMS-Dienstleister mit smarter Fertigung https://t.co/35SqMrsngP Ersa begleitet Limtronik auf dem Weg zur #Industrie40</t>
  </si>
  <si>
    <t>RT @GregRodehueser: #Industrie40: Infineon macht Vernetzung greifbar; 30 Mrd EUR Invest bis 2020 #HM16 #Infineon https://t.co/mNiFMxb87L ht…</t>
  </si>
  <si>
    <t>Wer ist noch auf dem Weg zur #HM16 #boldlygo #Industrie40</t>
  </si>
  <si>
    <t>#Industrie40: Infineon macht Vernetzung greifbar #HM16 #Infineon https://t.co/mNiFMxb87L https://t.co/2BV5CtCAsW</t>
  </si>
  <si>
    <t>Blogthema #industrie40 -Digitale Gewinner brauchen revolutionäre Ideen #HMI #Bitkom https://t.co/y0oy3qoQKu</t>
  </si>
  <si>
    <t>Markus</t>
  </si>
  <si>
    <t>RT @BOLDLYGO_FFM: Wer ist noch auf dem Weg zur #HM16 #boldlygo #Industrie40</t>
  </si>
  <si>
    <t>markus_boehm_ twittert hier privat. Ansonsten auch für @BOLDLYGO_FFM oder @SUNBF_BLOG</t>
  </si>
  <si>
    <t>Sonderschau Predictive Maintenance 4.0 zeigt wie es geht @hannover_messe https://t.co/qiUqU4qn0Z #HM16 #Industrie40 https://t.co/T8nfFoqIlN</t>
  </si>
  <si>
    <t>RT @VDMAonline: Sonderschau Predictive Maintenance 4.0 zeigt wie es geht @hannover_messe https://t.co/qiUqU4qn0Z #HM16 #Industrie40 https:/…</t>
  </si>
  <si>
    <t>RT @CapgeminiDE: Blogthema #industrie40 -Digitale Gewinner brauchen revolutionäre Ideen #HMI #Bitkom https://t.co/y0oy3qoQKu</t>
  </si>
  <si>
    <t>Video: Kompetenzaufbau in der #Industrie40 - eine mobile Lösung für adaptives Lernen https://t.co/2ReZNOsaPQ</t>
  </si>
  <si>
    <t>RT @acatech_de: Video: Kompetenzaufbau in der #Industrie40 - eine mobile Lösung für adaptives Lernen https://t.co/2ReZNOsaPQ</t>
  </si>
  <si>
    <t>Den Sprung zur #Industrie40 schaffen: @MatthesDerdack @Derdack am Di.,26.4.,10:45h beim #BIF16 @hannover_messe #HM16 https://t.co/VUerhMZo2a</t>
  </si>
  <si>
    <t>The #boldlygo #Industrie40 crew has finally landed @ #HM16 #HM16USA</t>
  </si>
  <si>
    <t>RT @Bitkom_I40: Den Sprung zur #Industrie40 schaffen: @MatthesDerdack @Derdack am Di.,26.4.,10:45h beim #BIF16 @hannover_messe #HM16 https:…</t>
  </si>
  <si>
    <t>Matthes Derdack</t>
  </si>
  <si>
    <t>Potsdam, GER / Richmond, US</t>
  </si>
  <si>
    <t>Entrepreneur, #DesignThinking fan, MBA &amp; CEO of @Derdack vendor of enterprise software for reliable alert notifications and anywhere incident response</t>
  </si>
  <si>
    <t>Matthias</t>
  </si>
  <si>
    <t>Interested in #industry40 and #iot Likes #startup and #opensource LinkedIn: https://t.co/FxzuRlUwe3 Blog: https://t.co/WvMbBxPlOX</t>
  </si>
  <si>
    <t>Nix Nix</t>
  </si>
  <si>
    <t>RT @AxoomDe: #AXOOM &amp; #TRUMPF gewinnen Innovationspreis der deutschen Wirtschaft Kategorie #Industrie40 https://t.co/O576iGC8jm https://t.c…</t>
  </si>
  <si>
    <t>twicca</t>
  </si>
  <si>
    <t>#Industrie40 gute Chancen für Deutschland aber Gefahr doch zu verlieren, ua weil #digitale #Geschäftsmodelle fehlen https://t.co/Egr0vn5v5f</t>
  </si>
  <si>
    <t>ralf nick</t>
  </si>
  <si>
    <t>RT @CapgeminiDE: Erfüllt Ihr Unternehmen bereits die notwendigen Voraussetzungen für die #Industrie40? https://t.co/DjtwnwG6cD ^bas https:…</t>
  </si>
  <si>
    <t>Germany_RheinMain</t>
  </si>
  <si>
    <t>...schon beim Zuschauen kann man eine Menge sehen..., Yogi Berra</t>
  </si>
  <si>
    <t>RT @NeleReimers: #Industrie40 gute Chancen für Deutschland aber Gefahr doch zu verlieren, ua weil #digitale #Geschäftsmodelle fehlen https:…</t>
  </si>
  <si>
    <t>Anke Knopp</t>
  </si>
  <si>
    <t>@mluebbecke sehe ich auch so #Industrie40 #ManagerMagazin</t>
  </si>
  <si>
    <t>gern unterwegs für kreative Destruktion #SmartCity #SmartCountry #Digitales lieb ich</t>
  </si>
  <si>
    <t>Mirko Ross</t>
  </si>
  <si>
    <t>#Industrie40 is boosing in south west #germany and @digital_worx is part of it! https://t.co/r3QODgZG8k https://t.co/svjRfkwr8P</t>
  </si>
  <si>
    <t>Stuttgart Germany</t>
  </si>
  <si>
    <t>CEO, #Entrepreneur, #IoT Evangelist, #Geek, #Speaker and #Lecturer</t>
  </si>
  <si>
    <t>Countries with the most #IoT Devices. https://t.co/cVezYIWkPp #Industrie40 #cloudcomputing @verlinked #m2m</t>
  </si>
  <si>
    <t>RT @nowanda1: @mluebbecke sehe ich auch so #Industrie40 #ManagerMagazin</t>
  </si>
  <si>
    <t>Lenze Benelux</t>
  </si>
  <si>
    <t>We show a revolution at #HM2016 Hall 4 on @Brainport_Ind #Industrie40 #verticalintegration @Lenze_Gruppe Be there! https://t.co/uYg4RX1kIt</t>
  </si>
  <si>
    <t xml:space="preserve">s-Hertogenbosch and Bornem </t>
  </si>
  <si>
    <t>The latest tweets from Lenze Benelux @Lenze_Benelux a subsidiary of Lenze SE, is a global leader in industrial drive &amp; automation solutions</t>
  </si>
  <si>
    <t>Brainport Industries</t>
  </si>
  <si>
    <t>RT @lenze_benelux: We show a revolution at #HM2016 Hall 4 on @Brainport_Ind #Industrie40 #verticalintegration @Lenze_Gruppe Be there! htt…</t>
  </si>
  <si>
    <t>Eindhoven</t>
  </si>
  <si>
    <t>Dutch First, second and third tier suppliers in the High Tech Open Supply Chain teamed up to create Brainport Industries, managed by @JohnBlankendaal</t>
  </si>
  <si>
    <t>Nikolaus Reuter</t>
  </si>
  <si>
    <t>Germany, Mannheim</t>
  </si>
  <si>
    <t>CEO und Gründer der Etengo-Unternehmensgruppe. Dem spezialisierten Personaldienstleister für freiberufliche IT- Experten.</t>
  </si>
  <si>
    <t>robert gaertner</t>
  </si>
  <si>
    <t>#Industrie40 https://t.co/WeHWdlMTWf</t>
  </si>
  <si>
    <t>RT @GregRodehueser: #Industrie40: Infineon macht Vernetzung greifbar #HM16 #Infineon https://t.co/mNiFMxb87L https://t.co/2BV5CtCAsW</t>
  </si>
  <si>
    <t>#Industrie40 noch ohne Big Bang #Innovation? #Disruption? #Hannovermesse: „Es muss radikal umgedacht werden“ @welt https://t.co/QRVDeTjRow</t>
  </si>
  <si>
    <t>#Industrie40 keine Vision, sondern Realität: Mehr dazu von #Bosch auf der #HM16 ab 25.04. https://t.co/L8GsLWeedE https://t.co/JZaKQIueNO</t>
  </si>
  <si>
    <t>RT @BoschPresse: #Industrie40 keine Vision, sondern Realität: Mehr dazu von #Bosch auf der #HM16 ab 25.04. https://t.co/L8GsLWeedE https:/…</t>
  </si>
  <si>
    <t>RT @edmundkomar: #Industrie40 noch ohne Big Bang #Innovation? #Disruption? #Hannovermesse: „Es muss radikal umgedacht werden“ @welt https:/…</t>
  </si>
  <si>
    <t>Carsten Pätz</t>
  </si>
  <si>
    <t>Cuxhaven</t>
  </si>
  <si>
    <t>Webaffiner Exilsachse • seit 2002 an der Elbmündung als Mediaplaner in der Dentalindustrie tätig • hinterfragend • gesellschaftskritisch • kreativ</t>
  </si>
  <si>
    <t>Janis Beenen</t>
  </si>
  <si>
    <t>Unterhaltsame Auseinandersetzung mit einer überstrapazierten Bezeichnung. #Industrie40 #wirtschaft https://t.co/JkvME0GcIF</t>
  </si>
  <si>
    <t>Wirtschaftspolitischer Journalismus @TU_Dortmund / Mitarbeiter Westdeutsche Zeitung am schönen #Niederrhein</t>
  </si>
  <si>
    <t>@SGE #Switzerland is very well positionnend to prevail in the #Industrie40 race. And we already are in Change mode https://t.co/4Cq7iGblVE</t>
  </si>
  <si>
    <t>"Es muss radikal umgedacht werden" – @ZVEIorg-Präsident Ziesemer über #Industrie40 https://t.co/nCUKCuAbDh</t>
  </si>
  <si>
    <t>Fraunhofer IPK</t>
  </si>
  <si>
    <t>#HannoverMesse und #Industrie40: So langsam geht es los. Die Kanaldeckel sind gesichert und der Stand vom... https://t.co/4IGNTDb2M7</t>
  </si>
  <si>
    <t>Impressum: http://t.co/2JLsdKpd7y</t>
  </si>
  <si>
    <t>Modular aufgebaut, besteht CarryPick aus mobilen Warenträgern, mobilen Robotern, multifunktionale... https://t.co/Y9sDTSgIyL #Industrie40</t>
  </si>
  <si>
    <t>Industrie pro TTIP</t>
  </si>
  <si>
    <t>Die Elektroindustrie braucht #TTIP um mit den USA den industriellen Wandel zu gestalten #Industrie40 #WeWantTTIP https://t.co/7mPs6PEg0A</t>
  </si>
  <si>
    <t>Der Bundesverband der Deutschen Industrie (@Der_BDI) zu #TTIP. The Federation of German Industries (BDI) on anything concerning TTIP.</t>
  </si>
  <si>
    <t>Armin Laschet</t>
  </si>
  <si>
    <t>RT @BDI_TTIP: Die Elektroindustrie braucht #TTIP um mit den USA den industriellen Wandel zu gestalten #Industrie40 #WeWantTTIP https://t.co…</t>
  </si>
  <si>
    <t>Aachen / Düsseldorf</t>
  </si>
  <si>
    <t>Landesvorsitzender der CDU Nordrhein-Westfalen und stellv. Bundesvorsitzender der CDU Deutschlands</t>
  </si>
  <si>
    <t>Andreas Hallaschka</t>
  </si>
  <si>
    <t>Kasseläner im Hamburger Exil</t>
  </si>
  <si>
    <t>Journalist, evangelisch. Leidenschaft für Kultur, Reisen, Fussball, Politik. Religionen, Bücher und klassisch gute Musik, Kassel und ידיד ישראל</t>
  </si>
  <si>
    <t>Alleantia srl</t>
  </si>
  <si>
    <t>The Virtual Digital Factory showcase @MECSPE 2016 #IoT #Industrie40 plug &amp; play https://t.co/3mwWPKLOKR</t>
  </si>
  <si>
    <t>Plug &amp; Play Internet of Things. Transform any electronic device into a smarter+connected device in seconds.</t>
  </si>
  <si>
    <t>IngenieurVersteher</t>
  </si>
  <si>
    <t>#Digitalisierung #Industrie40 #Innovation #Nürnberg https://t.co/aVM2H0aWn6</t>
  </si>
  <si>
    <t>online@ingenieurversteher.de</t>
  </si>
  <si>
    <t>//Analyst//Blogger//Keynote-Speaker// mit den Fokusthemen #Digitalisierung und #Industrie40</t>
  </si>
  <si>
    <t>Yashar Azad</t>
  </si>
  <si>
    <t>.@Siemens CEO Joe Kaeser talk w/ @BILD about the #Future &amp; the impact of #digitalization #Industrie40 https://t.co/ArH8UZkcDT</t>
  </si>
  <si>
    <t>Munich Germany</t>
  </si>
  <si>
    <t>Born in Iran. Grew up in Germany. Working globally as Spokesman @Siemens. @FCBayern-Member. Former @welt @dapd @SPORT1 Views=mine</t>
  </si>
  <si>
    <t>Ronald Czachara</t>
  </si>
  <si>
    <t>Entrepreneur, Co-Founder of Derdack - Software for Mission-Critical Notifications and Mobile Response</t>
  </si>
  <si>
    <t>Am Montag gehts los! Brandaktuelles Thema #Industrie40 und zeitgerecht zur #hm2016 https://t.co/TvK2xmR1SA</t>
  </si>
  <si>
    <t>Indranil Sircar</t>
  </si>
  <si>
    <t>Hannover Messe 2016: Epicenter of #Industrie40 https://t.co/VM39imQXEi @MicrosoftIoT | #HM16 #IoT</t>
  </si>
  <si>
    <t>San Francisco Bay Area</t>
  </si>
  <si>
    <t>Director, Industry Technical Strategy, Manufacturing</t>
  </si>
  <si>
    <t>RT @THINK_ING: Am Montag gehts los! Brandaktuelles Thema #Industrie40 und zeitgerecht zur #hm2016 https://t.co/TvK2xmR1SA</t>
  </si>
  <si>
    <t>Besuch Sie uns in Halle 16 auf Stand A04. #HannoverMesse #itsOWL #Industrie40 #IoT #m2m #cloudcomputing @verlinked https://t.co/xiCf3ChNR8</t>
  </si>
  <si>
    <t>RT @verlinked: Besuch Sie uns in Halle 16 auf Stand A04. #HannoverMesse #itsOWL #Industrie40 #IoT #m2m #cloudcomputing @verlinked https://t…</t>
  </si>
  <si>
    <t>Jürgen Anke</t>
  </si>
  <si>
    <t>RT @acatech_de: Ab Montag Industrie 4.0 Wissen für alle: https://t.co/jpHT0FyTxS ... Hands-on #industrie40! https://t.co/yi8uYcZBHc https:…</t>
  </si>
  <si>
    <t>Dresden, Germany</t>
  </si>
  <si>
    <t>Professor of Information Systems at @HfTL. Passionate about Internet of Things, Smart Services, Business Model Innovation and Sailing. (Tweets in EN &amp; DE) #IoT</t>
  </si>
  <si>
    <t>chirper2771</t>
  </si>
  <si>
    <t>Freedoms, rights, ethics. Respect and care for all Creations of God. Above all, respect for God. Clean industry. Renewable energy, resources. Technocrat.</t>
  </si>
  <si>
    <t>RTI</t>
  </si>
  <si>
    <t>Kaiserslautern, Germany</t>
  </si>
  <si>
    <t>Das Twitter-Team des Referates Technologie und Innovation der TU Kaiserslautern berichtet für Wissenschaft und Wirtschaft.</t>
  </si>
  <si>
    <t>Ad Overdevest</t>
  </si>
  <si>
    <t>Bleiswijk</t>
  </si>
  <si>
    <t>Katja Stepping</t>
  </si>
  <si>
    <t>RT @CapgeminiDE: Fehlende Koordination und fehlender Mut zur Veränderung blockieren Unternehmen auf dem Weg in die #Industrie40 https://t.c…</t>
  </si>
  <si>
    <t>Marketing enthusiast on the move to digital marketing enthusiast</t>
  </si>
  <si>
    <t>RT @CapgeminiDE: #Industrie40 -Liefern Start-ups womöglich die revolutionären Ideen? #HMI #Bitkom https://t.co/y0oy3qoQKu ^mar https://t.c…</t>
  </si>
  <si>
    <t>Siluad Hammad</t>
  </si>
  <si>
    <t>RT @YasharAzad: .@Siemens CEO Joe Kaeser talk w/ @BILD about the #Future &amp; the impact of #digitalization #Industrie40 https://t.co/ArH8UZkc…</t>
  </si>
  <si>
    <t>Home in Munich, Sunny Bavaria</t>
  </si>
  <si>
    <t>Based at @Siemens &amp; @siemens_press, passionate about the world, my two little kids, traveling, movies, arts &amp; culture, Munich &amp; Franggn. Views are my own.</t>
  </si>
  <si>
    <t>Yes we can! #Maschinenbau ist bei #Industrie40 in Pole-Position #HM16 @hannover_messe https://t.co/coJ6VwMAlo https://t.co/lWyOHwmbvu</t>
  </si>
  <si>
    <t>RT @VDMAonline: Yes we can! #Maschinenbau ist bei #Industrie40 in Pole-Position #HM16 @hannover_messe https://t.co/coJ6VwMAlo https://t.co/…</t>
  </si>
  <si>
    <t>Innovationen und die Fabrik der Zukunft: Spannende Einblicke in #Industrie40 - wir twittern ab heute von der #hm16 https://t.co/GDveMq6GBL</t>
  </si>
  <si>
    <t>RT @KUKA_Presse: Innovationen und die Fabrik der Zukunft: Spannende Einblicke in #Industrie40 - wir twittern ab heute von der #hm16 https:/…</t>
  </si>
  <si>
    <t>"Wer #Industrie40 verstehen will, kommt an der #HM16 nicht vorbei", so Dr. Mittelbach @hannover_messe https://t.co/bAj8PbF8nH</t>
  </si>
  <si>
    <t>Karsten Müller</t>
  </si>
  <si>
    <t>RT @viermac: Predictive Maintenance: Mehr Effizienz durch Cloud-basierte Lösungen https://t.co/RqovTu5A9l #industrie40 #IoT #hm16 https://t…</t>
  </si>
  <si>
    <t>Works in IT Solution Sales | likes to travel | good food | interesting people</t>
  </si>
  <si>
    <t>#Industrie40 in @ntvde - der #Maschinenbau treibt die #Digitalisierung der Produktion voran #HM16 https://t.co/WaBmI4wK1R</t>
  </si>
  <si>
    <t>Dr. Mittelbach im Interview auf #HM16: "#Industrie40 blüht auf: Die Vision wird Wirklichkeit." @hannover_messe https://t.co/7QI80xeSOV</t>
  </si>
  <si>
    <t>Das #Brainfire zur #expindu40 geht hier gleich in der #Optimiererlounge in die Zielgeraden! Auf zur #Industrie40 https://t.co/tl3kiEs75O</t>
  </si>
  <si>
    <t>[#IndustrieDuFutur] #HM16 J-3 : Parcours guidés SAP #Industrie40 + coktail &amp; networking, inscription ici -&gt; https://t.co/W7SCCjt9dQ</t>
  </si>
  <si>
    <t>MECSPE</t>
  </si>
  <si>
    <t>RT @Alleantiasrl: The Virtual Digital Factory showcase @MECSPE 2016 #IoT #Industrie40 plug &amp; play https://t.co/3mwWPKLOKR</t>
  </si>
  <si>
    <t>Parma (Italy) 23-25 MARCH 2017</t>
  </si>
  <si>
    <t>#MECSPE2017 The reference fair for the manufacturing industry: 39.656 visitors in 2016, 11 halls, innovative exhibiting formulas, many initiatives!</t>
  </si>
  <si>
    <t>In Zukunft werden wir individuelle Bedürfnisse besser erfüllen können.https://t.co/AYj6lIEn9Z #IoT #cloudcomputing #Industrie40 @verlinked</t>
  </si>
  <si>
    <t>Wie die Transparenz der gesamten Supply Chain durch #Industrie40 Technologien erhöht werden kann: https://t.co/l1xpQEmgly ^bas</t>
  </si>
  <si>
    <t>Attending #HM16? Learn how Telit is simplifying the path to #Industrie40 @IIConsortium booth. Hall 8, C24 https://t.co/9kFIoyzp3i</t>
  </si>
  <si>
    <t>#HM16 Press Highlight Tour 2016 started with @KUKA_RoboticsDE today. Don't miss their #Industrie40 topics https://t.co/nkQQYxg51H</t>
  </si>
  <si>
    <t>Cyril Laurie</t>
  </si>
  <si>
    <t>Solutions embarquées #AMD : optimiser le bon fonctionnement en usine https://t.co/V1GMWxKDar #Industrie40 https://t.co/f4OgGneEjf</t>
  </si>
  <si>
    <t>Forum #Industrie40 meets the #Industrial #Internet at @hannover_messe from 25 to 29 Apr. 2016 in #Hannover #Germany https://t.co/K3bt7TZ0BZ</t>
  </si>
  <si>
    <t>RT @hannover_messe: #HM16 Press Highlight Tour 2016 started with @KUKA_RoboticsDE today. Don't miss their #Industrie40 topics https://t.co/…</t>
  </si>
  <si>
    <t>Verena Rigatuso</t>
  </si>
  <si>
    <t>Germany Neckarsulm</t>
  </si>
  <si>
    <t>@Volkswagen @hannover_messe look at this! #AugmentedReality for #Industry40 #Industrie40 #HM16 https://t.co/PaAoWXiL60</t>
  </si>
  <si>
    <t>Bitkom: RT Bitkom_I40: Den Sprung zur #Industrie40 schaffen: MatthesDerdack Derdack am Di.,26.4.,10:45h beim #BIF1… https://t.co/hQ5479aZ5a</t>
  </si>
  <si>
    <t>How to improve business efficiency in #Industrie40? Olivier Vergues @Xerox Wed.,27.4.,14:30 @ #BIF16 @hannover_messe https://t.co/riOuvrXsGn</t>
  </si>
  <si>
    <t>Virtual Escapes</t>
  </si>
  <si>
    <t>RT @_damoca: @Volkswagen @hannover_messe look at this! #AugmentedReality for #Industry40 #Industrie40 #HM16 https://t.co/PaAoWXiL60</t>
  </si>
  <si>
    <t>VE_BOT</t>
  </si>
  <si>
    <t>Virtual Escapes is an online store that offers high quality immersive stereoscopic &amp; monoscopic 360° Videos for your virtual reality devices.</t>
  </si>
  <si>
    <t>Christian Wittrich</t>
  </si>
  <si>
    <t>Register for Hands on #Industrie40 https://t.co/LbYFyh8DQW #Digitalisierung</t>
  </si>
  <si>
    <t>Eisenach</t>
  </si>
  <si>
    <t>Consultant /Business Developer für #Digitalisierung und #Produktivität auf #SharePoint #Office365 und #Azure. Darüber hinaus Mitglied bei @WJDeutschland</t>
  </si>
  <si>
    <t>Bitkom: RT Bitkom_I40: Den Sprung zur #Industrie40 schaffen: MatthesDerdack Derdack am Di.,26.4.,10:45h beim #BIF1… https://t.co/5SYr0g1uOF</t>
  </si>
  <si>
    <t>Siemens Careers MEA</t>
  </si>
  <si>
    <t>Middle East</t>
  </si>
  <si>
    <t>Get connected with the employer Siemens Middle East and stay up to date on current job postings, news and events.</t>
  </si>
  <si>
    <t>Neil Mead</t>
  </si>
  <si>
    <t>Kent, England</t>
  </si>
  <si>
    <t>Journalist, editor &amp; events organiser interested in technology, cars, F1 and R/C models. All views here are my own.</t>
  </si>
  <si>
    <t>TABC</t>
  </si>
  <si>
    <t>Brussels and Washington D.C.</t>
  </si>
  <si>
    <t>A membership association with a focus on #transatlantic #trade, the Trans-Atlantic Business Council (TABC) is a business voice for its global member companies.</t>
  </si>
  <si>
    <t>Looking for #automotiveindustry trends? Visit @Siemens at #hm16 &amp; discover innovative manufacturing 4.0 #Industrie40 https://t.co/nP6P5SigBR</t>
  </si>
  <si>
    <t>David Romero</t>
  </si>
  <si>
    <t>RT @hannover_messe: Looking for #automotiveindustry trends? Visit @Siemens at #hm16 &amp; discover innovative manufacturing 4.0 #Industrie40 ht…</t>
  </si>
  <si>
    <t>Mexico</t>
  </si>
  <si>
    <t>Prof / Innovation, Tech &amp; Eng Mgmt / Tech-based Entrepreneurship / Next Gen MFG Systems &amp; Green Virtual Enterprises / Circular Economy / Servitization / IMS MX</t>
  </si>
  <si>
    <t>Ein erster Einblick in #Industrie40 auf dem #KUKA Stand bei der Pressetour der #hm16 https://t.co/ZN9wtf0lYP</t>
  </si>
  <si>
    <t>RT @KUKA_Presse: Ein erster Einblick in #Industrie40 auf dem #KUKA Stand bei der Pressetour der #hm16 https://t.co/ZN9wtf0lYP</t>
  </si>
  <si>
    <t>CableTechnologyNews</t>
  </si>
  <si>
    <t>Aberdeen, Scotland</t>
  </si>
  <si>
    <t>Cable Technology News is updated daily with the latest news covering all the main areas of the cable and wire industry.</t>
  </si>
  <si>
    <t>Juan Bueno</t>
  </si>
  <si>
    <t>Wie es uns mit #Industrie40 geht? Schaut mal, was Mohammed 4.0 gerade macht: #ISIS #Taliban (Danke für die Anregung!) Nichts Gutes!</t>
  </si>
  <si>
    <t>Gedanken zum Tage, unbeliebte Wahrheiten, manchmal besorgt, oder auch zynisch, trotzdem auch mit Humor und Lebensfreude</t>
  </si>
  <si>
    <t>"Why the Internet of Things Needs #FogComputing?" https://t.co/PJueykTgtc #technology #InternetOfThings #M2M #IoT #IIoT #Industrie40</t>
  </si>
  <si>
    <t>RT @bamitav: "Why the Internet of Things Needs #FogComputing?" https://t.co/PJueykTgtc #technology #InternetOfThings #M2M #IoT #IIoT #Indus…</t>
  </si>
  <si>
    <t>VDE Youngnet</t>
  </si>
  <si>
    <t>Das junge Netzwerk des VDE!</t>
  </si>
  <si>
    <t>RT @AnhaengerCDU: Wie es uns mit #Industrie40 geht? Schaut mal, was Mohammed 4.0 gerade macht: #ISIS #Taliban (Danke für die Anregung!) Nic…</t>
  </si>
  <si>
    <t>#Industrie40 in #Portugal https://t.co/P76ybCrUHt</t>
  </si>
  <si>
    <t>SJ Romero</t>
  </si>
  <si>
    <t>Rheinland-Pfalz, Deutschland</t>
  </si>
  <si>
    <t>living for a better world - thinking global</t>
  </si>
  <si>
    <t>chief_analyst</t>
  </si>
  <si>
    <t>Twitter Network Insights on #HM16: https://t.co/03QxozySRB #IoT #digitiseeu #hm16usa #industrie40 #industry40 https://t.co/FBgdUcK2uk</t>
  </si>
  <si>
    <t>Online Network Analysis and Consulting Request a FREE Twitter network map! #SNA and #SMM with #NodeXL</t>
  </si>
  <si>
    <t>Brian Wiese</t>
  </si>
  <si>
    <t>Husband to RN / Best friend of Wheaten terrier / World traveller / 1 million miler 1K flyer / Seller of electronic components / Driver of BMWs</t>
  </si>
  <si>
    <t>Noch zwei Mal schlafen, bis die @hannover_messe startet. Unsere KOffer sind gepackt und wir freuen uns auf die Messe! #HM16 #Industrie40</t>
  </si>
  <si>
    <t>Dominik Boesl</t>
  </si>
  <si>
    <t>RT @KUKA_RoboticsDE: Noch zwei Mal schlafen, bis die @hannover_messe startet. Unsere KOffer sind gepackt und wir freuen uns auf die Messe!…</t>
  </si>
  <si>
    <t>Bavaria</t>
  </si>
  <si>
    <t>Corp. Innovation Manager &amp; Technical Fellow @KUKA_RoboticsEN - Researcher @TU_Muenchen - ManagemANT @AntMe_DE - #RoboticGovernance - Opinions are my own</t>
  </si>
  <si>
    <t>APEG</t>
  </si>
  <si>
    <t>Ohio</t>
  </si>
  <si>
    <t>Appalachian Partnership for Economic Growth. APEG represents the largest and newest of the six regions within the JobsOhio Network. John Molinaro, CEO</t>
  </si>
  <si>
    <t>ALAMEX</t>
  </si>
  <si>
    <t>México</t>
  </si>
  <si>
    <t>Equipos #DILO para manejo de Gas #SF6 y de medición y prueba #DV-Power for #testing electrical #Substations. #Innovative solutions.</t>
  </si>
  <si>
    <t>Machinery Market</t>
  </si>
  <si>
    <t>Leading international weekly magazine for manufacturing news including an extensive classified section of new and used machinery and upcoming machinery auctions</t>
  </si>
  <si>
    <t>Industrial Internet of Things &amp; #Industrie40 News https://t.co/39paZVnJXm #IIoT #Industry40 w/ Tweets @Paivi_Raty @dehypotheses @IEMS_UniFR</t>
  </si>
  <si>
    <t>RT @IT2Industry: Industrial Internet of Things &amp; #Industrie40 News https://t.co/39paZVnJXm #IIoT #Industry40 w/ Tweets @Paivi_Raty @dehypot…</t>
  </si>
  <si>
    <t>#Industrie40 aus Start-Up Perspektive: @psorowka @cybus_io am Di.,26.4.,16h beim #BIF16 @hannover_messe #HM16 https://t.co/1C7CQN8U44</t>
  </si>
  <si>
    <t>Silke Graf</t>
  </si>
  <si>
    <t>My Tweets are my own.</t>
  </si>
  <si>
    <t>Paul de Andrade</t>
  </si>
  <si>
    <t>Le gouvernement, un acteur qui monte en puissance pour l'#IoT et l'#Industrie40 ? https://t.co/kKxsRYto2N</t>
  </si>
  <si>
    <t>Toulouse, Midi-Pyrénées</t>
  </si>
  <si>
    <t>Étudiant Toulouse Business School option #Web #Marketing #Digital - #business #strategy - #entrepreneurship / Stage Business Manager @gfiinformatique sur l'#IoT</t>
  </si>
  <si>
    <t>Rayk Jakobi</t>
  </si>
  <si>
    <t>reliable interim services for the glorious German industry</t>
  </si>
  <si>
    <t>Susanne Jørgensen</t>
  </si>
  <si>
    <t>Herlev, Denmark</t>
  </si>
  <si>
    <t>Susanne Romny Jørgensen</t>
  </si>
  <si>
    <t>mindrockets</t>
  </si>
  <si>
    <t>#Industrie40 Zur #hm16 "über 100 Anwendungsbeispiele - meist nicht erwarteter Big Bang" @ZVEIorg Chef Ziesemer https://t.co/3MjFRNhNDb @welt</t>
  </si>
  <si>
    <t>Kommunikation, Beratung, Strategie für Marken und Unternehmen | digital communications strategy consulting http://t.co/btLo4QHs6M http://t.co/S8EfkApEZr</t>
  </si>
  <si>
    <t>Günter Gaugler</t>
  </si>
  <si>
    <t>Pressesprecher Siemens AG Tweets enthalten meine persönliche Meinung</t>
  </si>
  <si>
    <t>Only 2 days left till @hannover_messe! #HM16 #HM16USA #selectUSA #Industrie40 #IntegratedEnergy #saturdaymorning https://t.co/36sikbSUkC</t>
  </si>
  <si>
    <t>Iris Musiol</t>
  </si>
  <si>
    <t>Marketing professional #Infineon. Views expressed are my own.</t>
  </si>
  <si>
    <t>Beim @summerofengine geht alles um #Industrie40 #Digitalisierung #IoT u.a. #Maschinenbau #Fertigung trifft #Software https://t.co/2wzI0OBO9E</t>
  </si>
  <si>
    <t>cncmachinerycnc</t>
  </si>
  <si>
    <t>İstanbul, Türkiye</t>
  </si>
  <si>
    <t>Selma Farah!(Married and happy)CnC in İstanbul /Turkey</t>
  </si>
  <si>
    <t>RT @prxpragma: Beim @summerofengine geht alles um #Industrie40 #Digitalisierung #IoT u.a. #Maschinenbau #Fertigung trifft #Software https:/…</t>
  </si>
  <si>
    <t>IT-DIRECTOR</t>
  </si>
  <si>
    <t>Produkt-Lebenszyklus-Management #PLM Standards für #Industrie40 + #IoT https://t.co/3joBq24eDB Interview mit U. August, Siemens PLM Software</t>
  </si>
  <si>
    <t>Das Business-Magazin für IT-Manager und CIOs - Impressum: http://t.co/RUjWf8yLpA</t>
  </si>
  <si>
    <t>RT @ITDredaktion: Produkt-Lebenszyklus-Management #PLM Standards für #Industrie40 + #IoT https://t.co/3joBq24eDB Interview mit U. August, S…</t>
  </si>
  <si>
    <t>Centa Transmissions</t>
  </si>
  <si>
    <t>Shipley, Bradford</t>
  </si>
  <si>
    <t>Centa UK is one of the world’s foremost manufacturers &amp; distributors of mechanical power transmissions for all types of industrial, marine &amp; energy applications</t>
  </si>
  <si>
    <t>RT @ZVEIorg: Dr. Mittelbach im Interview auf #HM16: "#Industrie40 blüht auf: Die Vision wird Wirklichkeit." @hannover_messe https://t.co/7Q…</t>
  </si>
  <si>
    <t>RT @Bitkom_I40: How to improve business efficiency in #Industrie40? Olivier Vergues @Xerox Wed.,27.4.,14:30 @ #BIF16 @hannover_messe https:…</t>
  </si>
  <si>
    <t>RT @Bitkom_I40: #Industrie40 aus Start-Up Perspektive: @psorowka @cybus_io am Di.,26.4.,16h beim #BIF16 @hannover_messe #HM16 https://t.co/…</t>
  </si>
  <si>
    <t>Bitkom: RT Bitkom_I40: How to improve business efficiency in #Industrie40? Olivier Vergues Xerox Wed.,27.4.,14:30 … https://t.co/E6WWMrdrP5</t>
  </si>
  <si>
    <t>Bitkom: RT Bitkom_I40: #Industrie40 aus Start-Up Perspektive: psorowka cybus_io am Di.,26.4.,16h beim #BIF16 hanno… https://t.co/Sw06DA3Hwl</t>
  </si>
  <si>
    <t>Bitkom: RT Bitkom_I40: How to improve business efficiency in #Industrie40? Olivier Vergues Xerox Wed.,27.4.,14:30 … https://t.co/DBcTlBNdwg</t>
  </si>
  <si>
    <t>Bitkom: RT Bitkom_I40: #Industrie40 aus Start-Up Perspektive: psorowka cybus_io am Di.,26.4.,16h beim #BIF16 hanno… https://t.co/2IOvIX3upu</t>
  </si>
  <si>
    <t>cleanstrom</t>
  </si>
  <si>
    <t>@DanielWierbicki Am 25.04 beginnt dazu ein Online-Kurs; https://t.co/dCD1ngLEqs #Industrie40 #bchn16</t>
  </si>
  <si>
    <t>Ich lebe in der »Globalisierung« und beobachte die Folgen mit optimistischem Realismus; ohne Parteibuch : Homo politicus :: Chorsänger; Threema-ID 57XBV7EW</t>
  </si>
  <si>
    <t>RT @cleanstrom: @DanielWierbicki Am 25.04 beginnt dazu ein Online-Kurs; https://t.co/dCD1ngLEqs #Industrie40 #bchn16</t>
  </si>
  <si>
    <t>RT @croXXing_IBD: Bitkom: RT Bitkom_I40: #Industrie40 aus Start-Up Perspektive: psorowka cybus_io am Di.,26.4.,16h beim #BIF16 hanno… https…</t>
  </si>
  <si>
    <t>MT: @hannover_messe: Visit @Siemens at #hm16 &amp; discover innovative manufacturing 4.0 #Industrie40 https://t.co/F6G0m8px4V</t>
  </si>
  <si>
    <t>Startup Kanal</t>
  </si>
  <si>
    <t>RT Gruendercoaches: RT Bitkom_I40: #Industrie40 aus Start-Up Perspektive: psorowka cybus_io am Di.,26.4.,16h beim #BIF16 hannover_messe #HM…</t>
  </si>
  <si>
    <t>Alle relevanten News von den besten Quellen. Zusammengefasst hier auf Start up Kanal. Jetzt abbonieren und nichts mehr verpassen!</t>
  </si>
  <si>
    <t>RT Gruendercoaches: RT Bitkom_I40: How to improve business efficiency in #Industrie40? Olivier Vergues Xerox Wed.,27.4.,14:30 @ #BIF16 hann…</t>
  </si>
  <si>
    <t>msftmfg: MT: hannover_messe: Visit Siemens at #hm16 &amp; discover innovative manufacturing 4.0 #Industrie40 https://t.co/N0bCOFRzOy</t>
  </si>
  <si>
    <t>msftmfg: MT: hannover_messe: Visit Siemens at #hm16 &amp; discover innovative manufacturing 4.0 #Industrie40 https://t.co/Ecm1F9FqkJ</t>
  </si>
  <si>
    <t>msftmfg: MT: hannover_messe: Visit Siemens at #hm16 &amp; discover innovative manufacturing 4.0 #Industrie40 https://t.co/SPS2eeDUs0</t>
  </si>
  <si>
    <t>Clément Graf</t>
  </si>
  <si>
    <t>RT @DanielKueng: @SGE #Switzerland is very well positionnend to prevail in the #Industrie40 race. And we already are in Change mode https:/…</t>
  </si>
  <si>
    <t>Zürich, Switzerland</t>
  </si>
  <si>
    <t>Head of Membership + Alliances @Switzerland Global Enterprise</t>
  </si>
  <si>
    <t>#Industrie40 ein Thema auf dem #ctk2016 mehr unter https://t.co/IMNiU0GK4f https://t.co/JTobyFND3f</t>
  </si>
  <si>
    <t>RT @changetokaizen: #Industrie40 ein Thema auf dem #ctk2016 mehr unter https://t.co/IMNiU0GK4f https://t.co/JTobyFND3f</t>
  </si>
  <si>
    <t>Plastipolis</t>
  </si>
  <si>
    <t>Rhône-Alpes, France</t>
  </si>
  <si>
    <t>Pôle de compétitivité #plasturgie #composites #innovation #cluster</t>
  </si>
  <si>
    <t>LeanKnowledge: RT changetokaizen: #Industrie40 ein Thema auf dem #ctk2016 mehr unter https://t.co/CALWwELghE https://t.co/ncvi5zGYji</t>
  </si>
  <si>
    <t>Serpil Özgüven</t>
  </si>
  <si>
    <t>RT @Lean_john: LeanKnowledge: RT changetokaizen: #Industrie40 ein Thema auf dem #ctk2016 mehr unter https://t.co/CALWwELghE https://t.co/nc…</t>
  </si>
  <si>
    <t>Oleksiy Antonov</t>
  </si>
  <si>
    <t>Filderstadt, Deutschland</t>
  </si>
  <si>
    <t>Karel Crombach</t>
  </si>
  <si>
    <t>RT @msftmfg: MT: @hannover_messe: Visit @Siemens at #hm16 &amp; discover innovative manufacturing 4.0 #Industrie40 https://t.co/F6G0m8px4V</t>
  </si>
  <si>
    <t>Nuth</t>
  </si>
  <si>
    <t>Dynamic, result driven and customer focused IT professional with international business development experience in transportation, manufacturing and oil &amp; gas.</t>
  </si>
  <si>
    <t>Dominik</t>
  </si>
  <si>
    <t xml:space="preserve">Frankfurt am Main, Hessen </t>
  </si>
  <si>
    <t>Student &amp; Trendscout @DZBank | banking, networking, startups, innovation, finance // views are my own</t>
  </si>
  <si>
    <t>Stefan_crazyshin</t>
  </si>
  <si>
    <t>#HM16 Press Highlight Tour: don't miss @KUKA_RoboticsDE #Industrie40 topics https://t.co/p1vdmBfa5H @hannover_messe https://t.co/CaU3OxAPXQ</t>
  </si>
  <si>
    <t>msftmfg: #HM16 Press Highlight Tour: don't miss KUKA_RoboticsDE #Industrie40 topics https://t.co/Nf5wouMR2G hanno… https://t.co/xtT8srcm1D</t>
  </si>
  <si>
    <t>msftmfg: #HM16 Press Highlight Tour: don't miss KUKA_RoboticsDE #Industrie40 topics https://t.co/SSIyGbbnP1 hanno… https://t.co/WjYoBuboJR</t>
  </si>
  <si>
    <t>msftmfg: #HM16 Press Highlight Tour: don't miss KUKA_RoboticsDE #Industrie40 topics https://t.co/cz2Pnj9aQE hanno… https://t.co/blf82dDPJm</t>
  </si>
  <si>
    <t>MarinerLLC: msftmfg: #HM16 Press Highlight Tour: don't miss KUKA_RoboticsDE #Industrie40 topics … https://t.co/xEDlBChcNl</t>
  </si>
  <si>
    <t>philip_w_morris: msftmfg: #HM16 Press Highlight Tour: don't miss KUKA_RoboticsDE #Industrie40 topics … https://t.co/JEZMAdjbvI</t>
  </si>
  <si>
    <t>Ricardo Granados</t>
  </si>
  <si>
    <t>Halifax, Nova Scotia</t>
  </si>
  <si>
    <t>Who is RtTech? We’re excited about IIoT and industrial-grade analytic apps that boost production or energy efficiency.</t>
  </si>
  <si>
    <t>Fj</t>
  </si>
  <si>
    <t>Mehr als die Vergangenheit interessiert mich die Zukunft, denn in ihr gedenke ich zu leben. Zitat Albert Einstein</t>
  </si>
  <si>
    <t>Manufacturing Career</t>
  </si>
  <si>
    <t>Burr Ridge, IL</t>
  </si>
  <si>
    <t>Let's address those myths and for once put those myths in the garbage were they belong</t>
  </si>
  <si>
    <t>Ghada El Alfi</t>
  </si>
  <si>
    <t>power4berlin</t>
  </si>
  <si>
    <t>Produktivität ist das Gefühl, etwas zu bewegen und nicht ständig in Bewegung zu sein (Quelle Microsoft)</t>
  </si>
  <si>
    <t>David Da Silva</t>
  </si>
  <si>
    <t>Маіk Kоѕubek</t>
  </si>
  <si>
    <t>The #Industrie40 and #IoT show on the @Beckhoff booth at @hannover_messe, Hall 9. #HM16 https://t.co/FT9rNQwBHK</t>
  </si>
  <si>
    <t>Verl, Germany</t>
  </si>
  <si>
    <t>Online Marketing, Multimedia and Social Media @Beckhoff. // Views are my own.</t>
  </si>
  <si>
    <t>TECOM Schweiz</t>
  </si>
  <si>
    <t>RT @dictaJet: Wie wird die #TechDok der #Industrie40 aussehen? -&gt; #ProDok40 https://t.co/ESaG4HIKJM</t>
  </si>
  <si>
    <t>Fachverband für Technische Kommunikation. #TechnischeRedaktion #TechDoc #Übersetzen #Terminologie – TECOM-Forum &amp; Generalversammlung: 25.5.16, Olten #tecom2016</t>
  </si>
  <si>
    <t>Know How! AG</t>
  </si>
  <si>
    <t>RT @mbesch: Allensbach-Umfrage: #Industrie40 und #Digitalisierung bei Deutschen negativ besetzt https://t.co/Xqh318AK1W via @HolgerSchmidt</t>
  </si>
  <si>
    <t>L.-Echterdingen, Germany</t>
  </si>
  <si>
    <t>Wissenswertes zu Enterprise 2.0, E-Learning und Office.</t>
  </si>
  <si>
    <t>Aufwärmen vor #hm16 und #Industrie40 #IoT und mit dem Gaul reite ich morgen ein 🤖😎👏 https://t.co/TR0C89NLEX</t>
  </si>
  <si>
    <t>RT @kommoptimierer: Aufwärmen vor #hm16 und #Industrie40 #IoT und mit dem Gaul reite ich morgen ein 🤖😎👏 https://t.co/TR0C89NLEX</t>
  </si>
  <si>
    <t>RT @knowhowag: RT @mbesch: Allensbach-Umfrage: #Industrie40 und #Digitalisierung bei Deutschen negativ besetzt https://t.co/Xqh318AK1W via…</t>
  </si>
  <si>
    <t>Derda Woso</t>
  </si>
  <si>
    <t>#Industrie40? Nummerieren hilft immer. Police Academy wurde auch mit jeder neuen Folge besser.</t>
  </si>
  <si>
    <t>Biografie: Geografie in Öko mit ohne Fleisch</t>
  </si>
  <si>
    <t>RT @derdawoso: #Industrie40? Nummerieren hilft immer. Police Academy wurde auch mit jeder neuen Folge besser.</t>
  </si>
  <si>
    <t>SAS Deutschland</t>
  </si>
  <si>
    <t>Die Lernfabrik von @FestoAG ist ein schöner Beitrag zu #Industrie40 und bekämpft Fachkräftemangel https://t.co/rUB1qEJex8 via @welt</t>
  </si>
  <si>
    <t>SAS Deutschland über Wirtschaftstrends, #Analytics, #BigData, #Industrie40 ... Opinions are our own and don't represent SAS.</t>
  </si>
  <si>
    <t>RT @sas_d: Die Lernfabrik von @FestoAG ist ein schöner Beitrag zu #Industrie40 und bekämpft Fachkräftemangel https://t.co/rUB1qEJex8 via @w…</t>
  </si>
  <si>
    <t>#Bitkom 28.04.2016,14:30 Neue Geschäftsmodelle durch #Industrie40 Fluch oder Segen https://t.co/Dla7zxWPto @hannover_messe #edsmartservices</t>
  </si>
  <si>
    <t>RT @reanvent: #Bitkom 28.04.2016,14:30 Neue Geschäftsmodelle durch #Industrie40 Fluch oder Segen https://t.co/Dla7zxWPto @hannover_messe #e…</t>
  </si>
  <si>
    <t>#KUKA entwickelt die Technik von morgen - und ab morgen ist die @hannover_messe unsere Bühne dafür: in Halle 17, G04. #HM16 #Industrie40</t>
  </si>
  <si>
    <t>#Industrie40 führt zu disziplinübergreifenden und prozessorientierten Tätigkeiten @TRUMPF_News #Zukunftskompetenzen https://t.co/2zusgswch0</t>
  </si>
  <si>
    <t>Talk of @tuslaender about Agile Service Engineering in #industrie40 at the #HannoverMesse on Tuesday 25 April https://t.co/DTWYfo2dxW</t>
  </si>
  <si>
    <t>stollito</t>
  </si>
  <si>
    <t>RT @KUKA_RoboticsDE: #KUKA entwickelt die Technik von morgen - und ab morgen ist die @hannover_messe unsere Bühne dafür: in Halle 17, G04.…</t>
  </si>
  <si>
    <t>RT @konsultwerk: #Industrie40 führt zu disziplinübergreifenden und prozessorientierten Tätigkeiten @TRUMPF_News #Zukunftskompetenzen https:…</t>
  </si>
  <si>
    <t>Matthias Machnig, State Secretary Federal Ministry for Economic Affairs &amp; Energy, will join our panel on #industrie40 ! #hm16 @BMWi_Bund</t>
  </si>
  <si>
    <t>Christian Wissing</t>
  </si>
  <si>
    <t>professor @ hwr berlin / consultant @ cisar #servicedesign #serviceoperations #serviceeconomy #eservices #digitaltransformation</t>
  </si>
  <si>
    <t>Slavisa Tavic</t>
  </si>
  <si>
    <t>RT @Swissomat: #Industrie2025 @FHNW: Die jährliche #Industrie40 "Druckbetankung" ist durch. Jetzt Projekte starten und in 1 Jahr darüber be…</t>
  </si>
  <si>
    <t>Aarau, Schweiz</t>
  </si>
  <si>
    <t>Entrepreneur</t>
  </si>
  <si>
    <t>Technik muss von Menschen und für Menschen sein. https://t.co/AYj6lIEn9Z #IoT #cloudcomputing #Industrie40 @verlinked #m2m #Digitalisierung</t>
  </si>
  <si>
    <t>RT @msftmfg: #HM16 Press Highlight Tour: don't miss @KUKA_RoboticsDE #Industrie40 topics https://t.co/p1vdmBfa5H @hannover_messe https://t.…</t>
  </si>
  <si>
    <t>B.Patel</t>
  </si>
  <si>
    <t>RT @GTAI_com: Matthias Machnig, State Secretary Federal Ministry for Economic Affairs &amp; Energy, will join our panel on #industrie40 ! #hm16…</t>
  </si>
  <si>
    <t>Berlin,Germany</t>
  </si>
  <si>
    <t>Connect People! Minds! Business! We facilitate trade and investment between India and Europe through our Summit and Business delegation initiatives.</t>
  </si>
  <si>
    <t>RT @verlinked: Technik muss von Menschen und für Menschen sein. https://t.co/AYj6lIEn9Z #IoT #cloudcomputing #Industrie40 @verlinked #m2m #…</t>
  </si>
  <si>
    <t>Hüseyin Gelis</t>
  </si>
  <si>
    <t>Istanbul, Turkey</t>
  </si>
  <si>
    <t>CEO and President of Siemens Turkey</t>
  </si>
  <si>
    <t>Wie gehören #BigData &amp; #Industrie40 zusammen? Sascha Bäcker @FuM_News: Di,26.4.,14:30 @ #BIF16 @hannover_messe #HM16 https://t.co/Xz3TQMC54s</t>
  </si>
  <si>
    <t>IFC EBERT</t>
  </si>
  <si>
    <t>Nuertingen, Germany</t>
  </si>
  <si>
    <t>CONSULTING – QUALIFICATION –MANAGEMENT // Institut für Controlling (IFC EBERT)</t>
  </si>
  <si>
    <t>RT @Bitkom_I40: Wie gehören #BigData &amp; #Industrie40 zusammen? Sascha Bäcker @FuM_News: Di,26.4.,14:30 @ #BIF16 @hannover_messe #HM16 https:…</t>
  </si>
  <si>
    <t>Susanne Scherbaum</t>
  </si>
  <si>
    <t>Senior Communications Manager @ZF_Konzern, a German based automotive supplier. Just my personal thoughts.</t>
  </si>
  <si>
    <t>Dirk Baecker</t>
  </si>
  <si>
    <t>#Industrie40? Doch eher die Kompensation eines "Tals des Todes" auch in Deutschland? https://t.co/fdDPcOyTi2 https://t.co/w7AVAn4bLW</t>
  </si>
  <si>
    <t>Basel | Witten</t>
  </si>
  <si>
    <t>Soziologe</t>
  </si>
  <si>
    <t>Rena Schwarting</t>
  </si>
  <si>
    <t>RT @ImTunnel: #Industrie40? Doch eher die Kompensation eines "Tals des Todes" auch in Deutschland? https://t.co/fdDPcOyTi2 https://t.co/w7A…</t>
  </si>
  <si>
    <t>Sociologist, PhD Researcher at http://t.co/yxMaPyoDoo, and Author on http://t.co/LFX4goa9go</t>
  </si>
  <si>
    <t>sı˙ʇuǝssıp/█████/عمه</t>
  </si>
  <si>
    <t xml:space="preserve">sms@rebell.tv </t>
  </si>
  <si>
    <t>ɟuoʞɥɔɹⒶuⒶ# ǝpınƃⒶⱭⒶⱭ# ★ ǝʍqⒶızuıɹd# | ƃunupɹo ˙2 ƃunlpuⒶʍ | ƃɹnqɯɐɥ ƃⒶlɹǝʌ snıunɾ 2+1 pq ®DIE FORM DER UN:RUHE | uoıʇⒶʞıunɯɯoʞ ǝɥɔsıɹoʇⒶllǝʇsuoʞ | #dfdu AG</t>
  </si>
  <si>
    <t>Vuillermoz</t>
  </si>
  <si>
    <t>DG Plastipolis #plasturgie #innovation #cluster</t>
  </si>
  <si>
    <t>SLX Learning</t>
  </si>
  <si>
    <t>RT @SGE: Ruth Metzler im @10vor10 Studiogespräch zu den Herausforderungen im #Export #Industrie40 https://t.co/WcjBIPHkWI https://t.co/rZIx…</t>
  </si>
  <si>
    <t>Fribourg, Switzerland</t>
  </si>
  <si>
    <t>Switzerland's leading platform for online learning and education exchange. Tweets by @divsb @satyadeep</t>
  </si>
  <si>
    <t>Retweeted S-GE (@SGE): Ruth Metzler im @10vor10 Studiogespräch zu den Herausforderungen im #Export #Industrie40... https://t.co/hucDlFsAvt</t>
  </si>
  <si>
    <t>RT @slxlearning: Retweeted S-GE (@SGE): Ruth Metzler im @10vor10 Studiogespräch zu den Herausforderungen im #Export #Industrie40... https:…</t>
  </si>
  <si>
    <t>Viel Luft nach oben... #Industrie40 #Digitalisierung https://t.co/FvXCeakyLR</t>
  </si>
  <si>
    <t>Boldly go #Industrie40 #Digital Experts @ #HM16 Meet us tomorrow @SAPdach https://t.co/GGku23T5NU</t>
  </si>
  <si>
    <t>patricia duquesne</t>
  </si>
  <si>
    <t>RT @BOLDLYGO_FFM: Boldly go #Industrie40 #Digital Experts @ #HM16 Meet us tomorrow @SAPdach https://t.co/GGku23T5NU</t>
  </si>
  <si>
    <t>RT @kommunikationsm: Viel Luft nach oben... #Industrie40 #Digitalisierung https://t.co/FvXCeakyLR</t>
  </si>
  <si>
    <t>RT @dumslaff: Blog: @brohleder über digitale Gewinner und revolutionäre Ideen #industrie40 https://t.co/qOQkAqm0uG</t>
  </si>
  <si>
    <t>Herausforderungen für #Vertrieb &amp; #Leadership in Zeiten der #Digitalisierung #IoT #Industrie40 #InternetOfThings https://t.co/eosIQ5rXN8</t>
  </si>
  <si>
    <t>RT @charisma_expert: Herausforderungen für #Vertrieb &amp; #Leadership in Zeiten der #Digitalisierung #IoT #Industrie40 #InternetOfThings http…</t>
  </si>
  <si>
    <t>RT @tuevnord: Unser Exponat ist auch schon da, es kann also losgehen! Ready for #HM16, https://t.co/kjQWosgZns #industrie40 https://t.co/o7…</t>
  </si>
  <si>
    <t>Förderprogramm für #startup #iot #Industrie40 preisgünstig auf internationale Messen in Deutschland https://t.co/JPIP8Pzctb @aumaev</t>
  </si>
  <si>
    <t>RT @induux_de: Förderprogramm für #startup #iot #Industrie40 preisgünstig auf internationale Messen in Deutschland https://t.co/JPIP8Pzctb…</t>
  </si>
  <si>
    <t>5 Tage Bitkom Innovation Forum #BIF16 @hannover_messe. Sascha Glemser @KPMG_DE: Freitag, 29.04., 11:30 #industrie40</t>
  </si>
  <si>
    <t>Der @POTUS eröffnet heute die @hannover_messe. Fokus #Digitalisierung &amp; #Industrie40 - was ist das eigentlich? https://t.co/dEQXCeysTf #HM16</t>
  </si>
  <si>
    <t>#HM16 #Industrie40 #Alemania https://t.co/NXtpKGt03C</t>
  </si>
  <si>
    <t>Andrew Hughes</t>
  </si>
  <si>
    <t>What's new at #hm16 looking forward to the centre of the #Industrie40 universe. @gregdandrea @mehulshah82 @LNSResearch</t>
  </si>
  <si>
    <t>I am a manufacturing industry analyst, passionate about helping manufacturers get the most out of their systems. Love golf and the odd drop of fine wine.</t>
  </si>
  <si>
    <t>RT Gruendercoaches: 5 Tage Bitkom Innovation Forum #BIF16 hannover_messe. Sascha Glemser KPMG_DE: Freitag, 29.04., 11:30 #industrie40 #star…</t>
  </si>
  <si>
    <t>Marketing Meerkat</t>
  </si>
  <si>
    <t>Middlesbrough, England</t>
  </si>
  <si>
    <t>... thinking differentally @emaxsystemsltd ... fixing the CHAOS of SOS in UK engineering &amp; manufacturing... and loving iT...</t>
  </si>
  <si>
    <t>ERP MRP CRM Eng/Mfg</t>
  </si>
  <si>
    <t>Glasgow-Darlington-Perth(Aus)</t>
  </si>
  <si>
    <t>Tailored software solutions for growing UK: engineering; manufacturing; distribution - improving efficiency.</t>
  </si>
  <si>
    <t>Búy Fοllοwérs</t>
  </si>
  <si>
    <t>Silicon Valley</t>
  </si>
  <si>
    <t>Buy Fοllowérs and Likes for your Twitter, Facebook and Instagram https://t.co/MJ672fKXpo</t>
  </si>
  <si>
    <t>RT @bastihollmann: Der @POTUS eröffnet heute die @hannover_messe. Fokus #Digitalisierung &amp; #Industrie40 - was ist das eigentlich? https://t…</t>
  </si>
  <si>
    <t>Wirtschaft MSL</t>
  </si>
  <si>
    <t>Flyer sind im Druck. Morgen geht’s zur @hannover_messe, um unser neues Projekt iPro vorzustellen. #industrie40 #HM16 https://t.co/k2cZnMtEYV</t>
  </si>
  <si>
    <t>Greven</t>
  </si>
  <si>
    <t>Der Münsterland e.V. bietet Nachrichten und Veranstaltungen der Wirtschaftsregion Münsterland. Schwerpunkte: Innovationen, Gründer, Klimaschutz, Fachkräfte</t>
  </si>
  <si>
    <t>RT @Gruendercoaches: 5 Tage Bitkom Innovation Forum #BIF16 @hannover_messe. Sascha Glemser @KPMG_DE: Freitag, 29.04., 11:30 #industrie40</t>
  </si>
  <si>
    <t>KayHerget</t>
  </si>
  <si>
    <t>Hildesheim, Niedersachsen</t>
  </si>
  <si>
    <t>On a journey. On a mission. Marketing &amp; Business Development &amp; Strategy @ Bosch #SoftTec: #ConnectedCar #FutureMobility. Thoughts on this space are my own.</t>
  </si>
  <si>
    <t>Heute eröffnet US-Präsident @BarackObama die @hannover_messe. Sichern Sie sich Ihr GRATIS-TICKET. #hm16 #Industrie40 https://t.co/qNDYxnvKUt</t>
  </si>
  <si>
    <t>.@hannover_messe starts on Monday – check out Bosch’s projects &amp; vision of #Industrie40 https://t.co/rb0d0ppQ4m https://t.co/o77uGnsToz</t>
  </si>
  <si>
    <t>Ефимов Денис</t>
  </si>
  <si>
    <t>RT @BoschGlobal: .@hannover_messe starts on Monday – check out Bosch’s projects &amp; vision of #Industrie40 https://t.co/rb0d0ppQ4m https://t…</t>
  </si>
  <si>
    <t>Беларусь</t>
  </si>
  <si>
    <t>Способы иммиграции в Германию.</t>
  </si>
  <si>
    <t>"Unser Hauptfokus liegt im Jahr 2016 darauf, noch stärker zu wachsen, uns als digitaler TÜV aufzu... https://t.co/E7SgLGHN5d #Industrie40</t>
  </si>
  <si>
    <t>Motorious Café</t>
  </si>
  <si>
    <t>TheStorefront.com | Dino_llc</t>
  </si>
  <si>
    <t>https://t.co/hizNhp19oq… https://t.co/zVEgxhs3DP</t>
  </si>
  <si>
    <t>Daniela Fasano</t>
  </si>
  <si>
    <t>Se non dai tutto, non dai niente.</t>
  </si>
  <si>
    <t>Integrated Concepts</t>
  </si>
  <si>
    <t>Newport Beach, CA</t>
  </si>
  <si>
    <t>#MassCustomization #M_Credit #M_Service Presentation to #USFed 06.30.2001 #AutoCentric #FinTech #VPN #RetailRevolution @equifax @ecb @ExxonMobilEsso @EurActiv</t>
  </si>
  <si>
    <t>Das Deutsch-Chinesische Forum für #Industrie40 ist in vollem Gange. Wir freuen uns über Gäste wie @SAP @Huawei @itelligence_de uvm.</t>
  </si>
  <si>
    <t>Martin Demel</t>
  </si>
  <si>
    <t>Friedrichshafen</t>
  </si>
  <si>
    <t>It starts! Preopening of #HM16 by Prime Minister Stephan Weil. Economy Forum #Industrie40 https://t.co/42zMUEudLp</t>
  </si>
  <si>
    <t>Simone Selbmann</t>
  </si>
  <si>
    <t>Neckarsulm, Deutschland</t>
  </si>
  <si>
    <t>#Marketing bei #Fujitsu für IT-Services, #SAP-Themen, #Digitalisierung, #B2B Marketing - kreativ und nutzenorientiert!</t>
  </si>
  <si>
    <t>Marcello Miceli</t>
  </si>
  <si>
    <t>US Secretary of Commerce Penny Pritzker #HM16 Digital will revolutionize manufacturing #Analytics #IoT #Industrie40 https://t.co/6cShgYQeUt</t>
  </si>
  <si>
    <t>Simon Dueckert</t>
  </si>
  <si>
    <t>Die Hannover Messe steht vor der Tür. #Industrie40 und #arbeiten40 Hand in Hand. https://t.co/35xlxwnMQb</t>
  </si>
  <si>
    <t>Nuremberg, Germany</t>
  </si>
  <si>
    <t>Knowledge Nerd, Organizational Hacker, Natural Born Digital, Podcaster @knowledgeonair, CEO @cogneon, Husband and Father. Living @nuernberg_de. Tweets are CC BY</t>
  </si>
  <si>
    <t>Warm-Up für die @hannover_messe: Secretary #Pritzker spricht auf dem Wirtschaftsforum über #Industrie40 + Freihandel https://t.co/dguAZapYda</t>
  </si>
  <si>
    <t>@PennyPritzker: Advanced Manufactoring and #Industrie40 depend on free flow of data and services! @hannover_messe #HM16 #HM16USA</t>
  </si>
  <si>
    <t>Markus Woehl</t>
  </si>
  <si>
    <t>RT @RolandBent: It starts! Preopening of #HM16 by Prime Minister Stephan Weil. Economy Forum #Industrie40 https://t.co/42zMUEudLp</t>
  </si>
  <si>
    <t>RT @OOgbukagu: @PennyPritzker: Advanced Manufactoring and #Industrie40 depend on free flow of data and services! @hannover_messe #HM16 #HM1…</t>
  </si>
  <si>
    <t>Datenschutz als #Industrie40 Hemmnis? Dr. Stephan Appt @PinsentMasons: Do,28.4.,13h @ #BIF16 @hannover_messe #HM16 https://t.co/8Bfm8AJ11M</t>
  </si>
  <si>
    <t>MPE-Média</t>
  </si>
  <si>
    <t>Matières premières Energie Média, au coeur des matières premières et des énergies via http://t.co/TxSCAlh6S8</t>
  </si>
  <si>
    <t>Niina Haasola</t>
  </si>
  <si>
    <t>Vantaa, Suomi</t>
  </si>
  <si>
    <t>Utelias viestinnän ammattilainen. Töissä Boschilla. // Curious communications professional. Works at Bosch.</t>
  </si>
  <si>
    <t>#Bitkom Stand fast fertig aufgebaut - mit Beispielen für Konvergenz Hardware, Software und Services für #industrie40 https://t.co/5HzGIAOJ4e</t>
  </si>
  <si>
    <t>Orgalime</t>
  </si>
  <si>
    <t>RT @RiemenspergerF: US Secretary of Commerce Penny Pritzker #HM16 Digital will revolutionize manufacturing #Analytics #IoT #Industrie40 htt…</t>
  </si>
  <si>
    <t>Orgalime, European engineering industries association 4 Electronic, Electrical, Mechanical &amp; Metal Articles industries - RTs do not mean endorsement #DigitiseEU</t>
  </si>
  <si>
    <t>#HM16USA #digital #iot #Industrie40 #innovation #digitalsinglemarket https://t.co/P9nrQLE8Uu</t>
  </si>
  <si>
    <t>Tripp Braden</t>
  </si>
  <si>
    <t>Columbus, OH</t>
  </si>
  <si>
    <t>I partner with entrepreneurs to create and implement successful growth strategies including sales and marketing, strategic alliances &amp; key account development</t>
  </si>
  <si>
    <t>Steve</t>
  </si>
  <si>
    <t>Informàtic, bogador, i maquero... Sempre en moviment.... interconnectat.</t>
  </si>
  <si>
    <t>#industrie40 was sagt McKinsey? https://t.co/49Lgvf6qSS</t>
  </si>
  <si>
    <t>RT @WinfriedFelser: #industrie40 was sagt McKinsey? https://t.co/49Lgvf6qSS</t>
  </si>
  <si>
    <t>BoyWonderElroyJetson</t>
  </si>
  <si>
    <t>Chicago, IL</t>
  </si>
  <si>
    <t>Futuristic Inventor Of FlyingBinkyBots S&amp;BCPURobot's+Flying MotorcycleBikes+Mo-pads-Scooters+3&amp;4Wheelers+FlyingDisk HoveringBoard's+@thesaddleguy1 412 967-0124</t>
  </si>
  <si>
    <t>Pierre Manière</t>
  </si>
  <si>
    <t>Dominik Ortlepp</t>
  </si>
  <si>
    <t>Denken ist wie googeln. Nur krasser.</t>
  </si>
  <si>
    <t>SJ Paderborn</t>
  </si>
  <si>
    <t>One of the core topics of Hannover Industry fair 2016 starting tomorrow covered in this interview - SJ #Industrie40 https://t.co/QsOLvMqr8w</t>
  </si>
  <si>
    <t>To promote pluralism building strong civil societies where democracy, social justice and human rights are respected and valued.</t>
  </si>
  <si>
    <t>RT @Paderbornersj: One of the core topics of Hannover Industry fair 2016 starting tomorrow covered in this interview - SJ #Industrie40 htt…</t>
  </si>
  <si>
    <t>Microsoft-CEO Nadella: #Industrie40 ist das Verschmelzen von IT - und Produktionstechnologie #HM16 https://t.co/yTAlHu9KKl</t>
  </si>
  <si>
    <t>Microsoft Germany</t>
  </si>
  <si>
    <t>RT @VDMAonline: Microsoft-CEO Nadella: #Industrie40 ist das Verschmelzen von IT - und Produktionstechnologie #HM16 https://t.co/yTAlHu9KKl</t>
  </si>
  <si>
    <t>Unterschleißheim</t>
  </si>
  <si>
    <t>Hier twittert das Microsoft Deutschland PR-Team https://t.co/ciZI6dhWmH | Support unter @MicrosoftHilft und https://t.co/akiqsOTuOx | https://t.co/ZAIuVbMpz1</t>
  </si>
  <si>
    <t>Ga Advancement</t>
  </si>
  <si>
    <t>Global Attain Advancement LLC. Organizers of high-level investment and trade conferences, forums and exploratory trade missions.</t>
  </si>
  <si>
    <t>Mark Tomkins</t>
  </si>
  <si>
    <t>Great presentation #Industrie40 @satyanadella @msftmfg @CSGermany @POTUS @PennyPritzker @GACC_Midwest https://t.co/kVpT5U581h</t>
  </si>
  <si>
    <t>Sachin Karadgi</t>
  </si>
  <si>
    <t>In the age of #IIOT, #SmartManufacturing &amp; #Industrie40 #Industry40, do we need #OverallEquipmentEffectiveness #OEE? #MESAp2e #Manufacturing</t>
  </si>
  <si>
    <t>Regensburg, Germany</t>
  </si>
  <si>
    <t>Technical Consultant @TietoCorp #ProductionExcellence in #Forest and #Manufacturing</t>
  </si>
  <si>
    <t>Frank Baur</t>
  </si>
  <si>
    <t>Chicago (IL), US</t>
  </si>
  <si>
    <t>VP Supply Chain &amp; Logistics | Bosch Automotive Aftermarket. I hope that through Twitter I can keep in touch with people.</t>
  </si>
  <si>
    <t>@SiemensUSA Kaeser-manufacturing is about impacting lives -software enables this #Industrie40 #HM16USA @GACC_Midwest https://t.co/oQoNxtOa8P</t>
  </si>
  <si>
    <t>Eric Renz-Whitmore ☕</t>
  </si>
  <si>
    <t>ÜT: 35.100683,-106.661229</t>
  </si>
  <si>
    <t>#community-driven economic development!Making #ABQ the friendliest place on the planet 4 #entrepreneurs! w/ @1millioncupsABQ @abq2sxsw @failnightabq @techcoabq</t>
  </si>
  <si>
    <t>de, 24.04.2016] Nach Aussage von Dr. Bernhard Rohleder, Hauptgeschäftsführer des Digitalverbands ... https://t.co/bxmYHUsy3W #Industrie40</t>
  </si>
  <si>
    <t>Microsoft Enterprise</t>
  </si>
  <si>
    <t>Die offizielle Twitter Seite für Microsoft Geschäftskunden und Ihre Quelle für wichtige Ankündigungen und Veranstaltungen. | https://t.co/ZAIuVbMpz1</t>
  </si>
  <si>
    <t>#bitkom zu #industrie40 https://t.co/WSkVT48IZj</t>
  </si>
  <si>
    <t>@Infosys interesting use case of #Industrie40 @pareekhjain @RalphRio</t>
  </si>
  <si>
    <t>Christoph Meinecke</t>
  </si>
  <si>
    <t>#Siemens Joe Kaeser erklärt, wie Siemens maßgeschneiderte Surf Boards ermöglicht #industrie40 #Digitalisierung</t>
  </si>
  <si>
    <t>Interesting conversation on #Industrie40 @pareekhjain at #hmi https://t.co/jmG1JgeALt</t>
  </si>
  <si>
    <t>RT @H_IT_D: de, 24.04.2016] Nach Aussage von Dr. Bernhard Rohleder, Hauptgeschäftsführer des Digitalverbands ... https://t.co/bxmYHUsy3W #I…</t>
  </si>
  <si>
    <t>IAAPR AAIPR</t>
  </si>
  <si>
    <t>@hannover_messe #IIot #digitalfactory #HigherEd #industry40 #industrie40 #manufacturing #mfg #manufacturing #techtransfe</t>
  </si>
  <si>
    <t>Aguadilla, Puerto Rico</t>
  </si>
  <si>
    <t>Iliana DFernández</t>
  </si>
  <si>
    <t>Joseito Fernández. (Abuelo) Guajira Guantanamera.@USDA CubaVzla #SueñoLibres.@hrw.Soprano Voice.@bmi #Entrepreneur IVAWA. @LincolnDBalart @JoelOsteen Ruth 1-4</t>
  </si>
  <si>
    <t>#Bosch zeigt auf der #HM16 in Halle7/C18 die vernetzte Fabrik in Aktion #Industrie40 https://t.co/L8GsLWeedE https://t.co/3smtU0ij7Y</t>
  </si>
  <si>
    <t>#Siemens-CEO #Kaeser: Germay not only talks about #Industrie40, this is the place where it happens #HMI2016 https://t.co/5PPVYRMIBX</t>
  </si>
  <si>
    <t>@Siemens CEO Käser: Deutschland redet nicht nur über #Industrie40 - hier passiert es. #HM16 https://t.co/zky1B2UXia</t>
  </si>
  <si>
    <t>RT @CarstenDierig: #Siemens-CEO #Kaeser: Germay not only talks about #Industrie40, this is the place where it happens #HMI2016 https://t.co…</t>
  </si>
  <si>
    <t>RT @VDMAonline: @Siemens CEO Käser: Deutschland redet nicht nur über #Industrie40 - hier passiert es. #HM16 https://t.co/zky1B2UXia</t>
  </si>
  <si>
    <t>RT @BoschPresse: #Bosch zeigt auf der #HM16 in Halle7/C18 die vernetzte Fabrik in Aktion #Industrie40 https://t.co/L8GsLWeedE https://t.co/…</t>
  </si>
  <si>
    <t>#Siemens-CEO Kaeser: #Industrie40 is a hype, likely a bubble.Many players will come and go, but those who stay, will change the world #HMI16</t>
  </si>
  <si>
    <t>#Industrie40: Der Film für Alle, #Bosch zeigt, wie es funktionieren soll #innovation #digitaltransformation https://t.co/vD1ThCXCL2</t>
  </si>
  <si>
    <t>Industrial Internet of Things &amp; #Industrie40 News https://t.co/iLPMZRoPRd #IIoT #Industry40 w/ Tweets @bastihollmann @gstocker_office</t>
  </si>
  <si>
    <t>RT @foresight_lab: #Industrie40: Der Film für Alle, #Bosch zeigt, wie es funktionieren soll #innovation #digitaltransformation https://t.co…</t>
  </si>
  <si>
    <t>"First Peanuts, then Obama". Warteschlange zur Opening ceremony #HMI16 mit @POTUS #Industrie40 https://t.co/dqoxixWVYs</t>
  </si>
  <si>
    <t>Linde WoMH</t>
  </si>
  <si>
    <t>#Industrie40 - ein zentrales Thema auf der #womh2016 #Vernetzung https://t.co/qWjbr7lluD</t>
  </si>
  <si>
    <t>Offenbach am Main, Deutschland</t>
  </si>
  <si>
    <t>World of Material Handling (WoMH), ein Kundenevent, veranstaltet von Linde MH. Vom 9. bis 25. Mai werfen wir einen Blick in die Zukunft der Intralogistik.</t>
  </si>
  <si>
    <t>Ilkka Niemela</t>
  </si>
  <si>
    <t xml:space="preserve">Helsinki, Finland </t>
  </si>
  <si>
    <t>Director, The Federation of Finnish Technology Industries</t>
  </si>
  <si>
    <t>Pareekh Jain</t>
  </si>
  <si>
    <t>RT @neerajdeuskar79: Interesting conversation on #Industrie40 @pareekhjain at #hmi https://t.co/jmG1JgeALt</t>
  </si>
  <si>
    <t>www.hfsresearch.com</t>
  </si>
  <si>
    <t>Research Director, #Engineering Services Outsourcing, #Industry4.0 #R&amp;D, #TMT #IoT @HfSResearch. Author. Alumnus IIM Bangalore, IIT Delhi</t>
  </si>
  <si>
    <t>ask klaus! haasis</t>
  </si>
  <si>
    <t>Stuttgart - Rome</t>
  </si>
  <si>
    <t>ask klaus! #Agile #Coach, #Mentor, #BusinessAngel, #OnlineCounsellor, Speaker and #Innovation Trainer, #Effectuation Expert, #Scrum Master</t>
  </si>
  <si>
    <t>KI &amp; Deep Learning in #Industrie40? Till Breuer @unbelievable_m am Di.,26.4.,15:15 beim #BIF16 @hannover_messe #HM16 https://t.co/3RRionSM5O</t>
  </si>
  <si>
    <t>Ina Kathrin Sudhoff</t>
  </si>
  <si>
    <t>Bad Soden</t>
  </si>
  <si>
    <t>bluebiz</t>
  </si>
  <si>
    <t>Unser SmartMES ab morgen auf der #HannoverMesse, Halle 17 Stand D69. Mit @Vision_Laser &amp; @UNIORG #Industrie40 #HM16 https://t.co/rho6qFwbLd</t>
  </si>
  <si>
    <t>Bad Zwischenahn</t>
  </si>
  <si>
    <t>IT and Software for the Smart Factory, Internet of Things and Industrie 4.0</t>
  </si>
  <si>
    <t>Wolfgang Dorst</t>
  </si>
  <si>
    <t>#industrie40 rechtzeitig zur #hmi2016 endlich auch in Russland angekommen: https://t.co/ID8kEHhle5</t>
  </si>
  <si>
    <t>#Industrie40 auf amerikanische Art. #IoT #cloudcomputing #m2m #Digitalisierung @verlinked https://t.co/WCsigx9TPU</t>
  </si>
  <si>
    <t>Opening ceremony #HM16 live stream will be available from 6pm https://t.co/TN1qikTtGO #HM16USA #Industrie40 #Logistik</t>
  </si>
  <si>
    <t>RT @verlinked: #Industrie40 auf amerikanische Art. #IoT #cloudcomputing #m2m #Digitalisierung @verlinked https://t.co/WCsigx9TPU</t>
  </si>
  <si>
    <t>Martin Ruskowski</t>
  </si>
  <si>
    <t>RT @dumslaff: Helden gesucht: Fehlende Koordination &amp; kein Mut zur Veränderung blockieren Unternehmen auf dem Weg in #Industrie40 https://t…</t>
  </si>
  <si>
    <t>Jetzt heißt es warten, die #VIPs sind noch nicht da #HM16 #Opening #HM16USA #Industrie40 #Logistik https://t.co/LpuH2W6dwb</t>
  </si>
  <si>
    <t>Industriebündnis</t>
  </si>
  <si>
    <t>Das tripartistische Bündnis Zukunft der Industrie hat das Ziel industriepolitische Kompetenzen zu bündeln und besser zu koordinieren für eine Perspektive 2030</t>
  </si>
  <si>
    <t>RT @CarstenDierig: #Siemens-CEO Kaeser: #Industrie40 is a hype, likely a bubble.Many players will come and go, but those who stay, will cha…</t>
  </si>
  <si>
    <t>Klaus-Jürgen Schäfer</t>
  </si>
  <si>
    <t>Passend zur Hannover Messe #hm16 startet ein kostenfreier Online-Kurs zum Thema #industrie40 Infos: https://t.co/cnDAMQ04q1</t>
  </si>
  <si>
    <t>Germany, Impressum:</t>
  </si>
  <si>
    <t>Journalist, Subject: Messe als Marketinginstrument. I'd like to give you a wide panorama on the exhibition industry to show fresh ideas and to identify trends.</t>
  </si>
  <si>
    <t>RT @MesseJournalist: Passend zur Hannover Messe #hm16 startet ein kostenfreier Online-Kurs zum Thema #industrie40 Infos: https://t.co/cnDAM…</t>
  </si>
  <si>
    <t>Unser Imagefilm ist online! https://t.co/Q0boAdiuua #industrie40 #mittelstanddigital</t>
  </si>
  <si>
    <t>RT @mitunsdigital: Unser Imagefilm ist online! https://t.co/Q0boAdiuua #industrie40 #mittelstanddigital</t>
  </si>
  <si>
    <t>Rafael Sobek</t>
  </si>
  <si>
    <t>Founder, Strategy, Web, Apps, Cloud, Big Data, Internet of Things, Marketing, Management #digitalisierung #iot #cloud #bigdata #digitaltransformation</t>
  </si>
  <si>
    <t>Prepping our booth bots for this week’s @hannover_messe show in Germany https://t.co/o7xSHvmRQw #HM16 #Industrie40 https://t.co/d8I53tcAZx</t>
  </si>
  <si>
    <t>PlantEngineering</t>
  </si>
  <si>
    <t>RT @RethinkRobotics: Prepping our booth bots for this week’s @hannover_messe show in Germany https://t.co/o7xSHvmRQw #HM16 #Industrie40 htt…</t>
  </si>
  <si>
    <t>Oak Brook, IL</t>
  </si>
  <si>
    <t>Providing #strategic #manufacturing knowledge to help the #plant #manager operate efficiently, effectively, and safely.</t>
  </si>
  <si>
    <t>AlternaCommunication</t>
  </si>
  <si>
    <t>Bayamón, Puerto Rico</t>
  </si>
  <si>
    <t>We are a passionate media corporation, founded in Puerto Rico in 2009.</t>
  </si>
  <si>
    <t>@iaapraaipr @hannover_messe #IIot #digitalfactory #HigherEd #industry40 #industrie40 #manufacturing #mfg #manufacturing #techtransfe</t>
  </si>
  <si>
    <t>Ángel Hoyos</t>
  </si>
  <si>
    <t>Puerto Rico</t>
  </si>
  <si>
    <t>Presidente de Alterna Communications, Asesor Mediático, Puertorriqueño</t>
  </si>
  <si>
    <t>#Industrie40 - bereit für das digitale Wirtschaftswunder - besuchen Sie uns Hallo 8 #HM16 https://t.co/f2kMi24b6H</t>
  </si>
  <si>
    <t>So sieht also #industrie40 aus. #hannobama #hm16 https://t.co/wd5FU375rn</t>
  </si>
  <si>
    <t>#Industrie40 - bereit für das digitale Wirtschaftswunder - besuchen Sie uns Halle 8 #HM16 https://t.co/f2kMi24b6H</t>
  </si>
  <si>
    <t>RT @LNI40: #Industrie40 - bereit für das digitale Wirtschaftswunder - besuchen Sie uns Halle 8 #HM16 https://t.co/f2kMi24b6H</t>
  </si>
  <si>
    <t>Niklas Sowa</t>
  </si>
  <si>
    <t>Marketing Manager - Mittelstand bei #Microsoft. Interessiert an neuen Technologien für ein #DigitalesWirtschaftswunder, Reisen und ital. Vespas|views are my own</t>
  </si>
  <si>
    <t>Es geht los!Ab morgen kann man bei uns auf der #hannover_messe seinen eigenen #Industrie40 Kuli fertigen lassen! https://t.co/VuLsVbpN4l</t>
  </si>
  <si>
    <t>Toni Stoeckl</t>
  </si>
  <si>
    <t>Neue Produktionsprozesse - Generalist gesucht https://t.co/a9o6T3h5ZM Tipp: @acatech_de-Onlinekurs zu #industrie40-Basics</t>
  </si>
  <si>
    <t>Customer service manager print &amp; digital bei @SZ. Posts are private.</t>
  </si>
  <si>
    <t>RT @MarianKoeller: So sieht also #industrie40 aus. #hannobama #hm16 https://t.co/wd5FU375rn</t>
  </si>
  <si>
    <t>#hmi2016 startet mit Roboter-Choreografie zur Arbeit in der #industrie40 mit #kuka_roboticsEN als Protagonisten https://t.co/pDQsG5owbl</t>
  </si>
  <si>
    <t>Das #hermesaward gewinner-produkt #mica hilft bestehende anlagen #industrie40 tauglich zu machen @MaschinenMarkt #hm16</t>
  </si>
  <si>
    <t>RT @Bitkom_I40: #hmi2016 startet mit Roboter-Choreografie zur Arbeit in der #industrie40 mit #kuka_roboticsEN als Protagonisten https://t.c…</t>
  </si>
  <si>
    <t>RT @TStoeckl: Neue Produktionsprozesse - Generalist gesucht https://t.co/a9o6T3h5ZM Tipp: @acatech_de-Onlinekurs zu #industrie40-Basics</t>
  </si>
  <si>
    <t>#HM16 #HannObama #IoT #Industrie40 #industry40 https://t.co/iXTUxskZ9f</t>
  </si>
  <si>
    <t>RT @mitunsdigital: Es geht los!Ab morgen kann man bei uns auf der #hannover_messe seinen eigenen #Industrie40 Kuli fertigen lassen! https:/…</t>
  </si>
  <si>
    <t>#HM16 #HannObama #IoT #Industrie40 #industry40 #AdvancedManufacturing https://t.co/vMt6fT9ZeC</t>
  </si>
  <si>
    <t>Ein edles Teil, das jeder haben muss! Erhältlich in der Robotation Academy (im Pavillion 36). #industrie40 https://t.co/Ci7TznMgYO</t>
  </si>
  <si>
    <t>RT @mitunsdigital: Ein edles Teil, das jeder haben muss! Erhältlich in der Robotation Academy (im Pavillion 36). #industrie40 https://t.co/…</t>
  </si>
  <si>
    <t>#hmi2016 Hermes Award geht an das Unternehmen Harting für seine Box, die ältere Maschinen durch digitalen Zwilling für #Industrie40 vernetzt</t>
  </si>
  <si>
    <t>@HARTING_Group Mica ist #industrie40 , weil mutig neue Geschäftsmodelle entwickelt wurden. Glückwunsch! #HM16</t>
  </si>
  <si>
    <t>RT @Robert_Weber_: @HARTING_Group Mica ist #industrie40 , weil mutig neue Geschäftsmodelle entwickelt wurden. Glückwunsch! #HM16</t>
  </si>
  <si>
    <t>RT @Bitkom_I40: #hmi2016 Hermes Award geht an das Unternehmen Harting für seine Box, die ältere Maschinen durch digitalen Zwilling für #Ind…</t>
  </si>
  <si>
    <t>Visit @IIConsortium pavilion. Learn how Telit is simplifying the path to #industrie40 https://t.co/0kBTAZqcTM #HM16 https://t.co/2PkG19Pto9</t>
  </si>
  <si>
    <t>Andreas M</t>
  </si>
  <si>
    <t>Morgen startet ein 5-wöchiger #MOOC zu Industrie 4.0 von @HPI_DE und @acatech_de https://t.co/H1lFLActPT #Industrie40 #Arbeit40</t>
  </si>
  <si>
    <t>Internet</t>
  </si>
  <si>
    <t>RT @deviceWISEM2M: Visit @IIConsortium pavilion. Learn how Telit is simplifying the path to #industrie40 https://t.co/0kBTAZqcTM #HM16 htt…</t>
  </si>
  <si>
    <t>RT @andy_m81: Morgen startet ein 5-wöchiger #MOOC zu Industrie 4.0 von @HPI_DE und @acatech_de https://t.co/H1lFLActPT #Industrie40 #Arbeit…</t>
  </si>
  <si>
    <t>Jack Nehlig</t>
  </si>
  <si>
    <t>#HM16USA keynote by @POTUS #industrialinternetofthings #Industrie40 #SelectUSA https://t.co/rP8jB0JddP</t>
  </si>
  <si>
    <t>Harrisburg, PA</t>
  </si>
  <si>
    <t>President of Phoenix Contact USA, Manufacturer of #Automation,#Control, and #Connectivity products</t>
  </si>
  <si>
    <t>President Obama opening speech at Hannover Fair #HM16 - Digital &amp; Manufacturing creates jobs #Industrie40 https://t.co/ka8HHhCl72</t>
  </si>
  <si>
    <t>RT @RiemenspergerF: President Obama opening speech at Hannover Fair #HM16 - Digital &amp; Manufacturing creates jobs #Industrie40 https://t.co/…</t>
  </si>
  <si>
    <t>Wolfgang Kerner</t>
  </si>
  <si>
    <t>Wolfgang Kerner - Senior Recruitment Consultant #HR #Recruitment #RPO #Staffing #Jobs</t>
  </si>
  <si>
    <t>AmCham Germany</t>
  </si>
  <si>
    <t>Berlin and Frankfurt, Germany</t>
  </si>
  <si>
    <t>We actively support &amp; promote our members' interests through our global networks in business, politics and AmChams worldwide.</t>
  </si>
  <si>
    <t>Claus Hammer</t>
  </si>
  <si>
    <t>#Visionary &amp; #Innovator #DigitalTransformation | Passion for #Automotive &amp; #Digital | #Strategy new #BusinessModels | #DataAnalytics | #Speaker | #Mentor</t>
  </si>
  <si>
    <t>UPS Deutschland</t>
  </si>
  <si>
    <t>Der offizielle UPS Deutschland Kanal- für alles rund um UPS und Logistik. Customer Service über @UPSHilfe_DE. Tweets vom UPS® Deutschland Social Media Team.</t>
  </si>
  <si>
    <t>RT @OOgbukagu: @PennyPritzker: Advanced Manufactoring #Industrie40 depend on free flow of data, services! @hannover_messe #HM16 #HM16USA</t>
  </si>
  <si>
    <t>RT @VDMAonline: #Industrie40 in @ntvde - der #Maschinenbau treibt die #Digitalisierung der Produktion voran #HM16 https://t.co/WaBmI4wK1R</t>
  </si>
  <si>
    <t>Holger Molle</t>
  </si>
  <si>
    <t>#Sales Department / Site Supervisor - interested in business, politics, environment, economy, technologies and sports - loves to snowboard, golf, paintball</t>
  </si>
  <si>
    <t>Chancellor Merkel at Hannover Fair opening #HM16 - We love competition and we love to win #Industrie40 #HannObama https://t.co/z8o6aASMbY</t>
  </si>
  <si>
    <t>Henning Banthien</t>
  </si>
  <si>
    <t>Merkel begrüßt Kooperation zwischen IIC und Plattform #Industrie40 zu internationalen Standards @ifok_de #HannObama https://t.co/PABe1rviAW</t>
  </si>
  <si>
    <t>Geschäftsführer IFOK, Bürgerbeteiligung, Nachhaltigkeit</t>
  </si>
  <si>
    <t>msftmfg: RT OOgbukagu: PennyPritzker: Advanced Manufactoring #Industrie40 depend on free flow of data, services! hannover_messe #HM16 #HM16…</t>
  </si>
  <si>
    <t>Rodney Brooks</t>
  </si>
  <si>
    <t>Boston</t>
  </si>
  <si>
    <t>Robot builder</t>
  </si>
  <si>
    <t>RT @banthien: Merkel begrüßt Kooperation zwischen IIC und Plattform #Industrie40 zu internationalen Standards @ifok_de #HannObama https://t…</t>
  </si>
  <si>
    <t>Christine Krueger</t>
  </si>
  <si>
    <t>@bmfsfj @EuropaUnionDe / @publixphere / #lobbyEU / #employment #migration / #labourmarket / #Education / #views my own @EU #gender #digitalisation</t>
  </si>
  <si>
    <t>Y. Dengel-Ongcoy</t>
  </si>
  <si>
    <t>Kronberg im Taunus, Hessen</t>
  </si>
  <si>
    <t>Marketing &amp; Communication - Employer Branding @AccentureDACH // Opinions are my own!</t>
  </si>
  <si>
    <t>philip_w_morris: msftmfg: RT OOgbukagu: PennyPritzker: Advanced Manufactoring #Industrie40 depend on free flow of data, services! hannover_…</t>
  </si>
  <si>
    <t>@HARTING_Group gewinnt #hermesaward auf #HM16; siehe https://t.co/vzdoprYWoC. #Industrie40 ist überall</t>
  </si>
  <si>
    <t>RT @Ronald_Heinze: @HARTING_Group gewinnt #hermesaward auf #HM16; siehe https://t.co/vzdoprYWoC. #Industrie40 ist überall</t>
  </si>
  <si>
    <t>MarinerLLC: msftmfg: RT OOgbukagu: PennyPritzker: Advanced Manufactoring #Industrie40 depend on free flow of data, services! hannover_messe…</t>
  </si>
  <si>
    <t>PB</t>
  </si>
  <si>
    <t>RT @_bluebiz: Unser SmartMES ab morgen auf der #HannoverMesse, Halle 17 Stand D69. Mit @Vision_Laser &amp; @UNIORG #Industrie40 #HM16 https://t…</t>
  </si>
  <si>
    <t>Ohne #CloudComputing braucht man über #Industrie40 nicht nachdenken https://t.co/rmPn5AzueE - ist das auch sicher?</t>
  </si>
  <si>
    <t>Toni Ferraté</t>
  </si>
  <si>
    <t>Barcelona &amp; Cloud</t>
  </si>
  <si>
    <t>educaBOT Foundation &amp; Founder CEO @RO_BOTICA_ : Education &amp; Personal Robots. #CloudRoboting visionary for accelerate AI and education.</t>
  </si>
  <si>
    <t>#HM16 has now opened. Thanks to @POTUS &amp; chancellor #Merkel for the opening messages. #Industrie40 @IIConsortium https://t.co/cRwdGJtTFg</t>
  </si>
  <si>
    <t>RT @TLinn_Visionico: Ohne #CloudComputing braucht man über #Industrie40 nicht nachdenken https://t.co/rmPn5AzueE - ist das auch sicher?</t>
  </si>
  <si>
    <t>Claus Schaale</t>
  </si>
  <si>
    <t>I am passionate about Cloud+IoT and the evolution of life as we know due to them. I care about diversity and social responsibility.Tweets are personal.</t>
  </si>
  <si>
    <t>Kevin Faircloth</t>
  </si>
  <si>
    <t xml:space="preserve">31005 Georgia </t>
  </si>
  <si>
    <t>Human content generator, will use a robot when needed, mmWave enthusiast, GMD contingency architect, etymological dichroism observer</t>
  </si>
  <si>
    <t>BRÜSSEL (IT-Times) - Der digitale Binnenmarkt ist für die Europäische Kommission ein Themen-Resso... https://t.co/A6pv9RBjUz #Industrie40</t>
  </si>
  <si>
    <t>Johannes Schwärzler</t>
  </si>
  <si>
    <t>#Digitalisierung #Landwirtschaft #industrie40 https://t.co/lagOsN4SDn</t>
  </si>
  <si>
    <t>Regensburg</t>
  </si>
  <si>
    <t>Menschliche Lösungen für technische Probleme. IT-Systemhaus für KMUs, Beratung, Planung, Installation, Wartung. Impressum: https://t.co/pcsylcmxjJ</t>
  </si>
  <si>
    <t>Liliana Gorla</t>
  </si>
  <si>
    <t>Paris / Milan, Europe</t>
  </si>
  <si>
    <t>Human Resources Siemens France. Tweets are my own.</t>
  </si>
  <si>
    <t>RT @H_IT_D: BRÜSSEL (IT-Times) - Der digitale Binnenmarkt ist für die Europäische Kommission ein Themen-Resso... https://t.co/A6pv9RBjUz #I…</t>
  </si>
  <si>
    <t>Prof. Seul (#VDWF) über die Zukunft vom deutschen Werkzeug- und Formenbau https://t.co/6gGH5o0mr1 #Industrie40 https://t.co/fJCmw4UjNc</t>
  </si>
  <si>
    <t>RT @IngVersteher: Prof. Seul (#VDWF) über die Zukunft vom deutschen Werkzeug- und Formenbau https://t.co/6gGH5o0mr1 #Industrie40 https://t.…</t>
  </si>
  <si>
    <t>Aaron Brickman</t>
  </si>
  <si>
    <t>Washington, DC</t>
  </si>
  <si>
    <t>SVP @InsourceJobsUSA. Founder of USG’s @SelectUSA. Teach @GUPublicPolicy. Focus on #FDI, #trade &amp; #econdev. Alum of @AmericanU &amp; @UChicago RTs/opinions are mine</t>
  </si>
  <si>
    <t>Imke Hogerzeil</t>
  </si>
  <si>
    <t>Morgen startet die #HannoverMesse16 - die Vorbereitungen laufen, wie @heiseonline berichtet: https://t.co/gzPLopnb3K. #Industrie40</t>
  </si>
  <si>
    <t>Kommunikation für Unternehmen, Schwerpunkt IT+Technik | Heesch Hogerzeil Kommunikation AG | @HHKBerlin</t>
  </si>
  <si>
    <t>RT @IHogerzeil: Morgen startet die #HannoverMesse16 - die Vorbereitungen laufen, wie @heiseonline berichtet: https://t.co/gzPLopnb3K. #Indu…</t>
  </si>
  <si>
    <t>Abdullah uzuner</t>
  </si>
  <si>
    <t>TMS.İSTANBUL AND.YAK.SUBESİ DENETİM KURULU UYESİ #SİEMENS#</t>
  </si>
  <si>
    <t>Johannes Jausen</t>
  </si>
  <si>
    <t>Gründer der Innovationswerkstatt</t>
  </si>
  <si>
    <t>Joe</t>
  </si>
  <si>
    <t>Minnetonka, MN</t>
  </si>
  <si>
    <t>an average joe</t>
  </si>
  <si>
    <t>RT @RiemenspergerF: Chancellor Merkel at Hannover Fair opening #HM16 - We love competition and we love to win #Industrie40 #HannObama https…</t>
  </si>
  <si>
    <t>#Digitalisierung &amp; #Industrie40 gehört zusammen! #Visionico meint: https://t.co/A2or8NnSx6 #BigData #IoT #ERP https://t.co/wMLVvj8tFT</t>
  </si>
  <si>
    <t>Frank Naujoks</t>
  </si>
  <si>
    <t>Spencer</t>
  </si>
  <si>
    <t>RT @JackNehlig: #HM16USA keynote by @POTUS #industrialinternetofthings #Industrie40 #SelectUSA https://t.co/rP8jB0JddP</t>
  </si>
  <si>
    <t>RT @TLinn_Visionico: #Digitalisierung &amp; #Industrie40 gehört zusammen! #Visionico meint: https://t.co/A2or8NnSx6 #BigData #IoT #ERP https://…</t>
  </si>
  <si>
    <t>RT @Linde_WoMH: #Industrie40 - ein zentrales Thema auf der #womh2016 #Vernetzung https://t.co/qWjbr7lluD</t>
  </si>
  <si>
    <t>Dirk Schaar</t>
  </si>
  <si>
    <t>Editor-in-Chief Vereinigte Fachverlage GmbH - International magazines and e-papers for engineers. All about German and European engineering ...</t>
  </si>
  <si>
    <t>Digi Robotics</t>
  </si>
  <si>
    <t>Dubai - UAE - Middle East</t>
  </si>
  <si>
    <t>Your Ultimate Robotic &amp; Autonomous Solutions</t>
  </si>
  <si>
    <t>Stefanie Reitz</t>
  </si>
  <si>
    <t>Intern Marketing &amp; Communications @accentureDACH</t>
  </si>
  <si>
    <t>Hannover Messe 2016: Epicenter of #Industrie40 https://t.co/rbcyDwGJh8 @MicrosoftIoT | #HM16 #IoT https://t.co/ZDiIoHSqZ0</t>
  </si>
  <si>
    <t>msftmfg: Hannover Messe 2016: Epicenter of #Industrie40 https://t.co/oQgRSKuUyq MicrosoftIoT | #HM16 #IoT https://t.co/Hs8jKhTafm</t>
  </si>
  <si>
    <t>msftmfg: Hannover Messe 2016: Epicenter of #Industrie40 https://t.co/fQbWNKEkhl MicrosoftIoT | #HM16 #IoT https://t.co/PutxqqeQqM</t>
  </si>
  <si>
    <t>max.streibl</t>
  </si>
  <si>
    <t>Graz Umgebung</t>
  </si>
  <si>
    <t>smart production solutions &amp; services, business informatics student,bachelor thesis about augmented reality,smartengineering, smartwatch,User Interface Design</t>
  </si>
  <si>
    <t>msftmfg: Hannover Messe 2016: Epicenter of #Industrie40 https://t.co/oz4emgfQ7C MicrosoftIoT | #HM16 #IoT https://t.co/rC6VI9dW7p</t>
  </si>
  <si>
    <t>MarinerLLC: msftmfg: Hannover Messe 2016: Epicenter of #Industrie40 https://t.co/lUtGfkqBYt MicrosoftIoT | #HM16 … https://t.co/0uGufTdut9</t>
  </si>
  <si>
    <t>Denn Merkel und Obama warben eindringlich für das von der Wirtschaft mehrheitlich herbeigesehnte ... https://t.co/UrZWESV6nG #Industrie40</t>
  </si>
  <si>
    <t>philip_w_morris: msftmfg: Hannover Messe 2016: Epicenter of #Industrie40 https://t.co/E9DGmbs8hg MicrosoftIoT | #… https://t.co/qPCwHIdCph</t>
  </si>
  <si>
    <t>RT @H_IT_D: Denn Merkel und Obama warben eindringlich für das von der Wirtschaft mehrheitlich herbeigesehnte ... https://t.co/UrZWESV6nG #I…</t>
  </si>
  <si>
    <t>BKV24</t>
  </si>
  <si>
    <t>Was Personalvorstände zur Zukunft der Arbeit sagen https://t.co/jcZLYnKUCB via @acatech_de &amp; @th_sattelberger #industrie40</t>
  </si>
  <si>
    <t>Corporate Health &amp; Benefits.</t>
  </si>
  <si>
    <t>Daniel Axt</t>
  </si>
  <si>
    <t>President Obama speaks at @hannover_messe - Digital &amp; Manufacturing creates jobs https://t.co/IeOomxjpDp #HM16 #Industrie40</t>
  </si>
  <si>
    <t>Stuttgart, Deutschland</t>
  </si>
  <si>
    <t>Digital Native. Car Enthusiast. Strategist. Views are my own.</t>
  </si>
  <si>
    <t>Fahrt zur #hm16 wie #Industrie40: Regen Sonne Schnee Sensorausfall #HannoverMesse Höhe @StadtKassel https://t.co/9f28quZwEp</t>
  </si>
  <si>
    <t>Facebook' der Industrie: für industrielle Vernetzung! #industrie40 #IoT... #Startup PlattformImpressum: https://t.co/zDsxCU1o6S, for USA @induux</t>
  </si>
  <si>
    <t>RT @induux_de: Fahrt zur #hm16 wie #Industrie40: Regen Sonne Schnee Sensorausfall #HannoverMesse Höhe @StadtKassel https://t.co/9f28quZwEp</t>
  </si>
  <si>
    <t>#HM16, See you at H7.D28 @Bitkom_I40 #PredictiveMaintenance #Industrie40 #I40 #edsmartservices https://t.co/luOapXHfIV</t>
  </si>
  <si>
    <t>RT @xtstuttgart: President Obama speaks at @hannover_messe - Digital &amp; Manufacturing creates jobs https://t.co/IeOomxjpDp #HM16 #Industrie40</t>
  </si>
  <si>
    <t>Post free ads for Industries &amp; Manufacturing in USA #Industrie40 #manufacturing #productivity #Company https://t.co/tdxXZlgil0</t>
  </si>
  <si>
    <t>unbelievable machine</t>
  </si>
  <si>
    <t>RT @Bitkom_I40: KI &amp; Deep Learning in #Industrie40? Till Breuer @unbelievable_m am Di.,26.4.,15:15 beim #BIF16 @hannover_messe #HM16 https:…</t>
  </si>
  <si>
    <t>We create market leaders.</t>
  </si>
  <si>
    <t>NLP Stories</t>
  </si>
  <si>
    <t>nlp_twitter_bot</t>
  </si>
  <si>
    <t>Manhattan, NY</t>
  </si>
  <si>
    <t>Created by @outpark. Retweeting Natural Language Processing and Deep Learning related stories.</t>
  </si>
  <si>
    <t>Burak Yenier</t>
  </si>
  <si>
    <t>RT @msftmfg: Hannover Messe 2016: Epicenter of #Industrie40 https://t.co/rbcyDwGJh8 @MicrosoftIoT | #HM16 #IoT https://t.co/ZDiIoHSqZ0</t>
  </si>
  <si>
    <t>California</t>
  </si>
  <si>
    <t>Co-founder at TheUberCloud, HPC Experiment</t>
  </si>
  <si>
    <t>Carl Palme</t>
  </si>
  <si>
    <t>Robotics Product Manager. Interested in #robots #analytics and #startups. @rethinkrobotics</t>
  </si>
  <si>
    <t>Congatulation !!! #innovation #iot #Industrie40 #BigData #tech 🇩🇪🇺🇸 https://t.co/g6IqPbR7dJ</t>
  </si>
  <si>
    <t>Congratulations !!! #innovation #iot #Industrie40 #BigData #tech 🇩🇪🇺🇸 @HARTING @GACC_Midwest #HM16USA https://t.co/g6IqPbR7dJ</t>
  </si>
  <si>
    <t>Global A-Advancement</t>
  </si>
  <si>
    <t>Global Attain Advancement LLC. Organizers of high-level investment and trade conferences, forums and exploratory trade missions. #HM16USA</t>
  </si>
  <si>
    <t>Imran Hafeez Panhwar</t>
  </si>
  <si>
    <t>RT @CSGermany: Congratulations !!! #innovation #iot #Industrie40 #BigData #tech 🇩🇪🇺🇸 @HARTING @GACC_Midwest #HM16USA https://t.co/g6IqPbR7…</t>
  </si>
  <si>
    <t>LollyDaskal_Roomee</t>
  </si>
  <si>
    <t>Islamabad, Pakistan</t>
  </si>
  <si>
    <t>Personal Tweets on IT &amp; web Solutions. Humanistic future,Live &amp; Love Life,Leadership,Future,innovation now,Peace,Happy 2 Connect: https://t.co/alxrv2ArlM</t>
  </si>
  <si>
    <t>Mark Gradwell</t>
  </si>
  <si>
    <t>RT @RahmanNow: #HM16 has now opened. Thanks to @POTUS &amp; chancellor #Merkel for the opening messages. #Industrie40 @IIConsortium https://t.c…</t>
  </si>
  <si>
    <t>Berkshire, UK</t>
  </si>
  <si>
    <t>Dad x4 (1+1+2). Info junkie. Passionate music, beer, tech, AFC + eco geek. Aspiring runner. Avid reader, when I find time. PR, content marketing &amp; comms pro.</t>
  </si>
  <si>
    <t>HeideMarie R. Ehrke</t>
  </si>
  <si>
    <t>Bad Kissingen</t>
  </si>
  <si>
    <t>Ich liebe die Natur. Meine Berufung, schon in die Wiege gelegt: Mit dem Herzen zu sehen. Meine Klassik-Homepage: https://t.co/VBnBCJ1LOm</t>
  </si>
  <si>
    <t>BRÜSSEL (IT-Times) - Der digitale Binnenmarkt ist für die Europäische Kommission ein Themen-Resso... https://t.co/rO2hGpsrmF #Industrie40</t>
  </si>
  <si>
    <t>RT @H_IT_D: BRÜSSEL (IT-Times) - Der digitale Binnenmarkt ist für die Europäische Kommission ein Themen-Resso... https://t.co/rO2hGpsrmF #I…</t>
  </si>
  <si>
    <t>Kirsty Wilkinson</t>
  </si>
  <si>
    <t>Coalville</t>
  </si>
  <si>
    <t>Specialist social media, Digital, SEO, Legal Support Services, Secretarial support, Case Management Development, File Audits, Social Media Training for Lawyers</t>
  </si>
  <si>
    <t>Peter Karidis</t>
  </si>
  <si>
    <t>Adelaide, Melbourne, London</t>
  </si>
  <si>
    <t>• Rotarian • Advisor • Mentor • Building Better #Communities #Cities #RetirementVillages #ShapingSA #BigData #SmartCities @PrivateEquiti • Psalm 23:4 •</t>
  </si>
  <si>
    <t>RAVINAMBY</t>
  </si>
  <si>
    <t>INDIA, CHENNAI</t>
  </si>
  <si>
    <t>ELECTRONICS ENGG. GRADUATE FROM MIT-CHENNAI,INDIA. FREELANCE RESEARCHER.ACK BY STANFORD, DR.KALAM,www.hisnobelwoes http://t.co/5kAesnhcJY</t>
  </si>
  <si>
    <t>Alberto Muñoz</t>
  </si>
  <si>
    <t>#Yucatan</t>
  </si>
  <si>
    <t>@GrupoPlenum #robotics #Innovation @CANIETI @AMIPCI #INRIA #Oxford #imagination #fourthindustrialrevolution #BigData #Analytics @JaniaMunoz &amp; Lena dad.</t>
  </si>
  <si>
    <t>Megan Lilly</t>
  </si>
  <si>
    <t>Melbourne, Victoria</t>
  </si>
  <si>
    <t>Japan Industry News</t>
  </si>
  <si>
    <t>#InternetOfThings in #Japan: Quietly, Systematically Plowing Ahead https://t.co/7eQQL9b5GV #IoT #industrie40</t>
  </si>
  <si>
    <t>Tokyo, Japan</t>
  </si>
  <si>
    <t>We build partnerships with Japan’s industrial trade press, bringing their insights to global professionals in English language. Now online: Japan Rubber Weekly</t>
  </si>
  <si>
    <t>Die HANNOVER MESSE 2016 steht ganz im Zeichen der vernetzten Industrie . Und auch die Robotik boo... https://t.co/luruahduDP #Industrie40</t>
  </si>
  <si>
    <t>RT @H_IT_D: Die HANNOVER MESSE 2016 steht ganz im Zeichen der vernetzten Industrie . Und auch die Robotik boo... https://t.co/luruahduDP #I…</t>
  </si>
  <si>
    <t>Marcel A.</t>
  </si>
  <si>
    <t>Wuppertal, Nordrhein-Westfalen</t>
  </si>
  <si>
    <t>News rund um #Renewable Energies #Maschinenbau #Industrial Engineering #Automatisierung. Interesse an Sozialen Netzwerken.</t>
  </si>
  <si>
    <t>Markus Peter</t>
  </si>
  <si>
    <t>Bei Industrie 4.0 geht es um Vertrauen: https://t.co/86sYMySlZY via @handelsblatt #Industrie40</t>
  </si>
  <si>
    <t>#berne #switzerland</t>
  </si>
  <si>
    <t>#webdesign #blogging #socialmedia #ecommerce #onlineshopping #onlinehandel #web2print #design #logistics #swisspost - This is a private account</t>
  </si>
  <si>
    <t>RT @MarkusPeter: Bei Industrie 4.0 geht es um Vertrauen: https://t.co/86sYMySlZY via @handelsblatt #Industrie40</t>
  </si>
  <si>
    <t>Peter Kalberer</t>
  </si>
  <si>
    <t>La bataille de la #TransfoDigitale se joue maintenant #industrie40 #hm16 https://t.co/HROiFrlCeE</t>
  </si>
  <si>
    <t>Hannover Messe: Schulterschluss im Digitalzeitalter #prodmgmt #nachrichten #industrie40 https://t.co/DP1nOmshUI</t>
  </si>
  <si>
    <t>IsMail Maraqa</t>
  </si>
  <si>
    <t>RT @PwC_France: La bataille de la #TransfoDigitale se joue maintenant #industrie40 #hm16 https://t.co/HROiFrlCeE</t>
  </si>
  <si>
    <t>Christian Voigt</t>
  </si>
  <si>
    <t>Good morning #Hannover. Looking forward to premiere #rpa at #HM16 today #digitization #Industrie40</t>
  </si>
  <si>
    <t>Co Founder and managing director at Roboyo. I love digitization, industrie 4.0 and intelligent automation.</t>
  </si>
  <si>
    <t>TERMINE MIT ZEITANGABE 06:45 CH: Charles Vögele Jahreszahlen 07:00 CH: Lonza Q1 Business-Update 0... https://t.co/s6pwkjJZyC #Industrie40</t>
  </si>
  <si>
    <t>RT @ProdMgrNet: Hannover Messe: Schulterschluss im Digitalzeitalter #prodmgmt #nachrichten #industrie40 https://t.co/DP1nOmshUI</t>
  </si>
  <si>
    <t>Winfried Eitel</t>
  </si>
  <si>
    <t>Kostenfreier Online-Kurs zu #Industrie40 startet heute. #MOOC https://t.co/gwHn6nuBsP</t>
  </si>
  <si>
    <t>Willich-Neersen</t>
  </si>
  <si>
    <t>Mit mir können Sie rechnen.</t>
  </si>
  <si>
    <t>Ahmed Adel</t>
  </si>
  <si>
    <t>#Industrie40 is on w mfg Digital transformation in @hannover_messe #HM16 #IoT ahead @msftmfg https://t.co/1OAcuudSqV https://t.co/alDpvkZPO0</t>
  </si>
  <si>
    <t>Dubai, UAE</t>
  </si>
  <si>
    <t>Egyptian living in Dubai, Family man,Techie w/ S/W in focus, Water-biased sportsman, Music junkie &amp; Photography addict. I work 4 Microsoft but my posts r my own</t>
  </si>
  <si>
    <t>Strata Data Labs</t>
  </si>
  <si>
    <t>RT @Ahmed_Adel: #Industrie40 is on w mfg Digital transformation in @hannover_messe #HM16 #IoT ahead @msftmfg https://t.co/1OAcuudSqV https:…</t>
  </si>
  <si>
    <t>retweeter for Stratadatalabs</t>
  </si>
  <si>
    <t>Bristol, England</t>
  </si>
  <si>
    <t>RT @amortisat: Kostenfreier Online-Kurs zu #Industrie40 startet heute. #MOOC https://t.co/gwHn6nuBsP</t>
  </si>
  <si>
    <t>Erhvervs- og Vækst</t>
  </si>
  <si>
    <t>Gode muligheder for at øge eksporten til Tyskland. @troelslundp til industrimesse i Hannover #Industrie40 https://t.co/UgaTxETZcB</t>
  </si>
  <si>
    <t>Danmark</t>
  </si>
  <si>
    <t>Erhvervs- og Vækstministeriets officielle profil. Nyt om ministeriet og vigtige initiativer for danske virksomheder. Henvend dig til jbw@evm.dk.</t>
  </si>
  <si>
    <t>Peggy Kopkow</t>
  </si>
  <si>
    <t>Hier twittert wissenswertes-blog alles rund um Wissensmanagement und persönliche Eindrücke aus dem Bereich der Klein- und Mittelständischen Unternehmen.</t>
  </si>
  <si>
    <t>Julie Willemoe</t>
  </si>
  <si>
    <t>RT @EVM_dk: Gode muligheder for at øge eksporten til Tyskland. @troelslundp til industrimesse i Hannover #Industrie40 https://t.co/UgaTxET…</t>
  </si>
  <si>
    <t>Copenhagen</t>
  </si>
  <si>
    <t>Web- og SOME-dame i Erhvervs- og Vækstministeriet. Tweets for egen regning.</t>
  </si>
  <si>
    <t>3D Industries Ltd.</t>
  </si>
  <si>
    <t>Preparing for grand opening of the #HannoverMesse . Find us at Hall 3, Booth B30. #Industrie40 #AugmentedReality #3d #3dprinting #HannObama</t>
  </si>
  <si>
    <t>3D Industries is an exciting London-based web startup reshaping global industry with the power of cutting-edge visual search technology.</t>
  </si>
  <si>
    <t>DruckWege</t>
  </si>
  <si>
    <t>Erweitertes service portfolio für SLA #3ddruck über https://t.co/1QTCwnFXHn #Recoat #diy #make #Industrie40 https://t.co/JxKkokFVGt</t>
  </si>
  <si>
    <t>We offer individual services in the field of rapid prototyping, small batch series production and 3D printing.</t>
  </si>
  <si>
    <t>Tore Keller</t>
  </si>
  <si>
    <t>Bruxelles</t>
  </si>
  <si>
    <t>EU correspondent @ Danish business daily Dagbladet Børsen #eudk #dkpol #dkenergi #dkbiz #dkfinans #dkmedier +32 47 44 417 88 toke{@}borsen{.}dk</t>
  </si>
  <si>
    <t>RT @3dindustries: Preparing for grand opening of the #HannoverMesse . Find us at Hall 3, Booth B30. #Industrie40 #AugmentedReality #3d #3dp…</t>
  </si>
  <si>
    <t>Nacira SALVAN</t>
  </si>
  <si>
    <t>„Bei Industrie 4.0 geht es um Vertrauen“ - https://t.co/RSwbtAH4bB und um einen kontinuierlichen Prozess ! #Industrie40 @handelsblatt</t>
  </si>
  <si>
    <t>RT @LReehten: „Bei Industrie 4.0 geht es um Vertrauen“ - https://t.co/RSwbtAH4bB und um einen kontinuierlichen Prozess ! #Industrie40 @hand…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</si>
</sst>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family val="2"/>
    </font>
    <font>
      <sz val="9"/>
      <color rgb="FFFFFFFF"/>
      <name val="Arial"/>
      <family val="2"/>
    </font>
    <font>
      <sz val="8"/>
      <color rgb="FFFFFFFF"/>
      <name val="Arial"/>
      <family val="2"/>
    </font>
    <font>
      <sz val="8"/>
      <name val="Arial"/>
      <family val="2"/>
    </font>
    <font>
      <b/>
      <sz val="8"/>
      <color rgb="FFFFFFFF"/>
      <name val="Trebuchet MS"/>
      <family val="2"/>
    </font>
    <font>
      <u/>
      <sz val="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s://twitter.com/recruitingtag/status/722320002574086144" TargetMode="External"/><Relationship Id="rId4233" Type="http://schemas.openxmlformats.org/officeDocument/2006/relationships/hyperlink" Target="https://twitter.com/WSWMUC" TargetMode="External"/><Relationship Id="rId8854" Type="http://schemas.openxmlformats.org/officeDocument/2006/relationships/hyperlink" Target="https://twitter.com/KStepping" TargetMode="External"/><Relationship Id="rId9905" Type="http://schemas.openxmlformats.org/officeDocument/2006/relationships/hyperlink" Target="https://twitter.com/INDIZbot/status/724277010365833217" TargetMode="External"/><Relationship Id="rId7456" Type="http://schemas.openxmlformats.org/officeDocument/2006/relationships/hyperlink" Target="https://twitter.com/CapgeminiDE/status/723407321427107840" TargetMode="External"/><Relationship Id="rId8507" Type="http://schemas.openxmlformats.org/officeDocument/2006/relationships/hyperlink" Target="https://twitter.com/Wibbow/status/723604993442516992" TargetMode="External"/><Relationship Id="rId6058" Type="http://schemas.openxmlformats.org/officeDocument/2006/relationships/hyperlink" Target="https://pbs.twimg.com/profile_images/606758558391246848/OeI4jq0j_normal.jpg" TargetMode="External"/><Relationship Id="rId7109" Type="http://schemas.openxmlformats.org/officeDocument/2006/relationships/hyperlink" Target="https://twitter.com/INDIZbot/status/723262826110935040" TargetMode="External"/><Relationship Id="rId987" Type="http://schemas.openxmlformats.org/officeDocument/2006/relationships/hyperlink" Target="https://pbs.twimg.com/profile_images/633998643528368132/GDKsBAEc_normal.jpg" TargetMode="External"/><Relationship Id="rId2668" Type="http://schemas.openxmlformats.org/officeDocument/2006/relationships/hyperlink" Target="https://twitter.com/lutzrach/status/722082052938559492" TargetMode="External"/><Relationship Id="rId3719" Type="http://schemas.openxmlformats.org/officeDocument/2006/relationships/hyperlink" Target="https://twitter.com/OuestValo" TargetMode="External"/><Relationship Id="rId4090" Type="http://schemas.openxmlformats.org/officeDocument/2006/relationships/hyperlink" Target="https://twitter.com/INDIZbot/status/722500300133769216" TargetMode="External"/><Relationship Id="rId5141" Type="http://schemas.openxmlformats.org/officeDocument/2006/relationships/hyperlink" Target="https://twitter.com/INDIZbot/status/722762161144115200" TargetMode="External"/><Relationship Id="rId9762" Type="http://schemas.openxmlformats.org/officeDocument/2006/relationships/hyperlink" Target="https://pbs.twimg.com/profile_images/645716711723925506/t5G0qOS6_normal.jpg" TargetMode="External"/><Relationship Id="rId1751" Type="http://schemas.openxmlformats.org/officeDocument/2006/relationships/hyperlink" Target="https://twitter.com/Tiba_Schweiz/status/721346402702508032" TargetMode="External"/><Relationship Id="rId2802" Type="http://schemas.openxmlformats.org/officeDocument/2006/relationships/hyperlink" Target="https://twitter.com/H_IT_D" TargetMode="External"/><Relationship Id="rId8364" Type="http://schemas.openxmlformats.org/officeDocument/2006/relationships/hyperlink" Target="https://twitter.com/INDIZbot" TargetMode="External"/><Relationship Id="rId9415" Type="http://schemas.openxmlformats.org/officeDocument/2006/relationships/hyperlink" Target="https://pbs.twimg.com/profile_images/621685340332498944/z50_SzqE_normal.jpg" TargetMode="External"/><Relationship Id="rId10294" Type="http://schemas.openxmlformats.org/officeDocument/2006/relationships/hyperlink" Target="https://twitter.com/Imaraqa" TargetMode="External"/><Relationship Id="rId1404" Type="http://schemas.openxmlformats.org/officeDocument/2006/relationships/hyperlink" Target="https://twitter.com/SixP4ck3r/status/720988135677698049" TargetMode="External"/><Relationship Id="rId8017" Type="http://schemas.openxmlformats.org/officeDocument/2006/relationships/hyperlink" Target="https://pbs.twimg.com/profile_images/662723326096224256/5V4KH9_O_normal.jpg" TargetMode="External"/><Relationship Id="rId3576" Type="http://schemas.openxmlformats.org/officeDocument/2006/relationships/hyperlink" Target="https://twitter.com/hkloepper/status/722378795718717440" TargetMode="External"/><Relationship Id="rId4627" Type="http://schemas.openxmlformats.org/officeDocument/2006/relationships/hyperlink" Target="https://twitter.com/mluebbecke/status/722709354974199808" TargetMode="External"/><Relationship Id="rId4974" Type="http://schemas.openxmlformats.org/officeDocument/2006/relationships/hyperlink" Target="https://twitter.com/MeinGeldMedien" TargetMode="External"/><Relationship Id="rId497" Type="http://schemas.openxmlformats.org/officeDocument/2006/relationships/hyperlink" Target="https://twitter.com/PSIPENTA" TargetMode="External"/><Relationship Id="rId2178" Type="http://schemas.openxmlformats.org/officeDocument/2006/relationships/hyperlink" Target="https://pbs.twimg.com/profile_images/378800000095428642/8ef0ce9ca980b41ef8db86c5e546114f_normal.jpeg" TargetMode="External"/><Relationship Id="rId3229" Type="http://schemas.openxmlformats.org/officeDocument/2006/relationships/hyperlink" Target="https://twitter.com/INDIZbot" TargetMode="External"/><Relationship Id="rId7100" Type="http://schemas.openxmlformats.org/officeDocument/2006/relationships/hyperlink" Target="https://twitter.com/IoTMinded/status/723261454204448772" TargetMode="External"/><Relationship Id="rId6799" Type="http://schemas.openxmlformats.org/officeDocument/2006/relationships/hyperlink" Target="https://twitter.com/A_Ostertag" TargetMode="External"/><Relationship Id="rId3710" Type="http://schemas.openxmlformats.org/officeDocument/2006/relationships/hyperlink" Target="https://twitter.com/INDIZbot" TargetMode="External"/><Relationship Id="rId9272" Type="http://schemas.openxmlformats.org/officeDocument/2006/relationships/hyperlink" Target="https://twitter.com/power4berlin" TargetMode="External"/><Relationship Id="rId631" Type="http://schemas.openxmlformats.org/officeDocument/2006/relationships/hyperlink" Target="https://pbs.twimg.com/profile_images/1398405138/wallpaper-85615_normal.jpg" TargetMode="External"/><Relationship Id="rId1261" Type="http://schemas.openxmlformats.org/officeDocument/2006/relationships/hyperlink" Target="https://twitter.com/INDIZbot" TargetMode="External"/><Relationship Id="rId2312" Type="http://schemas.openxmlformats.org/officeDocument/2006/relationships/hyperlink" Target="https://twitter.com/ingenieur_de/status/721981874411827200" TargetMode="External"/><Relationship Id="rId5882" Type="http://schemas.openxmlformats.org/officeDocument/2006/relationships/hyperlink" Target="https://twitter.com/kvdnews" TargetMode="External"/><Relationship Id="rId6933" Type="http://schemas.openxmlformats.org/officeDocument/2006/relationships/hyperlink" Target="https://pbs.twimg.com/profile_images/645716711723925506/t5G0qOS6_normal.jpg" TargetMode="External"/><Relationship Id="rId4484" Type="http://schemas.openxmlformats.org/officeDocument/2006/relationships/hyperlink" Target="https://twitter.com/Westfalenlob/status/722698417357635584" TargetMode="External"/><Relationship Id="rId5535" Type="http://schemas.openxmlformats.org/officeDocument/2006/relationships/hyperlink" Target="https://twitter.com/critmatrix" TargetMode="External"/><Relationship Id="rId3086" Type="http://schemas.openxmlformats.org/officeDocument/2006/relationships/hyperlink" Target="https://pbs.twimg.com/profile_images/656779070798172160/TNRHncFi_normal.jpg" TargetMode="External"/><Relationship Id="rId4137" Type="http://schemas.openxmlformats.org/officeDocument/2006/relationships/hyperlink" Target="https://twitter.com/LReehten" TargetMode="External"/><Relationship Id="rId8758" Type="http://schemas.openxmlformats.org/officeDocument/2006/relationships/hyperlink" Target="https://twitter.com/robertgaertner" TargetMode="External"/><Relationship Id="rId9809" Type="http://schemas.openxmlformats.org/officeDocument/2006/relationships/hyperlink" Target="https://twitter.com/MesseJournalist/status/724261570742722560" TargetMode="External"/><Relationship Id="rId141" Type="http://schemas.openxmlformats.org/officeDocument/2006/relationships/hyperlink" Target="https://pbs.twimg.com/profile_images/662723326096224256/5V4KH9_O_normal.jpg" TargetMode="External"/><Relationship Id="rId3220" Type="http://schemas.openxmlformats.org/officeDocument/2006/relationships/hyperlink" Target="https://twitter.com/MatthiasKietzma" TargetMode="External"/><Relationship Id="rId6790" Type="http://schemas.openxmlformats.org/officeDocument/2006/relationships/hyperlink" Target="https://twitter.com/IMechE_YMB" TargetMode="External"/><Relationship Id="rId7841" Type="http://schemas.openxmlformats.org/officeDocument/2006/relationships/hyperlink" Target="https://twitter.com/INDIZbot/status/723446537829908480" TargetMode="External"/><Relationship Id="rId7" Type="http://schemas.openxmlformats.org/officeDocument/2006/relationships/hyperlink" Target="https://twitter.com/PascaleOlea" TargetMode="External"/><Relationship Id="rId5392" Type="http://schemas.openxmlformats.org/officeDocument/2006/relationships/hyperlink" Target="https://pbs.twimg.com/profile_images/601673968551075840/MnulnKkj_normal.png" TargetMode="External"/><Relationship Id="rId6443" Type="http://schemas.openxmlformats.org/officeDocument/2006/relationships/hyperlink" Target="https://twitter.com/stefra" TargetMode="External"/><Relationship Id="rId5045" Type="http://schemas.openxmlformats.org/officeDocument/2006/relationships/hyperlink" Target="https://twitter.com/SHC_GmbH/status/722751149959307264" TargetMode="External"/><Relationship Id="rId9666" Type="http://schemas.openxmlformats.org/officeDocument/2006/relationships/hyperlink" Target="https://twitter.com/FrankTobiasBaur/status/724228540430950400" TargetMode="External"/><Relationship Id="rId1655" Type="http://schemas.openxmlformats.org/officeDocument/2006/relationships/hyperlink" Target="https://twitter.com/IoTMinded/status/721264492068343808" TargetMode="External"/><Relationship Id="rId2706" Type="http://schemas.openxmlformats.org/officeDocument/2006/relationships/hyperlink" Target="https://twitter.com/mbesch" TargetMode="External"/><Relationship Id="rId8268" Type="http://schemas.openxmlformats.org/officeDocument/2006/relationships/hyperlink" Target="https://twitter.com/Bitkom" TargetMode="External"/><Relationship Id="rId9319" Type="http://schemas.openxmlformats.org/officeDocument/2006/relationships/hyperlink" Target="https://pbs.twimg.com/profile_images/722718227646803968/HVM2dokU_normal.jpg" TargetMode="External"/><Relationship Id="rId10198" Type="http://schemas.openxmlformats.org/officeDocument/2006/relationships/hyperlink" Target="https://twitter.com/CSGermany" TargetMode="External"/><Relationship Id="rId1308" Type="http://schemas.openxmlformats.org/officeDocument/2006/relationships/hyperlink" Target="https://pbs.twimg.com/profile_images/496687683813404674/YzNGUapS_normal.jpeg" TargetMode="External"/><Relationship Id="rId4878" Type="http://schemas.openxmlformats.org/officeDocument/2006/relationships/hyperlink" Target="https://twitter.com/AGiesenNRW" TargetMode="External"/><Relationship Id="rId5929" Type="http://schemas.openxmlformats.org/officeDocument/2006/relationships/hyperlink" Target="https://pbs.twimg.com/profile_images/662723326096224256/5V4KH9_O_normal.jpg" TargetMode="External"/><Relationship Id="rId9800" Type="http://schemas.openxmlformats.org/officeDocument/2006/relationships/hyperlink" Target="https://twitter.com/buendnisZdI/status/724261392023474176" TargetMode="External"/><Relationship Id="rId14" Type="http://schemas.openxmlformats.org/officeDocument/2006/relationships/hyperlink" Target="https://twitter.com/MichaGUERIN/status/720497819270967296" TargetMode="External"/><Relationship Id="rId7004" Type="http://schemas.openxmlformats.org/officeDocument/2006/relationships/hyperlink" Target="https://twitter.com/computerdoktor/status/723228811475718146" TargetMode="External"/><Relationship Id="rId7351" Type="http://schemas.openxmlformats.org/officeDocument/2006/relationships/hyperlink" Target="https://pbs.twimg.com/profile_images/645716711723925506/t5G0qOS6_normal.jpg" TargetMode="External"/><Relationship Id="rId8402" Type="http://schemas.openxmlformats.org/officeDocument/2006/relationships/hyperlink" Target="https://twitter.com/TelematikMarkt/status/723557372183060480" TargetMode="External"/><Relationship Id="rId10332" Type="http://schemas.openxmlformats.org/officeDocument/2006/relationships/hyperlink" Target="https://pbs.twimg.com/profile_images/2411691224/dqzws5vy52cahjax24gk_normal.jpeg" TargetMode="External"/><Relationship Id="rId3961" Type="http://schemas.openxmlformats.org/officeDocument/2006/relationships/hyperlink" Target="https://pbs.twimg.com/profile_images/555327405187801088/bhizIjB-_normal.png" TargetMode="External"/><Relationship Id="rId882" Type="http://schemas.openxmlformats.org/officeDocument/2006/relationships/hyperlink" Target="https://twitter.com/ULdialogue" TargetMode="External"/><Relationship Id="rId2563" Type="http://schemas.openxmlformats.org/officeDocument/2006/relationships/hyperlink" Target="https://twitter.com/INDIZbot/status/722060183170584576" TargetMode="External"/><Relationship Id="rId3614" Type="http://schemas.openxmlformats.org/officeDocument/2006/relationships/hyperlink" Target="https://twitter.com/INDIZbot" TargetMode="External"/><Relationship Id="rId9176" Type="http://schemas.openxmlformats.org/officeDocument/2006/relationships/hyperlink" Target="https://twitter.com/kommoptimierer" TargetMode="External"/><Relationship Id="rId535" Type="http://schemas.openxmlformats.org/officeDocument/2006/relationships/hyperlink" Target="https://pbs.twimg.com/profile_images/576881257138642944/jM7N3IE3_normal.png" TargetMode="External"/><Relationship Id="rId1165" Type="http://schemas.openxmlformats.org/officeDocument/2006/relationships/hyperlink" Target="https://twitter.com/wolf_gregor" TargetMode="External"/><Relationship Id="rId2216" Type="http://schemas.openxmlformats.org/officeDocument/2006/relationships/hyperlink" Target="https://twitter.com/Angela_Josephs/status/721963893644521472" TargetMode="External"/><Relationship Id="rId5786" Type="http://schemas.openxmlformats.org/officeDocument/2006/relationships/hyperlink" Target="https://pbs.twimg.com/profile_images/469070945483628546/iD8AeJP6_normal.png" TargetMode="External"/><Relationship Id="rId6837" Type="http://schemas.openxmlformats.org/officeDocument/2006/relationships/hyperlink" Target="https://pbs.twimg.com/profile_images/691084654997155840/mqcey-s1_normal.jpg" TargetMode="External"/><Relationship Id="rId4388" Type="http://schemas.openxmlformats.org/officeDocument/2006/relationships/hyperlink" Target="https://pbs.twimg.com/profile_images/459694932437905408/94eTYt-R_normal.jpeg" TargetMode="External"/><Relationship Id="rId5439" Type="http://schemas.openxmlformats.org/officeDocument/2006/relationships/hyperlink" Target="https://twitter.com/BoschPresse" TargetMode="External"/><Relationship Id="rId9310" Type="http://schemas.openxmlformats.org/officeDocument/2006/relationships/hyperlink" Target="https://pbs.twimg.com/profile_images/645716711723925506/t5G0qOS6_normal.jpg" TargetMode="External"/><Relationship Id="rId5920" Type="http://schemas.openxmlformats.org/officeDocument/2006/relationships/hyperlink" Target="https://pbs.twimg.com/profile_images/645716711723925506/t5G0qOS6_normal.jpg" TargetMode="External"/><Relationship Id="rId3471" Type="http://schemas.openxmlformats.org/officeDocument/2006/relationships/hyperlink" Target="https://twitter.com/BILZ_DE/status/722363630319218689" TargetMode="External"/><Relationship Id="rId4522" Type="http://schemas.openxmlformats.org/officeDocument/2006/relationships/hyperlink" Target="https://twitter.com/ZVEIorg/status/722701375403069440" TargetMode="External"/><Relationship Id="rId392" Type="http://schemas.openxmlformats.org/officeDocument/2006/relationships/hyperlink" Target="https://twitter.com/ZVEIorg/status/720577810809663489" TargetMode="External"/><Relationship Id="rId2073" Type="http://schemas.openxmlformats.org/officeDocument/2006/relationships/hyperlink" Target="https://twitter.com/pkoerner81929" TargetMode="External"/><Relationship Id="rId3124" Type="http://schemas.openxmlformats.org/officeDocument/2006/relationships/hyperlink" Target="https://twitter.com/LReehten/status/722314626587828224" TargetMode="External"/><Relationship Id="rId6694" Type="http://schemas.openxmlformats.org/officeDocument/2006/relationships/hyperlink" Target="https://twitter.com/tsystemsde" TargetMode="External"/><Relationship Id="rId7745" Type="http://schemas.openxmlformats.org/officeDocument/2006/relationships/hyperlink" Target="https://pbs.twimg.com/profile_images/717007736634888192/JNyoPpRt_normal.jpg" TargetMode="External"/><Relationship Id="rId5296" Type="http://schemas.openxmlformats.org/officeDocument/2006/relationships/hyperlink" Target="https://twitter.com/lotsize1" TargetMode="External"/><Relationship Id="rId6347" Type="http://schemas.openxmlformats.org/officeDocument/2006/relationships/hyperlink" Target="https://twitter.com/ROKAutomationAT/status/723115350376615936" TargetMode="External"/><Relationship Id="rId2957" Type="http://schemas.openxmlformats.org/officeDocument/2006/relationships/hyperlink" Target="https://twitter.com/QuickFindsIn" TargetMode="External"/><Relationship Id="rId929" Type="http://schemas.openxmlformats.org/officeDocument/2006/relationships/hyperlink" Target="https://pbs.twimg.com/profile_images/609375510158774272/P5glOk4b_normal.jpg" TargetMode="External"/><Relationship Id="rId1559" Type="http://schemas.openxmlformats.org/officeDocument/2006/relationships/hyperlink" Target="https://twitter.com/MatteoSeghezzi/status/721090547813847040" TargetMode="External"/><Relationship Id="rId4032" Type="http://schemas.openxmlformats.org/officeDocument/2006/relationships/hyperlink" Target="https://twitter.com/INDIZbot/status/722477654809714688" TargetMode="External"/><Relationship Id="rId5430" Type="http://schemas.openxmlformats.org/officeDocument/2006/relationships/hyperlink" Target="https://twitter.com/siemens_press/status/722802234950619136" TargetMode="External"/><Relationship Id="rId8653" Type="http://schemas.openxmlformats.org/officeDocument/2006/relationships/hyperlink" Target="https://twitter.com/INDIZbot" TargetMode="External"/><Relationship Id="rId9704" Type="http://schemas.openxmlformats.org/officeDocument/2006/relationships/hyperlink" Target="https://twitter.com/CarstenDierig" TargetMode="External"/><Relationship Id="rId7255" Type="http://schemas.openxmlformats.org/officeDocument/2006/relationships/hyperlink" Target="https://twitter.com/MarioReinsch" TargetMode="External"/><Relationship Id="rId8306" Type="http://schemas.openxmlformats.org/officeDocument/2006/relationships/hyperlink" Target="https://pbs.twimg.com/profile_images/524295003107885059/1ADGv6Ps_normal.png" TargetMode="External"/><Relationship Id="rId10236" Type="http://schemas.openxmlformats.org/officeDocument/2006/relationships/hyperlink" Target="https://pbs.twimg.com/profile_images/662723326096224256/5V4KH9_O_normal.jpg" TargetMode="External"/><Relationship Id="rId3865" Type="http://schemas.openxmlformats.org/officeDocument/2006/relationships/hyperlink" Target="https://pbs.twimg.com/profile_images/525998513264410624/ZHDocuJo_normal.jpeg" TargetMode="External"/><Relationship Id="rId4916" Type="http://schemas.openxmlformats.org/officeDocument/2006/relationships/hyperlink" Target="https://pbs.twimg.com/profile_images/713001914993156096/BDotoIJf_normal.jpg" TargetMode="External"/><Relationship Id="rId786" Type="http://schemas.openxmlformats.org/officeDocument/2006/relationships/hyperlink" Target="https://twitter.com/hermvdbeek/status/720718588647251972" TargetMode="External"/><Relationship Id="rId2467" Type="http://schemas.openxmlformats.org/officeDocument/2006/relationships/hyperlink" Target="https://twitter.com/prxpragma" TargetMode="External"/><Relationship Id="rId3518" Type="http://schemas.openxmlformats.org/officeDocument/2006/relationships/hyperlink" Target="https://twitter.com/INDIZbot" TargetMode="External"/><Relationship Id="rId439" Type="http://schemas.openxmlformats.org/officeDocument/2006/relationships/hyperlink" Target="https://twitter.com/Electronic_Jobs" TargetMode="External"/><Relationship Id="rId1069" Type="http://schemas.openxmlformats.org/officeDocument/2006/relationships/hyperlink" Target="https://twitter.com/_TheDigitalGuy" TargetMode="External"/><Relationship Id="rId8163" Type="http://schemas.openxmlformats.org/officeDocument/2006/relationships/hyperlink" Target="https://twitter.com/INDIZbot/status/723502018531364864" TargetMode="External"/><Relationship Id="rId9214" Type="http://schemas.openxmlformats.org/officeDocument/2006/relationships/hyperlink" Target="https://pbs.twimg.com/profile_images/704353771820859392/r_-n_rEz_normal.jpg" TargetMode="External"/><Relationship Id="rId9561" Type="http://schemas.openxmlformats.org/officeDocument/2006/relationships/hyperlink" Target="https://twitter.com/QuickFindsIn/status/724206257851109376" TargetMode="External"/><Relationship Id="rId920" Type="http://schemas.openxmlformats.org/officeDocument/2006/relationships/hyperlink" Target="https://pbs.twimg.com/profile_images/649160019590684676/25rXh6pN_normal.jpg" TargetMode="External"/><Relationship Id="rId1550" Type="http://schemas.openxmlformats.org/officeDocument/2006/relationships/hyperlink" Target="https://twitter.com/INDIZbot/status/721080949216264192" TargetMode="External"/><Relationship Id="rId2601" Type="http://schemas.openxmlformats.org/officeDocument/2006/relationships/hyperlink" Target="https://pbs.twimg.com/profile_images/645716711723925506/t5G0qOS6_normal.jpg" TargetMode="External"/><Relationship Id="rId10093" Type="http://schemas.openxmlformats.org/officeDocument/2006/relationships/hyperlink" Target="https://twitter.com/kommoptimierer" TargetMode="External"/><Relationship Id="rId1203" Type="http://schemas.openxmlformats.org/officeDocument/2006/relationships/hyperlink" Target="https://pbs.twimg.com/profile_images/585755321416687616/BYqDL_No_normal.png" TargetMode="External"/><Relationship Id="rId4773" Type="http://schemas.openxmlformats.org/officeDocument/2006/relationships/hyperlink" Target="https://twitter.com/mav0r1ze" TargetMode="External"/><Relationship Id="rId5824" Type="http://schemas.openxmlformats.org/officeDocument/2006/relationships/hyperlink" Target="https://twitter.com/foresight_lab" TargetMode="External"/><Relationship Id="rId3375" Type="http://schemas.openxmlformats.org/officeDocument/2006/relationships/hyperlink" Target="https://twitter.com/INDIZbot/status/722354725375578112" TargetMode="External"/><Relationship Id="rId4426" Type="http://schemas.openxmlformats.org/officeDocument/2006/relationships/hyperlink" Target="https://twitter.com/ConstanzeKrehl/status/722689632916389888" TargetMode="External"/><Relationship Id="rId7996" Type="http://schemas.openxmlformats.org/officeDocument/2006/relationships/hyperlink" Target="https://pbs.twimg.com/profile_images/669633347249942530/PT0C-2n5_normal.jpg" TargetMode="External"/><Relationship Id="rId296" Type="http://schemas.openxmlformats.org/officeDocument/2006/relationships/hyperlink" Target="https://twitter.com/blaudoux/status/720544560213057536" TargetMode="External"/><Relationship Id="rId3028" Type="http://schemas.openxmlformats.org/officeDocument/2006/relationships/hyperlink" Target="https://twitter.com/SchneiderElecDE/status/722303843359420417" TargetMode="External"/><Relationship Id="rId6598" Type="http://schemas.openxmlformats.org/officeDocument/2006/relationships/hyperlink" Target="https://twitter.com/MelanieMoll1/status/723148941433405440" TargetMode="External"/><Relationship Id="rId7649" Type="http://schemas.openxmlformats.org/officeDocument/2006/relationships/hyperlink" Target="https://pbs.twimg.com/profile_images/645716711723925506/t5G0qOS6_normal.jpg" TargetMode="External"/><Relationship Id="rId9071" Type="http://schemas.openxmlformats.org/officeDocument/2006/relationships/hyperlink" Target="https://twitter.com/INDIZbot" TargetMode="External"/><Relationship Id="rId430" Type="http://schemas.openxmlformats.org/officeDocument/2006/relationships/hyperlink" Target="https://twitter.com/HLinzenbold" TargetMode="External"/><Relationship Id="rId1060" Type="http://schemas.openxmlformats.org/officeDocument/2006/relationships/hyperlink" Target="https://twitter.com/ahk_frankreich" TargetMode="External"/><Relationship Id="rId2111" Type="http://schemas.openxmlformats.org/officeDocument/2006/relationships/hyperlink" Target="https://pbs.twimg.com/profile_images/542205461139705857/rG0aBulP_normal.png" TargetMode="External"/><Relationship Id="rId5681" Type="http://schemas.openxmlformats.org/officeDocument/2006/relationships/hyperlink" Target="https://pbs.twimg.com/profile_images/538796736/mike-sunglasses_normal.jpg" TargetMode="External"/><Relationship Id="rId6732" Type="http://schemas.openxmlformats.org/officeDocument/2006/relationships/hyperlink" Target="https://pbs.twimg.com/profile_images/471312276767535104/TIanhngf_normal.jpeg" TargetMode="External"/><Relationship Id="rId4283" Type="http://schemas.openxmlformats.org/officeDocument/2006/relationships/hyperlink" Target="https://pbs.twimg.com/profile_images/700346204509577216/nSIe2P5__normal.jpg" TargetMode="External"/><Relationship Id="rId5334" Type="http://schemas.openxmlformats.org/officeDocument/2006/relationships/hyperlink" Target="https://pbs.twimg.com/profile_images/680343304240803840/OEs4gD8T_normal.png" TargetMode="External"/><Relationship Id="rId9955" Type="http://schemas.openxmlformats.org/officeDocument/2006/relationships/hyperlink" Target="https://twitter.com/UPS_DE" TargetMode="External"/><Relationship Id="rId1944" Type="http://schemas.openxmlformats.org/officeDocument/2006/relationships/hyperlink" Target="https://twitter.com/INDIZbot/status/721654726593495040" TargetMode="External"/><Relationship Id="rId8557" Type="http://schemas.openxmlformats.org/officeDocument/2006/relationships/hyperlink" Target="https://twitter.com/INDIZbot" TargetMode="External"/><Relationship Id="rId9608" Type="http://schemas.openxmlformats.org/officeDocument/2006/relationships/hyperlink" Target="https://twitter.com/TrippBraden" TargetMode="External"/><Relationship Id="rId7159" Type="http://schemas.openxmlformats.org/officeDocument/2006/relationships/hyperlink" Target="https://twitter.com/RethinkRobotics" TargetMode="External"/><Relationship Id="rId3769" Type="http://schemas.openxmlformats.org/officeDocument/2006/relationships/hyperlink" Target="https://pbs.twimg.com/profile_images/600279861282869249/IpIJ3MKX_normal.png" TargetMode="External"/><Relationship Id="rId5191" Type="http://schemas.openxmlformats.org/officeDocument/2006/relationships/hyperlink" Target="https://twitter.com/startupradioDE/status/722766717924085760" TargetMode="External"/><Relationship Id="rId6242" Type="http://schemas.openxmlformats.org/officeDocument/2006/relationships/hyperlink" Target="https://twitter.com/OliverS2010/status/723091530244743168" TargetMode="External"/><Relationship Id="rId7640" Type="http://schemas.openxmlformats.org/officeDocument/2006/relationships/hyperlink" Target="https://pbs.twimg.com/profile_images/458890407313559552/jLyIiacO_normal.png" TargetMode="External"/><Relationship Id="rId2852" Type="http://schemas.openxmlformats.org/officeDocument/2006/relationships/hyperlink" Target="https://pbs.twimg.com/profile_images/709389204506198017/vgmyEiD5_normal.jpg" TargetMode="External"/><Relationship Id="rId3903" Type="http://schemas.openxmlformats.org/officeDocument/2006/relationships/hyperlink" Target="https://twitter.com/Rhenatic/status/722455121888722944" TargetMode="External"/><Relationship Id="rId9465" Type="http://schemas.openxmlformats.org/officeDocument/2006/relationships/hyperlink" Target="https://twitter.com/INDIZbot/status/724181679053651968" TargetMode="External"/><Relationship Id="rId824" Type="http://schemas.openxmlformats.org/officeDocument/2006/relationships/hyperlink" Target="https://pbs.twimg.com/profile_images/507399803509026816/KdF-WSKm_normal.jpeg" TargetMode="External"/><Relationship Id="rId1454" Type="http://schemas.openxmlformats.org/officeDocument/2006/relationships/hyperlink" Target="https://twitter.com/H_IT_D/status/721013007149432833" TargetMode="External"/><Relationship Id="rId2505" Type="http://schemas.openxmlformats.org/officeDocument/2006/relationships/hyperlink" Target="https://pbs.twimg.com/profile_images/3521856347/8c75ce2126a506515c396c10a62175a6_normal.jpeg" TargetMode="External"/><Relationship Id="rId8067" Type="http://schemas.openxmlformats.org/officeDocument/2006/relationships/hyperlink" Target="https://twitter.com/AnalytikaByCim/status/723488960211783681" TargetMode="External"/><Relationship Id="rId9118" Type="http://schemas.openxmlformats.org/officeDocument/2006/relationships/hyperlink" Target="https://pbs.twimg.com/profile_images/611813155258417152/t2BN8dsF_normal.jpg" TargetMode="External"/><Relationship Id="rId1107" Type="http://schemas.openxmlformats.org/officeDocument/2006/relationships/hyperlink" Target="https://pbs.twimg.com/profile_images/689808383810146304/diwbtNKF_normal.jpg" TargetMode="External"/><Relationship Id="rId4677" Type="http://schemas.openxmlformats.org/officeDocument/2006/relationships/hyperlink" Target="https://twitter.com/KaiKeppner" TargetMode="External"/><Relationship Id="rId5728" Type="http://schemas.openxmlformats.org/officeDocument/2006/relationships/hyperlink" Target="https://twitter.com/kommoptimierer/status/723006900208472065" TargetMode="External"/><Relationship Id="rId3279" Type="http://schemas.openxmlformats.org/officeDocument/2006/relationships/hyperlink" Target="https://pbs.twimg.com/profile_images/654909811105091584/8u0g3Ueu_normal.png" TargetMode="External"/><Relationship Id="rId7150" Type="http://schemas.openxmlformats.org/officeDocument/2006/relationships/hyperlink" Target="https://twitter.com/BigDataTweetBot" TargetMode="External"/><Relationship Id="rId8201" Type="http://schemas.openxmlformats.org/officeDocument/2006/relationships/hyperlink" Target="https://pbs.twimg.com/profile_images/662723326096224256/5V4KH9_O_normal.jpg" TargetMode="External"/><Relationship Id="rId10131" Type="http://schemas.openxmlformats.org/officeDocument/2006/relationships/hyperlink" Target="https://pbs.twimg.com/profile_images/543161217645178880/JQuBT7KS_normal.png" TargetMode="External"/><Relationship Id="rId3760" Type="http://schemas.openxmlformats.org/officeDocument/2006/relationships/hyperlink" Target="https://pbs.twimg.com/profile_images/601673968551075840/MnulnKkj_normal.png" TargetMode="External"/><Relationship Id="rId4811" Type="http://schemas.openxmlformats.org/officeDocument/2006/relationships/hyperlink" Target="https://pbs.twimg.com/profile_images/708243374000762880/nqsq5gIs_normal.jpg" TargetMode="External"/><Relationship Id="rId681" Type="http://schemas.openxmlformats.org/officeDocument/2006/relationships/hyperlink" Target="https://twitter.com/FlashTweet/status/720673514638942209" TargetMode="External"/><Relationship Id="rId2362" Type="http://schemas.openxmlformats.org/officeDocument/2006/relationships/hyperlink" Target="https://twitter.com/WIKON_GmbH" TargetMode="External"/><Relationship Id="rId3413" Type="http://schemas.openxmlformats.org/officeDocument/2006/relationships/hyperlink" Target="https://twitter.com/ROKAutomationDE" TargetMode="External"/><Relationship Id="rId6983" Type="http://schemas.openxmlformats.org/officeDocument/2006/relationships/hyperlink" Target="https://twitter.com/BGMSystemhaus/status/723223935152717825" TargetMode="External"/><Relationship Id="rId334" Type="http://schemas.openxmlformats.org/officeDocument/2006/relationships/hyperlink" Target="https://twitter.com/LianeServices" TargetMode="External"/><Relationship Id="rId2015" Type="http://schemas.openxmlformats.org/officeDocument/2006/relationships/hyperlink" Target="https://pbs.twimg.com/profile_images/659103527302746112/SHt7cxmw_normal.png" TargetMode="External"/><Relationship Id="rId5585" Type="http://schemas.openxmlformats.org/officeDocument/2006/relationships/hyperlink" Target="https://pbs.twimg.com/profile_images/541146126158536704/IYardufS_normal.jpeg" TargetMode="External"/><Relationship Id="rId6636" Type="http://schemas.openxmlformats.org/officeDocument/2006/relationships/hyperlink" Target="https://twitter.com/YuukiFushimi" TargetMode="External"/><Relationship Id="rId4187" Type="http://schemas.openxmlformats.org/officeDocument/2006/relationships/hyperlink" Target="https://pbs.twimg.com/profile_images/623849156159868928/BetFDR_i_normal.jpg" TargetMode="External"/><Relationship Id="rId5238" Type="http://schemas.openxmlformats.org/officeDocument/2006/relationships/hyperlink" Target="https://twitter.com/JETZT_PRde" TargetMode="External"/><Relationship Id="rId9859" Type="http://schemas.openxmlformats.org/officeDocument/2006/relationships/hyperlink" Target="https://twitter.com/TStoeckl" TargetMode="External"/><Relationship Id="rId1848" Type="http://schemas.openxmlformats.org/officeDocument/2006/relationships/hyperlink" Target="https://pbs.twimg.com/profile_images/378800000580030680/47e07943db95739a7f7ab30d80563801_normal.jpeg" TargetMode="External"/><Relationship Id="rId3270" Type="http://schemas.openxmlformats.org/officeDocument/2006/relationships/hyperlink" Target="https://pbs.twimg.com/profile_images/378800000761227538/d62f65a39ac91b4b970b5ea25a1976d8_normal.jpeg" TargetMode="External"/><Relationship Id="rId4321" Type="http://schemas.openxmlformats.org/officeDocument/2006/relationships/hyperlink" Target="https://twitter.com/Gruendercoaches/status/722669022249160705" TargetMode="External"/><Relationship Id="rId191" Type="http://schemas.openxmlformats.org/officeDocument/2006/relationships/hyperlink" Target="https://twitter.com/lasercongress/status/720527695835242497" TargetMode="External"/><Relationship Id="rId7891" Type="http://schemas.openxmlformats.org/officeDocument/2006/relationships/hyperlink" Target="https://twitter.com/KBraeckle" TargetMode="External"/><Relationship Id="rId8942" Type="http://schemas.openxmlformats.org/officeDocument/2006/relationships/hyperlink" Target="https://twitter.com/virtual_escapes/status/723869208447209472" TargetMode="External"/><Relationship Id="rId5095" Type="http://schemas.openxmlformats.org/officeDocument/2006/relationships/hyperlink" Target="https://twitter.com/packagingJ" TargetMode="External"/><Relationship Id="rId6493" Type="http://schemas.openxmlformats.org/officeDocument/2006/relationships/hyperlink" Target="https://pbs.twimg.com/profile_images/695514574359953408/hQTmgrlk_normal.png" TargetMode="External"/><Relationship Id="rId7544" Type="http://schemas.openxmlformats.org/officeDocument/2006/relationships/hyperlink" Target="https://pbs.twimg.com/profile_images/561137710287425536/htHMwCBr_normal.png" TargetMode="External"/><Relationship Id="rId6146" Type="http://schemas.openxmlformats.org/officeDocument/2006/relationships/hyperlink" Target="https://pbs.twimg.com/profile_images/604338428227010560/6jzSa8us_normal.png" TargetMode="External"/><Relationship Id="rId2756" Type="http://schemas.openxmlformats.org/officeDocument/2006/relationships/hyperlink" Target="https://pbs.twimg.com/profile_images/683802334359613440/wmMcoXJ-_normal.png" TargetMode="External"/><Relationship Id="rId3807" Type="http://schemas.openxmlformats.org/officeDocument/2006/relationships/hyperlink" Target="https://twitter.com/KreativNetzBW/status/722430019285434371" TargetMode="External"/><Relationship Id="rId9369" Type="http://schemas.openxmlformats.org/officeDocument/2006/relationships/hyperlink" Target="https://twitter.com/SlavisaTavic/status/724158215697608704" TargetMode="External"/><Relationship Id="rId728" Type="http://schemas.openxmlformats.org/officeDocument/2006/relationships/hyperlink" Target="https://twitter.com/MiklosLoerinczi" TargetMode="External"/><Relationship Id="rId1358" Type="http://schemas.openxmlformats.org/officeDocument/2006/relationships/hyperlink" Target="https://twitter.com/Thomas_Heimann/status/720974639451795456" TargetMode="External"/><Relationship Id="rId2409" Type="http://schemas.openxmlformats.org/officeDocument/2006/relationships/hyperlink" Target="https://pbs.twimg.com/profile_images/473759721023758338/3CcJL-Vq_normal.jpeg" TargetMode="External"/><Relationship Id="rId5979" Type="http://schemas.openxmlformats.org/officeDocument/2006/relationships/hyperlink" Target="https://twitter.com/BitkomResearch/status/723066590623752193" TargetMode="External"/><Relationship Id="rId64" Type="http://schemas.openxmlformats.org/officeDocument/2006/relationships/hyperlink" Target="https://twitter.com/Thierry_AlaNR" TargetMode="External"/><Relationship Id="rId8452" Type="http://schemas.openxmlformats.org/officeDocument/2006/relationships/hyperlink" Target="https://twitter.com/jforge" TargetMode="External"/><Relationship Id="rId9503" Type="http://schemas.openxmlformats.org/officeDocument/2006/relationships/hyperlink" Target="https://twitter.com/Andrew_c_hughes" TargetMode="External"/><Relationship Id="rId9850" Type="http://schemas.openxmlformats.org/officeDocument/2006/relationships/hyperlink" Target="https://twitter.com/heikevangeel" TargetMode="External"/><Relationship Id="rId7054" Type="http://schemas.openxmlformats.org/officeDocument/2006/relationships/hyperlink" Target="https://twitter.com/DanielKueng" TargetMode="External"/><Relationship Id="rId8105" Type="http://schemas.openxmlformats.org/officeDocument/2006/relationships/hyperlink" Target="https://twitter.com/Omni_ID" TargetMode="External"/><Relationship Id="rId10035" Type="http://schemas.openxmlformats.org/officeDocument/2006/relationships/hyperlink" Target="https://pbs.twimg.com/profile_images/706237713700298754/yOEMWn0A_normal.jpg" TargetMode="External"/><Relationship Id="rId3664" Type="http://schemas.openxmlformats.org/officeDocument/2006/relationships/hyperlink" Target="https://pbs.twimg.com/profile_images/603699032804859904/lb5IMG5x_normal.jpg" TargetMode="External"/><Relationship Id="rId4715" Type="http://schemas.openxmlformats.org/officeDocument/2006/relationships/hyperlink" Target="https://pbs.twimg.com/profile_images/645716711723925506/t5G0qOS6_normal.jpg" TargetMode="External"/><Relationship Id="rId585" Type="http://schemas.openxmlformats.org/officeDocument/2006/relationships/hyperlink" Target="https://twitter.com/INDIZbot/status/720633072677466113" TargetMode="External"/><Relationship Id="rId2266" Type="http://schemas.openxmlformats.org/officeDocument/2006/relationships/hyperlink" Target="https://twitter.com/Leader_LR/status/721974113330454528" TargetMode="External"/><Relationship Id="rId3317" Type="http://schemas.openxmlformats.org/officeDocument/2006/relationships/hyperlink" Target="https://twitter.com/kommoptimierer/status/722349131713417216" TargetMode="External"/><Relationship Id="rId6887" Type="http://schemas.openxmlformats.org/officeDocument/2006/relationships/hyperlink" Target="https://twitter.com/awesigs/status/723181222428577793" TargetMode="External"/><Relationship Id="rId7938" Type="http://schemas.openxmlformats.org/officeDocument/2006/relationships/hyperlink" Target="https://pbs.twimg.com/profile_images/2077646775/image_normal.jpg" TargetMode="External"/><Relationship Id="rId238" Type="http://schemas.openxmlformats.org/officeDocument/2006/relationships/hyperlink" Target="https://twitter.com/RadioOffice" TargetMode="External"/><Relationship Id="rId5489" Type="http://schemas.openxmlformats.org/officeDocument/2006/relationships/hyperlink" Target="https://pbs.twimg.com/profile_images/672794348442877952/m6Is-Nrc_normal.jpg" TargetMode="External"/><Relationship Id="rId9360" Type="http://schemas.openxmlformats.org/officeDocument/2006/relationships/hyperlink" Target="https://twitter.com/kommoptimierer/status/724155927511838720" TargetMode="External"/><Relationship Id="rId2400" Type="http://schemas.openxmlformats.org/officeDocument/2006/relationships/hyperlink" Target="https://pbs.twimg.com/profile_images/662723326096224256/5V4KH9_O_normal.jpg" TargetMode="External"/><Relationship Id="rId9013" Type="http://schemas.openxmlformats.org/officeDocument/2006/relationships/hyperlink" Target="https://twitter.com/NickBoesl" TargetMode="External"/><Relationship Id="rId1002" Type="http://schemas.openxmlformats.org/officeDocument/2006/relationships/hyperlink" Target="https://pbs.twimg.com/profile_images/572722352144666624/2G6VnJJx_normal.jpeg" TargetMode="External"/><Relationship Id="rId5970" Type="http://schemas.openxmlformats.org/officeDocument/2006/relationships/hyperlink" Target="https://twitter.com/FM_Elektro/status/723065981342502913" TargetMode="External"/><Relationship Id="rId3174" Type="http://schemas.openxmlformats.org/officeDocument/2006/relationships/hyperlink" Target="https://twitter.com/INDIZbot" TargetMode="External"/><Relationship Id="rId4572" Type="http://schemas.openxmlformats.org/officeDocument/2006/relationships/hyperlink" Target="https://twitter.com/MarianKoeller" TargetMode="External"/><Relationship Id="rId5623" Type="http://schemas.openxmlformats.org/officeDocument/2006/relationships/hyperlink" Target="https://twitter.com/vemdiearbeitgeb/status/722892202972590081" TargetMode="External"/><Relationship Id="rId4225" Type="http://schemas.openxmlformats.org/officeDocument/2006/relationships/hyperlink" Target="https://twitter.com/INDIZbot/status/722530561542250497" TargetMode="External"/><Relationship Id="rId7795" Type="http://schemas.openxmlformats.org/officeDocument/2006/relationships/hyperlink" Target="https://twitter.com/verlinked" TargetMode="External"/><Relationship Id="rId8846" Type="http://schemas.openxmlformats.org/officeDocument/2006/relationships/hyperlink" Target="https://twitter.com/automatisierer/status/723840740674166785" TargetMode="External"/><Relationship Id="rId6397" Type="http://schemas.openxmlformats.org/officeDocument/2006/relationships/hyperlink" Target="https://pbs.twimg.com/profile_images/664442346432540672/42-gzHf9_normal.jpg" TargetMode="External"/><Relationship Id="rId7448" Type="http://schemas.openxmlformats.org/officeDocument/2006/relationships/hyperlink" Target="https://pbs.twimg.com/profile_images/645716711723925506/t5G0qOS6_normal.jpg" TargetMode="External"/><Relationship Id="rId979" Type="http://schemas.openxmlformats.org/officeDocument/2006/relationships/hyperlink" Target="https://twitter.com/QBedos" TargetMode="External"/><Relationship Id="rId5480" Type="http://schemas.openxmlformats.org/officeDocument/2006/relationships/hyperlink" Target="https://pbs.twimg.com/profile_images/645716711723925506/t5G0qOS6_normal.jpg" TargetMode="External"/><Relationship Id="rId6531" Type="http://schemas.openxmlformats.org/officeDocument/2006/relationships/hyperlink" Target="https://twitter.com/MindCommerce/status/723135274293833728" TargetMode="External"/><Relationship Id="rId4082" Type="http://schemas.openxmlformats.org/officeDocument/2006/relationships/hyperlink" Target="https://pbs.twimg.com/profile_images/666911961599315968/aP7ID_qm_normal.png" TargetMode="External"/><Relationship Id="rId5133" Type="http://schemas.openxmlformats.org/officeDocument/2006/relationships/hyperlink" Target="https://pbs.twimg.com/profile_images/459674891319382016/zbK0HhIT_normal.jpeg" TargetMode="External"/><Relationship Id="rId9754" Type="http://schemas.openxmlformats.org/officeDocument/2006/relationships/hyperlink" Target="https://twitter.com/SASCHAKAUS1" TargetMode="External"/><Relationship Id="rId1743" Type="http://schemas.openxmlformats.org/officeDocument/2006/relationships/hyperlink" Target="https://pbs.twimg.com/profile_images/705270537073852416/CZoAp0su_normal.jpg" TargetMode="External"/><Relationship Id="rId8009" Type="http://schemas.openxmlformats.org/officeDocument/2006/relationships/hyperlink" Target="https://twitter.com/LReehten" TargetMode="External"/><Relationship Id="rId8356" Type="http://schemas.openxmlformats.org/officeDocument/2006/relationships/hyperlink" Target="https://twitter.com/DukDaffe/status/723542090060206080" TargetMode="External"/><Relationship Id="rId9407" Type="http://schemas.openxmlformats.org/officeDocument/2006/relationships/hyperlink" Target="https://twitter.com/renaschwarting" TargetMode="External"/><Relationship Id="rId10286" Type="http://schemas.openxmlformats.org/officeDocument/2006/relationships/hyperlink" Target="https://twitter.com/peterunterwegs/status/724454695473930240" TargetMode="External"/><Relationship Id="rId4966" Type="http://schemas.openxmlformats.org/officeDocument/2006/relationships/hyperlink" Target="https://twitter.com/projectepos/status/722744333124952064" TargetMode="External"/><Relationship Id="rId3568" Type="http://schemas.openxmlformats.org/officeDocument/2006/relationships/hyperlink" Target="https://pbs.twimg.com/profile_images/645716711723925506/t5G0qOS6_normal.jpg" TargetMode="External"/><Relationship Id="rId4619" Type="http://schemas.openxmlformats.org/officeDocument/2006/relationships/hyperlink" Target="https://pbs.twimg.com/profile_images/645716711723925506/t5G0qOS6_normal.jpg" TargetMode="External"/><Relationship Id="rId489" Type="http://schemas.openxmlformats.org/officeDocument/2006/relationships/hyperlink" Target="https://twitter.com/BolognaFiere/status/720606274195492864" TargetMode="External"/><Relationship Id="rId6041" Type="http://schemas.openxmlformats.org/officeDocument/2006/relationships/hyperlink" Target="https://twitter.com/itandbusinessDE" TargetMode="External"/><Relationship Id="rId9264" Type="http://schemas.openxmlformats.org/officeDocument/2006/relationships/hyperlink" Target="https://twitter.com/MartinGaedt/status/724105579988439040" TargetMode="External"/><Relationship Id="rId970" Type="http://schemas.openxmlformats.org/officeDocument/2006/relationships/hyperlink" Target="https://twitter.com/MarianKoeller" TargetMode="External"/><Relationship Id="rId1253" Type="http://schemas.openxmlformats.org/officeDocument/2006/relationships/hyperlink" Target="https://twitter.com/INDIZbot/status/720932945121394689" TargetMode="External"/><Relationship Id="rId2651" Type="http://schemas.openxmlformats.org/officeDocument/2006/relationships/hyperlink" Target="https://pbs.twimg.com/profile_images/719524881973571584/Qe9-Bm8r_normal.jpg" TargetMode="External"/><Relationship Id="rId3702" Type="http://schemas.openxmlformats.org/officeDocument/2006/relationships/hyperlink" Target="https://twitter.com/CSAGroup_Europa/status/722409451769081856" TargetMode="External"/><Relationship Id="rId623" Type="http://schemas.openxmlformats.org/officeDocument/2006/relationships/hyperlink" Target="https://twitter.com/MiklosLoerinczi" TargetMode="External"/><Relationship Id="rId2304" Type="http://schemas.openxmlformats.org/officeDocument/2006/relationships/hyperlink" Target="https://twitter.com/INDIZbot" TargetMode="External"/><Relationship Id="rId5874" Type="http://schemas.openxmlformats.org/officeDocument/2006/relationships/hyperlink" Target="https://twitter.com/bamitav/status/723057261652791296" TargetMode="External"/><Relationship Id="rId6925" Type="http://schemas.openxmlformats.org/officeDocument/2006/relationships/hyperlink" Target="https://twitter.com/DIGITUSmagazin" TargetMode="External"/><Relationship Id="rId4476" Type="http://schemas.openxmlformats.org/officeDocument/2006/relationships/hyperlink" Target="https://pbs.twimg.com/profile_images/705270537073852416/CZoAp0su_normal.jpg" TargetMode="External"/><Relationship Id="rId5527" Type="http://schemas.openxmlformats.org/officeDocument/2006/relationships/hyperlink" Target="https://twitter.com/acatech_de/status/722839274039562241" TargetMode="External"/><Relationship Id="rId3078" Type="http://schemas.openxmlformats.org/officeDocument/2006/relationships/hyperlink" Target="https://twitter.com/BoschSI" TargetMode="External"/><Relationship Id="rId4129" Type="http://schemas.openxmlformats.org/officeDocument/2006/relationships/hyperlink" Target="https://twitter.com/LReehten/status/722512426126741504" TargetMode="External"/><Relationship Id="rId7699" Type="http://schemas.openxmlformats.org/officeDocument/2006/relationships/hyperlink" Target="https://twitter.com/JETZT_PRde/status/723427207553507328" TargetMode="External"/><Relationship Id="rId8000" Type="http://schemas.openxmlformats.org/officeDocument/2006/relationships/hyperlink" Target="https://twitter.com/davidphotiade" TargetMode="External"/><Relationship Id="rId4610" Type="http://schemas.openxmlformats.org/officeDocument/2006/relationships/hyperlink" Target="https://pbs.twimg.com/profile_images/604338428227010560/6jzSa8us_normal.png" TargetMode="External"/><Relationship Id="rId480" Type="http://schemas.openxmlformats.org/officeDocument/2006/relationships/hyperlink" Target="https://twitter.com/ROKAutoCHIT/status/720601278481457152" TargetMode="External"/><Relationship Id="rId2161" Type="http://schemas.openxmlformats.org/officeDocument/2006/relationships/hyperlink" Target="https://twitter.com/LIMITEDMETHWEED" TargetMode="External"/><Relationship Id="rId3212" Type="http://schemas.openxmlformats.org/officeDocument/2006/relationships/hyperlink" Target="https://twitter.com/1ironbark1/status/722325044311904256" TargetMode="External"/><Relationship Id="rId133" Type="http://schemas.openxmlformats.org/officeDocument/2006/relationships/hyperlink" Target="https://twitter.com/3itcom" TargetMode="External"/><Relationship Id="rId5384" Type="http://schemas.openxmlformats.org/officeDocument/2006/relationships/hyperlink" Target="https://twitter.com/INDIZbot" TargetMode="External"/><Relationship Id="rId6782" Type="http://schemas.openxmlformats.org/officeDocument/2006/relationships/hyperlink" Target="https://twitter.com/RonaldSchlager/status/723169668203220996" TargetMode="External"/><Relationship Id="rId7833" Type="http://schemas.openxmlformats.org/officeDocument/2006/relationships/hyperlink" Target="https://pbs.twimg.com/profile_images/471312276767535104/TIanhngf_normal.jpeg" TargetMode="External"/><Relationship Id="rId5037" Type="http://schemas.openxmlformats.org/officeDocument/2006/relationships/hyperlink" Target="https://pbs.twimg.com/profile_images/645716711723925506/t5G0qOS6_normal.jpg" TargetMode="External"/><Relationship Id="rId6435" Type="http://schemas.openxmlformats.org/officeDocument/2006/relationships/hyperlink" Target="https://twitter.com/dstankowski/status/723125628292206592" TargetMode="External"/><Relationship Id="rId1994" Type="http://schemas.openxmlformats.org/officeDocument/2006/relationships/hyperlink" Target="https://pbs.twimg.com/profile_images/684134634179923968/2dsDVRvp_normal.jpg" TargetMode="External"/><Relationship Id="rId9658" Type="http://schemas.openxmlformats.org/officeDocument/2006/relationships/hyperlink" Target="https://pbs.twimg.com/profile_images/667280858798100481/FrPnpui4_normal.png" TargetMode="External"/><Relationship Id="rId1647" Type="http://schemas.openxmlformats.org/officeDocument/2006/relationships/hyperlink" Target="https://pbs.twimg.com/profile_images/582801374833831937/3R6t0v4q_normal.jpg" TargetMode="External"/><Relationship Id="rId4120" Type="http://schemas.openxmlformats.org/officeDocument/2006/relationships/hyperlink" Target="https://twitter.com/Angela_Josephs/status/722508165133287424" TargetMode="External"/><Relationship Id="rId7690" Type="http://schemas.openxmlformats.org/officeDocument/2006/relationships/hyperlink" Target="https://twitter.com/ClementineHule/status/723426433729613824" TargetMode="External"/><Relationship Id="rId8741" Type="http://schemas.openxmlformats.org/officeDocument/2006/relationships/hyperlink" Target="https://twitter.com/mirko_ross/status/723799522451853312" TargetMode="External"/><Relationship Id="rId6292" Type="http://schemas.openxmlformats.org/officeDocument/2006/relationships/hyperlink" Target="https://pbs.twimg.com/profile_images/722385992343285760/ww8YLZ2q_normal.jpg" TargetMode="External"/><Relationship Id="rId7343" Type="http://schemas.openxmlformats.org/officeDocument/2006/relationships/hyperlink" Target="https://twitter.com/kommoptimierer" TargetMode="External"/><Relationship Id="rId10324" Type="http://schemas.openxmlformats.org/officeDocument/2006/relationships/hyperlink" Target="https://twitter.com/PKwissenswertes" TargetMode="External"/><Relationship Id="rId3953" Type="http://schemas.openxmlformats.org/officeDocument/2006/relationships/hyperlink" Target="https://twitter.com/mfritz_fhg" TargetMode="External"/><Relationship Id="rId9168" Type="http://schemas.openxmlformats.org/officeDocument/2006/relationships/hyperlink" Target="https://twitter.com/kat2812/status/723958414896992256" TargetMode="External"/><Relationship Id="rId874" Type="http://schemas.openxmlformats.org/officeDocument/2006/relationships/hyperlink" Target="https://twitter.com/SALIM__S/status/720855499420225536" TargetMode="External"/><Relationship Id="rId2555" Type="http://schemas.openxmlformats.org/officeDocument/2006/relationships/hyperlink" Target="https://pbs.twimg.com/profile_images/378800000820549188/4ecc5b6e4790c96e6b9fb3f0f0146f38_normal.jpeg" TargetMode="External"/><Relationship Id="rId3606" Type="http://schemas.openxmlformats.org/officeDocument/2006/relationships/hyperlink" Target="https://twitter.com/CanarioAcosado/status/722383872563027968" TargetMode="External"/><Relationship Id="rId527" Type="http://schemas.openxmlformats.org/officeDocument/2006/relationships/hyperlink" Target="https://twitter.com/guneetIoT" TargetMode="External"/><Relationship Id="rId1157" Type="http://schemas.openxmlformats.org/officeDocument/2006/relationships/hyperlink" Target="https://twitter.com/echolotGruppe/status/720909181423919104" TargetMode="External"/><Relationship Id="rId2208" Type="http://schemas.openxmlformats.org/officeDocument/2006/relationships/hyperlink" Target="https://pbs.twimg.com/profile_images/604338428227010560/6jzSa8us_normal.png" TargetMode="External"/><Relationship Id="rId5778" Type="http://schemas.openxmlformats.org/officeDocument/2006/relationships/hyperlink" Target="https://twitter.com/BOLDLYGO_FFM" TargetMode="External"/><Relationship Id="rId6829" Type="http://schemas.openxmlformats.org/officeDocument/2006/relationships/hyperlink" Target="https://twitter.com/Bitkom_I40" TargetMode="External"/><Relationship Id="rId8251" Type="http://schemas.openxmlformats.org/officeDocument/2006/relationships/hyperlink" Target="https://twitter.com/dumslaff/status/723521921292312576" TargetMode="External"/><Relationship Id="rId9302" Type="http://schemas.openxmlformats.org/officeDocument/2006/relationships/hyperlink" Target="https://twitter.com/kommoptimierer" TargetMode="External"/><Relationship Id="rId10181" Type="http://schemas.openxmlformats.org/officeDocument/2006/relationships/hyperlink" Target="https://twitter.com/unbelievable_m/status/724354754416140288" TargetMode="External"/><Relationship Id="rId3463" Type="http://schemas.openxmlformats.org/officeDocument/2006/relationships/hyperlink" Target="https://pbs.twimg.com/profile_images/691594981404983296/e29z-2Hn_normal.jpg" TargetMode="External"/><Relationship Id="rId4861" Type="http://schemas.openxmlformats.org/officeDocument/2006/relationships/hyperlink" Target="https://twitter.com/cccsoftwaregmbh/status/722727953231175680" TargetMode="External"/><Relationship Id="rId5912" Type="http://schemas.openxmlformats.org/officeDocument/2006/relationships/hyperlink" Target="https://twitter.com/RolandDuerre" TargetMode="External"/><Relationship Id="rId384" Type="http://schemas.openxmlformats.org/officeDocument/2006/relationships/hyperlink" Target="https://pbs.twimg.com/profile_images/719855439022678017/ywr6leIV_normal.jpg" TargetMode="External"/><Relationship Id="rId2065" Type="http://schemas.openxmlformats.org/officeDocument/2006/relationships/hyperlink" Target="https://twitter.com/INDIZbot/status/721790723813675008" TargetMode="External"/><Relationship Id="rId3116" Type="http://schemas.openxmlformats.org/officeDocument/2006/relationships/hyperlink" Target="https://pbs.twimg.com/profile_images/720603320218488832/n2LIOR4Q_normal.jpg" TargetMode="External"/><Relationship Id="rId4514" Type="http://schemas.openxmlformats.org/officeDocument/2006/relationships/hyperlink" Target="https://pbs.twimg.com/profile_images/486853008827744257/3Bhu5CbU_normal.jpeg" TargetMode="External"/><Relationship Id="rId6686" Type="http://schemas.openxmlformats.org/officeDocument/2006/relationships/hyperlink" Target="https://twitter.com/croXXing_IBD/status/723160331237888000" TargetMode="External"/><Relationship Id="rId7737" Type="http://schemas.openxmlformats.org/officeDocument/2006/relationships/hyperlink" Target="https://twitter.com/Energize_Rec" TargetMode="External"/><Relationship Id="rId5288" Type="http://schemas.openxmlformats.org/officeDocument/2006/relationships/hyperlink" Target="https://twitter.com/croXXing_IBD/status/722781999698735104" TargetMode="External"/><Relationship Id="rId6339" Type="http://schemas.openxmlformats.org/officeDocument/2006/relationships/hyperlink" Target="https://pbs.twimg.com/profile_images/664422401862705152/zj9DvYBD_normal.jpg" TargetMode="External"/><Relationship Id="rId1898" Type="http://schemas.openxmlformats.org/officeDocument/2006/relationships/hyperlink" Target="https://twitter.com/kommoptimierer" TargetMode="External"/><Relationship Id="rId2949" Type="http://schemas.openxmlformats.org/officeDocument/2006/relationships/hyperlink" Target="https://twitter.com/id_wettbewerbe/status/722199866831736833" TargetMode="External"/><Relationship Id="rId6820" Type="http://schemas.openxmlformats.org/officeDocument/2006/relationships/hyperlink" Target="https://twitter.com/CapgeminiDE" TargetMode="External"/><Relationship Id="rId4371" Type="http://schemas.openxmlformats.org/officeDocument/2006/relationships/hyperlink" Target="https://twitter.com/ROKAutomationUK" TargetMode="External"/><Relationship Id="rId5422" Type="http://schemas.openxmlformats.org/officeDocument/2006/relationships/hyperlink" Target="https://pbs.twimg.com/profile_images/552211771360940032/CmEYO0l3_normal.png" TargetMode="External"/><Relationship Id="rId4024" Type="http://schemas.openxmlformats.org/officeDocument/2006/relationships/hyperlink" Target="https://pbs.twimg.com/profile_images/687255709180796928/1ccBfNwK_normal.png" TargetMode="External"/><Relationship Id="rId7594" Type="http://schemas.openxmlformats.org/officeDocument/2006/relationships/hyperlink" Target="https://twitter.com/TechTargetDE/status/723416965268692993" TargetMode="External"/><Relationship Id="rId8992" Type="http://schemas.openxmlformats.org/officeDocument/2006/relationships/hyperlink" Target="https://twitter.com/INDIZbot" TargetMode="External"/><Relationship Id="rId6196" Type="http://schemas.openxmlformats.org/officeDocument/2006/relationships/hyperlink" Target="https://twitter.com/APRIOR24/status/723087361316253698" TargetMode="External"/><Relationship Id="rId7247" Type="http://schemas.openxmlformats.org/officeDocument/2006/relationships/hyperlink" Target="https://twitter.com/we_online/status/723386429145944065" TargetMode="External"/><Relationship Id="rId8645" Type="http://schemas.openxmlformats.org/officeDocument/2006/relationships/hyperlink" Target="https://twitter.com/INDIZbot/status/723776282216030208" TargetMode="External"/><Relationship Id="rId10228" Type="http://schemas.openxmlformats.org/officeDocument/2006/relationships/hyperlink" Target="https://twitter.com/EhrkeHeideMarie" TargetMode="External"/><Relationship Id="rId3857" Type="http://schemas.openxmlformats.org/officeDocument/2006/relationships/hyperlink" Target="https://twitter.com/zen_mfg" TargetMode="External"/><Relationship Id="rId4908" Type="http://schemas.openxmlformats.org/officeDocument/2006/relationships/hyperlink" Target="https://twitter.com/INDIZbot" TargetMode="External"/><Relationship Id="rId778" Type="http://schemas.openxmlformats.org/officeDocument/2006/relationships/hyperlink" Target="https://pbs.twimg.com/profile_images/2181612837/Johann_normal.jpg" TargetMode="External"/><Relationship Id="rId2459" Type="http://schemas.openxmlformats.org/officeDocument/2006/relationships/hyperlink" Target="https://twitter.com/turenne1611/status/722031733374337024" TargetMode="External"/><Relationship Id="rId6330" Type="http://schemas.openxmlformats.org/officeDocument/2006/relationships/hyperlink" Target="https://twitter.com/BMWi_Bund" TargetMode="External"/><Relationship Id="rId9553" Type="http://schemas.openxmlformats.org/officeDocument/2006/relationships/hyperlink" Target="https://pbs.twimg.com/profile_images/716065899481075713/7tnVg9KH_normal.jpg" TargetMode="External"/><Relationship Id="rId1542" Type="http://schemas.openxmlformats.org/officeDocument/2006/relationships/hyperlink" Target="https://pbs.twimg.com/profile_images/522536769502195712/cG1yitHo_normal.jpeg" TargetMode="External"/><Relationship Id="rId2940" Type="http://schemas.openxmlformats.org/officeDocument/2006/relationships/hyperlink" Target="https://twitter.com/SDDCexpo/status/722186289685139456" TargetMode="External"/><Relationship Id="rId8155" Type="http://schemas.openxmlformats.org/officeDocument/2006/relationships/hyperlink" Target="https://pbs.twimg.com/profile_images/1014679263/tc_normal.png" TargetMode="External"/><Relationship Id="rId9206" Type="http://schemas.openxmlformats.org/officeDocument/2006/relationships/hyperlink" Target="https://twitter.com/OleksiyAntonov" TargetMode="External"/><Relationship Id="rId10085" Type="http://schemas.openxmlformats.org/officeDocument/2006/relationships/hyperlink" Target="https://twitter.com/joegonett/status/724326100772478977" TargetMode="External"/><Relationship Id="rId912" Type="http://schemas.openxmlformats.org/officeDocument/2006/relationships/hyperlink" Target="https://twitter.com/LWalendy" TargetMode="External"/><Relationship Id="rId4765" Type="http://schemas.openxmlformats.org/officeDocument/2006/relationships/hyperlink" Target="https://twitter.com/_NewSearch_/status/722717420746633217" TargetMode="External"/><Relationship Id="rId5816" Type="http://schemas.openxmlformats.org/officeDocument/2006/relationships/hyperlink" Target="https://twitter.com/H_IT_D/status/723046736671821824" TargetMode="External"/><Relationship Id="rId288" Type="http://schemas.openxmlformats.org/officeDocument/2006/relationships/hyperlink" Target="https://pbs.twimg.com/profile_images/574517024556089345/fuK3tcde_normal.jpeg" TargetMode="External"/><Relationship Id="rId3367" Type="http://schemas.openxmlformats.org/officeDocument/2006/relationships/hyperlink" Target="https://twitter.com/smarterindustry" TargetMode="External"/><Relationship Id="rId4418" Type="http://schemas.openxmlformats.org/officeDocument/2006/relationships/hyperlink" Target="https://pbs.twimg.com/profile_images/645716711723925506/t5G0qOS6_normal.jpg" TargetMode="External"/><Relationship Id="rId7988" Type="http://schemas.openxmlformats.org/officeDocument/2006/relationships/hyperlink" Target="https://twitter.com/ITK_OWL" TargetMode="External"/><Relationship Id="rId2450" Type="http://schemas.openxmlformats.org/officeDocument/2006/relationships/hyperlink" Target="https://twitter.com/knauf_philipp/status/722029849892798464" TargetMode="External"/><Relationship Id="rId3501" Type="http://schemas.openxmlformats.org/officeDocument/2006/relationships/hyperlink" Target="https://twitter.com/ECOWARRIORSS/status/722366984298618880" TargetMode="External"/><Relationship Id="rId9063" Type="http://schemas.openxmlformats.org/officeDocument/2006/relationships/hyperlink" Target="https://twitter.com/iris_musiol/status/723927852564008960" TargetMode="External"/><Relationship Id="rId422" Type="http://schemas.openxmlformats.org/officeDocument/2006/relationships/hyperlink" Target="https://twitter.com/celebalcorp/status/720588704453173248" TargetMode="External"/><Relationship Id="rId1052" Type="http://schemas.openxmlformats.org/officeDocument/2006/relationships/hyperlink" Target="https://twitter.com/werliefertwas/status/720890514690584576" TargetMode="External"/><Relationship Id="rId2103" Type="http://schemas.openxmlformats.org/officeDocument/2006/relationships/hyperlink" Target="https://twitter.com/INDIZbot" TargetMode="External"/><Relationship Id="rId5673" Type="http://schemas.openxmlformats.org/officeDocument/2006/relationships/hyperlink" Target="https://twitter.com/INDIZbot" TargetMode="External"/><Relationship Id="rId4275" Type="http://schemas.openxmlformats.org/officeDocument/2006/relationships/hyperlink" Target="https://twitter.com/PourLesPatrons" TargetMode="External"/><Relationship Id="rId5326" Type="http://schemas.openxmlformats.org/officeDocument/2006/relationships/hyperlink" Target="https://twitter.com/Becker_AnnaLisa" TargetMode="External"/><Relationship Id="rId6724" Type="http://schemas.openxmlformats.org/officeDocument/2006/relationships/hyperlink" Target="https://twitter.com/SGE" TargetMode="External"/><Relationship Id="rId8896" Type="http://schemas.openxmlformats.org/officeDocument/2006/relationships/hyperlink" Target="https://twitter.com/kommoptimierer" TargetMode="External"/><Relationship Id="rId9947" Type="http://schemas.openxmlformats.org/officeDocument/2006/relationships/hyperlink" Target="https://twitter.com/WKerner/status/724283749811281921" TargetMode="External"/><Relationship Id="rId1936" Type="http://schemas.openxmlformats.org/officeDocument/2006/relationships/hyperlink" Target="https://pbs.twimg.com/profile_images/623143712797892608/KJ6dYp6z_normal.jpg" TargetMode="External"/><Relationship Id="rId7498" Type="http://schemas.openxmlformats.org/officeDocument/2006/relationships/hyperlink" Target="https://twitter.com/View85/status/723409754794561537" TargetMode="External"/><Relationship Id="rId8549" Type="http://schemas.openxmlformats.org/officeDocument/2006/relationships/hyperlink" Target="https://twitter.com/TLinn_Visionico/status/723715605107486721" TargetMode="External"/><Relationship Id="rId3011" Type="http://schemas.openxmlformats.org/officeDocument/2006/relationships/hyperlink" Target="https://pbs.twimg.com/profile_images/980081426/Twitter_Logo_AS_normal.jpg" TargetMode="External"/><Relationship Id="rId6581" Type="http://schemas.openxmlformats.org/officeDocument/2006/relationships/hyperlink" Target="https://pbs.twimg.com/profile_images/465817969902092288/sEIgw9Gb_normal.jpeg" TargetMode="External"/><Relationship Id="rId7632" Type="http://schemas.openxmlformats.org/officeDocument/2006/relationships/hyperlink" Target="https://twitter.com/AMETRAInge" TargetMode="External"/><Relationship Id="rId5183" Type="http://schemas.openxmlformats.org/officeDocument/2006/relationships/hyperlink" Target="https://twitter.com/S_Koebernick/status/722766592933814272" TargetMode="External"/><Relationship Id="rId6234" Type="http://schemas.openxmlformats.org/officeDocument/2006/relationships/hyperlink" Target="https://pbs.twimg.com/profile_images/593011135428882432/BGMPkrwp_normal.jpg" TargetMode="External"/><Relationship Id="rId9457" Type="http://schemas.openxmlformats.org/officeDocument/2006/relationships/hyperlink" Target="https://pbs.twimg.com/profile_images/709444980553740288/Xds-Aan6_normal.jpg" TargetMode="External"/><Relationship Id="rId1793" Type="http://schemas.openxmlformats.org/officeDocument/2006/relationships/hyperlink" Target="https://twitter.com/changetokaizen/status/721403665840517121" TargetMode="External"/><Relationship Id="rId2844" Type="http://schemas.openxmlformats.org/officeDocument/2006/relationships/hyperlink" Target="https://twitter.com/OJaeger" TargetMode="External"/><Relationship Id="rId8059" Type="http://schemas.openxmlformats.org/officeDocument/2006/relationships/hyperlink" Target="https://pbs.twimg.com/profile_images/623849156159868928/BetFDR_i_normal.jpg" TargetMode="External"/><Relationship Id="rId816" Type="http://schemas.openxmlformats.org/officeDocument/2006/relationships/hyperlink" Target="https://twitter.com/QuickFindsIn" TargetMode="External"/><Relationship Id="rId1446" Type="http://schemas.openxmlformats.org/officeDocument/2006/relationships/hyperlink" Target="https://pbs.twimg.com/profile_images/706784163433680896/xE8ttuE2_normal.jpg" TargetMode="External"/><Relationship Id="rId4669" Type="http://schemas.openxmlformats.org/officeDocument/2006/relationships/hyperlink" Target="https://twitter.com/Bitkom_I40/status/722710407052455941" TargetMode="External"/><Relationship Id="rId8540" Type="http://schemas.openxmlformats.org/officeDocument/2006/relationships/hyperlink" Target="https://twitter.com/H_IT_D/status/723655691374727168" TargetMode="External"/><Relationship Id="rId6091" Type="http://schemas.openxmlformats.org/officeDocument/2006/relationships/hyperlink" Target="https://pbs.twimg.com/profile_images/645716711723925506/t5G0qOS6_normal.jpg" TargetMode="External"/><Relationship Id="rId7142" Type="http://schemas.openxmlformats.org/officeDocument/2006/relationships/hyperlink" Target="https://twitter.com/apetrongari/status/723286036160385024" TargetMode="External"/><Relationship Id="rId10123" Type="http://schemas.openxmlformats.org/officeDocument/2006/relationships/hyperlink" Target="https://twitter.com/kat2812" TargetMode="External"/><Relationship Id="rId3752" Type="http://schemas.openxmlformats.org/officeDocument/2006/relationships/hyperlink" Target="https://twitter.com/INDIZbot" TargetMode="External"/><Relationship Id="rId673" Type="http://schemas.openxmlformats.org/officeDocument/2006/relationships/hyperlink" Target="https://pbs.twimg.com/profile_images/378800000700086175/017ad676773207b097a1b93a5b10074d_normal.png" TargetMode="External"/><Relationship Id="rId2354" Type="http://schemas.openxmlformats.org/officeDocument/2006/relationships/hyperlink" Target="https://twitter.com/Jo_H123/status/721995327214129152" TargetMode="External"/><Relationship Id="rId3405" Type="http://schemas.openxmlformats.org/officeDocument/2006/relationships/hyperlink" Target="https://twitter.com/OP_Magazin/status/722357550264512512" TargetMode="External"/><Relationship Id="rId4803" Type="http://schemas.openxmlformats.org/officeDocument/2006/relationships/hyperlink" Target="https://twitter.com/AlbrechtAstrid" TargetMode="External"/><Relationship Id="rId326" Type="http://schemas.openxmlformats.org/officeDocument/2006/relationships/hyperlink" Target="https://twitter.com/dorn_v/status/720550489864212480" TargetMode="External"/><Relationship Id="rId2007" Type="http://schemas.openxmlformats.org/officeDocument/2006/relationships/hyperlink" Target="https://twitter.com/INDIZbot" TargetMode="External"/><Relationship Id="rId6975" Type="http://schemas.openxmlformats.org/officeDocument/2006/relationships/hyperlink" Target="https://pbs.twimg.com/profile_images/120360497/Bild_1_normal.png" TargetMode="External"/><Relationship Id="rId4179" Type="http://schemas.openxmlformats.org/officeDocument/2006/relationships/hyperlink" Target="https://twitter.com/kommoptimierer" TargetMode="External"/><Relationship Id="rId5577" Type="http://schemas.openxmlformats.org/officeDocument/2006/relationships/hyperlink" Target="https://twitter.com/H_IT_D" TargetMode="External"/><Relationship Id="rId6628" Type="http://schemas.openxmlformats.org/officeDocument/2006/relationships/hyperlink" Target="https://twitter.com/MindCommerce/status/723152839531466752" TargetMode="External"/><Relationship Id="rId8050" Type="http://schemas.openxmlformats.org/officeDocument/2006/relationships/hyperlink" Target="https://pbs.twimg.com/profile_images/540072077500223488/cMcNEi5S_normal.jpeg" TargetMode="External"/><Relationship Id="rId9101" Type="http://schemas.openxmlformats.org/officeDocument/2006/relationships/hyperlink" Target="https://twitter.com/croXXing_IBD" TargetMode="External"/><Relationship Id="rId4660" Type="http://schemas.openxmlformats.org/officeDocument/2006/relationships/hyperlink" Target="https://twitter.com/petra_wilmering/status/722710134556880896" TargetMode="External"/><Relationship Id="rId5711" Type="http://schemas.openxmlformats.org/officeDocument/2006/relationships/hyperlink" Target="https://pbs.twimg.com/profile_images/645716711723925506/t5G0qOS6_normal.jpg" TargetMode="External"/><Relationship Id="rId3262" Type="http://schemas.openxmlformats.org/officeDocument/2006/relationships/hyperlink" Target="https://twitter.com/Lars_Lauber" TargetMode="External"/><Relationship Id="rId4313" Type="http://schemas.openxmlformats.org/officeDocument/2006/relationships/hyperlink" Target="https://pbs.twimg.com/profile_images/645716711723925506/t5G0qOS6_normal.jpg" TargetMode="External"/><Relationship Id="rId7883" Type="http://schemas.openxmlformats.org/officeDocument/2006/relationships/hyperlink" Target="https://twitter.com/stephanie_reitz/status/723455067563630592" TargetMode="External"/><Relationship Id="rId183" Type="http://schemas.openxmlformats.org/officeDocument/2006/relationships/hyperlink" Target="https://pbs.twimg.com/profile_images/645716711723925506/t5G0qOS6_normal.jpg" TargetMode="External"/><Relationship Id="rId6485" Type="http://schemas.openxmlformats.org/officeDocument/2006/relationships/hyperlink" Target="https://twitter.com/BeniSeiler" TargetMode="External"/><Relationship Id="rId7536" Type="http://schemas.openxmlformats.org/officeDocument/2006/relationships/hyperlink" Target="https://twitter.com/csschweiz" TargetMode="External"/><Relationship Id="rId8934" Type="http://schemas.openxmlformats.org/officeDocument/2006/relationships/hyperlink" Target="https://pbs.twimg.com/profile_images/701539571977289728/ulvjpEZ4_normal.jpg" TargetMode="External"/><Relationship Id="rId5087" Type="http://schemas.openxmlformats.org/officeDocument/2006/relationships/hyperlink" Target="https://twitter.com/MSFT_Politik/status/722757403695927296" TargetMode="External"/><Relationship Id="rId6138" Type="http://schemas.openxmlformats.org/officeDocument/2006/relationships/hyperlink" Target="https://twitter.com/startuptickerCH" TargetMode="External"/><Relationship Id="rId1697" Type="http://schemas.openxmlformats.org/officeDocument/2006/relationships/hyperlink" Target="https://twitter.com/JETZT_PRde/status/721285670929567744" TargetMode="External"/><Relationship Id="rId2748" Type="http://schemas.openxmlformats.org/officeDocument/2006/relationships/hyperlink" Target="https://twitter.com/observaitress" TargetMode="External"/><Relationship Id="rId4170" Type="http://schemas.openxmlformats.org/officeDocument/2006/relationships/hyperlink" Target="https://twitter.com/LReehten" TargetMode="External"/><Relationship Id="rId5221" Type="http://schemas.openxmlformats.org/officeDocument/2006/relationships/hyperlink" Target="https://twitter.com/RFIDDirectory/status/722770524577931264" TargetMode="External"/><Relationship Id="rId8791" Type="http://schemas.openxmlformats.org/officeDocument/2006/relationships/hyperlink" Target="https://twitter.com/Fraunhofer_IPK" TargetMode="External"/><Relationship Id="rId9842" Type="http://schemas.openxmlformats.org/officeDocument/2006/relationships/hyperlink" Target="https://twitter.com/LNI40/status/724270103030800384" TargetMode="External"/><Relationship Id="rId56" Type="http://schemas.openxmlformats.org/officeDocument/2006/relationships/hyperlink" Target="https://twitter.com/ChrisSpahnADP/status/720505195000700929" TargetMode="External"/><Relationship Id="rId1831" Type="http://schemas.openxmlformats.org/officeDocument/2006/relationships/hyperlink" Target="https://twitter.com/INDIZbot" TargetMode="External"/><Relationship Id="rId7393" Type="http://schemas.openxmlformats.org/officeDocument/2006/relationships/hyperlink" Target="https://pbs.twimg.com/profile_images/548030384030507008/utABqhj9_normal.png" TargetMode="External"/><Relationship Id="rId8444" Type="http://schemas.openxmlformats.org/officeDocument/2006/relationships/hyperlink" Target="https://twitter.com/heikevangeel/status/723577540959457280" TargetMode="External"/><Relationship Id="rId7046" Type="http://schemas.openxmlformats.org/officeDocument/2006/relationships/hyperlink" Target="https://twitter.com/tomweisz/status/723249150079434752" TargetMode="External"/><Relationship Id="rId10027" Type="http://schemas.openxmlformats.org/officeDocument/2006/relationships/hyperlink" Target="https://twitter.com/TLinn_Visionico" TargetMode="External"/><Relationship Id="rId577" Type="http://schemas.openxmlformats.org/officeDocument/2006/relationships/hyperlink" Target="https://pbs.twimg.com/profile_images/676325832600743936/gCXpokOx_normal.jpg" TargetMode="External"/><Relationship Id="rId2258" Type="http://schemas.openxmlformats.org/officeDocument/2006/relationships/hyperlink" Target="https://twitter.com/innovationbawue" TargetMode="External"/><Relationship Id="rId3656" Type="http://schemas.openxmlformats.org/officeDocument/2006/relationships/hyperlink" Target="https://twitter.com/MindCommerce" TargetMode="External"/><Relationship Id="rId4707" Type="http://schemas.openxmlformats.org/officeDocument/2006/relationships/hyperlink" Target="https://twitter.com/INDIZbot" TargetMode="External"/><Relationship Id="rId3309" Type="http://schemas.openxmlformats.org/officeDocument/2006/relationships/hyperlink" Target="https://pbs.twimg.com/profile_images/722132463565291520/neQnM60p_normal.jpg" TargetMode="External"/><Relationship Id="rId6879" Type="http://schemas.openxmlformats.org/officeDocument/2006/relationships/hyperlink" Target="https://pbs.twimg.com/profile_images/645716711723925506/t5G0qOS6_normal.jpg" TargetMode="External"/><Relationship Id="rId9352" Type="http://schemas.openxmlformats.org/officeDocument/2006/relationships/hyperlink" Target="https://pbs.twimg.com/profile_images/716977461079179268/JVN5NZO8_normal.jpg" TargetMode="External"/><Relationship Id="rId711" Type="http://schemas.openxmlformats.org/officeDocument/2006/relationships/hyperlink" Target="https://twitter.com/tuessl/status/720685451611385856" TargetMode="External"/><Relationship Id="rId1341" Type="http://schemas.openxmlformats.org/officeDocument/2006/relationships/hyperlink" Target="https://pbs.twimg.com/profile_images/684325175849037824/2vFq058g_normal.jpg" TargetMode="External"/><Relationship Id="rId5962" Type="http://schemas.openxmlformats.org/officeDocument/2006/relationships/hyperlink" Target="https://pbs.twimg.com/profile_images/600279861282869249/IpIJ3MKX_normal.png" TargetMode="External"/><Relationship Id="rId9005" Type="http://schemas.openxmlformats.org/officeDocument/2006/relationships/hyperlink" Target="https://twitter.com/gpodagrosi/status/723891819004702721" TargetMode="External"/><Relationship Id="rId4564" Type="http://schemas.openxmlformats.org/officeDocument/2006/relationships/hyperlink" Target="https://twitter.com/Bitkom_I40/status/722705204609753089" TargetMode="External"/><Relationship Id="rId5615" Type="http://schemas.openxmlformats.org/officeDocument/2006/relationships/hyperlink" Target="https://pbs.twimg.com/profile_images/591951396217327616/HbcCX2zX_normal.png" TargetMode="External"/><Relationship Id="rId3166" Type="http://schemas.openxmlformats.org/officeDocument/2006/relationships/hyperlink" Target="https://twitter.com/TanjaMB/status/722316809907609600" TargetMode="External"/><Relationship Id="rId4217" Type="http://schemas.openxmlformats.org/officeDocument/2006/relationships/hyperlink" Target="https://pbs.twimg.com/profile_images/696642630881513472/pM-gTDgI_normal.jpg" TargetMode="External"/><Relationship Id="rId6389" Type="http://schemas.openxmlformats.org/officeDocument/2006/relationships/hyperlink" Target="https://twitter.com/SEWEURODRIVE" TargetMode="External"/><Relationship Id="rId7787" Type="http://schemas.openxmlformats.org/officeDocument/2006/relationships/hyperlink" Target="https://twitter.com/akquinet_Ind40/status/723435063547830272" TargetMode="External"/><Relationship Id="rId8838" Type="http://schemas.openxmlformats.org/officeDocument/2006/relationships/hyperlink" Target="https://pbs.twimg.com/profile_images/704412271347437569/O-XVo7Kh_normal.jpg" TargetMode="External"/><Relationship Id="rId2999" Type="http://schemas.openxmlformats.org/officeDocument/2006/relationships/hyperlink" Target="https://twitter.com/Evolutivist" TargetMode="External"/><Relationship Id="rId3300" Type="http://schemas.openxmlformats.org/officeDocument/2006/relationships/hyperlink" Target="https://pbs.twimg.com/profile_images/604338428227010560/6jzSa8us_normal.png" TargetMode="External"/><Relationship Id="rId6870" Type="http://schemas.openxmlformats.org/officeDocument/2006/relationships/hyperlink" Target="https://pbs.twimg.com/profile_images/645716711723925506/t5G0qOS6_normal.jpg" TargetMode="External"/><Relationship Id="rId7921" Type="http://schemas.openxmlformats.org/officeDocument/2006/relationships/hyperlink" Target="https://twitter.com/centigradegmbh" TargetMode="External"/><Relationship Id="rId221" Type="http://schemas.openxmlformats.org/officeDocument/2006/relationships/hyperlink" Target="https://twitter.com/INDIZbot/status/720534991868981248" TargetMode="External"/><Relationship Id="rId5472" Type="http://schemas.openxmlformats.org/officeDocument/2006/relationships/hyperlink" Target="https://twitter.com/Telit_IoT" TargetMode="External"/><Relationship Id="rId6523" Type="http://schemas.openxmlformats.org/officeDocument/2006/relationships/hyperlink" Target="https://pbs.twimg.com/profile_images/645716711723925506/t5G0qOS6_normal.jpg" TargetMode="External"/><Relationship Id="rId4074" Type="http://schemas.openxmlformats.org/officeDocument/2006/relationships/hyperlink" Target="https://twitter.com/ThingsOfIntern" TargetMode="External"/><Relationship Id="rId5125" Type="http://schemas.openxmlformats.org/officeDocument/2006/relationships/hyperlink" Target="https://twitter.com/mbaukarriere" TargetMode="External"/><Relationship Id="rId8695" Type="http://schemas.openxmlformats.org/officeDocument/2006/relationships/hyperlink" Target="https://twitter.com/Derdack" TargetMode="External"/><Relationship Id="rId9746" Type="http://schemas.openxmlformats.org/officeDocument/2006/relationships/hyperlink" Target="https://pbs.twimg.com/profile_images/3083763260/1ea674655cb6144191e83d3ee23b16b6_normal.jpeg" TargetMode="External"/><Relationship Id="rId7297" Type="http://schemas.openxmlformats.org/officeDocument/2006/relationships/hyperlink" Target="https://twitter.com/INDIZbot" TargetMode="External"/><Relationship Id="rId8348" Type="http://schemas.openxmlformats.org/officeDocument/2006/relationships/hyperlink" Target="https://pbs.twimg.com/profile_images/623849156159868928/BetFDR_i_normal.jpg" TargetMode="External"/><Relationship Id="rId10278" Type="http://schemas.openxmlformats.org/officeDocument/2006/relationships/hyperlink" Target="https://pbs.twimg.com/profile_images/704295347397517313/qrZSEZ4E_normal.jpg" TargetMode="External"/><Relationship Id="rId1735" Type="http://schemas.openxmlformats.org/officeDocument/2006/relationships/hyperlink" Target="https://twitter.com/Tiba_Schweiz" TargetMode="External"/><Relationship Id="rId4958" Type="http://schemas.openxmlformats.org/officeDocument/2006/relationships/hyperlink" Target="https://pbs.twimg.com/profile_images/709648582048157696/BnZ5RzQA_normal.jpg" TargetMode="External"/><Relationship Id="rId6380" Type="http://schemas.openxmlformats.org/officeDocument/2006/relationships/hyperlink" Target="https://twitter.com/DerKonstrukteu" TargetMode="External"/><Relationship Id="rId7431" Type="http://schemas.openxmlformats.org/officeDocument/2006/relationships/hyperlink" Target="https://twitter.com/innovationbawue/status/723405929291489280" TargetMode="External"/><Relationship Id="rId2990" Type="http://schemas.openxmlformats.org/officeDocument/2006/relationships/hyperlink" Target="https://twitter.com/S_Allen_IIoT" TargetMode="External"/><Relationship Id="rId6033" Type="http://schemas.openxmlformats.org/officeDocument/2006/relationships/hyperlink" Target="https://twitter.com/HolgerSchmidt/status/723072565879672833" TargetMode="External"/><Relationship Id="rId962" Type="http://schemas.openxmlformats.org/officeDocument/2006/relationships/hyperlink" Target="https://twitter.com/FlashTweet/status/720875435798573056" TargetMode="External"/><Relationship Id="rId1592" Type="http://schemas.openxmlformats.org/officeDocument/2006/relationships/hyperlink" Target="https://twitter.com/INDIZbot/status/721234668180389888" TargetMode="External"/><Relationship Id="rId2643" Type="http://schemas.openxmlformats.org/officeDocument/2006/relationships/hyperlink" Target="https://twitter.com/Michaelhams/status/722073546126659584" TargetMode="External"/><Relationship Id="rId9256" Type="http://schemas.openxmlformats.org/officeDocument/2006/relationships/hyperlink" Target="https://abs.twimg.com/sticky/default_profile_images/default_profile_1_normal.png" TargetMode="External"/><Relationship Id="rId615" Type="http://schemas.openxmlformats.org/officeDocument/2006/relationships/hyperlink" Target="https://twitter.com/IT_Connection/status/720636576489947136" TargetMode="External"/><Relationship Id="rId1245" Type="http://schemas.openxmlformats.org/officeDocument/2006/relationships/hyperlink" Target="https://pbs.twimg.com/profile_images/459441279181398016/MmGzaeIu_normal.jpeg" TargetMode="External"/><Relationship Id="rId4468" Type="http://schemas.openxmlformats.org/officeDocument/2006/relationships/hyperlink" Target="https://twitter.com/eacorg" TargetMode="External"/><Relationship Id="rId5866" Type="http://schemas.openxmlformats.org/officeDocument/2006/relationships/hyperlink" Target="https://pbs.twimg.com/profile_images/3542998130/5e65449daa56d18e9aab7f6535dc25fc_normal.jpeg" TargetMode="External"/><Relationship Id="rId6917" Type="http://schemas.openxmlformats.org/officeDocument/2006/relationships/hyperlink" Target="https://twitter.com/WassenhovenUG/status/723190246855348224" TargetMode="External"/><Relationship Id="rId5519" Type="http://schemas.openxmlformats.org/officeDocument/2006/relationships/hyperlink" Target="https://pbs.twimg.com/profile_images/645716711723925506/t5G0qOS6_normal.jpg" TargetMode="External"/><Relationship Id="rId3551" Type="http://schemas.openxmlformats.org/officeDocument/2006/relationships/hyperlink" Target="https://twitter.com/H_IT_D" TargetMode="External"/><Relationship Id="rId4602" Type="http://schemas.openxmlformats.org/officeDocument/2006/relationships/hyperlink" Target="https://twitter.com/DKEAktuell" TargetMode="External"/><Relationship Id="rId472" Type="http://schemas.openxmlformats.org/officeDocument/2006/relationships/hyperlink" Target="https://pbs.twimg.com/profile_images/498786740618792960/F5YajKYc_normal.jpeg" TargetMode="External"/><Relationship Id="rId2153" Type="http://schemas.openxmlformats.org/officeDocument/2006/relationships/hyperlink" Target="https://twitter.com/BISGeV/status/721950685630218240" TargetMode="External"/><Relationship Id="rId3204" Type="http://schemas.openxmlformats.org/officeDocument/2006/relationships/hyperlink" Target="https://pbs.twimg.com/profile_images/378800000095428642/8ef0ce9ca980b41ef8db86c5e546114f_normal.jpeg" TargetMode="External"/><Relationship Id="rId6774" Type="http://schemas.openxmlformats.org/officeDocument/2006/relationships/hyperlink" Target="https://pbs.twimg.com/profile_images/3112599272/7446ab70cbab1cf15ac54e9b795d2849_normal.jpeg" TargetMode="External"/><Relationship Id="rId7825" Type="http://schemas.openxmlformats.org/officeDocument/2006/relationships/hyperlink" Target="https://twitter.com/MaTi_WOO" TargetMode="External"/><Relationship Id="rId125" Type="http://schemas.openxmlformats.org/officeDocument/2006/relationships/hyperlink" Target="https://twitter.com/SchneiderElecDE/status/720515239079505920" TargetMode="External"/><Relationship Id="rId5376" Type="http://schemas.openxmlformats.org/officeDocument/2006/relationships/hyperlink" Target="https://twitter.com/H_IT_D/status/722796890534711296" TargetMode="External"/><Relationship Id="rId6427" Type="http://schemas.openxmlformats.org/officeDocument/2006/relationships/hyperlink" Target="https://abs.twimg.com/sticky/default_profile_images/default_profile_1_normal.png" TargetMode="External"/><Relationship Id="rId5029" Type="http://schemas.openxmlformats.org/officeDocument/2006/relationships/hyperlink" Target="https://twitter.com/Becker_AnnaLisa" TargetMode="External"/><Relationship Id="rId8599" Type="http://schemas.openxmlformats.org/officeDocument/2006/relationships/hyperlink" Target="https://twitter.com/ROKAutoCHDE" TargetMode="External"/><Relationship Id="rId9997" Type="http://schemas.openxmlformats.org/officeDocument/2006/relationships/hyperlink" Target="https://twitter.com/colbytylerford" TargetMode="External"/><Relationship Id="rId1986" Type="http://schemas.openxmlformats.org/officeDocument/2006/relationships/hyperlink" Target="https://twitter.com/JUMO_net" TargetMode="External"/><Relationship Id="rId1639" Type="http://schemas.openxmlformats.org/officeDocument/2006/relationships/hyperlink" Target="https://twitter.com/INDIZbot" TargetMode="External"/><Relationship Id="rId3061" Type="http://schemas.openxmlformats.org/officeDocument/2006/relationships/hyperlink" Target="https://twitter.com/INDIZbot/status/722309039594586112" TargetMode="External"/><Relationship Id="rId5510" Type="http://schemas.openxmlformats.org/officeDocument/2006/relationships/hyperlink" Target="https://pbs.twimg.com/profile_images/658401095023226880/4qMv3IiK_normal.png" TargetMode="External"/><Relationship Id="rId4112" Type="http://schemas.openxmlformats.org/officeDocument/2006/relationships/hyperlink" Target="https://pbs.twimg.com/profile_images/541146126158536704/IYardufS_normal.jpeg" TargetMode="External"/><Relationship Id="rId7682" Type="http://schemas.openxmlformats.org/officeDocument/2006/relationships/hyperlink" Target="https://pbs.twimg.com/profile_images/555327405187801088/bhizIjB-_normal.png" TargetMode="External"/><Relationship Id="rId8733" Type="http://schemas.openxmlformats.org/officeDocument/2006/relationships/hyperlink" Target="https://pbs.twimg.com/profile_images/645716711723925506/t5G0qOS6_normal.jpg" TargetMode="External"/><Relationship Id="rId6284" Type="http://schemas.openxmlformats.org/officeDocument/2006/relationships/hyperlink" Target="https://twitter.com/PwC_Switzerland" TargetMode="External"/><Relationship Id="rId7335" Type="http://schemas.openxmlformats.org/officeDocument/2006/relationships/hyperlink" Target="https://twitter.com/sandimschuh/status/723400738454425600" TargetMode="External"/><Relationship Id="rId10316" Type="http://schemas.openxmlformats.org/officeDocument/2006/relationships/hyperlink" Target="https://twitter.com/INDIZbot/status/724463380942204928" TargetMode="External"/><Relationship Id="rId2894" Type="http://schemas.openxmlformats.org/officeDocument/2006/relationships/hyperlink" Target="https://twitter.com/INDIZbot" TargetMode="External"/><Relationship Id="rId866" Type="http://schemas.openxmlformats.org/officeDocument/2006/relationships/hyperlink" Target="https://pbs.twimg.com/profile_images/454550195015925761/IwecjfOb_normal.jpeg" TargetMode="External"/><Relationship Id="rId1496" Type="http://schemas.openxmlformats.org/officeDocument/2006/relationships/hyperlink" Target="https://twitter.com/INDIZbot/status/721035701064769536" TargetMode="External"/><Relationship Id="rId2547" Type="http://schemas.openxmlformats.org/officeDocument/2006/relationships/hyperlink" Target="https://twitter.com/BoschPresse" TargetMode="External"/><Relationship Id="rId3945" Type="http://schemas.openxmlformats.org/officeDocument/2006/relationships/hyperlink" Target="https://twitter.com/Rhenatic/status/722460290047205376" TargetMode="External"/><Relationship Id="rId519" Type="http://schemas.openxmlformats.org/officeDocument/2006/relationships/hyperlink" Target="https://twitter.com/relayr_cloud/status/720614299861958656" TargetMode="External"/><Relationship Id="rId1149" Type="http://schemas.openxmlformats.org/officeDocument/2006/relationships/hyperlink" Target="https://pbs.twimg.com/profile_images/645716711723925506/t5G0qOS6_normal.jpg" TargetMode="External"/><Relationship Id="rId5020" Type="http://schemas.openxmlformats.org/officeDocument/2006/relationships/hyperlink" Target="https://twitter.com/kosslers" TargetMode="External"/><Relationship Id="rId7192" Type="http://schemas.openxmlformats.org/officeDocument/2006/relationships/hyperlink" Target="https://twitter.com/INDIZbot" TargetMode="External"/><Relationship Id="rId8590" Type="http://schemas.openxmlformats.org/officeDocument/2006/relationships/hyperlink" Target="https://twitter.com/Weinrichter" TargetMode="External"/><Relationship Id="rId9641" Type="http://schemas.openxmlformats.org/officeDocument/2006/relationships/hyperlink" Target="https://twitter.com/RahmanNow" TargetMode="External"/><Relationship Id="rId1630" Type="http://schemas.openxmlformats.org/officeDocument/2006/relationships/hyperlink" Target="https://twitter.com/Evolutivist" TargetMode="External"/><Relationship Id="rId8243" Type="http://schemas.openxmlformats.org/officeDocument/2006/relationships/hyperlink" Target="https://pbs.twimg.com/profile_images/615797525040136192/CKF9-v_o_normal.jpg" TargetMode="External"/><Relationship Id="rId10173" Type="http://schemas.openxmlformats.org/officeDocument/2006/relationships/hyperlink" Target="https://pbs.twimg.com/profile_images/669853588152283137/mqKB9aP__normal.jpg" TargetMode="External"/><Relationship Id="rId4853" Type="http://schemas.openxmlformats.org/officeDocument/2006/relationships/hyperlink" Target="https://pbs.twimg.com/profile_images/719855439022678017/ywr6leIV_normal.jpg" TargetMode="External"/><Relationship Id="rId5904" Type="http://schemas.openxmlformats.org/officeDocument/2006/relationships/hyperlink" Target="https://twitter.com/foresight_lab/status/723060745756237825" TargetMode="External"/><Relationship Id="rId3455" Type="http://schemas.openxmlformats.org/officeDocument/2006/relationships/hyperlink" Target="https://twitter.com/ZeljkoP" TargetMode="External"/><Relationship Id="rId4506" Type="http://schemas.openxmlformats.org/officeDocument/2006/relationships/hyperlink" Target="https://twitter.com/KUKA_Presse" TargetMode="External"/><Relationship Id="rId376" Type="http://schemas.openxmlformats.org/officeDocument/2006/relationships/hyperlink" Target="https://twitter.com/INKA_Forum" TargetMode="External"/><Relationship Id="rId2057" Type="http://schemas.openxmlformats.org/officeDocument/2006/relationships/hyperlink" Target="https://pbs.twimg.com/profile_images/442767343555321856/p7B-wXOm_normal.jpeg" TargetMode="External"/><Relationship Id="rId3108" Type="http://schemas.openxmlformats.org/officeDocument/2006/relationships/hyperlink" Target="https://twitter.com/LReehten" TargetMode="External"/><Relationship Id="rId6678" Type="http://schemas.openxmlformats.org/officeDocument/2006/relationships/hyperlink" Target="https://pbs.twimg.com/profile_images/378800000712398775/75d81aee2bb9bd72961b566bbd90415c_normal.jpeg" TargetMode="External"/><Relationship Id="rId7729" Type="http://schemas.openxmlformats.org/officeDocument/2006/relationships/hyperlink" Target="https://twitter.com/fmalatier/status/723429278650527744" TargetMode="External"/><Relationship Id="rId9151" Type="http://schemas.openxmlformats.org/officeDocument/2006/relationships/hyperlink" Target="https://pbs.twimg.com/profile_images/3502729434/95675e6f45ad2e1bbc6c5736995ec15c_normal.png" TargetMode="External"/><Relationship Id="rId1140" Type="http://schemas.openxmlformats.org/officeDocument/2006/relationships/hyperlink" Target="https://pbs.twimg.com/profile_images/608288196506456064/4N_hoRll_normal.png" TargetMode="External"/><Relationship Id="rId510" Type="http://schemas.openxmlformats.org/officeDocument/2006/relationships/hyperlink" Target="https://twitter.com/QuickFindsIn/status/720612580213919744" TargetMode="External"/><Relationship Id="rId5761" Type="http://schemas.openxmlformats.org/officeDocument/2006/relationships/hyperlink" Target="https://twitter.com/CapgeminiDE/status/723028773986246656" TargetMode="External"/><Relationship Id="rId6812" Type="http://schemas.openxmlformats.org/officeDocument/2006/relationships/hyperlink" Target="https://twitter.com/KingsandeepSa/status/723175893246578688" TargetMode="External"/><Relationship Id="rId4363" Type="http://schemas.openxmlformats.org/officeDocument/2006/relationships/hyperlink" Target="https://twitter.com/JBause/status/722679759667392513" TargetMode="External"/><Relationship Id="rId5414" Type="http://schemas.openxmlformats.org/officeDocument/2006/relationships/hyperlink" Target="https://twitter.com/BoschPresse" TargetMode="External"/><Relationship Id="rId8984" Type="http://schemas.openxmlformats.org/officeDocument/2006/relationships/hyperlink" Target="https://twitter.com/bamitav/status/723880841646997504" TargetMode="External"/><Relationship Id="rId4016" Type="http://schemas.openxmlformats.org/officeDocument/2006/relationships/hyperlink" Target="https://twitter.com/TUslaender" TargetMode="External"/><Relationship Id="rId7586" Type="http://schemas.openxmlformats.org/officeDocument/2006/relationships/hyperlink" Target="https://pbs.twimg.com/profile_images/645716711723925506/t5G0qOS6_normal.jpg" TargetMode="External"/><Relationship Id="rId8637" Type="http://schemas.openxmlformats.org/officeDocument/2006/relationships/hyperlink" Target="https://pbs.twimg.com/profile_images/625592251377324032/p6ap4-7W_normal.jpg" TargetMode="External"/><Relationship Id="rId6188" Type="http://schemas.openxmlformats.org/officeDocument/2006/relationships/hyperlink" Target="https://pbs.twimg.com/profile_images/623849156159868928/BetFDR_i_normal.jpg" TargetMode="External"/><Relationship Id="rId7239" Type="http://schemas.openxmlformats.org/officeDocument/2006/relationships/hyperlink" Target="https://pbs.twimg.com/profile_images/645716711723925506/t5G0qOS6_normal.jpg" TargetMode="External"/><Relationship Id="rId2798" Type="http://schemas.openxmlformats.org/officeDocument/2006/relationships/hyperlink" Target="https://pbs.twimg.com/profile_images/378800000435727167/4cf1a69d735b7ed9d39ef2b6f42f5f07_normal.jpeg" TargetMode="External"/><Relationship Id="rId3849" Type="http://schemas.openxmlformats.org/officeDocument/2006/relationships/hyperlink" Target="https://twitter.com/LutzVA/status/722441889014800384" TargetMode="External"/><Relationship Id="rId5271" Type="http://schemas.openxmlformats.org/officeDocument/2006/relationships/hyperlink" Target="https://pbs.twimg.com/profile_images/454290279252500480/JkMkXwUd_normal.jpeg" TargetMode="External"/><Relationship Id="rId7720" Type="http://schemas.openxmlformats.org/officeDocument/2006/relationships/hyperlink" Target="https://twitter.com/AMETRAInge/status/723428777523433473" TargetMode="External"/><Relationship Id="rId6322" Type="http://schemas.openxmlformats.org/officeDocument/2006/relationships/hyperlink" Target="https://twitter.com/Alpict/status/723112245853442049" TargetMode="External"/><Relationship Id="rId9892" Type="http://schemas.openxmlformats.org/officeDocument/2006/relationships/hyperlink" Target="https://twitter.com/MarianKoeller" TargetMode="External"/><Relationship Id="rId1881" Type="http://schemas.openxmlformats.org/officeDocument/2006/relationships/hyperlink" Target="https://twitter.com/MDBlanchfield/status/721604898131824641" TargetMode="External"/><Relationship Id="rId2932" Type="http://schemas.openxmlformats.org/officeDocument/2006/relationships/hyperlink" Target="https://pbs.twimg.com/profile_images/647154695891496960/SRHGbk0s_normal.jpg" TargetMode="External"/><Relationship Id="rId8494" Type="http://schemas.openxmlformats.org/officeDocument/2006/relationships/hyperlink" Target="https://twitter.com/BerndHops" TargetMode="External"/><Relationship Id="rId9545" Type="http://schemas.openxmlformats.org/officeDocument/2006/relationships/hyperlink" Target="https://twitter.com/Motorious_Cafe" TargetMode="External"/><Relationship Id="rId904" Type="http://schemas.openxmlformats.org/officeDocument/2006/relationships/hyperlink" Target="https://twitter.com/nicolaikr/status/720862378263326720" TargetMode="External"/><Relationship Id="rId1534" Type="http://schemas.openxmlformats.org/officeDocument/2006/relationships/hyperlink" Target="https://twitter.com/_damoca" TargetMode="External"/><Relationship Id="rId7096" Type="http://schemas.openxmlformats.org/officeDocument/2006/relationships/hyperlink" Target="https://twitter.com/sarhapu" TargetMode="External"/><Relationship Id="rId8147" Type="http://schemas.openxmlformats.org/officeDocument/2006/relationships/hyperlink" Target="https://twitter.com/INDIZbot" TargetMode="External"/><Relationship Id="rId10077" Type="http://schemas.openxmlformats.org/officeDocument/2006/relationships/hyperlink" Target="https://pbs.twimg.com/profile_images/645716711723925506/t5G0qOS6_normal.jpg" TargetMode="External"/><Relationship Id="rId4757" Type="http://schemas.openxmlformats.org/officeDocument/2006/relationships/hyperlink" Target="https://pbs.twimg.com/profile_images/645716711723925506/t5G0qOS6_normal.jpg" TargetMode="External"/><Relationship Id="rId3359" Type="http://schemas.openxmlformats.org/officeDocument/2006/relationships/hyperlink" Target="https://twitter.com/DerKonstrukteu/status/722353188666503168" TargetMode="External"/><Relationship Id="rId5808" Type="http://schemas.openxmlformats.org/officeDocument/2006/relationships/hyperlink" Target="https://pbs.twimg.com/profile_images/699724829713428484/rUT0r7Dq_normal.jpg" TargetMode="External"/><Relationship Id="rId7230" Type="http://schemas.openxmlformats.org/officeDocument/2006/relationships/hyperlink" Target="https://pbs.twimg.com/profile_images/723389089098010624/lVEZfWmZ_normal.jpg" TargetMode="External"/><Relationship Id="rId10211" Type="http://schemas.openxmlformats.org/officeDocument/2006/relationships/hyperlink" Target="https://twitter.com/roomeezon/status/724368886318129152" TargetMode="External"/><Relationship Id="rId3840" Type="http://schemas.openxmlformats.org/officeDocument/2006/relationships/hyperlink" Target="https://twitter.com/fabielind/status/722438620095856641" TargetMode="External"/><Relationship Id="rId9055" Type="http://schemas.openxmlformats.org/officeDocument/2006/relationships/hyperlink" Target="https://pbs.twimg.com/profile_images/378800000114367535/ece45ccc5c5e231750ac50d6de366482_normal.jpeg" TargetMode="External"/><Relationship Id="rId761" Type="http://schemas.openxmlformats.org/officeDocument/2006/relationships/hyperlink" Target="https://twitter.com/dutchhts" TargetMode="External"/><Relationship Id="rId1391" Type="http://schemas.openxmlformats.org/officeDocument/2006/relationships/hyperlink" Target="https://twitter.com/Allabout_IoT" TargetMode="External"/><Relationship Id="rId2442" Type="http://schemas.openxmlformats.org/officeDocument/2006/relationships/hyperlink" Target="https://pbs.twimg.com/profile_images/603542931752951808/8YqngE7j_normal.jpg" TargetMode="External"/><Relationship Id="rId414" Type="http://schemas.openxmlformats.org/officeDocument/2006/relationships/hyperlink" Target="https://pbs.twimg.com/profile_images/637165149456044032/CS70v85H_normal.jpg" TargetMode="External"/><Relationship Id="rId1044" Type="http://schemas.openxmlformats.org/officeDocument/2006/relationships/hyperlink" Target="https://pbs.twimg.com/profile_images/542205461139705857/rG0aBulP_normal.png" TargetMode="External"/><Relationship Id="rId5665" Type="http://schemas.openxmlformats.org/officeDocument/2006/relationships/hyperlink" Target="https://twitter.com/RolandBent/status/722903793424183297" TargetMode="External"/><Relationship Id="rId6716" Type="http://schemas.openxmlformats.org/officeDocument/2006/relationships/hyperlink" Target="https://twitter.com/JBause/status/723164697185411072" TargetMode="External"/><Relationship Id="rId4267" Type="http://schemas.openxmlformats.org/officeDocument/2006/relationships/hyperlink" Target="https://twitter.com/Jo_H123/status/722642225847525376" TargetMode="External"/><Relationship Id="rId5318" Type="http://schemas.openxmlformats.org/officeDocument/2006/relationships/hyperlink" Target="https://twitter.com/INDIZbot/status/722790070667882496" TargetMode="External"/><Relationship Id="rId8888" Type="http://schemas.openxmlformats.org/officeDocument/2006/relationships/hyperlink" Target="https://twitter.com/mueller_karsten/status/723849076966604800" TargetMode="External"/><Relationship Id="rId9939" Type="http://schemas.openxmlformats.org/officeDocument/2006/relationships/hyperlink" Target="https://pbs.twimg.com/profile_images/449255466204286976/bWiirmgG_normal.jpeg" TargetMode="External"/><Relationship Id="rId1928" Type="http://schemas.openxmlformats.org/officeDocument/2006/relationships/hyperlink" Target="https://twitter.com/JeffRConnolly" TargetMode="External"/><Relationship Id="rId3350" Type="http://schemas.openxmlformats.org/officeDocument/2006/relationships/hyperlink" Target="https://twitter.com/MarianKoeller/status/722352762210619392" TargetMode="External"/><Relationship Id="rId271" Type="http://schemas.openxmlformats.org/officeDocument/2006/relationships/hyperlink" Target="https://twitter.com/Apandia" TargetMode="External"/><Relationship Id="rId3003" Type="http://schemas.openxmlformats.org/officeDocument/2006/relationships/hyperlink" Target="https://twitter.com/DerKonstrukteu/status/722275577961586688" TargetMode="External"/><Relationship Id="rId4401" Type="http://schemas.openxmlformats.org/officeDocument/2006/relationships/hyperlink" Target="https://twitter.com/cmichoudpro" TargetMode="External"/><Relationship Id="rId7971" Type="http://schemas.openxmlformats.org/officeDocument/2006/relationships/hyperlink" Target="https://twitter.com/INDIZbot/status/723474221150703616" TargetMode="External"/><Relationship Id="rId6573" Type="http://schemas.openxmlformats.org/officeDocument/2006/relationships/hyperlink" Target="https://twitter.com/Bitkom_I40" TargetMode="External"/><Relationship Id="rId7624" Type="http://schemas.openxmlformats.org/officeDocument/2006/relationships/hyperlink" Target="https://twitter.com/BitkomResearch/status/723418880123629568" TargetMode="External"/><Relationship Id="rId5175" Type="http://schemas.openxmlformats.org/officeDocument/2006/relationships/hyperlink" Target="https://pbs.twimg.com/profile_images/669471279158796288/iXgOCW46_normal.jpg" TargetMode="External"/><Relationship Id="rId6226" Type="http://schemas.openxmlformats.org/officeDocument/2006/relationships/hyperlink" Target="https://twitter.com/technikzukunft" TargetMode="External"/><Relationship Id="rId9796" Type="http://schemas.openxmlformats.org/officeDocument/2006/relationships/hyperlink" Target="https://twitter.com/catkinEU" TargetMode="External"/><Relationship Id="rId1785" Type="http://schemas.openxmlformats.org/officeDocument/2006/relationships/hyperlink" Target="https://pbs.twimg.com/profile_images/645716711723925506/t5G0qOS6_normal.jpg" TargetMode="External"/><Relationship Id="rId2836" Type="http://schemas.openxmlformats.org/officeDocument/2006/relationships/hyperlink" Target="https://twitter.com/LReehten/status/722134728724377600" TargetMode="External"/><Relationship Id="rId8398" Type="http://schemas.openxmlformats.org/officeDocument/2006/relationships/hyperlink" Target="https://twitter.com/INDIZbot/status/723554881097863168" TargetMode="External"/><Relationship Id="rId9449" Type="http://schemas.openxmlformats.org/officeDocument/2006/relationships/hyperlink" Target="https://twitter.com/INDIZbot" TargetMode="External"/><Relationship Id="rId808" Type="http://schemas.openxmlformats.org/officeDocument/2006/relationships/hyperlink" Target="https://twitter.com/JulienGre38/status/720737830717300736" TargetMode="External"/><Relationship Id="rId1438" Type="http://schemas.openxmlformats.org/officeDocument/2006/relationships/hyperlink" Target="https://twitter.com/HTxA/status/720998306520940544" TargetMode="External"/><Relationship Id="rId7481" Type="http://schemas.openxmlformats.org/officeDocument/2006/relationships/hyperlink" Target="https://pbs.twimg.com/profile_images/3625979673/acb661eae563d818836eb138c74e91f7_normal.jpeg" TargetMode="External"/><Relationship Id="rId9930" Type="http://schemas.openxmlformats.org/officeDocument/2006/relationships/hyperlink" Target="https://pbs.twimg.com/profile_images/1640917480/SAbineJuni2011_normal.JPG" TargetMode="External"/><Relationship Id="rId6083" Type="http://schemas.openxmlformats.org/officeDocument/2006/relationships/hyperlink" Target="https://twitter.com/INDIZbot" TargetMode="External"/><Relationship Id="rId7134" Type="http://schemas.openxmlformats.org/officeDocument/2006/relationships/hyperlink" Target="https://pbs.twimg.com/profile_images/645716711723925506/t5G0qOS6_normal.jpg" TargetMode="External"/><Relationship Id="rId8532" Type="http://schemas.openxmlformats.org/officeDocument/2006/relationships/hyperlink" Target="https://pbs.twimg.com/profile_images/697128334166224896/7ttIPcTC_normal.jpg" TargetMode="External"/><Relationship Id="rId10115" Type="http://schemas.openxmlformats.org/officeDocument/2006/relationships/hyperlink" Target="https://twitter.com/MartinGaedt/status/724335145109561344" TargetMode="External"/><Relationship Id="rId2693" Type="http://schemas.openxmlformats.org/officeDocument/2006/relationships/hyperlink" Target="https://pbs.twimg.com/profile_images/645716711723925506/t5G0qOS6_normal.jpg" TargetMode="External"/><Relationship Id="rId3744" Type="http://schemas.openxmlformats.org/officeDocument/2006/relationships/hyperlink" Target="https://twitter.com/Bitkom/status/722416316347494402" TargetMode="External"/><Relationship Id="rId665" Type="http://schemas.openxmlformats.org/officeDocument/2006/relationships/hyperlink" Target="https://twitter.com/IT_Connection" TargetMode="External"/><Relationship Id="rId1295" Type="http://schemas.openxmlformats.org/officeDocument/2006/relationships/hyperlink" Target="https://twitter.com/INDIZbot/status/720947570525278208" TargetMode="External"/><Relationship Id="rId2346" Type="http://schemas.openxmlformats.org/officeDocument/2006/relationships/hyperlink" Target="https://pbs.twimg.com/profile_images/701346285345972224/o2eiYGY__normal.jpg" TargetMode="External"/><Relationship Id="rId6967" Type="http://schemas.openxmlformats.org/officeDocument/2006/relationships/hyperlink" Target="https://twitter.com/ke13ds" TargetMode="External"/><Relationship Id="rId318" Type="http://schemas.openxmlformats.org/officeDocument/2006/relationships/hyperlink" Target="https://pbs.twimg.com/profile_images/653933165556428800/DJXzWpgl_normal.jpg" TargetMode="External"/><Relationship Id="rId5569" Type="http://schemas.openxmlformats.org/officeDocument/2006/relationships/hyperlink" Target="https://twitter.com/Louis55225271/status/722853881059758080" TargetMode="External"/><Relationship Id="rId9440" Type="http://schemas.openxmlformats.org/officeDocument/2006/relationships/hyperlink" Target="https://twitter.com/patriciaduques4" TargetMode="External"/><Relationship Id="rId8042" Type="http://schemas.openxmlformats.org/officeDocument/2006/relationships/hyperlink" Target="https://twitter.com/Bitkom_Service" TargetMode="External"/><Relationship Id="rId4652" Type="http://schemas.openxmlformats.org/officeDocument/2006/relationships/hyperlink" Target="https://pbs.twimg.com/profile_images/465817969902092288/sEIgw9Gb_normal.jpeg" TargetMode="External"/><Relationship Id="rId5703" Type="http://schemas.openxmlformats.org/officeDocument/2006/relationships/hyperlink" Target="https://twitter.com/H_IT_D" TargetMode="External"/><Relationship Id="rId175" Type="http://schemas.openxmlformats.org/officeDocument/2006/relationships/hyperlink" Target="https://twitter.com/Reply_DE" TargetMode="External"/><Relationship Id="rId3254" Type="http://schemas.openxmlformats.org/officeDocument/2006/relationships/hyperlink" Target="https://twitter.com/SebZilch/status/722331564873527296" TargetMode="External"/><Relationship Id="rId4305" Type="http://schemas.openxmlformats.org/officeDocument/2006/relationships/hyperlink" Target="https://twitter.com/INDIZbot" TargetMode="External"/><Relationship Id="rId7875" Type="http://schemas.openxmlformats.org/officeDocument/2006/relationships/hyperlink" Target="https://pbs.twimg.com/profile_images/607924894756667392/Q-rChkyI_normal.png" TargetMode="External"/><Relationship Id="rId8926" Type="http://schemas.openxmlformats.org/officeDocument/2006/relationships/hyperlink" Target="https://twitter.com/CullenVerena" TargetMode="External"/><Relationship Id="rId6477" Type="http://schemas.openxmlformats.org/officeDocument/2006/relationships/hyperlink" Target="https://twitter.com/SGE/status/723131255043272704" TargetMode="External"/><Relationship Id="rId7528" Type="http://schemas.openxmlformats.org/officeDocument/2006/relationships/hyperlink" Target="https://twitter.com/PapaVise/status/723412724735041536" TargetMode="External"/><Relationship Id="rId5079" Type="http://schemas.openxmlformats.org/officeDocument/2006/relationships/hyperlink" Target="https://pbs.twimg.com/profile_images/552062940782686209/2IlN5g_v_normal.jpeg" TargetMode="External"/><Relationship Id="rId1689" Type="http://schemas.openxmlformats.org/officeDocument/2006/relationships/hyperlink" Target="https://pbs.twimg.com/profile_images/618126359622221824/GH4y7y_J_normal.jpg" TargetMode="External"/><Relationship Id="rId5560" Type="http://schemas.openxmlformats.org/officeDocument/2006/relationships/hyperlink" Target="https://twitter.com/CapgeminiDE/status/722852486088957952" TargetMode="External"/><Relationship Id="rId4162" Type="http://schemas.openxmlformats.org/officeDocument/2006/relationships/hyperlink" Target="https://twitter.com/LReehten/status/722514382589190144" TargetMode="External"/><Relationship Id="rId5213" Type="http://schemas.openxmlformats.org/officeDocument/2006/relationships/hyperlink" Target="https://pbs.twimg.com/profile_images/644041606304256000/yOHTHLkX_normal.jpg" TargetMode="External"/><Relationship Id="rId6611" Type="http://schemas.openxmlformats.org/officeDocument/2006/relationships/hyperlink" Target="https://pbs.twimg.com/profile_images/541146126158536704/IYardufS_normal.jpeg" TargetMode="External"/><Relationship Id="rId8783" Type="http://schemas.openxmlformats.org/officeDocument/2006/relationships/hyperlink" Target="https://twitter.com/j_beenen/status/723811385159852032" TargetMode="External"/><Relationship Id="rId9834" Type="http://schemas.openxmlformats.org/officeDocument/2006/relationships/hyperlink" Target="https://pbs.twimg.com/profile_images/698877978822995969/MF_OL2e9_normal.jpg" TargetMode="External"/><Relationship Id="rId48" Type="http://schemas.openxmlformats.org/officeDocument/2006/relationships/hyperlink" Target="https://pbs.twimg.com/profile_images/679767213046394881/pAZSTQBn_normal.jpg" TargetMode="External"/><Relationship Id="rId1823" Type="http://schemas.openxmlformats.org/officeDocument/2006/relationships/hyperlink" Target="https://twitter.com/OJaeger/status/721420561340088321" TargetMode="External"/><Relationship Id="rId7385" Type="http://schemas.openxmlformats.org/officeDocument/2006/relationships/hyperlink" Target="https://twitter.com/APuZ_bpb" TargetMode="External"/><Relationship Id="rId8436" Type="http://schemas.openxmlformats.org/officeDocument/2006/relationships/hyperlink" Target="https://pbs.twimg.com/profile_images/602304216468738049/_0sb-3oB_normal.jpg" TargetMode="External"/><Relationship Id="rId3995" Type="http://schemas.openxmlformats.org/officeDocument/2006/relationships/hyperlink" Target="https://twitter.com/aguittard" TargetMode="External"/><Relationship Id="rId7038" Type="http://schemas.openxmlformats.org/officeDocument/2006/relationships/hyperlink" Target="https://pbs.twimg.com/profile_images/1845741363/Rudolf-Schuler_facebook_normal.jpg" TargetMode="External"/><Relationship Id="rId10019" Type="http://schemas.openxmlformats.org/officeDocument/2006/relationships/hyperlink" Target="https://twitter.com/docbroemer/status/724299914403057664" TargetMode="External"/><Relationship Id="rId2597" Type="http://schemas.openxmlformats.org/officeDocument/2006/relationships/hyperlink" Target="https://twitter.com/JETZT_PRde/status/722066993873055745" TargetMode="External"/><Relationship Id="rId3648" Type="http://schemas.openxmlformats.org/officeDocument/2006/relationships/hyperlink" Target="https://twitter.com/INDIZbot/status/722394606130896897" TargetMode="External"/><Relationship Id="rId569" Type="http://schemas.openxmlformats.org/officeDocument/2006/relationships/hyperlink" Target="https://twitter.com/GSqueri" TargetMode="External"/><Relationship Id="rId1199" Type="http://schemas.openxmlformats.org/officeDocument/2006/relationships/hyperlink" Target="https://twitter.com/DamDamCom/status/720921177678561281" TargetMode="External"/><Relationship Id="rId5070" Type="http://schemas.openxmlformats.org/officeDocument/2006/relationships/hyperlink" Target="https://pbs.twimg.com/profile_images/1539645084/FB-KWlogo.004_normal.png" TargetMode="External"/><Relationship Id="rId6121" Type="http://schemas.openxmlformats.org/officeDocument/2006/relationships/hyperlink" Target="https://twitter.com/Infineon/status/723076154345820160" TargetMode="External"/><Relationship Id="rId9691" Type="http://schemas.openxmlformats.org/officeDocument/2006/relationships/hyperlink" Target="https://pbs.twimg.com/profile_images/648870164297965568/7muw2QvW_normal.jpg" TargetMode="External"/><Relationship Id="rId8293" Type="http://schemas.openxmlformats.org/officeDocument/2006/relationships/hyperlink" Target="https://twitter.com/INDIZbot/status/723527191435313152" TargetMode="External"/><Relationship Id="rId9344" Type="http://schemas.openxmlformats.org/officeDocument/2006/relationships/hyperlink" Target="https://twitter.com/INDIZbot" TargetMode="External"/><Relationship Id="rId1680" Type="http://schemas.openxmlformats.org/officeDocument/2006/relationships/hyperlink" Target="https://pbs.twimg.com/profile_images/666911961599315968/aP7ID_qm_normal.png" TargetMode="External"/><Relationship Id="rId2731" Type="http://schemas.openxmlformats.org/officeDocument/2006/relationships/hyperlink" Target="https://twitter.com/QuickFindsIn/status/722104410017370116" TargetMode="External"/><Relationship Id="rId703" Type="http://schemas.openxmlformats.org/officeDocument/2006/relationships/hyperlink" Target="https://pbs.twimg.com/profile_images/682836758464192512/-nudFO2c_normal.jpg" TargetMode="External"/><Relationship Id="rId1333" Type="http://schemas.openxmlformats.org/officeDocument/2006/relationships/hyperlink" Target="https://twitter.com/SAPFrance" TargetMode="External"/><Relationship Id="rId5954" Type="http://schemas.openxmlformats.org/officeDocument/2006/relationships/hyperlink" Target="https://twitter.com/AHK_Oesterreich" TargetMode="External"/><Relationship Id="rId4556" Type="http://schemas.openxmlformats.org/officeDocument/2006/relationships/hyperlink" Target="https://pbs.twimg.com/profile_images/459441279181398016/MmGzaeIu_normal.jpeg" TargetMode="External"/><Relationship Id="rId5607" Type="http://schemas.openxmlformats.org/officeDocument/2006/relationships/hyperlink" Target="https://twitter.com/vemdiearbeitgeb" TargetMode="External"/><Relationship Id="rId3158" Type="http://schemas.openxmlformats.org/officeDocument/2006/relationships/hyperlink" Target="https://pbs.twimg.com/profile_images/665798535779065856/sbUN3m6Q_normal.jpg" TargetMode="External"/><Relationship Id="rId4209" Type="http://schemas.openxmlformats.org/officeDocument/2006/relationships/hyperlink" Target="https://twitter.com/INDIZbot" TargetMode="External"/><Relationship Id="rId7779" Type="http://schemas.openxmlformats.org/officeDocument/2006/relationships/hyperlink" Target="https://twitter.com/akquinet_Ind40" TargetMode="External"/><Relationship Id="rId10010" Type="http://schemas.openxmlformats.org/officeDocument/2006/relationships/hyperlink" Target="https://twitter.com/RealJoeGuy/status/724299196266876930" TargetMode="External"/><Relationship Id="rId560" Type="http://schemas.openxmlformats.org/officeDocument/2006/relationships/hyperlink" Target="https://twitter.com/EnergyPages" TargetMode="External"/><Relationship Id="rId1190" Type="http://schemas.openxmlformats.org/officeDocument/2006/relationships/hyperlink" Target="https://twitter.com/HeikeFiedlerPhe/status/720916925996527616" TargetMode="External"/><Relationship Id="rId2241" Type="http://schemas.openxmlformats.org/officeDocument/2006/relationships/hyperlink" Target="https://pbs.twimg.com/profile_images/669853588152283137/mqKB9aP__normal.jpg" TargetMode="External"/><Relationship Id="rId213" Type="http://schemas.openxmlformats.org/officeDocument/2006/relationships/hyperlink" Target="https://pbs.twimg.com/profile_images/3731315100/2c6792fac1637e88e4eb8b91d06965b6_normal.jpeg" TargetMode="External"/><Relationship Id="rId6862" Type="http://schemas.openxmlformats.org/officeDocument/2006/relationships/hyperlink" Target="https://twitter.com/INDIZbot" TargetMode="External"/><Relationship Id="rId7913" Type="http://schemas.openxmlformats.org/officeDocument/2006/relationships/hyperlink" Target="https://twitter.com/fabioteixs/status/723462289198866432" TargetMode="External"/><Relationship Id="rId4066" Type="http://schemas.openxmlformats.org/officeDocument/2006/relationships/hyperlink" Target="https://pbs.twimg.com/profile_images/651849467046588418/Vn4rwmih_normal.png" TargetMode="External"/><Relationship Id="rId5464" Type="http://schemas.openxmlformats.org/officeDocument/2006/relationships/hyperlink" Target="https://twitter.com/steffi04d/status/722812426362744833" TargetMode="External"/><Relationship Id="rId6515" Type="http://schemas.openxmlformats.org/officeDocument/2006/relationships/hyperlink" Target="https://twitter.com/INDIZbot" TargetMode="External"/><Relationship Id="rId5117" Type="http://schemas.openxmlformats.org/officeDocument/2006/relationships/hyperlink" Target="https://twitter.com/Gesamtmetall/status/722760535847124992" TargetMode="External"/><Relationship Id="rId8687" Type="http://schemas.openxmlformats.org/officeDocument/2006/relationships/hyperlink" Target="https://twitter.com/INDIZbot/status/723786528443502592" TargetMode="External"/><Relationship Id="rId9738" Type="http://schemas.openxmlformats.org/officeDocument/2006/relationships/hyperlink" Target="https://twitter.com/Linde_WoMH" TargetMode="External"/><Relationship Id="rId1727" Type="http://schemas.openxmlformats.org/officeDocument/2006/relationships/hyperlink" Target="https://twitter.com/INDIZbot/status/721337948793368576" TargetMode="External"/><Relationship Id="rId7289" Type="http://schemas.openxmlformats.org/officeDocument/2006/relationships/hyperlink" Target="https://twitter.com/LNI40/status/723392208649392128" TargetMode="External"/><Relationship Id="rId3899" Type="http://schemas.openxmlformats.org/officeDocument/2006/relationships/hyperlink" Target="https://twitter.com/aguittard" TargetMode="External"/><Relationship Id="rId4200" Type="http://schemas.openxmlformats.org/officeDocument/2006/relationships/hyperlink" Target="https://twitter.com/LNI40" TargetMode="External"/><Relationship Id="rId7770" Type="http://schemas.openxmlformats.org/officeDocument/2006/relationships/hyperlink" Target="https://twitter.com/Apandia" TargetMode="External"/><Relationship Id="rId6372" Type="http://schemas.openxmlformats.org/officeDocument/2006/relationships/hyperlink" Target="https://twitter.com/aabirkner/status/723116979599495169" TargetMode="External"/><Relationship Id="rId7423" Type="http://schemas.openxmlformats.org/officeDocument/2006/relationships/hyperlink" Target="https://twitter.com/rajesh266" TargetMode="External"/><Relationship Id="rId8821" Type="http://schemas.openxmlformats.org/officeDocument/2006/relationships/hyperlink" Target="https://twitter.com/indranilsircar" TargetMode="External"/><Relationship Id="rId6025" Type="http://schemas.openxmlformats.org/officeDocument/2006/relationships/hyperlink" Target="https://pbs.twimg.com/profile_images/576038384629469184/KCHV0Anq_normal.png" TargetMode="External"/><Relationship Id="rId2982" Type="http://schemas.openxmlformats.org/officeDocument/2006/relationships/hyperlink" Target="https://twitter.com/catapultpr/status/722260605265022976" TargetMode="External"/><Relationship Id="rId8197" Type="http://schemas.openxmlformats.org/officeDocument/2006/relationships/hyperlink" Target="https://twitter.com/Nihonpk_ef/status/723510318341722112" TargetMode="External"/><Relationship Id="rId9595" Type="http://schemas.openxmlformats.org/officeDocument/2006/relationships/hyperlink" Target="https://pbs.twimg.com/profile_images/468162248452485120/XpQk9Er4_normal.jpeg" TargetMode="External"/><Relationship Id="rId954" Type="http://schemas.openxmlformats.org/officeDocument/2006/relationships/hyperlink" Target="https://pbs.twimg.com/profile_images/609682170458804225/WAAXyFob_normal.jpg" TargetMode="External"/><Relationship Id="rId1584" Type="http://schemas.openxmlformats.org/officeDocument/2006/relationships/hyperlink" Target="https://pbs.twimg.com/profile_images/666911961599315968/aP7ID_qm_normal.png" TargetMode="External"/><Relationship Id="rId2635" Type="http://schemas.openxmlformats.org/officeDocument/2006/relationships/hyperlink" Target="https://pbs.twimg.com/profile_images/645716711723925506/t5G0qOS6_normal.jpg" TargetMode="External"/><Relationship Id="rId9248" Type="http://schemas.openxmlformats.org/officeDocument/2006/relationships/hyperlink" Target="https://twitter.com/MfgCareersInc" TargetMode="External"/><Relationship Id="rId607" Type="http://schemas.openxmlformats.org/officeDocument/2006/relationships/hyperlink" Target="https://pbs.twimg.com/profile_images/706811232695750657/fVFQauFe_normal.jpg" TargetMode="External"/><Relationship Id="rId1237" Type="http://schemas.openxmlformats.org/officeDocument/2006/relationships/hyperlink" Target="https://twitter.com/kommoptimierer" TargetMode="External"/><Relationship Id="rId5858" Type="http://schemas.openxmlformats.org/officeDocument/2006/relationships/hyperlink" Target="https://twitter.com/FM_Elektro" TargetMode="External"/><Relationship Id="rId6909" Type="http://schemas.openxmlformats.org/officeDocument/2006/relationships/hyperlink" Target="https://pbs.twimg.com/profile_images/600279861282869249/IpIJ3MKX_normal.png" TargetMode="External"/><Relationship Id="rId7280" Type="http://schemas.openxmlformats.org/officeDocument/2006/relationships/hyperlink" Target="https://twitter.com/StepheRose/status/723390293748260864" TargetMode="External"/><Relationship Id="rId8331" Type="http://schemas.openxmlformats.org/officeDocument/2006/relationships/hyperlink" Target="https://twitter.com/INDIZbot" TargetMode="External"/><Relationship Id="rId10261" Type="http://schemas.openxmlformats.org/officeDocument/2006/relationships/hyperlink" Target="https://twitter.com/meganlilly24" TargetMode="External"/><Relationship Id="rId2492" Type="http://schemas.openxmlformats.org/officeDocument/2006/relationships/hyperlink" Target="https://twitter.com/MarianKoeller/status/722046070029750272" TargetMode="External"/><Relationship Id="rId3890" Type="http://schemas.openxmlformats.org/officeDocument/2006/relationships/hyperlink" Target="https://twitter.com/VDMAeu" TargetMode="External"/><Relationship Id="rId4941" Type="http://schemas.openxmlformats.org/officeDocument/2006/relationships/hyperlink" Target="https://twitter.com/SHC_GmbH" TargetMode="External"/><Relationship Id="rId464" Type="http://schemas.openxmlformats.org/officeDocument/2006/relationships/hyperlink" Target="http://personalpraxis24.de/" TargetMode="External"/><Relationship Id="rId1094" Type="http://schemas.openxmlformats.org/officeDocument/2006/relationships/hyperlink" Target="https://twitter.com/INDIZbot/status/720899752385253376" TargetMode="External"/><Relationship Id="rId2145" Type="http://schemas.openxmlformats.org/officeDocument/2006/relationships/hyperlink" Target="https://pbs.twimg.com/profile_images/648776467464212480/zcXaLLGc_normal.png" TargetMode="External"/><Relationship Id="rId3543" Type="http://schemas.openxmlformats.org/officeDocument/2006/relationships/hyperlink" Target="https://twitter.com/INDIZbot/status/722374470825062400" TargetMode="External"/><Relationship Id="rId117" Type="http://schemas.openxmlformats.org/officeDocument/2006/relationships/hyperlink" Target="https://pbs.twimg.com/profile_images/589066803281661952/W0Sy8HcF_normal.jpg" TargetMode="External"/><Relationship Id="rId6766" Type="http://schemas.openxmlformats.org/officeDocument/2006/relationships/hyperlink" Target="https://twitter.com/croXXing_IBD" TargetMode="External"/><Relationship Id="rId7817" Type="http://schemas.openxmlformats.org/officeDocument/2006/relationships/hyperlink" Target="https://twitter.com/markherten/status/723441064078499840" TargetMode="External"/><Relationship Id="rId5368" Type="http://schemas.openxmlformats.org/officeDocument/2006/relationships/hyperlink" Target="https://pbs.twimg.com/profile_images/600279861282869249/IpIJ3MKX_normal.png" TargetMode="External"/><Relationship Id="rId6419" Type="http://schemas.openxmlformats.org/officeDocument/2006/relationships/hyperlink" Target="https://twitter.com/Balluff" TargetMode="External"/><Relationship Id="rId9989" Type="http://schemas.openxmlformats.org/officeDocument/2006/relationships/hyperlink" Target="https://twitter.com/ckoptimal1/status/724294676283547649" TargetMode="External"/><Relationship Id="rId1978" Type="http://schemas.openxmlformats.org/officeDocument/2006/relationships/hyperlink" Target="https://twitter.com/CmartinCg/status/721688736233365504" TargetMode="External"/><Relationship Id="rId4451" Type="http://schemas.openxmlformats.org/officeDocument/2006/relationships/hyperlink" Target="https://twitter.com/TLutzky/status/722694721110478849" TargetMode="External"/><Relationship Id="rId5502" Type="http://schemas.openxmlformats.org/officeDocument/2006/relationships/hyperlink" Target="https://twitter.com/GTAI_com" TargetMode="External"/><Relationship Id="rId6900" Type="http://schemas.openxmlformats.org/officeDocument/2006/relationships/hyperlink" Target="https://pbs.twimg.com/profile_images/1398405138/wallpaper-85615_normal.jpg" TargetMode="External"/><Relationship Id="rId3053" Type="http://schemas.openxmlformats.org/officeDocument/2006/relationships/hyperlink" Target="https://pbs.twimg.com/profile_images/460701310560399360/FDd1Jyfx_normal.png" TargetMode="External"/><Relationship Id="rId4104" Type="http://schemas.openxmlformats.org/officeDocument/2006/relationships/hyperlink" Target="https://twitter.com/ProdMgrNet" TargetMode="External"/><Relationship Id="rId6276" Type="http://schemas.openxmlformats.org/officeDocument/2006/relationships/hyperlink" Target="https://twitter.com/SGE/status/723100519191994368" TargetMode="External"/><Relationship Id="rId7674" Type="http://schemas.openxmlformats.org/officeDocument/2006/relationships/hyperlink" Target="https://twitter.com/fabiendutheil71" TargetMode="External"/><Relationship Id="rId8725" Type="http://schemas.openxmlformats.org/officeDocument/2006/relationships/hyperlink" Target="https://twitter.com/mirko_ross" TargetMode="External"/><Relationship Id="rId7327" Type="http://schemas.openxmlformats.org/officeDocument/2006/relationships/hyperlink" Target="https://pbs.twimg.com/profile_images/490060130231132160/qLmnir1s_normal.jpeg" TargetMode="External"/><Relationship Id="rId10308" Type="http://schemas.openxmlformats.org/officeDocument/2006/relationships/hyperlink" Target="https://pbs.twimg.com/profile_images/491969100977954816/_r5shUkP_normal.png" TargetMode="External"/><Relationship Id="rId2886" Type="http://schemas.openxmlformats.org/officeDocument/2006/relationships/hyperlink" Target="https://twitter.com/mfritz_fhg/status/722148662172905475" TargetMode="External"/><Relationship Id="rId3937" Type="http://schemas.openxmlformats.org/officeDocument/2006/relationships/hyperlink" Target="https://pbs.twimg.com/profile_images/666745791382425600/ljM37bIr_normal.jpg" TargetMode="External"/><Relationship Id="rId9499" Type="http://schemas.openxmlformats.org/officeDocument/2006/relationships/hyperlink" Target="https://pbs.twimg.com/profile_images/704353771820859392/r_-n_rEz_normal.jpg" TargetMode="External"/><Relationship Id="rId858" Type="http://schemas.openxmlformats.org/officeDocument/2006/relationships/hyperlink" Target="https://twitter.com/marcusreif" TargetMode="External"/><Relationship Id="rId1488" Type="http://schemas.openxmlformats.org/officeDocument/2006/relationships/hyperlink" Target="https://pbs.twimg.com/profile_images/645716711723925506/t5G0qOS6_normal.jpg" TargetMode="External"/><Relationship Id="rId2539" Type="http://schemas.openxmlformats.org/officeDocument/2006/relationships/hyperlink" Target="https://twitter.com/pinetco/status/722056059423211520" TargetMode="External"/><Relationship Id="rId6410" Type="http://schemas.openxmlformats.org/officeDocument/2006/relationships/hyperlink" Target="https://twitter.com/IT_Connection" TargetMode="External"/><Relationship Id="rId9980" Type="http://schemas.openxmlformats.org/officeDocument/2006/relationships/hyperlink" Target="https://twitter.com/MarinerLLC/status/724291671131824130" TargetMode="External"/><Relationship Id="rId5012" Type="http://schemas.openxmlformats.org/officeDocument/2006/relationships/hyperlink" Target="https://twitter.com/miss_ypsilon/status/722748743867633665" TargetMode="External"/><Relationship Id="rId8582" Type="http://schemas.openxmlformats.org/officeDocument/2006/relationships/hyperlink" Target="https://twitter.com/PourLesPatrons/status/723757849285939200" TargetMode="External"/><Relationship Id="rId9633" Type="http://schemas.openxmlformats.org/officeDocument/2006/relationships/hyperlink" Target="https://twitter.com/Dominik_Ortlepp/status/724222894897770496" TargetMode="External"/><Relationship Id="rId7184" Type="http://schemas.openxmlformats.org/officeDocument/2006/relationships/hyperlink" Target="https://twitter.com/germanbirdy/status/723373243852161024" TargetMode="External"/><Relationship Id="rId8235" Type="http://schemas.openxmlformats.org/officeDocument/2006/relationships/hyperlink" Target="https://twitter.com/5min7" TargetMode="External"/><Relationship Id="rId1622" Type="http://schemas.openxmlformats.org/officeDocument/2006/relationships/hyperlink" Target="https://twitter.com/INDIZbot/status/721249556864897024" TargetMode="External"/><Relationship Id="rId10165" Type="http://schemas.openxmlformats.org/officeDocument/2006/relationships/hyperlink" Target="https://twitter.com/induux_de" TargetMode="External"/><Relationship Id="rId3794" Type="http://schemas.openxmlformats.org/officeDocument/2006/relationships/hyperlink" Target="https://twitter.com/INDIZbot" TargetMode="External"/><Relationship Id="rId4845" Type="http://schemas.openxmlformats.org/officeDocument/2006/relationships/hyperlink" Target="https://twitter.com/SusChem" TargetMode="External"/><Relationship Id="rId2396" Type="http://schemas.openxmlformats.org/officeDocument/2006/relationships/hyperlink" Target="https://twitter.com/birgit_buck/status/722010589212602369" TargetMode="External"/><Relationship Id="rId3447" Type="http://schemas.openxmlformats.org/officeDocument/2006/relationships/hyperlink" Target="https://twitter.com/vongerberg/status/722360325769666560" TargetMode="External"/><Relationship Id="rId368" Type="http://schemas.openxmlformats.org/officeDocument/2006/relationships/hyperlink" Target="https://twitter.com/verlinked/status/720567299871084544" TargetMode="External"/><Relationship Id="rId2049" Type="http://schemas.openxmlformats.org/officeDocument/2006/relationships/hyperlink" Target="https://twitter.com/INDIZbot" TargetMode="External"/><Relationship Id="rId9490" Type="http://schemas.openxmlformats.org/officeDocument/2006/relationships/hyperlink" Target="https://pbs.twimg.com/profile_images/561208179355185153/11KDu7Gt_normal.png" TargetMode="External"/><Relationship Id="rId2530" Type="http://schemas.openxmlformats.org/officeDocument/2006/relationships/hyperlink" Target="https://twitter.com/Konecranes_DE/status/722053318810431488" TargetMode="External"/><Relationship Id="rId8092" Type="http://schemas.openxmlformats.org/officeDocument/2006/relationships/hyperlink" Target="https://pbs.twimg.com/profile_images/666911961599315968/aP7ID_qm_normal.png" TargetMode="External"/><Relationship Id="rId9143" Type="http://schemas.openxmlformats.org/officeDocument/2006/relationships/hyperlink" Target="https://twitter.com/startupkanal" TargetMode="External"/><Relationship Id="rId502" Type="http://schemas.openxmlformats.org/officeDocument/2006/relationships/hyperlink" Target="https://pbs.twimg.com/profile_images/711460495795097600/GjVvY72S_normal.jpg" TargetMode="External"/><Relationship Id="rId1132" Type="http://schemas.openxmlformats.org/officeDocument/2006/relationships/hyperlink" Target="https://twitter.com/HilgerVoss" TargetMode="External"/><Relationship Id="rId4355" Type="http://schemas.openxmlformats.org/officeDocument/2006/relationships/hyperlink" Target="https://pbs.twimg.com/profile_images/548030384030507008/utABqhj9_normal.png" TargetMode="External"/><Relationship Id="rId5753" Type="http://schemas.openxmlformats.org/officeDocument/2006/relationships/hyperlink" Target="https://pbs.twimg.com/profile_images/722098538604281856/CcBxk1_M_normal.jpg" TargetMode="External"/><Relationship Id="rId6804" Type="http://schemas.openxmlformats.org/officeDocument/2006/relationships/hyperlink" Target="https://pbs.twimg.com/profile_images/600969802908356609/3JqGMg38_normal.png" TargetMode="External"/><Relationship Id="rId4008" Type="http://schemas.openxmlformats.org/officeDocument/2006/relationships/hyperlink" Target="https://twitter.com/Rhenatic/status/722470451797168128" TargetMode="External"/><Relationship Id="rId5406" Type="http://schemas.openxmlformats.org/officeDocument/2006/relationships/hyperlink" Target="https://twitter.com/BoschPresse/status/722798287091318784" TargetMode="External"/><Relationship Id="rId8976" Type="http://schemas.openxmlformats.org/officeDocument/2006/relationships/hyperlink" Target="https://pbs.twimg.com/profile_images/645716711723925506/t5G0qOS6_normal.jpg" TargetMode="External"/><Relationship Id="rId7578" Type="http://schemas.openxmlformats.org/officeDocument/2006/relationships/hyperlink" Target="https://twitter.com/BakerMcGER" TargetMode="External"/><Relationship Id="rId8629" Type="http://schemas.openxmlformats.org/officeDocument/2006/relationships/hyperlink" Target="https://twitter.com/ITOrakel" TargetMode="External"/><Relationship Id="rId2040" Type="http://schemas.openxmlformats.org/officeDocument/2006/relationships/hyperlink" Target="https://twitter.com/INDIZbot" TargetMode="External"/><Relationship Id="rId6661" Type="http://schemas.openxmlformats.org/officeDocument/2006/relationships/hyperlink" Target="https://twitter.com/KPMG_DE" TargetMode="External"/><Relationship Id="rId7712" Type="http://schemas.openxmlformats.org/officeDocument/2006/relationships/hyperlink" Target="https://pbs.twimg.com/profile_images/593011135428882432/BGMPkrwp_normal.jpg" TargetMode="External"/><Relationship Id="rId5263" Type="http://schemas.openxmlformats.org/officeDocument/2006/relationships/hyperlink" Target="https://twitter.com/stefanklix" TargetMode="External"/><Relationship Id="rId6314" Type="http://schemas.openxmlformats.org/officeDocument/2006/relationships/hyperlink" Target="https://pbs.twimg.com/profile_images/662723326096224256/5V4KH9_O_normal.jpg" TargetMode="External"/><Relationship Id="rId8486" Type="http://schemas.openxmlformats.org/officeDocument/2006/relationships/hyperlink" Target="https://twitter.com/GregRodehueser/status/723599822498988038" TargetMode="External"/><Relationship Id="rId9884" Type="http://schemas.openxmlformats.org/officeDocument/2006/relationships/hyperlink" Target="https://twitter.com/INDIZbot/status/724274870775898112" TargetMode="External"/><Relationship Id="rId98" Type="http://schemas.openxmlformats.org/officeDocument/2006/relationships/hyperlink" Target="https://twitter.com/VDI_News/status/720511921443708929" TargetMode="External"/><Relationship Id="rId1873" Type="http://schemas.openxmlformats.org/officeDocument/2006/relationships/hyperlink" Target="https://pbs.twimg.com/profile_images/507399803509026816/KdF-WSKm_normal.jpeg" TargetMode="External"/><Relationship Id="rId2924" Type="http://schemas.openxmlformats.org/officeDocument/2006/relationships/hyperlink" Target="https://twitter.com/INDIZbot" TargetMode="External"/><Relationship Id="rId7088" Type="http://schemas.openxmlformats.org/officeDocument/2006/relationships/hyperlink" Target="https://twitter.com/frankcausa/status/723253698546270208" TargetMode="External"/><Relationship Id="rId8139" Type="http://schemas.openxmlformats.org/officeDocument/2006/relationships/hyperlink" Target="https://twitter.com/CapgeminiDE/status/723499367160754176" TargetMode="External"/><Relationship Id="rId9537" Type="http://schemas.openxmlformats.org/officeDocument/2006/relationships/hyperlink" Target="https://twitter.com/BoschGlobal/status/724195442288775168" TargetMode="External"/><Relationship Id="rId1526" Type="http://schemas.openxmlformats.org/officeDocument/2006/relationships/hyperlink" Target="https://twitter.com/kommoptimierer/status/721058012962664448" TargetMode="External"/><Relationship Id="rId10069" Type="http://schemas.openxmlformats.org/officeDocument/2006/relationships/hyperlink" Target="https://twitter.com/aaronbrickman" TargetMode="External"/><Relationship Id="rId3698" Type="http://schemas.openxmlformats.org/officeDocument/2006/relationships/hyperlink" Target="https://twitter.com/Databanque" TargetMode="External"/><Relationship Id="rId4749" Type="http://schemas.openxmlformats.org/officeDocument/2006/relationships/hyperlink" Target="https://twitter.com/INDIZbot" TargetMode="External"/><Relationship Id="rId8620" Type="http://schemas.openxmlformats.org/officeDocument/2006/relationships/hyperlink" Target="https://twitter.com/INDIZbot" TargetMode="External"/><Relationship Id="rId6171" Type="http://schemas.openxmlformats.org/officeDocument/2006/relationships/hyperlink" Target="https://twitter.com/CapgeminiDE" TargetMode="External"/><Relationship Id="rId7222" Type="http://schemas.openxmlformats.org/officeDocument/2006/relationships/hyperlink" Target="https://twitter.com/BIGJTHEO" TargetMode="External"/><Relationship Id="rId10203" Type="http://schemas.openxmlformats.org/officeDocument/2006/relationships/hyperlink" Target="https://pbs.twimg.com/profile_images/690957065490161664/Nat2upS4_normal.jpg" TargetMode="External"/><Relationship Id="rId2781" Type="http://schemas.openxmlformats.org/officeDocument/2006/relationships/hyperlink" Target="https://twitter.com/INDIZbot" TargetMode="External"/><Relationship Id="rId9394" Type="http://schemas.openxmlformats.org/officeDocument/2006/relationships/hyperlink" Target="https://pbs.twimg.com/profile_images/616793252524650496/bQbxJqmz_normal.jpg" TargetMode="External"/><Relationship Id="rId753" Type="http://schemas.openxmlformats.org/officeDocument/2006/relationships/hyperlink" Target="https://twitter.com/ke13ds/status/720699296874643459" TargetMode="External"/><Relationship Id="rId1383" Type="http://schemas.openxmlformats.org/officeDocument/2006/relationships/hyperlink" Target="https://twitter.com/SaREUSS/status/720984116796198913" TargetMode="External"/><Relationship Id="rId2434" Type="http://schemas.openxmlformats.org/officeDocument/2006/relationships/hyperlink" Target="https://twitter.com/gpodagrosi" TargetMode="External"/><Relationship Id="rId3832" Type="http://schemas.openxmlformats.org/officeDocument/2006/relationships/hyperlink" Target="https://pbs.twimg.com/profile_images/601388857477754880/Vqs2MuAc_normal.jpg" TargetMode="External"/><Relationship Id="rId9047" Type="http://schemas.openxmlformats.org/officeDocument/2006/relationships/hyperlink" Target="https://twitter.com/RaykJakobi" TargetMode="External"/><Relationship Id="rId406" Type="http://schemas.openxmlformats.org/officeDocument/2006/relationships/hyperlink" Target="https://twitter.com/LoidlRudolf" TargetMode="External"/><Relationship Id="rId1036" Type="http://schemas.openxmlformats.org/officeDocument/2006/relationships/hyperlink" Target="https://twitter.com/josefbrunner" TargetMode="External"/><Relationship Id="rId5657" Type="http://schemas.openxmlformats.org/officeDocument/2006/relationships/hyperlink" Target="https://pbs.twimg.com/profile_images/594934750122536960/nG4kmfDF_normal.jpg" TargetMode="External"/><Relationship Id="rId6708" Type="http://schemas.openxmlformats.org/officeDocument/2006/relationships/hyperlink" Target="https://pbs.twimg.com/profile_images/615223235827900416/r0xU5jIu_normal.jpg" TargetMode="External"/><Relationship Id="rId4259" Type="http://schemas.openxmlformats.org/officeDocument/2006/relationships/hyperlink" Target="https://pbs.twimg.com/profile_images/1186482171/DSC_0008_edited_1_normal.jpg" TargetMode="External"/><Relationship Id="rId8130" Type="http://schemas.openxmlformats.org/officeDocument/2006/relationships/hyperlink" Target="https://twitter.com/dutchhts/status/723499125048762368" TargetMode="External"/><Relationship Id="rId10060" Type="http://schemas.openxmlformats.org/officeDocument/2006/relationships/hyperlink" Target="https://twitter.com/BeierMichael71" TargetMode="External"/><Relationship Id="rId4740" Type="http://schemas.openxmlformats.org/officeDocument/2006/relationships/hyperlink" Target="https://twitter.com/Industrie_40" TargetMode="External"/><Relationship Id="rId2291" Type="http://schemas.openxmlformats.org/officeDocument/2006/relationships/hyperlink" Target="https://pbs.twimg.com/profile_images/718175389890310145/GX8DLe_h_normal.jpg" TargetMode="External"/><Relationship Id="rId3342" Type="http://schemas.openxmlformats.org/officeDocument/2006/relationships/hyperlink" Target="https://pbs.twimg.com/profile_images/509252372774653952/cl1TCi-g_normal.png" TargetMode="External"/><Relationship Id="rId263" Type="http://schemas.openxmlformats.org/officeDocument/2006/relationships/hyperlink" Target="https://twitter.com/INDIZbot/status/720537724407648256" TargetMode="External"/><Relationship Id="rId6565" Type="http://schemas.openxmlformats.org/officeDocument/2006/relationships/hyperlink" Target="https://pbs.twimg.com/profile_images/674892441372200960/rSgFiuHu_normal.jpg" TargetMode="External"/><Relationship Id="rId7963" Type="http://schemas.openxmlformats.org/officeDocument/2006/relationships/hyperlink" Target="https://pbs.twimg.com/profile_images/565965732568371202/h0MKjbWA_normal.jpeg" TargetMode="External"/><Relationship Id="rId5167" Type="http://schemas.openxmlformats.org/officeDocument/2006/relationships/hyperlink" Target="https://twitter.com/PS_I_T" TargetMode="External"/><Relationship Id="rId6218" Type="http://schemas.openxmlformats.org/officeDocument/2006/relationships/hyperlink" Target="https://twitter.com/gp_und_services/status/723088381626974208" TargetMode="External"/><Relationship Id="rId7616" Type="http://schemas.openxmlformats.org/officeDocument/2006/relationships/hyperlink" Target="https://pbs.twimg.com/profile_images/619614759370014720/AS__iYuZ_normal.jpg" TargetMode="External"/><Relationship Id="rId9788" Type="http://schemas.openxmlformats.org/officeDocument/2006/relationships/hyperlink" Target="https://twitter.com/catkinEU/status/724256094411980800" TargetMode="External"/><Relationship Id="rId1777" Type="http://schemas.openxmlformats.org/officeDocument/2006/relationships/hyperlink" Target="https://twitter.com/QuickFindsIn" TargetMode="External"/><Relationship Id="rId2828" Type="http://schemas.openxmlformats.org/officeDocument/2006/relationships/hyperlink" Target="https://pbs.twimg.com/profile_images/623849156159868928/BetFDR_i_normal.jpg" TargetMode="External"/><Relationship Id="rId4250" Type="http://schemas.openxmlformats.org/officeDocument/2006/relationships/hyperlink" Target="https://pbs.twimg.com/profile_images/645716711723925506/t5G0qOS6_normal.jpg" TargetMode="External"/><Relationship Id="rId5301" Type="http://schemas.openxmlformats.org/officeDocument/2006/relationships/hyperlink" Target="https://abs.twimg.com/sticky/default_profile_images/default_profile_2_normal.png" TargetMode="External"/><Relationship Id="rId8871" Type="http://schemas.openxmlformats.org/officeDocument/2006/relationships/hyperlink" Target="https://pbs.twimg.com/profile_images/645716711723925506/t5G0qOS6_normal.jpg" TargetMode="External"/><Relationship Id="rId9922" Type="http://schemas.openxmlformats.org/officeDocument/2006/relationships/hyperlink" Target="https://twitter.com/gpodagrosi" TargetMode="External"/><Relationship Id="rId7473" Type="http://schemas.openxmlformats.org/officeDocument/2006/relationships/hyperlink" Target="https://twitter.com/QuickFindsIn" TargetMode="External"/><Relationship Id="rId8524" Type="http://schemas.openxmlformats.org/officeDocument/2006/relationships/hyperlink" Target="https://twitter.com/Googleulv" TargetMode="External"/><Relationship Id="rId1911" Type="http://schemas.openxmlformats.org/officeDocument/2006/relationships/hyperlink" Target="https://twitter.com/_leangame/status/721626245293817856" TargetMode="External"/><Relationship Id="rId6075" Type="http://schemas.openxmlformats.org/officeDocument/2006/relationships/hyperlink" Target="https://twitter.com/b2b_nachrichten/status/723074024503287809" TargetMode="External"/><Relationship Id="rId7126" Type="http://schemas.openxmlformats.org/officeDocument/2006/relationships/hyperlink" Target="https://twitter.com/INDIZbot" TargetMode="External"/><Relationship Id="rId9298" Type="http://schemas.openxmlformats.org/officeDocument/2006/relationships/hyperlink" Target="https://pbs.twimg.com/profile_images/645716711723925506/t5G0qOS6_normal.jpg" TargetMode="External"/><Relationship Id="rId10107" Type="http://schemas.openxmlformats.org/officeDocument/2006/relationships/hyperlink" Target="https://pbs.twimg.com/profile_images/645716711723925506/t5G0qOS6_normal.jpg" TargetMode="External"/><Relationship Id="rId1287" Type="http://schemas.openxmlformats.org/officeDocument/2006/relationships/hyperlink" Target="https://pbs.twimg.com/profile_images/666911961599315968/aP7ID_qm_normal.png" TargetMode="External"/><Relationship Id="rId2685" Type="http://schemas.openxmlformats.org/officeDocument/2006/relationships/hyperlink" Target="https://twitter.com/INDIZbot" TargetMode="External"/><Relationship Id="rId3736" Type="http://schemas.openxmlformats.org/officeDocument/2006/relationships/hyperlink" Target="https://pbs.twimg.com/profile_images/645716711723925506/t5G0qOS6_normal.jpg" TargetMode="External"/><Relationship Id="rId657" Type="http://schemas.openxmlformats.org/officeDocument/2006/relationships/hyperlink" Target="https://twitter.com/maurelita/status/720654647762018304" TargetMode="External"/><Relationship Id="rId2338" Type="http://schemas.openxmlformats.org/officeDocument/2006/relationships/hyperlink" Target="https://twitter.com/WibuSystems" TargetMode="External"/><Relationship Id="rId6959" Type="http://schemas.openxmlformats.org/officeDocument/2006/relationships/hyperlink" Target="https://twitter.com/H_IT_D/status/723208158546554881" TargetMode="External"/><Relationship Id="rId8381" Type="http://schemas.openxmlformats.org/officeDocument/2006/relationships/hyperlink" Target="https://pbs.twimg.com/profile_images/548030384030507008/utABqhj9_normal.png" TargetMode="External"/><Relationship Id="rId9432" Type="http://schemas.openxmlformats.org/officeDocument/2006/relationships/hyperlink" Target="https://twitter.com/kommunikationsm/status/724174249259356160" TargetMode="External"/><Relationship Id="rId1421" Type="http://schemas.openxmlformats.org/officeDocument/2006/relationships/hyperlink" Target="https://twitter.com/JuVid" TargetMode="External"/><Relationship Id="rId4991" Type="http://schemas.openxmlformats.org/officeDocument/2006/relationships/hyperlink" Target="https://twitter.com/INDIZbot/status/722747173956411394" TargetMode="External"/><Relationship Id="rId8034" Type="http://schemas.openxmlformats.org/officeDocument/2006/relationships/hyperlink" Target="https://twitter.com/psorowka/status/723484242076917760" TargetMode="External"/><Relationship Id="rId3593" Type="http://schemas.openxmlformats.org/officeDocument/2006/relationships/hyperlink" Target="https://twitter.com/kommoptimierer" TargetMode="External"/><Relationship Id="rId4644" Type="http://schemas.openxmlformats.org/officeDocument/2006/relationships/hyperlink" Target="https://twitter.com/DKEAktuell" TargetMode="External"/><Relationship Id="rId2195" Type="http://schemas.openxmlformats.org/officeDocument/2006/relationships/hyperlink" Target="https://twitter.com/Balluff/status/721957919256887297" TargetMode="External"/><Relationship Id="rId3246" Type="http://schemas.openxmlformats.org/officeDocument/2006/relationships/hyperlink" Target="https://pbs.twimg.com/profile_images/649572788148285440/Sxl5vTa3_normal.jpg" TargetMode="External"/><Relationship Id="rId167" Type="http://schemas.openxmlformats.org/officeDocument/2006/relationships/hyperlink" Target="https://twitter.com/CDechoux/status/720521841048219648" TargetMode="External"/><Relationship Id="rId7867" Type="http://schemas.openxmlformats.org/officeDocument/2006/relationships/hyperlink" Target="https://twitter.com/automotive_IT" TargetMode="External"/><Relationship Id="rId8918" Type="http://schemas.openxmlformats.org/officeDocument/2006/relationships/hyperlink" Target="https://twitter.com/laurie_cyril/status/723864044373966848" TargetMode="External"/><Relationship Id="rId6469" Type="http://schemas.openxmlformats.org/officeDocument/2006/relationships/hyperlink" Target="https://pbs.twimg.com/profile_images/587953511213727744/fs0LF99T_normal.jpg" TargetMode="External"/><Relationship Id="rId6950" Type="http://schemas.openxmlformats.org/officeDocument/2006/relationships/hyperlink" Target="https://twitter.com/bamitav/status/723202842954059782" TargetMode="External"/><Relationship Id="rId301" Type="http://schemas.openxmlformats.org/officeDocument/2006/relationships/hyperlink" Target="https://twitter.com/INDIZbot" TargetMode="External"/><Relationship Id="rId5552" Type="http://schemas.openxmlformats.org/officeDocument/2006/relationships/hyperlink" Target="https://pbs.twimg.com/profile_images/699724829713428484/rUT0r7Dq_normal.jpg" TargetMode="External"/><Relationship Id="rId6603" Type="http://schemas.openxmlformats.org/officeDocument/2006/relationships/hyperlink" Target="https://twitter.com/FHNWTechnik" TargetMode="External"/><Relationship Id="rId4154" Type="http://schemas.openxmlformats.org/officeDocument/2006/relationships/hyperlink" Target="https://pbs.twimg.com/profile_images/623849156159868928/BetFDR_i_normal.jpg" TargetMode="External"/><Relationship Id="rId5205" Type="http://schemas.openxmlformats.org/officeDocument/2006/relationships/hyperlink" Target="https://twitter.com/JETZT_PRde" TargetMode="External"/><Relationship Id="rId8775" Type="http://schemas.openxmlformats.org/officeDocument/2006/relationships/hyperlink" Target="https://pbs.twimg.com/profile_images/645716711723925506/t5G0qOS6_normal.jpg" TargetMode="External"/><Relationship Id="rId7377" Type="http://schemas.openxmlformats.org/officeDocument/2006/relationships/hyperlink" Target="https://twitter.com/INDIZbot/status/723404018467246081" TargetMode="External"/><Relationship Id="rId8428" Type="http://schemas.openxmlformats.org/officeDocument/2006/relationships/hyperlink" Target="https://twitter.com/RealJoeGuy" TargetMode="External"/><Relationship Id="rId9826" Type="http://schemas.openxmlformats.org/officeDocument/2006/relationships/hyperlink" Target="https://twitter.com/RethinkRobotics" TargetMode="External"/><Relationship Id="rId1815" Type="http://schemas.openxmlformats.org/officeDocument/2006/relationships/hyperlink" Target="https://pbs.twimg.com/profile_images/541146126158536704/IYardufS_normal.jpeg" TargetMode="External"/><Relationship Id="rId3987" Type="http://schemas.openxmlformats.org/officeDocument/2006/relationships/hyperlink" Target="https://twitter.com/Rhenatic/status/722466103159603200" TargetMode="External"/><Relationship Id="rId2589" Type="http://schemas.openxmlformats.org/officeDocument/2006/relationships/hyperlink" Target="https://pbs.twimg.com/profile_images/2619086509/ld3z97zhhdbs2essw7s9_normal.jpeg" TargetMode="External"/><Relationship Id="rId6460" Type="http://schemas.openxmlformats.org/officeDocument/2006/relationships/hyperlink" Target="https://pbs.twimg.com/profile_images/568671099278606336/tELKp5D5_normal.jpeg" TargetMode="External"/><Relationship Id="rId7511" Type="http://schemas.openxmlformats.org/officeDocument/2006/relationships/hyperlink" Target="https://pbs.twimg.com/profile_images/2576400690/xmq1oe43pen0xmb3trm9_normal.jpeg" TargetMode="External"/><Relationship Id="rId5062" Type="http://schemas.openxmlformats.org/officeDocument/2006/relationships/hyperlink" Target="https://twitter.com/HolgerPaul66" TargetMode="External"/><Relationship Id="rId6113" Type="http://schemas.openxmlformats.org/officeDocument/2006/relationships/hyperlink" Target="https://pbs.twimg.com/profile_images/3078390929/8847ca0ee77a15179992b5695c5c4905_normal.png" TargetMode="External"/><Relationship Id="rId9683" Type="http://schemas.openxmlformats.org/officeDocument/2006/relationships/hyperlink" Target="https://twitter.com/neerajdeuskar79" TargetMode="External"/><Relationship Id="rId1672" Type="http://schemas.openxmlformats.org/officeDocument/2006/relationships/hyperlink" Target="https://twitter.com/Eloy_Herrero" TargetMode="External"/><Relationship Id="rId2723" Type="http://schemas.openxmlformats.org/officeDocument/2006/relationships/hyperlink" Target="https://pbs.twimg.com/profile_images/378800000827898552/669f90369b095789252ae6f0649bc39a_normal.png" TargetMode="External"/><Relationship Id="rId8285" Type="http://schemas.openxmlformats.org/officeDocument/2006/relationships/hyperlink" Target="https://pbs.twimg.com/profile_images/601673968551075840/MnulnKkj_normal.png" TargetMode="External"/><Relationship Id="rId9336" Type="http://schemas.openxmlformats.org/officeDocument/2006/relationships/hyperlink" Target="https://twitter.com/konsultwerk/status/724146095929065472" TargetMode="External"/><Relationship Id="rId1325" Type="http://schemas.openxmlformats.org/officeDocument/2006/relationships/hyperlink" Target="https://twitter.com/verlinked/status/720959911790706688" TargetMode="External"/><Relationship Id="rId3497" Type="http://schemas.openxmlformats.org/officeDocument/2006/relationships/hyperlink" Target="https://twitter.com/MartinaWernerEU" TargetMode="External"/><Relationship Id="rId4895" Type="http://schemas.openxmlformats.org/officeDocument/2006/relationships/hyperlink" Target="https://pbs.twimg.com/profile_images/631516878830178304/X8gApwdt_normal.jpg" TargetMode="External"/><Relationship Id="rId5946" Type="http://schemas.openxmlformats.org/officeDocument/2006/relationships/hyperlink" Target="https://twitter.com/HTxAlive/status/723065014672863232" TargetMode="External"/><Relationship Id="rId31" Type="http://schemas.openxmlformats.org/officeDocument/2006/relationships/hyperlink" Target="https://twitter.com/JuhaJalone" TargetMode="External"/><Relationship Id="rId2099" Type="http://schemas.openxmlformats.org/officeDocument/2006/relationships/hyperlink" Target="https://pbs.twimg.com/profile_images/541146126158536704/IYardufS_normal.jpeg" TargetMode="External"/><Relationship Id="rId4548" Type="http://schemas.openxmlformats.org/officeDocument/2006/relationships/hyperlink" Target="https://twitter.com/INDIZbot" TargetMode="External"/><Relationship Id="rId7021" Type="http://schemas.openxmlformats.org/officeDocument/2006/relationships/hyperlink" Target="https://twitter.com/SiePing" TargetMode="External"/><Relationship Id="rId10002" Type="http://schemas.openxmlformats.org/officeDocument/2006/relationships/hyperlink" Target="https://pbs.twimg.com/profile_images/688093545148723201/hCPglEEy_normal.jpg" TargetMode="External"/><Relationship Id="rId2580" Type="http://schemas.openxmlformats.org/officeDocument/2006/relationships/hyperlink" Target="https://pbs.twimg.com/profile_images/645716711723925506/t5G0qOS6_normal.jpg" TargetMode="External"/><Relationship Id="rId3631" Type="http://schemas.openxmlformats.org/officeDocument/2006/relationships/hyperlink" Target="https://pbs.twimg.com/profile_images/3542998130/5e65449daa56d18e9aab7f6535dc25fc_normal.jpeg" TargetMode="External"/><Relationship Id="rId9193" Type="http://schemas.openxmlformats.org/officeDocument/2006/relationships/hyperlink" Target="https://pbs.twimg.com/profile_images/3427840995/be9743841a82fcc743ed45c59638edb6_normal.png" TargetMode="External"/><Relationship Id="rId552" Type="http://schemas.openxmlformats.org/officeDocument/2006/relationships/hyperlink" Target="https://twitter.com/Global_Fairs/status/720617933563670528" TargetMode="External"/><Relationship Id="rId1182" Type="http://schemas.openxmlformats.org/officeDocument/2006/relationships/hyperlink" Target="https://pbs.twimg.com/profile_images/716373972904968192/6q0-4b_8_normal.jpg" TargetMode="External"/><Relationship Id="rId2233" Type="http://schemas.openxmlformats.org/officeDocument/2006/relationships/hyperlink" Target="https://twitter.com/NicolasChulot" TargetMode="External"/><Relationship Id="rId6854" Type="http://schemas.openxmlformats.org/officeDocument/2006/relationships/hyperlink" Target="https://twitter.com/Bitkom/status/723179564919336960" TargetMode="External"/><Relationship Id="rId205" Type="http://schemas.openxmlformats.org/officeDocument/2006/relationships/hyperlink" Target="https://twitter.com/R3Coms" TargetMode="External"/><Relationship Id="rId5456" Type="http://schemas.openxmlformats.org/officeDocument/2006/relationships/hyperlink" Target="https://pbs.twimg.com/profile_images/698777247940005888/aZXu9Jf5_normal.jpg" TargetMode="External"/><Relationship Id="rId6507" Type="http://schemas.openxmlformats.org/officeDocument/2006/relationships/hyperlink" Target="https://twitter.com/rene_ziegler/status/723133944586199040" TargetMode="External"/><Relationship Id="rId7905" Type="http://schemas.openxmlformats.org/officeDocument/2006/relationships/hyperlink" Target="https://pbs.twimg.com/profile_images/645716711723925506/t5G0qOS6_normal.jpg" TargetMode="External"/><Relationship Id="rId4058" Type="http://schemas.openxmlformats.org/officeDocument/2006/relationships/hyperlink" Target="https://twitter.com/SAPFrance" TargetMode="External"/><Relationship Id="rId5109" Type="http://schemas.openxmlformats.org/officeDocument/2006/relationships/hyperlink" Target="https://pbs.twimg.com/profile_images/672343322632024064/4z8q3pp4_normal.jpg" TargetMode="External"/><Relationship Id="rId8679" Type="http://schemas.openxmlformats.org/officeDocument/2006/relationships/hyperlink" Target="https://pbs.twimg.com/profile_images/645716711723925506/t5G0qOS6_normal.jpg" TargetMode="External"/><Relationship Id="rId1719" Type="http://schemas.openxmlformats.org/officeDocument/2006/relationships/hyperlink" Target="https://pbs.twimg.com/profile_images/593417639764041729/w8rJJRQd_normal.jpg" TargetMode="External"/><Relationship Id="rId2090" Type="http://schemas.openxmlformats.org/officeDocument/2006/relationships/hyperlink" Target="https://pbs.twimg.com/profile_images/591951396217327616/HbcCX2zX_normal.png" TargetMode="External"/><Relationship Id="rId3141" Type="http://schemas.openxmlformats.org/officeDocument/2006/relationships/hyperlink" Target="https://twitter.com/LReehten" TargetMode="External"/><Relationship Id="rId7762" Type="http://schemas.openxmlformats.org/officeDocument/2006/relationships/hyperlink" Target="https://twitter.com/Apandia/status/723431070826295297" TargetMode="External"/><Relationship Id="rId8813" Type="http://schemas.openxmlformats.org/officeDocument/2006/relationships/hyperlink" Target="https://twitter.com/YasharAzad/status/723821135138312192" TargetMode="External"/><Relationship Id="rId6364" Type="http://schemas.openxmlformats.org/officeDocument/2006/relationships/hyperlink" Target="https://pbs.twimg.com/profile_images/719538951988592641/7lKnB2dG_normal.jpg" TargetMode="External"/><Relationship Id="rId7415" Type="http://schemas.openxmlformats.org/officeDocument/2006/relationships/hyperlink" Target="https://twitter.com/innovationbawue/status/723405484007428101" TargetMode="External"/><Relationship Id="rId6017" Type="http://schemas.openxmlformats.org/officeDocument/2006/relationships/hyperlink" Target="https://twitter.com/ZuliefermarktDE" TargetMode="External"/><Relationship Id="rId9587" Type="http://schemas.openxmlformats.org/officeDocument/2006/relationships/hyperlink" Target="https://twitter.com/hannover_messe" TargetMode="External"/><Relationship Id="rId1576" Type="http://schemas.openxmlformats.org/officeDocument/2006/relationships/hyperlink" Target="https://twitter.com/dsloly" TargetMode="External"/><Relationship Id="rId2974" Type="http://schemas.openxmlformats.org/officeDocument/2006/relationships/hyperlink" Target="https://pbs.twimg.com/profile_images/616793252524650496/bQbxJqmz_normal.jpg" TargetMode="External"/><Relationship Id="rId8189" Type="http://schemas.openxmlformats.org/officeDocument/2006/relationships/hyperlink" Target="https://pbs.twimg.com/profile_images/708593414833623041/je9d1EJc_normal.jpg" TargetMode="External"/><Relationship Id="rId946" Type="http://schemas.openxmlformats.org/officeDocument/2006/relationships/hyperlink" Target="https://twitter.com/digimaweb/status/720872353354227712" TargetMode="External"/><Relationship Id="rId1229" Type="http://schemas.openxmlformats.org/officeDocument/2006/relationships/hyperlink" Target="https://twitter.com/BeierMichael71/status/720929432685453312" TargetMode="External"/><Relationship Id="rId2627" Type="http://schemas.openxmlformats.org/officeDocument/2006/relationships/hyperlink" Target="https://twitter.com/MarianKoeller" TargetMode="External"/><Relationship Id="rId5100" Type="http://schemas.openxmlformats.org/officeDocument/2006/relationships/hyperlink" Target="https://pbs.twimg.com/profile_images/521370977452953600/VBj1GUOy_normal.jpeg" TargetMode="External"/><Relationship Id="rId4799" Type="http://schemas.openxmlformats.org/officeDocument/2006/relationships/hyperlink" Target="https://pbs.twimg.com/profile_images/645716711723925506/t5G0qOS6_normal.jpg" TargetMode="External"/><Relationship Id="rId8670" Type="http://schemas.openxmlformats.org/officeDocument/2006/relationships/hyperlink" Target="https://pbs.twimg.com/profile_images/588663919/IMGP2781_normal.JPG" TargetMode="External"/><Relationship Id="rId9721" Type="http://schemas.openxmlformats.org/officeDocument/2006/relationships/hyperlink" Target="https://pbs.twimg.com/profile_images/486066079261655040/uyhY_MQH_normal.jpeg" TargetMode="External"/><Relationship Id="rId1710" Type="http://schemas.openxmlformats.org/officeDocument/2006/relationships/hyperlink" Target="https://pbs.twimg.com/profile_images/704719602014679040/mJ2zg355_normal.jpg" TargetMode="External"/><Relationship Id="rId7272" Type="http://schemas.openxmlformats.org/officeDocument/2006/relationships/hyperlink" Target="https://pbs.twimg.com/profile_images/519343309299281920/VUG5uXUt_normal.jpeg" TargetMode="External"/><Relationship Id="rId8323" Type="http://schemas.openxmlformats.org/officeDocument/2006/relationships/hyperlink" Target="https://twitter.com/catkinEU/status/723535223024160768" TargetMode="External"/><Relationship Id="rId10253" Type="http://schemas.openxmlformats.org/officeDocument/2006/relationships/hyperlink" Target="https://twitter.com/JeffRConnolly/status/724400498531422208" TargetMode="External"/><Relationship Id="rId3882" Type="http://schemas.openxmlformats.org/officeDocument/2006/relationships/hyperlink" Target="https://twitter.com/noemiebond/status/722449924256714752" TargetMode="External"/><Relationship Id="rId4933" Type="http://schemas.openxmlformats.org/officeDocument/2006/relationships/hyperlink" Target="https://twitter.com/Bitkom_I40/status/722740184228503552" TargetMode="External"/><Relationship Id="rId2484" Type="http://schemas.openxmlformats.org/officeDocument/2006/relationships/hyperlink" Target="https://pbs.twimg.com/profile_images/2619086509/ld3z97zhhdbs2essw7s9_normal.jpeg" TargetMode="External"/><Relationship Id="rId3535" Type="http://schemas.openxmlformats.org/officeDocument/2006/relationships/hyperlink" Target="https://pbs.twimg.com/profile_images/2910345239/3c104181fc21899f14dedf1eb3bb637a_normal.jpeg" TargetMode="External"/><Relationship Id="rId9097" Type="http://schemas.openxmlformats.org/officeDocument/2006/relationships/hyperlink" Target="https://pbs.twimg.com/profile_images/601673968551075840/MnulnKkj_normal.png" TargetMode="External"/><Relationship Id="rId456" Type="http://schemas.openxmlformats.org/officeDocument/2006/relationships/hyperlink" Target="https://pbs.twimg.com/profile_images/592208932988264449/bM2abhue_normal.png" TargetMode="External"/><Relationship Id="rId1086" Type="http://schemas.openxmlformats.org/officeDocument/2006/relationships/hyperlink" Target="https://pbs.twimg.com/profile_images/722385992343285760/ww8YLZ2q_normal.jpg" TargetMode="External"/><Relationship Id="rId2137" Type="http://schemas.openxmlformats.org/officeDocument/2006/relationships/hyperlink" Target="https://twitter.com/INDIZbot" TargetMode="External"/><Relationship Id="rId109" Type="http://schemas.openxmlformats.org/officeDocument/2006/relationships/hyperlink" Target="https://twitter.com/KPMG_DE" TargetMode="External"/><Relationship Id="rId6758" Type="http://schemas.openxmlformats.org/officeDocument/2006/relationships/hyperlink" Target="https://twitter.com/Infosys/status/723168224712515584" TargetMode="External"/><Relationship Id="rId7809" Type="http://schemas.openxmlformats.org/officeDocument/2006/relationships/hyperlink" Target="https://pbs.twimg.com/profile_images/509252372774653952/cl1TCi-g_normal.png" TargetMode="External"/><Relationship Id="rId8180" Type="http://schemas.openxmlformats.org/officeDocument/2006/relationships/hyperlink" Target="https://twitter.com/TijenOnaran" TargetMode="External"/><Relationship Id="rId9231" Type="http://schemas.openxmlformats.org/officeDocument/2006/relationships/hyperlink" Target="https://twitter.com/MarinerLLC/status/724027595403202560" TargetMode="External"/><Relationship Id="rId1220" Type="http://schemas.openxmlformats.org/officeDocument/2006/relationships/hyperlink" Target="https://twitter.com/Endress_Hauser/status/720926817889230848" TargetMode="External"/><Relationship Id="rId4790" Type="http://schemas.openxmlformats.org/officeDocument/2006/relationships/hyperlink" Target="https://pbs.twimg.com/profile_images/667689986276392960/lHQvEvuO_normal.jpg" TargetMode="External"/><Relationship Id="rId5841" Type="http://schemas.openxmlformats.org/officeDocument/2006/relationships/hyperlink" Target="https://twitter.com/handling/status/723051526726377472" TargetMode="External"/><Relationship Id="rId3392" Type="http://schemas.openxmlformats.org/officeDocument/2006/relationships/hyperlink" Target="https://twitter.com/Der_Betriebslei" TargetMode="External"/><Relationship Id="rId4443" Type="http://schemas.openxmlformats.org/officeDocument/2006/relationships/hyperlink" Target="https://twitter.com/HTxAlive" TargetMode="External"/><Relationship Id="rId3045" Type="http://schemas.openxmlformats.org/officeDocument/2006/relationships/hyperlink" Target="https://twitter.com/Geschnattere" TargetMode="External"/><Relationship Id="rId7666" Type="http://schemas.openxmlformats.org/officeDocument/2006/relationships/hyperlink" Target="https://twitter.com/ChrisSpahnADP/status/723424685904424961" TargetMode="External"/><Relationship Id="rId8717" Type="http://schemas.openxmlformats.org/officeDocument/2006/relationships/hyperlink" Target="https://twitter.com/ralf_nick/status/723796406427881472" TargetMode="External"/><Relationship Id="rId6268" Type="http://schemas.openxmlformats.org/officeDocument/2006/relationships/hyperlink" Target="https://pbs.twimg.com/profile_images/697004911867736065/FPTsHobf_normal.jpg" TargetMode="External"/><Relationship Id="rId7319" Type="http://schemas.openxmlformats.org/officeDocument/2006/relationships/hyperlink" Target="https://twitter.com/INDIZbot" TargetMode="External"/><Relationship Id="rId100" Type="http://schemas.openxmlformats.org/officeDocument/2006/relationships/hyperlink" Target="https://twitter.com/INDIZbot" TargetMode="External"/><Relationship Id="rId2878" Type="http://schemas.openxmlformats.org/officeDocument/2006/relationships/hyperlink" Target="https://twitter.com/SYSCONtv" TargetMode="External"/><Relationship Id="rId3929" Type="http://schemas.openxmlformats.org/officeDocument/2006/relationships/hyperlink" Target="https://twitter.com/aguittard" TargetMode="External"/><Relationship Id="rId7800" Type="http://schemas.openxmlformats.org/officeDocument/2006/relationships/hyperlink" Target="https://pbs.twimg.com/profile_images/3542998130/5e65449daa56d18e9aab7f6535dc25fc_normal.jpeg" TargetMode="External"/><Relationship Id="rId5351" Type="http://schemas.openxmlformats.org/officeDocument/2006/relationships/hyperlink" Target="https://twitter.com/INDIZbot/status/722794741809750017" TargetMode="External"/><Relationship Id="rId6402" Type="http://schemas.openxmlformats.org/officeDocument/2006/relationships/hyperlink" Target="https://twitter.com/genuanews/status/723119579761766401" TargetMode="External"/><Relationship Id="rId9972" Type="http://schemas.openxmlformats.org/officeDocument/2006/relationships/hyperlink" Target="https://pbs.twimg.com/profile_images/449542784849289216/-efWppov_normal.jpeg" TargetMode="External"/><Relationship Id="rId1961" Type="http://schemas.openxmlformats.org/officeDocument/2006/relationships/hyperlink" Target="https://pbs.twimg.com/profile_images/685327213/Apandia_normal.gif" TargetMode="External"/><Relationship Id="rId5004" Type="http://schemas.openxmlformats.org/officeDocument/2006/relationships/hyperlink" Target="https://pbs.twimg.com/profile_images/679303029431083008/S29_duNb_normal.jpg" TargetMode="External"/><Relationship Id="rId8574" Type="http://schemas.openxmlformats.org/officeDocument/2006/relationships/hyperlink" Target="https://pbs.twimg.com/profile_images/666911961599315968/aP7ID_qm_normal.png" TargetMode="External"/><Relationship Id="rId9625" Type="http://schemas.openxmlformats.org/officeDocument/2006/relationships/hyperlink" Target="https://pbs.twimg.com/profile_images/710998412557213696/35ck8XjS_normal.jpg" TargetMode="External"/><Relationship Id="rId1614" Type="http://schemas.openxmlformats.org/officeDocument/2006/relationships/hyperlink" Target="https://pbs.twimg.com/profile_images/709444980553740288/Xds-Aan6_normal.jpg" TargetMode="External"/><Relationship Id="rId7176" Type="http://schemas.openxmlformats.org/officeDocument/2006/relationships/hyperlink" Target="https://pbs.twimg.com/profile_images/645716711723925506/t5G0qOS6_normal.jpg" TargetMode="External"/><Relationship Id="rId8227" Type="http://schemas.openxmlformats.org/officeDocument/2006/relationships/hyperlink" Target="https://twitter.com/OptimumGmbh/status/723514756661927936" TargetMode="External"/><Relationship Id="rId10157" Type="http://schemas.openxmlformats.org/officeDocument/2006/relationships/hyperlink" Target="https://twitter.com/BKV24/status/724350022599491590" TargetMode="External"/><Relationship Id="rId3786" Type="http://schemas.openxmlformats.org/officeDocument/2006/relationships/hyperlink" Target="https://twitter.com/LuetzeSolutions/status/722425429861249024" TargetMode="External"/><Relationship Id="rId2388" Type="http://schemas.openxmlformats.org/officeDocument/2006/relationships/hyperlink" Target="https://pbs.twimg.com/profile_images/643892666695073792/IDQzvziq_normal.jpg" TargetMode="External"/><Relationship Id="rId3439" Type="http://schemas.openxmlformats.org/officeDocument/2006/relationships/hyperlink" Target="https://pbs.twimg.com/profile_images/714737596358897664/-Szh09n0_normal.jpg" TargetMode="External"/><Relationship Id="rId4837" Type="http://schemas.openxmlformats.org/officeDocument/2006/relationships/hyperlink" Target="https://twitter.com/tech_ct_ath/status/722722924017369088" TargetMode="External"/><Relationship Id="rId7310" Type="http://schemas.openxmlformats.org/officeDocument/2006/relationships/hyperlink" Target="https://twitter.com/Xethix/status/723396768960901120" TargetMode="External"/><Relationship Id="rId3920" Type="http://schemas.openxmlformats.org/officeDocument/2006/relationships/hyperlink" Target="https://twitter.com/GOettingerEU" TargetMode="External"/><Relationship Id="rId8084" Type="http://schemas.openxmlformats.org/officeDocument/2006/relationships/hyperlink" Target="https://twitter.com/TM20_de" TargetMode="External"/><Relationship Id="rId9482" Type="http://schemas.openxmlformats.org/officeDocument/2006/relationships/hyperlink" Target="https://twitter.com/INDIZbot" TargetMode="External"/><Relationship Id="rId841" Type="http://schemas.openxmlformats.org/officeDocument/2006/relationships/hyperlink" Target="https://twitter.com/bastihollmann/status/720843543644733443" TargetMode="External"/><Relationship Id="rId1471" Type="http://schemas.openxmlformats.org/officeDocument/2006/relationships/hyperlink" Target="https://twitter.com/ThomasSchulzGE" TargetMode="External"/><Relationship Id="rId2522" Type="http://schemas.openxmlformats.org/officeDocument/2006/relationships/hyperlink" Target="https://pbs.twimg.com/profile_images/693000161459617792/4CZXbOGo_normal.jpg" TargetMode="External"/><Relationship Id="rId9135" Type="http://schemas.openxmlformats.org/officeDocument/2006/relationships/hyperlink" Target="https://twitter.com/INDIZbot/status/723952682843693057" TargetMode="External"/><Relationship Id="rId1124" Type="http://schemas.openxmlformats.org/officeDocument/2006/relationships/hyperlink" Target="https://twitter.com/INDIZbot/status/720902512585400320" TargetMode="External"/><Relationship Id="rId4694" Type="http://schemas.openxmlformats.org/officeDocument/2006/relationships/hyperlink" Target="https://pbs.twimg.com/profile_images/722385992343285760/ww8YLZ2q_normal.jpg" TargetMode="External"/><Relationship Id="rId5745" Type="http://schemas.openxmlformats.org/officeDocument/2006/relationships/hyperlink" Target="https://twitter.com/m_brueser" TargetMode="External"/><Relationship Id="rId3296" Type="http://schemas.openxmlformats.org/officeDocument/2006/relationships/hyperlink" Target="https://twitter.com/MarioReinsch/status/722345181131968512" TargetMode="External"/><Relationship Id="rId4347" Type="http://schemas.openxmlformats.org/officeDocument/2006/relationships/hyperlink" Target="https://twitter.com/H_IT_D" TargetMode="External"/><Relationship Id="rId8968" Type="http://schemas.openxmlformats.org/officeDocument/2006/relationships/hyperlink" Target="https://twitter.com/KUKA_Presse" TargetMode="External"/><Relationship Id="rId3430" Type="http://schemas.openxmlformats.org/officeDocument/2006/relationships/hyperlink" Target="https://pbs.twimg.com/profile_images/587369125221138432/-A7Cg-KL_normal.png" TargetMode="External"/><Relationship Id="rId351" Type="http://schemas.openxmlformats.org/officeDocument/2006/relationships/hyperlink" Target="https://pbs.twimg.com/profile_images/455629070454116352/ujZ3h7Ww_normal.png" TargetMode="External"/><Relationship Id="rId2032" Type="http://schemas.openxmlformats.org/officeDocument/2006/relationships/hyperlink" Target="https://twitter.com/TUV_IT/status/721749330546278400" TargetMode="External"/><Relationship Id="rId6653" Type="http://schemas.openxmlformats.org/officeDocument/2006/relationships/hyperlink" Target="http://t.co/5fD1A6RwFj" TargetMode="External"/><Relationship Id="rId7704" Type="http://schemas.openxmlformats.org/officeDocument/2006/relationships/hyperlink" Target="https://twitter.com/GTAI_com" TargetMode="External"/><Relationship Id="rId5255" Type="http://schemas.openxmlformats.org/officeDocument/2006/relationships/hyperlink" Target="https://twitter.com/lotsize1/status/722774774695374848" TargetMode="External"/><Relationship Id="rId6306" Type="http://schemas.openxmlformats.org/officeDocument/2006/relationships/hyperlink" Target="https://twitter.com/Stefan_Roggatz" TargetMode="External"/><Relationship Id="rId9876" Type="http://schemas.openxmlformats.org/officeDocument/2006/relationships/hyperlink" Target="https://pbs.twimg.com/profile_images/645716711723925506/t5G0qOS6_normal.jpg" TargetMode="External"/><Relationship Id="rId1865" Type="http://schemas.openxmlformats.org/officeDocument/2006/relationships/hyperlink" Target="https://twitter.com/INDIZbot" TargetMode="External"/><Relationship Id="rId8478" Type="http://schemas.openxmlformats.org/officeDocument/2006/relationships/hyperlink" Target="https://pbs.twimg.com/profile_images/645716711723925506/t5G0qOS6_normal.jpg" TargetMode="External"/><Relationship Id="rId9529" Type="http://schemas.openxmlformats.org/officeDocument/2006/relationships/hyperlink" Target="https://pbs.twimg.com/profile_images/672817485134045185/q-VTXmOg_normal.jpg" TargetMode="External"/><Relationship Id="rId1518" Type="http://schemas.openxmlformats.org/officeDocument/2006/relationships/hyperlink" Target="https://pbs.twimg.com/profile_images/504383621315051520/PUzFL5u3_normal.jpeg" TargetMode="External"/><Relationship Id="rId2916" Type="http://schemas.openxmlformats.org/officeDocument/2006/relationships/hyperlink" Target="https://twitter.com/id_wettbewerbe/status/722170633568784384" TargetMode="External"/><Relationship Id="rId6163" Type="http://schemas.openxmlformats.org/officeDocument/2006/relationships/hyperlink" Target="https://twitter.com/AvidokKiel/status/723082674106175492" TargetMode="External"/><Relationship Id="rId7561" Type="http://schemas.openxmlformats.org/officeDocument/2006/relationships/hyperlink" Target="https://twitter.com/Bosch_BCDS/status/723414206494601216" TargetMode="External"/><Relationship Id="rId8612" Type="http://schemas.openxmlformats.org/officeDocument/2006/relationships/hyperlink" Target="https://twitter.com/H_IT_D/status/723766678794858496" TargetMode="External"/><Relationship Id="rId7214" Type="http://schemas.openxmlformats.org/officeDocument/2006/relationships/hyperlink" Target="https://twitter.com/SEWEURODRIVE/status/723385045034000384" TargetMode="External"/><Relationship Id="rId2773" Type="http://schemas.openxmlformats.org/officeDocument/2006/relationships/hyperlink" Target="https://twitter.com/BigDataExpo/status/722115721002684416" TargetMode="External"/><Relationship Id="rId3824" Type="http://schemas.openxmlformats.org/officeDocument/2006/relationships/hyperlink" Target="https://twitter.com/itmeetsindustry" TargetMode="External"/><Relationship Id="rId9386" Type="http://schemas.openxmlformats.org/officeDocument/2006/relationships/hyperlink" Target="https://twitter.com/Bitkom_I40" TargetMode="External"/><Relationship Id="rId745" Type="http://schemas.openxmlformats.org/officeDocument/2006/relationships/hyperlink" Target="https://pbs.twimg.com/profile_images/696677095200727040/JDNylP2p_normal.jpg" TargetMode="External"/><Relationship Id="rId1375" Type="http://schemas.openxmlformats.org/officeDocument/2006/relationships/hyperlink" Target="https://pbs.twimg.com/profile_images/572354999586267136/ICM-pVdp_normal.png" TargetMode="External"/><Relationship Id="rId2426" Type="http://schemas.openxmlformats.org/officeDocument/2006/relationships/hyperlink" Target="https://twitter.com/MTuchelmann/status/722022606111686656" TargetMode="External"/><Relationship Id="rId5996" Type="http://schemas.openxmlformats.org/officeDocument/2006/relationships/hyperlink" Target="https://twitter.com/ITK_OWL" TargetMode="External"/><Relationship Id="rId9039" Type="http://schemas.openxmlformats.org/officeDocument/2006/relationships/hyperlink" Target="https://twitter.com/Bitkom_I40/status/723915089724641280" TargetMode="External"/><Relationship Id="rId81" Type="http://schemas.openxmlformats.org/officeDocument/2006/relationships/hyperlink" Target="https://pbs.twimg.com/profile_images/606807918776877056/jQQIX31i_normal.png" TargetMode="External"/><Relationship Id="rId1028" Type="http://schemas.openxmlformats.org/officeDocument/2006/relationships/hyperlink" Target="https://twitter.com/INDIZbot/status/720887429989863424" TargetMode="External"/><Relationship Id="rId4598" Type="http://schemas.openxmlformats.org/officeDocument/2006/relationships/hyperlink" Target="https://pbs.twimg.com/profile_images/600279861282869249/IpIJ3MKX_normal.png" TargetMode="External"/><Relationship Id="rId5649" Type="http://schemas.openxmlformats.org/officeDocument/2006/relationships/hyperlink" Target="https://twitter.com/prxagentur" TargetMode="External"/><Relationship Id="rId9520" Type="http://schemas.openxmlformats.org/officeDocument/2006/relationships/hyperlink" Target="https://pbs.twimg.com/profile_images/378800000181509745/cc2ac55b1f8cf6de6ab7c9ea96eae6fa_normal.png" TargetMode="External"/><Relationship Id="rId7071" Type="http://schemas.openxmlformats.org/officeDocument/2006/relationships/hyperlink" Target="https://pbs.twimg.com/profile_images/645716711723925506/t5G0qOS6_normal.jpg" TargetMode="External"/><Relationship Id="rId8122" Type="http://schemas.openxmlformats.org/officeDocument/2006/relationships/hyperlink" Target="https://pbs.twimg.com/profile_images/656084414661840897/KVbUEpYC_normal.jpg" TargetMode="External"/><Relationship Id="rId10052" Type="http://schemas.openxmlformats.org/officeDocument/2006/relationships/hyperlink" Target="https://twitter.com/schwaerzler_it/status/724312757093470209" TargetMode="External"/><Relationship Id="rId3681" Type="http://schemas.openxmlformats.org/officeDocument/2006/relationships/hyperlink" Target="https://twitter.com/INDIZbot/status/722404673479700480" TargetMode="External"/><Relationship Id="rId4732" Type="http://schemas.openxmlformats.org/officeDocument/2006/relationships/hyperlink" Target="https://twitter.com/VDMAonline/status/722715265671102464" TargetMode="External"/><Relationship Id="rId2283" Type="http://schemas.openxmlformats.org/officeDocument/2006/relationships/hyperlink" Target="https://twitter.com/cpcEU" TargetMode="External"/><Relationship Id="rId3334" Type="http://schemas.openxmlformats.org/officeDocument/2006/relationships/hyperlink" Target="https://twitter.com/DCAI4online" TargetMode="External"/><Relationship Id="rId7955" Type="http://schemas.openxmlformats.org/officeDocument/2006/relationships/hyperlink" Target="https://twitter.com/GTAI_de" TargetMode="External"/><Relationship Id="rId255" Type="http://schemas.openxmlformats.org/officeDocument/2006/relationships/hyperlink" Target="https://pbs.twimg.com/profile_images/541146126158536704/IYardufS_normal.jpeg" TargetMode="External"/><Relationship Id="rId6557" Type="http://schemas.openxmlformats.org/officeDocument/2006/relationships/hyperlink" Target="https://twitter.com/SGE" TargetMode="External"/><Relationship Id="rId7608" Type="http://schemas.openxmlformats.org/officeDocument/2006/relationships/hyperlink" Target="https://twitter.com/MarkusKleeb" TargetMode="External"/><Relationship Id="rId5159" Type="http://schemas.openxmlformats.org/officeDocument/2006/relationships/hyperlink" Target="https://twitter.com/ahk_frankreich/status/722763806162624512" TargetMode="External"/><Relationship Id="rId9030" Type="http://schemas.openxmlformats.org/officeDocument/2006/relationships/hyperlink" Target="http://paper.li/" TargetMode="External"/><Relationship Id="rId1769" Type="http://schemas.openxmlformats.org/officeDocument/2006/relationships/hyperlink" Target="https://twitter.com/bamitav/status/721378198315859968" TargetMode="External"/><Relationship Id="rId3191" Type="http://schemas.openxmlformats.org/officeDocument/2006/relationships/hyperlink" Target="https://twitter.com/MartinBeims/status/722321350560464896" TargetMode="External"/><Relationship Id="rId4242" Type="http://schemas.openxmlformats.org/officeDocument/2006/relationships/hyperlink" Target="https://twitter.com/akwyz" TargetMode="External"/><Relationship Id="rId5640" Type="http://schemas.openxmlformats.org/officeDocument/2006/relationships/hyperlink" Target="https://twitter.com/ARichter_" TargetMode="External"/><Relationship Id="rId8863" Type="http://schemas.openxmlformats.org/officeDocument/2006/relationships/hyperlink" Target="https://twitter.com/VDMAonline" TargetMode="External"/><Relationship Id="rId9914" Type="http://schemas.openxmlformats.org/officeDocument/2006/relationships/hyperlink" Target="https://twitter.com/deviceWISEM2M/status/724277543336030210" TargetMode="External"/><Relationship Id="rId1903" Type="http://schemas.openxmlformats.org/officeDocument/2006/relationships/hyperlink" Target="https://pbs.twimg.com/profile_images/645716711723925506/t5G0qOS6_normal.jpg" TargetMode="External"/><Relationship Id="rId7465" Type="http://schemas.openxmlformats.org/officeDocument/2006/relationships/hyperlink" Target="https://twitter.com/IEBook/status/723407916942774272" TargetMode="External"/><Relationship Id="rId8516" Type="http://schemas.openxmlformats.org/officeDocument/2006/relationships/hyperlink" Target="https://twitter.com/OOgbukagu/status/723612694897672197" TargetMode="External"/><Relationship Id="rId6067" Type="http://schemas.openxmlformats.org/officeDocument/2006/relationships/hyperlink" Target="https://pbs.twimg.com/profile_images/723407487395713024/0hZv7R8S_normal.jpg" TargetMode="External"/><Relationship Id="rId7118" Type="http://schemas.openxmlformats.org/officeDocument/2006/relationships/hyperlink" Target="https://twitter.com/TLinn_Visionico/status/723263862930284544" TargetMode="External"/><Relationship Id="rId996" Type="http://schemas.openxmlformats.org/officeDocument/2006/relationships/hyperlink" Target="https://pbs.twimg.com/profile_images/378800000496249418/bed3c508afeaf218c198e79d2c465c39_normal.png" TargetMode="External"/><Relationship Id="rId2677" Type="http://schemas.openxmlformats.org/officeDocument/2006/relationships/hyperlink" Target="https://twitter.com/INDIZbot/status/722082990885584896" TargetMode="External"/><Relationship Id="rId3728" Type="http://schemas.openxmlformats.org/officeDocument/2006/relationships/hyperlink" Target="https://twitter.com/POLYASVoting" TargetMode="External"/><Relationship Id="rId649" Type="http://schemas.openxmlformats.org/officeDocument/2006/relationships/hyperlink" Target="https://pbs.twimg.com/profile_images/565783312728215552/VwNqFg6U_normal.jpeg" TargetMode="External"/><Relationship Id="rId1279" Type="http://schemas.openxmlformats.org/officeDocument/2006/relationships/hyperlink" Target="https://twitter.com/AlexRaiHa" TargetMode="External"/><Relationship Id="rId5150" Type="http://schemas.openxmlformats.org/officeDocument/2006/relationships/hyperlink" Target="https://twitter.com/ahk_frankreich/status/722762687256526848" TargetMode="External"/><Relationship Id="rId6201" Type="http://schemas.openxmlformats.org/officeDocument/2006/relationships/hyperlink" Target="https://twitter.com/Marcvanderham" TargetMode="External"/><Relationship Id="rId8373" Type="http://schemas.openxmlformats.org/officeDocument/2006/relationships/hyperlink" Target="https://twitter.com/HuelsmannT" TargetMode="External"/><Relationship Id="rId9771" Type="http://schemas.openxmlformats.org/officeDocument/2006/relationships/hyperlink" Target="https://pbs.twimg.com/profile_images/450307122459590656/Ib7Js4Be_normal.jpeg" TargetMode="External"/><Relationship Id="rId1760" Type="http://schemas.openxmlformats.org/officeDocument/2006/relationships/hyperlink" Target="https://twitter.com/openHPI/status/721357569525170176" TargetMode="External"/><Relationship Id="rId2811" Type="http://schemas.openxmlformats.org/officeDocument/2006/relationships/hyperlink" Target="https://twitter.com/fjablonski" TargetMode="External"/><Relationship Id="rId8026" Type="http://schemas.openxmlformats.org/officeDocument/2006/relationships/hyperlink" Target="https://pbs.twimg.com/profile_images/645716711723925506/t5G0qOS6_normal.jpg" TargetMode="External"/><Relationship Id="rId9424" Type="http://schemas.openxmlformats.org/officeDocument/2006/relationships/hyperlink" Target="https://pbs.twimg.com/profile_images/645716711723925506/t5G0qOS6_normal.jpg" TargetMode="External"/><Relationship Id="rId1413" Type="http://schemas.openxmlformats.org/officeDocument/2006/relationships/hyperlink" Target="https://twitter.com/INDIZbot/status/720993000667619328" TargetMode="External"/><Relationship Id="rId4983" Type="http://schemas.openxmlformats.org/officeDocument/2006/relationships/hyperlink" Target="https://pbs.twimg.com/profile_images/700576331407298560/RJ0M_dZd_normal.jpg" TargetMode="External"/><Relationship Id="rId3585" Type="http://schemas.openxmlformats.org/officeDocument/2006/relationships/hyperlink" Target="https://twitter.com/MeinGeldMedien/status/722379603705249794" TargetMode="External"/><Relationship Id="rId4636" Type="http://schemas.openxmlformats.org/officeDocument/2006/relationships/hyperlink" Target="https://twitter.com/INDIZbot/status/722709369352298496" TargetMode="External"/><Relationship Id="rId2187" Type="http://schemas.openxmlformats.org/officeDocument/2006/relationships/hyperlink" Target="https://pbs.twimg.com/profile_images/645716711723925506/t5G0qOS6_normal.jpg" TargetMode="External"/><Relationship Id="rId3238" Type="http://schemas.openxmlformats.org/officeDocument/2006/relationships/hyperlink" Target="https://twitter.com/bcfhdw" TargetMode="External"/><Relationship Id="rId7859" Type="http://schemas.openxmlformats.org/officeDocument/2006/relationships/hyperlink" Target="https://twitter.com/kion_group/status/723450078824943616" TargetMode="External"/><Relationship Id="rId159" Type="http://schemas.openxmlformats.org/officeDocument/2006/relationships/hyperlink" Target="https://pbs.twimg.com/profile_images/665295074297778177/5goyYiwl_normal.jpg" TargetMode="External"/><Relationship Id="rId9281" Type="http://schemas.openxmlformats.org/officeDocument/2006/relationships/hyperlink" Target="https://twitter.com/INDIZbot" TargetMode="External"/><Relationship Id="rId1270" Type="http://schemas.openxmlformats.org/officeDocument/2006/relationships/hyperlink" Target="https://twitter.com/RobelMesfun" TargetMode="External"/><Relationship Id="rId640" Type="http://schemas.openxmlformats.org/officeDocument/2006/relationships/hyperlink" Target="https://pbs.twimg.com/profile_images/526839119175880705/0Z9Mlwc5_normal.jpeg" TargetMode="External"/><Relationship Id="rId2321" Type="http://schemas.openxmlformats.org/officeDocument/2006/relationships/hyperlink" Target="https://twitter.com/openHPI/status/721982938775228417" TargetMode="External"/><Relationship Id="rId5891" Type="http://schemas.openxmlformats.org/officeDocument/2006/relationships/hyperlink" Target="https://twitter.com/ITK_OWL" TargetMode="External"/><Relationship Id="rId6942" Type="http://schemas.openxmlformats.org/officeDocument/2006/relationships/hyperlink" Target="https://pbs.twimg.com/profile_images/612572506642358272/xRrctO28_normal.jpg" TargetMode="External"/><Relationship Id="rId4493" Type="http://schemas.openxmlformats.org/officeDocument/2006/relationships/hyperlink" Target="https://pbs.twimg.com/profile_images/717293785496100864/tZBjA_R8_normal.jpg" TargetMode="External"/><Relationship Id="rId5544" Type="http://schemas.openxmlformats.org/officeDocument/2006/relationships/hyperlink" Target="https://twitter.com/Gruendercoaches" TargetMode="External"/><Relationship Id="rId3095" Type="http://schemas.openxmlformats.org/officeDocument/2006/relationships/hyperlink" Target="https://pbs.twimg.com/profile_images/542205461139705857/rG0aBulP_normal.png" TargetMode="External"/><Relationship Id="rId4146" Type="http://schemas.openxmlformats.org/officeDocument/2006/relationships/hyperlink" Target="https://twitter.com/LReehten" TargetMode="External"/><Relationship Id="rId8767" Type="http://schemas.openxmlformats.org/officeDocument/2006/relationships/hyperlink" Target="https://twitter.com/HolgerPaul66" TargetMode="External"/><Relationship Id="rId9818" Type="http://schemas.openxmlformats.org/officeDocument/2006/relationships/hyperlink" Target="https://twitter.com/MarianKoeller/status/724263475208400897" TargetMode="External"/><Relationship Id="rId1807" Type="http://schemas.openxmlformats.org/officeDocument/2006/relationships/hyperlink" Target="https://twitter.com/Lean_john" TargetMode="External"/><Relationship Id="rId7369" Type="http://schemas.openxmlformats.org/officeDocument/2006/relationships/hyperlink" Target="https://pbs.twimg.com/profile_images/378800000732095310/37ab974996c9a200327301623007a55d_normal.png" TargetMode="External"/><Relationship Id="rId150" Type="http://schemas.openxmlformats.org/officeDocument/2006/relationships/hyperlink" Target="https://pbs.twimg.com/profile_images/525336344407453696/5YpBXTz6_normal.jpeg" TargetMode="External"/><Relationship Id="rId3979" Type="http://schemas.openxmlformats.org/officeDocument/2006/relationships/hyperlink" Target="https://pbs.twimg.com/profile_images/555327405187801088/bhizIjB-_normal.png" TargetMode="External"/><Relationship Id="rId6452" Type="http://schemas.openxmlformats.org/officeDocument/2006/relationships/hyperlink" Target="https://twitter.com/Martina_Palm" TargetMode="External"/><Relationship Id="rId7850" Type="http://schemas.openxmlformats.org/officeDocument/2006/relationships/hyperlink" Target="https://twitter.com/ReboredoPedro/status/723449072544174081" TargetMode="External"/><Relationship Id="rId8901" Type="http://schemas.openxmlformats.org/officeDocument/2006/relationships/hyperlink" Target="https://pbs.twimg.com/profile_images/713021101106995200/w4EIzjMN_normal.jpg" TargetMode="External"/><Relationship Id="rId5054" Type="http://schemas.openxmlformats.org/officeDocument/2006/relationships/hyperlink" Target="https://twitter.com/prxagentur/status/722752436671094785" TargetMode="External"/><Relationship Id="rId6105" Type="http://schemas.openxmlformats.org/officeDocument/2006/relationships/hyperlink" Target="https://twitter.com/MoellerHorcher/status/723074382164320256" TargetMode="External"/><Relationship Id="rId7503" Type="http://schemas.openxmlformats.org/officeDocument/2006/relationships/hyperlink" Target="https://twitter.com/SabineGillessen" TargetMode="External"/><Relationship Id="rId9675" Type="http://schemas.openxmlformats.org/officeDocument/2006/relationships/hyperlink" Target="https://twitter.com/H_IT_D/status/724229918595289088" TargetMode="External"/><Relationship Id="rId1664" Type="http://schemas.openxmlformats.org/officeDocument/2006/relationships/hyperlink" Target="https://twitter.com/WinfriedFelser/status/721268025937301504" TargetMode="External"/><Relationship Id="rId2715" Type="http://schemas.openxmlformats.org/officeDocument/2006/relationships/hyperlink" Target="https://twitter.com/VR_Nachrichten" TargetMode="External"/><Relationship Id="rId8277" Type="http://schemas.openxmlformats.org/officeDocument/2006/relationships/hyperlink" Target="https://twitter.com/NicoletteBarn" TargetMode="External"/><Relationship Id="rId9328" Type="http://schemas.openxmlformats.org/officeDocument/2006/relationships/hyperlink" Target="https://pbs.twimg.com/profile_images/698748740811821056/qse_j83N_normal.jpg" TargetMode="External"/><Relationship Id="rId1317" Type="http://schemas.openxmlformats.org/officeDocument/2006/relationships/hyperlink" Target="https://pbs.twimg.com/profile_images/685327213/Apandia_normal.gif" TargetMode="External"/><Relationship Id="rId4887" Type="http://schemas.openxmlformats.org/officeDocument/2006/relationships/hyperlink" Target="https://twitter.com/ShowkuenstlerDe" TargetMode="External"/><Relationship Id="rId5938" Type="http://schemas.openxmlformats.org/officeDocument/2006/relationships/hyperlink" Target="https://pbs.twimg.com/profile_images/654600500386603008/CLtAW2Jp_normal.jpg" TargetMode="External"/><Relationship Id="rId23" Type="http://schemas.openxmlformats.org/officeDocument/2006/relationships/hyperlink" Target="https://twitter.com/MarcoIbanez27/status/720500669837393921" TargetMode="External"/><Relationship Id="rId3489" Type="http://schemas.openxmlformats.org/officeDocument/2006/relationships/hyperlink" Target="https://twitter.com/Industry40/status/722365663520694272" TargetMode="External"/><Relationship Id="rId7360" Type="http://schemas.openxmlformats.org/officeDocument/2006/relationships/hyperlink" Target="https://pbs.twimg.com/profile_images/489403559394304001/8SQlWWA1_normal.jpeg" TargetMode="External"/><Relationship Id="rId8411" Type="http://schemas.openxmlformats.org/officeDocument/2006/relationships/hyperlink" Target="https://twitter.com/MarinerLLC/status/723562022999330818" TargetMode="External"/><Relationship Id="rId7013" Type="http://schemas.openxmlformats.org/officeDocument/2006/relationships/hyperlink" Target="https://twitter.com/kommoptimierer/status/723232340332449793" TargetMode="External"/><Relationship Id="rId10341" Type="http://schemas.openxmlformats.org/officeDocument/2006/relationships/hyperlink" Target="https://pbs.twimg.com/profile_images/525336344407453696/5YpBXTz6_normal.jpeg" TargetMode="External"/><Relationship Id="rId3970" Type="http://schemas.openxmlformats.org/officeDocument/2006/relationships/hyperlink" Target="https://pbs.twimg.com/profile_images/647332458573099008/HN8uONVI_normal.jpg" TargetMode="External"/><Relationship Id="rId9185" Type="http://schemas.openxmlformats.org/officeDocument/2006/relationships/hyperlink" Target="https://twitter.com/LeanKnowledge" TargetMode="External"/><Relationship Id="rId891" Type="http://schemas.openxmlformats.org/officeDocument/2006/relationships/hyperlink" Target="https://twitter.com/AKTIVWirtschaft" TargetMode="External"/><Relationship Id="rId2572" Type="http://schemas.openxmlformats.org/officeDocument/2006/relationships/hyperlink" Target="http://ideenwerkbw.de/" TargetMode="External"/><Relationship Id="rId3623" Type="http://schemas.openxmlformats.org/officeDocument/2006/relationships/hyperlink" Target="https://twitter.com/ITK_OWL" TargetMode="External"/><Relationship Id="rId544" Type="http://schemas.openxmlformats.org/officeDocument/2006/relationships/hyperlink" Target="https://pbs.twimg.com/profile_images/516661653790670848/n3wtoDXf_normal.jpeg" TargetMode="External"/><Relationship Id="rId1174" Type="http://schemas.openxmlformats.org/officeDocument/2006/relationships/hyperlink" Target="https://twitter.com/PwC_France" TargetMode="External"/><Relationship Id="rId2225" Type="http://schemas.openxmlformats.org/officeDocument/2006/relationships/hyperlink" Target="https://twitter.com/RolandBent/status/721966861781495808" TargetMode="External"/><Relationship Id="rId5795" Type="http://schemas.openxmlformats.org/officeDocument/2006/relationships/hyperlink" Target="https://pbs.twimg.com/profile_images/572721926804488192/AGAGHTgy_normal.jpeg" TargetMode="External"/><Relationship Id="rId6846" Type="http://schemas.openxmlformats.org/officeDocument/2006/relationships/hyperlink" Target="https://pbs.twimg.com/profile_images/691088203978149889/eYKaO8Ab_normal.jpg" TargetMode="External"/><Relationship Id="rId4397" Type="http://schemas.openxmlformats.org/officeDocument/2006/relationships/hyperlink" Target="https://pbs.twimg.com/profile_images/2702974391/60b31d0c74e75deaec394e26d67e7fe5_normal.jpeg" TargetMode="External"/><Relationship Id="rId5448" Type="http://schemas.openxmlformats.org/officeDocument/2006/relationships/hyperlink" Target="https://twitter.com/AliceTimm1" TargetMode="External"/><Relationship Id="rId3480" Type="http://schemas.openxmlformats.org/officeDocument/2006/relationships/hyperlink" Target="https://twitter.com/Bitkom_I40/status/722364859443240960" TargetMode="External"/><Relationship Id="rId4531" Type="http://schemas.openxmlformats.org/officeDocument/2006/relationships/hyperlink" Target="https://twitter.com/d4t4v1z/status/722702674194538496" TargetMode="External"/><Relationship Id="rId2082" Type="http://schemas.openxmlformats.org/officeDocument/2006/relationships/hyperlink" Target="https://twitter.com/H_IT_D" TargetMode="External"/><Relationship Id="rId3133" Type="http://schemas.openxmlformats.org/officeDocument/2006/relationships/hyperlink" Target="https://twitter.com/LReehten/status/722314718946455552" TargetMode="External"/><Relationship Id="rId7754" Type="http://schemas.openxmlformats.org/officeDocument/2006/relationships/hyperlink" Target="https://pbs.twimg.com/profile_images/722098538604281856/CcBxk1_M_normal.jpg" TargetMode="External"/><Relationship Id="rId8805" Type="http://schemas.openxmlformats.org/officeDocument/2006/relationships/hyperlink" Target="https://pbs.twimg.com/profile_images/668824909116809220/Wb-7Gely_normal.jpg" TargetMode="External"/><Relationship Id="rId6356" Type="http://schemas.openxmlformats.org/officeDocument/2006/relationships/hyperlink" Target="https://twitter.com/FHNWTechnik/status/723116372826329088" TargetMode="External"/><Relationship Id="rId7407" Type="http://schemas.openxmlformats.org/officeDocument/2006/relationships/hyperlink" Target="https://twitter.com/MartinGaedt/status/723405189529505796" TargetMode="External"/><Relationship Id="rId2966" Type="http://schemas.openxmlformats.org/officeDocument/2006/relationships/hyperlink" Target="https://twitter.com/CKmatics" TargetMode="External"/><Relationship Id="rId6009" Type="http://schemas.openxmlformats.org/officeDocument/2006/relationships/hyperlink" Target="https://twitter.com/edmundkomar/status/723070959503200256" TargetMode="External"/><Relationship Id="rId9579" Type="http://schemas.openxmlformats.org/officeDocument/2006/relationships/hyperlink" Target="https://twitter.com/CarstenDierig/status/724209530767310848" TargetMode="External"/><Relationship Id="rId938" Type="http://schemas.openxmlformats.org/officeDocument/2006/relationships/hyperlink" Target="https://pbs.twimg.com/profile_images/702785921767182336/QzXgMAtq_normal.jpg" TargetMode="External"/><Relationship Id="rId1568" Type="http://schemas.openxmlformats.org/officeDocument/2006/relationships/hyperlink" Target="https://twitter.com/RolandBent/status/721125452123922432" TargetMode="External"/><Relationship Id="rId2619" Type="http://schemas.openxmlformats.org/officeDocument/2006/relationships/hyperlink" Target="https://pbs.twimg.com/profile_images/615797525040136192/CKF9-v_o_normal.jpg" TargetMode="External"/><Relationship Id="rId4041" Type="http://schemas.openxmlformats.org/officeDocument/2006/relationships/hyperlink" Target="https://twitter.com/Industry40/status/722484153078439938" TargetMode="External"/><Relationship Id="rId8662" Type="http://schemas.openxmlformats.org/officeDocument/2006/relationships/hyperlink" Target="https://twitter.com/GregRodehueser" TargetMode="External"/><Relationship Id="rId7264" Type="http://schemas.openxmlformats.org/officeDocument/2006/relationships/hyperlink" Target="https://twitter.com/siemens_press" TargetMode="External"/><Relationship Id="rId8315" Type="http://schemas.openxmlformats.org/officeDocument/2006/relationships/hyperlink" Target="https://pbs.twimg.com/profile_images/645716711723925506/t5G0qOS6_normal.jpg" TargetMode="External"/><Relationship Id="rId9713" Type="http://schemas.openxmlformats.org/officeDocument/2006/relationships/hyperlink" Target="https://twitter.com/INDIZbot" TargetMode="External"/><Relationship Id="rId1702" Type="http://schemas.openxmlformats.org/officeDocument/2006/relationships/hyperlink" Target="https://twitter.com/QuickFindsIn" TargetMode="External"/><Relationship Id="rId10245" Type="http://schemas.openxmlformats.org/officeDocument/2006/relationships/hyperlink" Target="https://pbs.twimg.com/profile_images/420534452683423745/xZTVCux1_normal.jpeg" TargetMode="External"/><Relationship Id="rId3874" Type="http://schemas.openxmlformats.org/officeDocument/2006/relationships/hyperlink" Target="https://pbs.twimg.com/profile_images/685255985/Bild_2_normal.png" TargetMode="External"/><Relationship Id="rId4925" Type="http://schemas.openxmlformats.org/officeDocument/2006/relationships/hyperlink" Target="https://pbs.twimg.com/profile_images/648593220293816325/eB4MGPgs_normal.jpg" TargetMode="External"/><Relationship Id="rId9089" Type="http://schemas.openxmlformats.org/officeDocument/2006/relationships/hyperlink" Target="https://twitter.com/Bitkom" TargetMode="External"/><Relationship Id="rId795" Type="http://schemas.openxmlformats.org/officeDocument/2006/relationships/hyperlink" Target="https://twitter.com/AbockAngela/status/720720640467169280" TargetMode="External"/><Relationship Id="rId2476" Type="http://schemas.openxmlformats.org/officeDocument/2006/relationships/hyperlink" Target="https://twitter.com/H_IT_D" TargetMode="External"/><Relationship Id="rId3527" Type="http://schemas.openxmlformats.org/officeDocument/2006/relationships/hyperlink" Target="https://twitter.com/CapgeminiDE" TargetMode="External"/><Relationship Id="rId448" Type="http://schemas.openxmlformats.org/officeDocument/2006/relationships/hyperlink" Target="https://twitter.com/INDIZbot" TargetMode="External"/><Relationship Id="rId1078" Type="http://schemas.openxmlformats.org/officeDocument/2006/relationships/hyperlink" Target="https://twitter.com/mitunsdigital" TargetMode="External"/><Relationship Id="rId2129" Type="http://schemas.openxmlformats.org/officeDocument/2006/relationships/hyperlink" Target="https://twitter.com/3DSGermany/status/721939404110110720" TargetMode="External"/><Relationship Id="rId5699" Type="http://schemas.openxmlformats.org/officeDocument/2006/relationships/hyperlink" Target="https://pbs.twimg.com/profile_images/696007904596463617/Y_yX9fUv_normal.jpg" TargetMode="External"/><Relationship Id="rId6000" Type="http://schemas.openxmlformats.org/officeDocument/2006/relationships/hyperlink" Target="https://twitter.com/Apandia/status/723068773800906753" TargetMode="External"/><Relationship Id="rId9570" Type="http://schemas.openxmlformats.org/officeDocument/2006/relationships/hyperlink" Target="https://twitter.com/MiceliMarcello/status/724207833168928768" TargetMode="External"/><Relationship Id="rId8172" Type="http://schemas.openxmlformats.org/officeDocument/2006/relationships/hyperlink" Target="https://twitter.com/Bitkom/status/723507381552951296" TargetMode="External"/><Relationship Id="rId9223" Type="http://schemas.openxmlformats.org/officeDocument/2006/relationships/hyperlink" Target="https://pbs.twimg.com/profile_images/705044001309794304/B3gEcfIM_normal.jpg" TargetMode="External"/><Relationship Id="rId1212" Type="http://schemas.openxmlformats.org/officeDocument/2006/relationships/hyperlink" Target="https://pbs.twimg.com/profile_images/2519056312/image_normal.jpg" TargetMode="External"/><Relationship Id="rId2610" Type="http://schemas.openxmlformats.org/officeDocument/2006/relationships/hyperlink" Target="https://pbs.twimg.com/profile_images/645716711723925506/t5G0qOS6_normal.jpg" TargetMode="External"/><Relationship Id="rId4782" Type="http://schemas.openxmlformats.org/officeDocument/2006/relationships/hyperlink" Target="https://twitter.com/infotipgmbh" TargetMode="External"/><Relationship Id="rId5833" Type="http://schemas.openxmlformats.org/officeDocument/2006/relationships/hyperlink" Target="https://twitter.com/m_biscarrat" TargetMode="External"/><Relationship Id="rId3037" Type="http://schemas.openxmlformats.org/officeDocument/2006/relationships/hyperlink" Target="https://twitter.com/bastihollmann/status/722305995079303168" TargetMode="External"/><Relationship Id="rId3384" Type="http://schemas.openxmlformats.org/officeDocument/2006/relationships/hyperlink" Target="https://twitter.com/wa_beck/status/722355144726331392" TargetMode="External"/><Relationship Id="rId4435" Type="http://schemas.openxmlformats.org/officeDocument/2006/relationships/hyperlink" Target="https://twitter.com/Bitkom/status/722690643475197954" TargetMode="External"/><Relationship Id="rId7658" Type="http://schemas.openxmlformats.org/officeDocument/2006/relationships/hyperlink" Target="https://abs.twimg.com/sticky/default_profile_images/default_profile_5_normal.png" TargetMode="External"/><Relationship Id="rId8709" Type="http://schemas.openxmlformats.org/officeDocument/2006/relationships/hyperlink" Target="https://pbs.twimg.com/profile_images/541146126158536704/IYardufS_normal.jpeg" TargetMode="External"/><Relationship Id="rId9080" Type="http://schemas.openxmlformats.org/officeDocument/2006/relationships/hyperlink" Target="https://twitter.com/mediamorfo" TargetMode="External"/><Relationship Id="rId2120" Type="http://schemas.openxmlformats.org/officeDocument/2006/relationships/hyperlink" Target="https://pbs.twimg.com/profile_images/542205461139705857/rG0aBulP_normal.png" TargetMode="External"/><Relationship Id="rId5690" Type="http://schemas.openxmlformats.org/officeDocument/2006/relationships/hyperlink" Target="https://pbs.twimg.com/profile_images/662723326096224256/5V4KH9_O_normal.jpg" TargetMode="External"/><Relationship Id="rId6741" Type="http://schemas.openxmlformats.org/officeDocument/2006/relationships/hyperlink" Target="https://pbs.twimg.com/profile_images/471312276767535104/TIanhngf_normal.jpeg" TargetMode="External"/><Relationship Id="rId4292" Type="http://schemas.openxmlformats.org/officeDocument/2006/relationships/hyperlink" Target="https://pbs.twimg.com/profile_images/722098538604281856/CcBxk1_M_normal.jpg" TargetMode="External"/><Relationship Id="rId5343" Type="http://schemas.openxmlformats.org/officeDocument/2006/relationships/hyperlink" Target="https://pbs.twimg.com/profile_images/704970625748697089/GQl2pOlK_normal.jpg" TargetMode="External"/><Relationship Id="rId9964" Type="http://schemas.openxmlformats.org/officeDocument/2006/relationships/hyperlink" Target="https://twitter.com/h_molle" TargetMode="External"/><Relationship Id="rId1953" Type="http://schemas.openxmlformats.org/officeDocument/2006/relationships/hyperlink" Target="https://twitter.com/VDI_News" TargetMode="External"/><Relationship Id="rId7168" Type="http://schemas.openxmlformats.org/officeDocument/2006/relationships/hyperlink" Target="https://twitter.com/PPanchakIW" TargetMode="External"/><Relationship Id="rId8566" Type="http://schemas.openxmlformats.org/officeDocument/2006/relationships/hyperlink" Target="https://twitter.com/bluecue_de" TargetMode="External"/><Relationship Id="rId9617" Type="http://schemas.openxmlformats.org/officeDocument/2006/relationships/hyperlink" Target="https://twitter.com/westerbarkey" TargetMode="External"/><Relationship Id="rId1606" Type="http://schemas.openxmlformats.org/officeDocument/2006/relationships/hyperlink" Target="https://twitter.com/Aurelien_T_K" TargetMode="External"/><Relationship Id="rId8219" Type="http://schemas.openxmlformats.org/officeDocument/2006/relationships/hyperlink" Target="https://pbs.twimg.com/profile_images/666911961599315968/aP7ID_qm_normal.png" TargetMode="External"/><Relationship Id="rId10149" Type="http://schemas.openxmlformats.org/officeDocument/2006/relationships/hyperlink" Target="https://pbs.twimg.com/profile_images/662723326096224256/5V4KH9_O_normal.jpg" TargetMode="External"/><Relationship Id="rId3778" Type="http://schemas.openxmlformats.org/officeDocument/2006/relationships/hyperlink" Target="https://pbs.twimg.com/profile_images/3542998130/5e65449daa56d18e9aab7f6535dc25fc_normal.jpeg" TargetMode="External"/><Relationship Id="rId4829" Type="http://schemas.openxmlformats.org/officeDocument/2006/relationships/hyperlink" Target="https://pbs.twimg.com/profile_images/448785978165968896/SQOcI8cJ_normal.png" TargetMode="External"/><Relationship Id="rId8700" Type="http://schemas.openxmlformats.org/officeDocument/2006/relationships/hyperlink" Target="https://pbs.twimg.com/profile_images/464748938679963648/wFbUIsuL_normal.jpeg" TargetMode="External"/><Relationship Id="rId699" Type="http://schemas.openxmlformats.org/officeDocument/2006/relationships/hyperlink" Target="https://twitter.com/ROKAutomationCZ/status/720680844172640256" TargetMode="External"/><Relationship Id="rId6251" Type="http://schemas.openxmlformats.org/officeDocument/2006/relationships/hyperlink" Target="https://twitter.com/neitzelsecuweb/status/723093310592577536" TargetMode="External"/><Relationship Id="rId7302" Type="http://schemas.openxmlformats.org/officeDocument/2006/relationships/hyperlink" Target="https://pbs.twimg.com/profile_images/666911961599315968/aP7ID_qm_normal.png" TargetMode="External"/><Relationship Id="rId9474" Type="http://schemas.openxmlformats.org/officeDocument/2006/relationships/hyperlink" Target="https://twitter.com/tuevnordpolitik/status/724185868890705920" TargetMode="External"/><Relationship Id="rId2861" Type="http://schemas.openxmlformats.org/officeDocument/2006/relationships/hyperlink" Target="https://pbs.twimg.com/profile_images/666911961599315968/aP7ID_qm_normal.png" TargetMode="External"/><Relationship Id="rId3912" Type="http://schemas.openxmlformats.org/officeDocument/2006/relationships/hyperlink" Target="https://twitter.com/mfritz_fhg/status/722456813715763200" TargetMode="External"/><Relationship Id="rId8076" Type="http://schemas.openxmlformats.org/officeDocument/2006/relationships/hyperlink" Target="https://twitter.com/SHC_GmbH/status/723490350673879040" TargetMode="External"/><Relationship Id="rId9127" Type="http://schemas.openxmlformats.org/officeDocument/2006/relationships/hyperlink" Target="https://pbs.twimg.com/profile_images/561208179355185153/11KDu7Gt_normal.png" TargetMode="External"/><Relationship Id="rId833" Type="http://schemas.openxmlformats.org/officeDocument/2006/relationships/hyperlink" Target="https://pbs.twimg.com/profile_images/697158646841610240/jndBu0u2_normal.jpg" TargetMode="External"/><Relationship Id="rId1116" Type="http://schemas.openxmlformats.org/officeDocument/2006/relationships/hyperlink" Target="https://pbs.twimg.com/profile_images/461395880017276928/nlaLcdRc_normal.jpeg" TargetMode="External"/><Relationship Id="rId1463" Type="http://schemas.openxmlformats.org/officeDocument/2006/relationships/hyperlink" Target="https://twitter.com/gpodagrosi/status/721019444198293508" TargetMode="External"/><Relationship Id="rId2514" Type="http://schemas.openxmlformats.org/officeDocument/2006/relationships/hyperlink" Target="https://twitter.com/matthiaslechner/status/722050731893661698" TargetMode="External"/><Relationship Id="rId4686" Type="http://schemas.openxmlformats.org/officeDocument/2006/relationships/hyperlink" Target="https://twitter.com/Mobile_Maschine" TargetMode="External"/><Relationship Id="rId5737" Type="http://schemas.openxmlformats.org/officeDocument/2006/relationships/hyperlink" Target="https://twitter.com/WalesBuzz/status/723013925428682752" TargetMode="External"/><Relationship Id="rId3288" Type="http://schemas.openxmlformats.org/officeDocument/2006/relationships/hyperlink" Target="https://pbs.twimg.com/profile_images/3726440228/9ba49ccb938cf571b195e3e83a4e1327_normal.jpeg" TargetMode="External"/><Relationship Id="rId4339" Type="http://schemas.openxmlformats.org/officeDocument/2006/relationships/hyperlink" Target="https://twitter.com/KerstinvonAppen/status/722676516514099201" TargetMode="External"/><Relationship Id="rId8210" Type="http://schemas.openxmlformats.org/officeDocument/2006/relationships/hyperlink" Target="https://pbs.twimg.com/profile_images/1161922354/bge-bot-big-twitterversion2_normal.png" TargetMode="External"/><Relationship Id="rId10140" Type="http://schemas.openxmlformats.org/officeDocument/2006/relationships/hyperlink" Target="https://pbs.twimg.com/profile_images/605661829587697664/HyEK4lD5_normal.jpg" TargetMode="External"/><Relationship Id="rId690" Type="http://schemas.openxmlformats.org/officeDocument/2006/relationships/hyperlink" Target="https://twitter.com/JCGeorghiou/status/720678979502546944" TargetMode="External"/><Relationship Id="rId2371" Type="http://schemas.openxmlformats.org/officeDocument/2006/relationships/hyperlink" Target="https://twitter.com/raum21gmbh" TargetMode="External"/><Relationship Id="rId3422" Type="http://schemas.openxmlformats.org/officeDocument/2006/relationships/hyperlink" Target="https://twitter.com/duponpa" TargetMode="External"/><Relationship Id="rId4820" Type="http://schemas.openxmlformats.org/officeDocument/2006/relationships/hyperlink" Target="https://pbs.twimg.com/profile_images/656085170995535873/WqzD_O5g_normal.jpg" TargetMode="External"/><Relationship Id="rId343" Type="http://schemas.openxmlformats.org/officeDocument/2006/relationships/hyperlink" Target="https://twitter.com/iotsecurity2" TargetMode="External"/><Relationship Id="rId2024" Type="http://schemas.openxmlformats.org/officeDocument/2006/relationships/hyperlink" Target="https://pbs.twimg.com/profile_images/625362695651364864/Z8Tt0Fon_normal.png" TargetMode="External"/><Relationship Id="rId6992" Type="http://schemas.openxmlformats.org/officeDocument/2006/relationships/hyperlink" Target="https://twitter.com/INDIZbot/status/723225362046566400" TargetMode="External"/><Relationship Id="rId4196" Type="http://schemas.openxmlformats.org/officeDocument/2006/relationships/hyperlink" Target="https://pbs.twimg.com/profile_images/623849156159868928/BetFDR_i_normal.jpg" TargetMode="External"/><Relationship Id="rId5247" Type="http://schemas.openxmlformats.org/officeDocument/2006/relationships/hyperlink" Target="https://pbs.twimg.com/profile_images/634340215511994368/YcpVETOa_normal.jpg" TargetMode="External"/><Relationship Id="rId5594" Type="http://schemas.openxmlformats.org/officeDocument/2006/relationships/hyperlink" Target="https://pbs.twimg.com/profile_images/454513656097566721/lzKn3ze7_normal.jpeg" TargetMode="External"/><Relationship Id="rId6645" Type="http://schemas.openxmlformats.org/officeDocument/2006/relationships/hyperlink" Target="https://twitter.com/bamitav" TargetMode="External"/><Relationship Id="rId9868" Type="http://schemas.openxmlformats.org/officeDocument/2006/relationships/hyperlink" Target="https://twitter.com/fjablonski" TargetMode="External"/><Relationship Id="rId1857" Type="http://schemas.openxmlformats.org/officeDocument/2006/relationships/hyperlink" Target="http://linkis.com/" TargetMode="External"/><Relationship Id="rId2908" Type="http://schemas.openxmlformats.org/officeDocument/2006/relationships/hyperlink" Target="https://pbs.twimg.com/profile_images/645716711723925506/t5G0qOS6_normal.jpg" TargetMode="External"/><Relationship Id="rId4330" Type="http://schemas.openxmlformats.org/officeDocument/2006/relationships/hyperlink" Target="https://twitter.com/Atos_DE/status/722675451567673344" TargetMode="External"/><Relationship Id="rId8951" Type="http://schemas.openxmlformats.org/officeDocument/2006/relationships/hyperlink" Target="https://twitter.com/Siemens_JobsMEA/status/723871313803259904" TargetMode="External"/><Relationship Id="rId7553" Type="http://schemas.openxmlformats.org/officeDocument/2006/relationships/hyperlink" Target="https://pbs.twimg.com/profile_images/560808349239746560/NJEwEVs5_normal.png" TargetMode="External"/><Relationship Id="rId8604" Type="http://schemas.openxmlformats.org/officeDocument/2006/relationships/hyperlink" Target="https://pbs.twimg.com/profile_images/645716711723925506/t5G0qOS6_normal.jpg" TargetMode="External"/><Relationship Id="rId6155" Type="http://schemas.openxmlformats.org/officeDocument/2006/relationships/hyperlink" Target="https://pbs.twimg.com/profile_images/2360611695/a72vv3lrlnwxhpk618rk_normal.jpeg" TargetMode="External"/><Relationship Id="rId7206" Type="http://schemas.openxmlformats.org/officeDocument/2006/relationships/hyperlink" Target="https://pbs.twimg.com/profile_images/648870164297965568/7muw2QvW_normal.jpg" TargetMode="External"/><Relationship Id="rId9378" Type="http://schemas.openxmlformats.org/officeDocument/2006/relationships/hyperlink" Target="https://twitter.com/indiameetsurope/status/724161545664663552" TargetMode="External"/><Relationship Id="rId2765" Type="http://schemas.openxmlformats.org/officeDocument/2006/relationships/hyperlink" Target="https://pbs.twimg.com/profile_images/544485391860916225/UGg0IhKT_normal.png" TargetMode="External"/><Relationship Id="rId3816" Type="http://schemas.openxmlformats.org/officeDocument/2006/relationships/hyperlink" Target="https://twitter.com/koernerpark/status/722430568173060096" TargetMode="External"/><Relationship Id="rId737" Type="http://schemas.openxmlformats.org/officeDocument/2006/relationships/hyperlink" Target="https://twitter.com/mfritz_fhg" TargetMode="External"/><Relationship Id="rId1367" Type="http://schemas.openxmlformats.org/officeDocument/2006/relationships/hyperlink" Target="https://twitter.com/kommoptimierer/status/720976223942414336" TargetMode="External"/><Relationship Id="rId2418" Type="http://schemas.openxmlformats.org/officeDocument/2006/relationships/hyperlink" Target="https://pbs.twimg.com/profile_images/661207402629505024/Iay_TXwA_normal.jpg" TargetMode="External"/><Relationship Id="rId5988" Type="http://schemas.openxmlformats.org/officeDocument/2006/relationships/hyperlink" Target="https://twitter.com/christophwitte/status/723067408307617792" TargetMode="External"/><Relationship Id="rId73" Type="http://schemas.openxmlformats.org/officeDocument/2006/relationships/hyperlink" Target="https://twitter.com/c_best01" TargetMode="External"/><Relationship Id="rId8461" Type="http://schemas.openxmlformats.org/officeDocument/2006/relationships/hyperlink" Target="https://twitter.com/H_IT_D" TargetMode="External"/><Relationship Id="rId9512" Type="http://schemas.openxmlformats.org/officeDocument/2006/relationships/hyperlink" Target="https://twitter.com/EmaxSystemsLtd" TargetMode="External"/><Relationship Id="rId1501" Type="http://schemas.openxmlformats.org/officeDocument/2006/relationships/hyperlink" Target="https://twitter.com/Cathy_Brennan" TargetMode="External"/><Relationship Id="rId7063" Type="http://schemas.openxmlformats.org/officeDocument/2006/relationships/hyperlink" Target="https://twitter.com/hasford_" TargetMode="External"/><Relationship Id="rId8114" Type="http://schemas.openxmlformats.org/officeDocument/2006/relationships/hyperlink" Target="https://twitter.com/INDIZbot" TargetMode="External"/><Relationship Id="rId10044" Type="http://schemas.openxmlformats.org/officeDocument/2006/relationships/hyperlink" Target="https://pbs.twimg.com/profile_images/537193955683606528/nTcT7Qtx_normal.jpeg" TargetMode="External"/><Relationship Id="rId594" Type="http://schemas.openxmlformats.org/officeDocument/2006/relationships/hyperlink" Target="https://twitter.com/Pamsav1/status/720634002630144000" TargetMode="External"/><Relationship Id="rId2275" Type="http://schemas.openxmlformats.org/officeDocument/2006/relationships/hyperlink" Target="https://twitter.com/H_IT_D/status/721977958190022656" TargetMode="External"/><Relationship Id="rId3326" Type="http://schemas.openxmlformats.org/officeDocument/2006/relationships/hyperlink" Target="https://twitter.com/WibuSystems/status/722349382083997697" TargetMode="External"/><Relationship Id="rId3673" Type="http://schemas.openxmlformats.org/officeDocument/2006/relationships/hyperlink" Target="https://pbs.twimg.com/profile_images/627720848200347648/Zn_B8fGh_normal.png" TargetMode="External"/><Relationship Id="rId4724" Type="http://schemas.openxmlformats.org/officeDocument/2006/relationships/hyperlink" Target="https://pbs.twimg.com/profile_images/3187517551/d49d77b3273cb499285ee666e06418f8_normal.jpeg" TargetMode="External"/><Relationship Id="rId247" Type="http://schemas.openxmlformats.org/officeDocument/2006/relationships/hyperlink" Target="https://twitter.com/verlinked" TargetMode="External"/><Relationship Id="rId6896" Type="http://schemas.openxmlformats.org/officeDocument/2006/relationships/hyperlink" Target="https://twitter.com/AsteaService/status/723181339390935040" TargetMode="External"/><Relationship Id="rId7947" Type="http://schemas.openxmlformats.org/officeDocument/2006/relationships/hyperlink" Target="https://twitter.com/itsOWL_Cluster/status/723473075086450688" TargetMode="External"/><Relationship Id="rId5498" Type="http://schemas.openxmlformats.org/officeDocument/2006/relationships/hyperlink" Target="https://pbs.twimg.com/profile_images/690542309776171008/TMMelY5K_normal.jpg" TargetMode="External"/><Relationship Id="rId6549" Type="http://schemas.openxmlformats.org/officeDocument/2006/relationships/hyperlink" Target="https://twitter.com/SGE/status/723136986748489728" TargetMode="External"/><Relationship Id="rId9022" Type="http://schemas.openxmlformats.org/officeDocument/2006/relationships/hyperlink" Target="https://twitter.com/alamexweb" TargetMode="External"/><Relationship Id="rId1011" Type="http://schemas.openxmlformats.org/officeDocument/2006/relationships/hyperlink" Target="https://pbs.twimg.com/profile_images/718175389890310145/GX8DLe_h_normal.jpg" TargetMode="External"/><Relationship Id="rId4581" Type="http://schemas.openxmlformats.org/officeDocument/2006/relationships/hyperlink" Target="https://twitter.com/CSC_DE" TargetMode="External"/><Relationship Id="rId5632" Type="http://schemas.openxmlformats.org/officeDocument/2006/relationships/hyperlink" Target="https://twitter.com/INDIZbot/status/722892890767122434" TargetMode="External"/><Relationship Id="rId3183" Type="http://schemas.openxmlformats.org/officeDocument/2006/relationships/hyperlink" Target="https://pbs.twimg.com/profile_images/689456900824403968/JZsh7BBB_normal.jpg" TargetMode="External"/><Relationship Id="rId4234" Type="http://schemas.openxmlformats.org/officeDocument/2006/relationships/hyperlink" Target="https://twitter.com/WSWMUC/status/722534998893576192" TargetMode="External"/><Relationship Id="rId7457" Type="http://schemas.openxmlformats.org/officeDocument/2006/relationships/hyperlink" Target="https://pbs.twimg.com/profile_images/666911961599315968/aP7ID_qm_normal.png" TargetMode="External"/><Relationship Id="rId8855" Type="http://schemas.openxmlformats.org/officeDocument/2006/relationships/hyperlink" Target="https://twitter.com/KStepping/status/723843650237698048" TargetMode="External"/><Relationship Id="rId9906" Type="http://schemas.openxmlformats.org/officeDocument/2006/relationships/hyperlink" Target="https://pbs.twimg.com/profile_images/645716711723925506/t5G0qOS6_normal.jpg" TargetMode="External"/><Relationship Id="rId6059" Type="http://schemas.openxmlformats.org/officeDocument/2006/relationships/hyperlink" Target="https://twitter.com/EFFRA_Live" TargetMode="External"/><Relationship Id="rId8508" Type="http://schemas.openxmlformats.org/officeDocument/2006/relationships/hyperlink" Target="https://pbs.twimg.com/profile_images/609319101757026304/Q0JXTQqh_normal.jpg" TargetMode="External"/><Relationship Id="rId988" Type="http://schemas.openxmlformats.org/officeDocument/2006/relationships/hyperlink" Target="https://twitter.com/catkinEU" TargetMode="External"/><Relationship Id="rId2669" Type="http://schemas.openxmlformats.org/officeDocument/2006/relationships/hyperlink" Target="https://pbs.twimg.com/profile_images/720402539955560448/s_pUNvlD_normal.jpg" TargetMode="External"/><Relationship Id="rId6540" Type="http://schemas.openxmlformats.org/officeDocument/2006/relationships/hyperlink" Target="https://twitter.com/RiemenspergerF/status/723135820463509504" TargetMode="External"/><Relationship Id="rId4091" Type="http://schemas.openxmlformats.org/officeDocument/2006/relationships/hyperlink" Target="https://pbs.twimg.com/profile_images/645716711723925506/t5G0qOS6_normal.jpg" TargetMode="External"/><Relationship Id="rId5142" Type="http://schemas.openxmlformats.org/officeDocument/2006/relationships/hyperlink" Target="https://pbs.twimg.com/profile_images/645716711723925506/t5G0qOS6_normal.jpg" TargetMode="External"/><Relationship Id="rId9763" Type="http://schemas.openxmlformats.org/officeDocument/2006/relationships/hyperlink" Target="https://twitter.com/MartinGaedt" TargetMode="External"/><Relationship Id="rId8365" Type="http://schemas.openxmlformats.org/officeDocument/2006/relationships/hyperlink" Target="https://twitter.com/INDIZbot/status/723544919441285121" TargetMode="External"/><Relationship Id="rId9416" Type="http://schemas.openxmlformats.org/officeDocument/2006/relationships/hyperlink" Target="https://twitter.com/slxlearning" TargetMode="External"/><Relationship Id="rId10295" Type="http://schemas.openxmlformats.org/officeDocument/2006/relationships/hyperlink" Target="https://twitter.com/Imaraqa/status/724456683649511424" TargetMode="External"/><Relationship Id="rId1405" Type="http://schemas.openxmlformats.org/officeDocument/2006/relationships/hyperlink" Target="https://pbs.twimg.com/profile_images/672618777247244288/v5Iuptf9_normal.jpg" TargetMode="External"/><Relationship Id="rId1752" Type="http://schemas.openxmlformats.org/officeDocument/2006/relationships/hyperlink" Target="https://pbs.twimg.com/profile_images/705270537073852416/CZoAp0su_normal.jpg" TargetMode="External"/><Relationship Id="rId2803" Type="http://schemas.openxmlformats.org/officeDocument/2006/relationships/hyperlink" Target="https://twitter.com/H_IT_D/status/722128233752170496" TargetMode="External"/><Relationship Id="rId8018" Type="http://schemas.openxmlformats.org/officeDocument/2006/relationships/hyperlink" Target="https://twitter.com/IT_Connection" TargetMode="External"/><Relationship Id="rId4975" Type="http://schemas.openxmlformats.org/officeDocument/2006/relationships/hyperlink" Target="https://twitter.com/MeinGeldMedien/status/722745494485803008" TargetMode="External"/><Relationship Id="rId498" Type="http://schemas.openxmlformats.org/officeDocument/2006/relationships/hyperlink" Target="https://twitter.com/PSIPENTA/status/720607865866739713" TargetMode="External"/><Relationship Id="rId2179" Type="http://schemas.openxmlformats.org/officeDocument/2006/relationships/hyperlink" Target="https://twitter.com/INDIZbot" TargetMode="External"/><Relationship Id="rId3577" Type="http://schemas.openxmlformats.org/officeDocument/2006/relationships/hyperlink" Target="https://pbs.twimg.com/profile_images/386073656/happy_normal.jpg" TargetMode="External"/><Relationship Id="rId4628" Type="http://schemas.openxmlformats.org/officeDocument/2006/relationships/hyperlink" Target="https://pbs.twimg.com/profile_images/648632901307867136/wbuESpIn_normal.jpg" TargetMode="External"/><Relationship Id="rId6050" Type="http://schemas.openxmlformats.org/officeDocument/2006/relationships/hyperlink" Target="https://twitter.com/BMAS_Bund" TargetMode="External"/><Relationship Id="rId7101" Type="http://schemas.openxmlformats.org/officeDocument/2006/relationships/hyperlink" Target="https://pbs.twimg.com/profile_images/603699032804859904/lb5IMG5x_normal.jpg" TargetMode="External"/><Relationship Id="rId2660" Type="http://schemas.openxmlformats.org/officeDocument/2006/relationships/hyperlink" Target="https://pbs.twimg.com/profile_images/1521890851/logo_normal.jpg" TargetMode="External"/><Relationship Id="rId3711" Type="http://schemas.openxmlformats.org/officeDocument/2006/relationships/hyperlink" Target="https://twitter.com/INDIZbot/status/722410072157110273" TargetMode="External"/><Relationship Id="rId9273" Type="http://schemas.openxmlformats.org/officeDocument/2006/relationships/hyperlink" Target="https://twitter.com/power4berlin/status/724116925274566656" TargetMode="External"/><Relationship Id="rId632" Type="http://schemas.openxmlformats.org/officeDocument/2006/relationships/hyperlink" Target="https://twitter.com/HolgerPaul66" TargetMode="External"/><Relationship Id="rId1262" Type="http://schemas.openxmlformats.org/officeDocument/2006/relationships/hyperlink" Target="https://twitter.com/INDIZbot/status/720934985776107520" TargetMode="External"/><Relationship Id="rId2313" Type="http://schemas.openxmlformats.org/officeDocument/2006/relationships/hyperlink" Target="https://pbs.twimg.com/profile_images/464294575624839168/2yUa4yUA_normal.png" TargetMode="External"/><Relationship Id="rId4485" Type="http://schemas.openxmlformats.org/officeDocument/2006/relationships/hyperlink" Target="https://pbs.twimg.com/profile_images/1363489885/WestfalenUndRoss_normal.jpg" TargetMode="External"/><Relationship Id="rId5536" Type="http://schemas.openxmlformats.org/officeDocument/2006/relationships/hyperlink" Target="https://twitter.com/critmatrix/status/722840794479140864" TargetMode="External"/><Relationship Id="rId5883" Type="http://schemas.openxmlformats.org/officeDocument/2006/relationships/hyperlink" Target="https://twitter.com/kvdnews/status/723058109946556416" TargetMode="External"/><Relationship Id="rId6934" Type="http://schemas.openxmlformats.org/officeDocument/2006/relationships/hyperlink" Target="https://twitter.com/Connect_Things" TargetMode="External"/><Relationship Id="rId3087" Type="http://schemas.openxmlformats.org/officeDocument/2006/relationships/hyperlink" Target="https://twitter.com/ScopeOnline" TargetMode="External"/><Relationship Id="rId4138" Type="http://schemas.openxmlformats.org/officeDocument/2006/relationships/hyperlink" Target="https://twitter.com/LReehten/status/722512884819980289" TargetMode="External"/><Relationship Id="rId8759" Type="http://schemas.openxmlformats.org/officeDocument/2006/relationships/hyperlink" Target="https://twitter.com/robertgaertner/status/723806376892456960" TargetMode="External"/><Relationship Id="rId2170" Type="http://schemas.openxmlformats.org/officeDocument/2006/relationships/hyperlink" Target="https://twitter.com/HDSintGroup" TargetMode="External"/><Relationship Id="rId3221" Type="http://schemas.openxmlformats.org/officeDocument/2006/relationships/hyperlink" Target="https://twitter.com/MatthiasKietzma/status/722326120855650304" TargetMode="External"/><Relationship Id="rId6791" Type="http://schemas.openxmlformats.org/officeDocument/2006/relationships/hyperlink" Target="https://twitter.com/IMechE_YMB/status/723171523930918914" TargetMode="External"/><Relationship Id="rId7842" Type="http://schemas.openxmlformats.org/officeDocument/2006/relationships/hyperlink" Target="https://pbs.twimg.com/profile_images/645716711723925506/t5G0qOS6_normal.jpg" TargetMode="External"/><Relationship Id="rId8" Type="http://schemas.openxmlformats.org/officeDocument/2006/relationships/hyperlink" Target="https://twitter.com/PascaleOlea/status/720495820387311620" TargetMode="External"/><Relationship Id="rId142" Type="http://schemas.openxmlformats.org/officeDocument/2006/relationships/hyperlink" Target="https://twitter.com/WSWMUC" TargetMode="External"/><Relationship Id="rId5393" Type="http://schemas.openxmlformats.org/officeDocument/2006/relationships/hyperlink" Target="https://twitter.com/rene_ziegler" TargetMode="External"/><Relationship Id="rId6444" Type="http://schemas.openxmlformats.org/officeDocument/2006/relationships/hyperlink" Target="https://twitter.com/stefra/status/723127336854523904" TargetMode="External"/><Relationship Id="rId5046" Type="http://schemas.openxmlformats.org/officeDocument/2006/relationships/hyperlink" Target="https://pbs.twimg.com/profile_images/3726440228/9ba49ccb938cf571b195e3e83a4e1327_normal.jpeg" TargetMode="External"/><Relationship Id="rId9667" Type="http://schemas.openxmlformats.org/officeDocument/2006/relationships/hyperlink" Target="https://pbs.twimg.com/profile_images/534472892277202944/3REr63wB_normal.jpeg" TargetMode="External"/><Relationship Id="rId8269" Type="http://schemas.openxmlformats.org/officeDocument/2006/relationships/hyperlink" Target="https://twitter.com/Bitkom/status/723524653633953793" TargetMode="External"/><Relationship Id="rId1656" Type="http://schemas.openxmlformats.org/officeDocument/2006/relationships/hyperlink" Target="https://pbs.twimg.com/profile_images/603699032804859904/lb5IMG5x_normal.jpg" TargetMode="External"/><Relationship Id="rId2707" Type="http://schemas.openxmlformats.org/officeDocument/2006/relationships/hyperlink" Target="https://twitter.com/mbesch/status/722096001012645889" TargetMode="External"/><Relationship Id="rId10199" Type="http://schemas.openxmlformats.org/officeDocument/2006/relationships/hyperlink" Target="https://twitter.com/CSGermany/status/724367792905052160" TargetMode="External"/><Relationship Id="rId1309" Type="http://schemas.openxmlformats.org/officeDocument/2006/relationships/hyperlink" Target="https://twitter.com/MeinGeldMedien" TargetMode="External"/><Relationship Id="rId4879" Type="http://schemas.openxmlformats.org/officeDocument/2006/relationships/hyperlink" Target="https://twitter.com/AGiesenNRW/status/722730025942913024" TargetMode="External"/><Relationship Id="rId8750" Type="http://schemas.openxmlformats.org/officeDocument/2006/relationships/hyperlink" Target="https://twitter.com/Brainport_Ind/status/723800809675350016" TargetMode="External"/><Relationship Id="rId9801" Type="http://schemas.openxmlformats.org/officeDocument/2006/relationships/hyperlink" Target="https://pbs.twimg.com/profile_images/625595391568908288/AeEkCkPt_normal.jpg" TargetMode="External"/><Relationship Id="rId15" Type="http://schemas.openxmlformats.org/officeDocument/2006/relationships/hyperlink" Target="https://pbs.twimg.com/profile_images/720883693103910913/D1MjIUph_normal.jpg" TargetMode="External"/><Relationship Id="rId7352" Type="http://schemas.openxmlformats.org/officeDocument/2006/relationships/hyperlink" Target="https://twitter.com/bechtle_ag" TargetMode="External"/><Relationship Id="rId8403" Type="http://schemas.openxmlformats.org/officeDocument/2006/relationships/hyperlink" Target="https://pbs.twimg.com/profile_images/658936531441336320/RJMP5tIr_normal.png" TargetMode="External"/><Relationship Id="rId10333" Type="http://schemas.openxmlformats.org/officeDocument/2006/relationships/hyperlink" Target="https://twitter.com/DruckWege" TargetMode="External"/><Relationship Id="rId7005" Type="http://schemas.openxmlformats.org/officeDocument/2006/relationships/hyperlink" Target="https://abs.twimg.com/sticky/default_profile_images/default_profile_5_normal.png" TargetMode="External"/><Relationship Id="rId883" Type="http://schemas.openxmlformats.org/officeDocument/2006/relationships/hyperlink" Target="https://twitter.com/ULdialogue/status/720856184471683073" TargetMode="External"/><Relationship Id="rId2564" Type="http://schemas.openxmlformats.org/officeDocument/2006/relationships/hyperlink" Target="https://pbs.twimg.com/profile_images/645716711723925506/t5G0qOS6_normal.jpg" TargetMode="External"/><Relationship Id="rId3615" Type="http://schemas.openxmlformats.org/officeDocument/2006/relationships/hyperlink" Target="https://twitter.com/INDIZbot/status/722384534814199808" TargetMode="External"/><Relationship Id="rId3962" Type="http://schemas.openxmlformats.org/officeDocument/2006/relationships/hyperlink" Target="https://twitter.com/vopbal" TargetMode="External"/><Relationship Id="rId9177" Type="http://schemas.openxmlformats.org/officeDocument/2006/relationships/hyperlink" Target="https://twitter.com/kommoptimierer/status/723965926908014592" TargetMode="External"/><Relationship Id="rId536" Type="http://schemas.openxmlformats.org/officeDocument/2006/relationships/hyperlink" Target="https://twitter.com/beSoLoMo" TargetMode="External"/><Relationship Id="rId1166" Type="http://schemas.openxmlformats.org/officeDocument/2006/relationships/hyperlink" Target="https://twitter.com/wolf_gregor/status/720911655899635712" TargetMode="External"/><Relationship Id="rId2217" Type="http://schemas.openxmlformats.org/officeDocument/2006/relationships/hyperlink" Target="https://pbs.twimg.com/profile_images/649572788148285440/Sxl5vTa3_normal.jpg" TargetMode="External"/><Relationship Id="rId4389" Type="http://schemas.openxmlformats.org/officeDocument/2006/relationships/hyperlink" Target="https://twitter.com/PASSnews" TargetMode="External"/><Relationship Id="rId5787" Type="http://schemas.openxmlformats.org/officeDocument/2006/relationships/hyperlink" Target="https://twitter.com/viermac" TargetMode="External"/><Relationship Id="rId6838" Type="http://schemas.openxmlformats.org/officeDocument/2006/relationships/hyperlink" Target="https://twitter.com/IoTExperten" TargetMode="External"/><Relationship Id="rId8260" Type="http://schemas.openxmlformats.org/officeDocument/2006/relationships/hyperlink" Target="https://twitter.com/BF_Deutschland/status/723523314778550273" TargetMode="External"/><Relationship Id="rId9311" Type="http://schemas.openxmlformats.org/officeDocument/2006/relationships/hyperlink" Target="https://twitter.com/derdawoso" TargetMode="External"/><Relationship Id="rId10190" Type="http://schemas.openxmlformats.org/officeDocument/2006/relationships/hyperlink" Target="https://twitter.com/MelitaDelic/status/724360341870792704" TargetMode="External"/><Relationship Id="rId1300" Type="http://schemas.openxmlformats.org/officeDocument/2006/relationships/hyperlink" Target="https://twitter.com/DelconRelays" TargetMode="External"/><Relationship Id="rId4870" Type="http://schemas.openxmlformats.org/officeDocument/2006/relationships/hyperlink" Target="https://twitter.com/AGiesenNRW/status/722729004319576064" TargetMode="External"/><Relationship Id="rId5921" Type="http://schemas.openxmlformats.org/officeDocument/2006/relationships/hyperlink" Target="https://twitter.com/INDIZbot" TargetMode="External"/><Relationship Id="rId3472" Type="http://schemas.openxmlformats.org/officeDocument/2006/relationships/hyperlink" Target="https://pbs.twimg.com/profile_images/691594981404983296/e29z-2Hn_normal.jpg" TargetMode="External"/><Relationship Id="rId4523" Type="http://schemas.openxmlformats.org/officeDocument/2006/relationships/hyperlink" Target="https://pbs.twimg.com/profile_images/479147477975588864/z94n3mRF_normal.jpeg" TargetMode="External"/><Relationship Id="rId393" Type="http://schemas.openxmlformats.org/officeDocument/2006/relationships/hyperlink" Target="https://pbs.twimg.com/profile_images/479147477975588864/z94n3mRF_normal.jpeg" TargetMode="External"/><Relationship Id="rId2074" Type="http://schemas.openxmlformats.org/officeDocument/2006/relationships/hyperlink" Target="https://twitter.com/pkoerner81929/status/721817490339328001" TargetMode="External"/><Relationship Id="rId3125" Type="http://schemas.openxmlformats.org/officeDocument/2006/relationships/hyperlink" Target="https://pbs.twimg.com/profile_images/623849156159868928/BetFDR_i_normal.jpg" TargetMode="External"/><Relationship Id="rId6695" Type="http://schemas.openxmlformats.org/officeDocument/2006/relationships/hyperlink" Target="https://twitter.com/tsystemsde/status/723162318188765184" TargetMode="External"/><Relationship Id="rId7746" Type="http://schemas.openxmlformats.org/officeDocument/2006/relationships/hyperlink" Target="https://twitter.com/konsultwerk" TargetMode="External"/><Relationship Id="rId5297" Type="http://schemas.openxmlformats.org/officeDocument/2006/relationships/hyperlink" Target="https://twitter.com/lotsize1/status/722787602349301761" TargetMode="External"/><Relationship Id="rId6348" Type="http://schemas.openxmlformats.org/officeDocument/2006/relationships/hyperlink" Target="https://pbs.twimg.com/profile_images/494911375034945537/txB_J-VC_normal.jpeg" TargetMode="External"/><Relationship Id="rId2958" Type="http://schemas.openxmlformats.org/officeDocument/2006/relationships/hyperlink" Target="https://twitter.com/QuickFindsIn/status/722207086981984256" TargetMode="External"/><Relationship Id="rId4380" Type="http://schemas.openxmlformats.org/officeDocument/2006/relationships/hyperlink" Target="https://twitter.com/enormgruen" TargetMode="External"/><Relationship Id="rId5431" Type="http://schemas.openxmlformats.org/officeDocument/2006/relationships/hyperlink" Target="https://pbs.twimg.com/profile_images/459331247488004096/2K0groDQ_normal.png" TargetMode="External"/><Relationship Id="rId4033" Type="http://schemas.openxmlformats.org/officeDocument/2006/relationships/hyperlink" Target="https://pbs.twimg.com/profile_images/645716711723925506/t5G0qOS6_normal.jpg" TargetMode="External"/><Relationship Id="rId8654" Type="http://schemas.openxmlformats.org/officeDocument/2006/relationships/hyperlink" Target="https://twitter.com/INDIZbot/status/723778724538228736" TargetMode="External"/><Relationship Id="rId9705" Type="http://schemas.openxmlformats.org/officeDocument/2006/relationships/hyperlink" Target="https://twitter.com/CarstenDierig/status/724232837445091328" TargetMode="External"/><Relationship Id="rId7256" Type="http://schemas.openxmlformats.org/officeDocument/2006/relationships/hyperlink" Target="https://twitter.com/MarioReinsch/status/723388443368165376" TargetMode="External"/><Relationship Id="rId8307" Type="http://schemas.openxmlformats.org/officeDocument/2006/relationships/hyperlink" Target="https://twitter.com/DullerMarco" TargetMode="External"/><Relationship Id="rId10237" Type="http://schemas.openxmlformats.org/officeDocument/2006/relationships/hyperlink" Target="https://twitter.com/INDIZbot" TargetMode="External"/><Relationship Id="rId3866" Type="http://schemas.openxmlformats.org/officeDocument/2006/relationships/hyperlink" Target="https://twitter.com/Perk_ocet21" TargetMode="External"/><Relationship Id="rId4917" Type="http://schemas.openxmlformats.org/officeDocument/2006/relationships/hyperlink" Target="https://twitter.com/MaikPlischke" TargetMode="External"/><Relationship Id="rId787" Type="http://schemas.openxmlformats.org/officeDocument/2006/relationships/hyperlink" Target="https://pbs.twimg.com/profile_images/3481397109/ab4243c43a6b51f42c9e99664026c1a1_normal.jpeg" TargetMode="External"/><Relationship Id="rId2468" Type="http://schemas.openxmlformats.org/officeDocument/2006/relationships/hyperlink" Target="https://twitter.com/prxpragma/status/722037830399053826" TargetMode="External"/><Relationship Id="rId3519" Type="http://schemas.openxmlformats.org/officeDocument/2006/relationships/hyperlink" Target="https://twitter.com/INDIZbot/status/722369754112094208" TargetMode="External"/><Relationship Id="rId9562" Type="http://schemas.openxmlformats.org/officeDocument/2006/relationships/hyperlink" Target="https://pbs.twimg.com/profile_images/591951396217327616/HbcCX2zX_normal.png" TargetMode="External"/><Relationship Id="rId921" Type="http://schemas.openxmlformats.org/officeDocument/2006/relationships/hyperlink" Target="https://twitter.com/MichaelleSalmon" TargetMode="External"/><Relationship Id="rId1551" Type="http://schemas.openxmlformats.org/officeDocument/2006/relationships/hyperlink" Target="https://pbs.twimg.com/profile_images/645716711723925506/t5G0qOS6_normal.jpg" TargetMode="External"/><Relationship Id="rId2602" Type="http://schemas.openxmlformats.org/officeDocument/2006/relationships/hyperlink" Target="https://twitter.com/INDIZbot" TargetMode="External"/><Relationship Id="rId8164" Type="http://schemas.openxmlformats.org/officeDocument/2006/relationships/hyperlink" Target="https://pbs.twimg.com/profile_images/645716711723925506/t5G0qOS6_normal.jpg" TargetMode="External"/><Relationship Id="rId9215" Type="http://schemas.openxmlformats.org/officeDocument/2006/relationships/hyperlink" Target="https://twitter.com/s_crazyshin" TargetMode="External"/><Relationship Id="rId10094" Type="http://schemas.openxmlformats.org/officeDocument/2006/relationships/hyperlink" Target="https://twitter.com/kommoptimierer/status/724328312684814337" TargetMode="External"/><Relationship Id="rId1204" Type="http://schemas.openxmlformats.org/officeDocument/2006/relationships/hyperlink" Target="https://twitter.com/Celyn_david" TargetMode="External"/><Relationship Id="rId4774" Type="http://schemas.openxmlformats.org/officeDocument/2006/relationships/hyperlink" Target="https://twitter.com/mav0r1ze/status/722717757498900480" TargetMode="External"/><Relationship Id="rId5825" Type="http://schemas.openxmlformats.org/officeDocument/2006/relationships/hyperlink" Target="https://twitter.com/foresight_lab/status/723047818269597696" TargetMode="External"/><Relationship Id="rId3376" Type="http://schemas.openxmlformats.org/officeDocument/2006/relationships/hyperlink" Target="https://pbs.twimg.com/profile_images/645716711723925506/t5G0qOS6_normal.jpg" TargetMode="External"/><Relationship Id="rId4427" Type="http://schemas.openxmlformats.org/officeDocument/2006/relationships/hyperlink" Target="https://pbs.twimg.com/profile_images/441190745840422914/Bq4NcGNl_normal.jpeg" TargetMode="External"/><Relationship Id="rId297" Type="http://schemas.openxmlformats.org/officeDocument/2006/relationships/hyperlink" Target="https://pbs.twimg.com/profile_images/565182407536427008/csyYWkPB_normal.jpeg" TargetMode="External"/><Relationship Id="rId3029" Type="http://schemas.openxmlformats.org/officeDocument/2006/relationships/hyperlink" Target="https://pbs.twimg.com/profile_images/3112599272/7446ab70cbab1cf15ac54e9b795d2849_normal.jpeg" TargetMode="External"/><Relationship Id="rId6599" Type="http://schemas.openxmlformats.org/officeDocument/2006/relationships/hyperlink" Target="https://pbs.twimg.com/profile_images/691495144743407616/HaNPzD1H_normal.jpg" TargetMode="External"/><Relationship Id="rId7997" Type="http://schemas.openxmlformats.org/officeDocument/2006/relationships/hyperlink" Target="https://twitter.com/INDIZbot" TargetMode="External"/><Relationship Id="rId9072" Type="http://schemas.openxmlformats.org/officeDocument/2006/relationships/hyperlink" Target="https://twitter.com/INDIZbot/status/723929916752977920" TargetMode="External"/><Relationship Id="rId3510" Type="http://schemas.openxmlformats.org/officeDocument/2006/relationships/hyperlink" Target="https://twitter.com/SAP_IoT/status/722368140722728960" TargetMode="External"/><Relationship Id="rId431" Type="http://schemas.openxmlformats.org/officeDocument/2006/relationships/hyperlink" Target="https://twitter.com/HLinzenbold/status/720591433791614976" TargetMode="External"/><Relationship Id="rId1061" Type="http://schemas.openxmlformats.org/officeDocument/2006/relationships/hyperlink" Target="https://twitter.com/ahk_frankreich/status/720892346980806656" TargetMode="External"/><Relationship Id="rId2112" Type="http://schemas.openxmlformats.org/officeDocument/2006/relationships/hyperlink" Target="https://twitter.com/INDIZbot" TargetMode="External"/><Relationship Id="rId5682" Type="http://schemas.openxmlformats.org/officeDocument/2006/relationships/hyperlink" Target="https://twitter.com/INDIZbot" TargetMode="External"/><Relationship Id="rId6733" Type="http://schemas.openxmlformats.org/officeDocument/2006/relationships/hyperlink" Target="https://twitter.com/CreativeConstr" TargetMode="External"/><Relationship Id="rId4284" Type="http://schemas.openxmlformats.org/officeDocument/2006/relationships/hyperlink" Target="https://twitter.com/mediengerecht" TargetMode="External"/><Relationship Id="rId5335" Type="http://schemas.openxmlformats.org/officeDocument/2006/relationships/hyperlink" Target="https://twitter.com/BoschPresse" TargetMode="External"/><Relationship Id="rId9956" Type="http://schemas.openxmlformats.org/officeDocument/2006/relationships/hyperlink" Target="https://twitter.com/UPS_DE/status/724284651855032321" TargetMode="External"/><Relationship Id="rId8558" Type="http://schemas.openxmlformats.org/officeDocument/2006/relationships/hyperlink" Target="https://twitter.com/INDIZbot/status/723728390348484608" TargetMode="External"/><Relationship Id="rId9609" Type="http://schemas.openxmlformats.org/officeDocument/2006/relationships/hyperlink" Target="https://twitter.com/TrippBraden/status/724218591864860672" TargetMode="External"/><Relationship Id="rId1945" Type="http://schemas.openxmlformats.org/officeDocument/2006/relationships/hyperlink" Target="https://pbs.twimg.com/profile_images/645716711723925506/t5G0qOS6_normal.jpg" TargetMode="External"/><Relationship Id="rId3020" Type="http://schemas.openxmlformats.org/officeDocument/2006/relationships/hyperlink" Target="https://pbs.twimg.com/profile_images/662723326096224256/5V4KH9_O_normal.jpg" TargetMode="External"/><Relationship Id="rId6590" Type="http://schemas.openxmlformats.org/officeDocument/2006/relationships/hyperlink" Target="https://pbs.twimg.com/profile_images/529714757041782784/p2nx_q8u_normal.png" TargetMode="External"/><Relationship Id="rId7641" Type="http://schemas.openxmlformats.org/officeDocument/2006/relationships/hyperlink" Target="https://twitter.com/LeasingVerband" TargetMode="External"/><Relationship Id="rId5192" Type="http://schemas.openxmlformats.org/officeDocument/2006/relationships/hyperlink" Target="https://pbs.twimg.com/profile_images/686519244415176705/LBgib3O7_normal.png" TargetMode="External"/><Relationship Id="rId6243" Type="http://schemas.openxmlformats.org/officeDocument/2006/relationships/hyperlink" Target="https://pbs.twimg.com/profile_images/520204781394993153/KgKmEmB2_normal.jpeg" TargetMode="External"/><Relationship Id="rId2853" Type="http://schemas.openxmlformats.org/officeDocument/2006/relationships/hyperlink" Target="https://twitter.com/bianalyticsinc" TargetMode="External"/><Relationship Id="rId3904" Type="http://schemas.openxmlformats.org/officeDocument/2006/relationships/hyperlink" Target="https://pbs.twimg.com/profile_images/555327405187801088/bhizIjB-_normal.png" TargetMode="External"/><Relationship Id="rId9466" Type="http://schemas.openxmlformats.org/officeDocument/2006/relationships/hyperlink" Target="https://pbs.twimg.com/profile_images/645716711723925506/t5G0qOS6_normal.jpg" TargetMode="External"/><Relationship Id="rId825" Type="http://schemas.openxmlformats.org/officeDocument/2006/relationships/hyperlink" Target="https://twitter.com/bamitav" TargetMode="External"/><Relationship Id="rId1455" Type="http://schemas.openxmlformats.org/officeDocument/2006/relationships/hyperlink" Target="https://pbs.twimg.com/profile_images/662723326096224256/5V4KH9_O_normal.jpg" TargetMode="External"/><Relationship Id="rId2506" Type="http://schemas.openxmlformats.org/officeDocument/2006/relationships/hyperlink" Target="https://twitter.com/cccsoftwaregmbh" TargetMode="External"/><Relationship Id="rId8068" Type="http://schemas.openxmlformats.org/officeDocument/2006/relationships/hyperlink" Target="https://pbs.twimg.com/profile_images/702585949616648192/dr-rnVyA_normal.png" TargetMode="External"/><Relationship Id="rId9119" Type="http://schemas.openxmlformats.org/officeDocument/2006/relationships/hyperlink" Target="https://twitter.com/kommoptimierer" TargetMode="External"/><Relationship Id="rId1108" Type="http://schemas.openxmlformats.org/officeDocument/2006/relationships/hyperlink" Target="https://twitter.com/Becker_AnnaLisa" TargetMode="External"/><Relationship Id="rId4678" Type="http://schemas.openxmlformats.org/officeDocument/2006/relationships/hyperlink" Target="https://twitter.com/KaiKeppner/status/722710600686690305" TargetMode="External"/><Relationship Id="rId5729" Type="http://schemas.openxmlformats.org/officeDocument/2006/relationships/hyperlink" Target="https://pbs.twimg.com/profile_images/541146126158536704/IYardufS_normal.jpeg" TargetMode="External"/><Relationship Id="rId7151" Type="http://schemas.openxmlformats.org/officeDocument/2006/relationships/hyperlink" Target="https://twitter.com/BigDataTweetBot/status/723287939158007812" TargetMode="External"/><Relationship Id="rId8202" Type="http://schemas.openxmlformats.org/officeDocument/2006/relationships/hyperlink" Target="https://twitter.com/ITK_OWL" TargetMode="External"/><Relationship Id="rId9600" Type="http://schemas.openxmlformats.org/officeDocument/2006/relationships/hyperlink" Target="https://twitter.com/Bitkom_I40/status/724217921673814016" TargetMode="External"/><Relationship Id="rId10132" Type="http://schemas.openxmlformats.org/officeDocument/2006/relationships/hyperlink" Target="https://twitter.com/sallyafrank" TargetMode="External"/><Relationship Id="rId3761" Type="http://schemas.openxmlformats.org/officeDocument/2006/relationships/hyperlink" Target="https://twitter.com/INDIZbot" TargetMode="External"/><Relationship Id="rId4812" Type="http://schemas.openxmlformats.org/officeDocument/2006/relationships/hyperlink" Target="https://twitter.com/FabianMeisinger" TargetMode="External"/><Relationship Id="rId682" Type="http://schemas.openxmlformats.org/officeDocument/2006/relationships/hyperlink" Target="https://pbs.twimg.com/profile_images/708264103798824960/BACwIYDp_normal.jpg" TargetMode="External"/><Relationship Id="rId2363" Type="http://schemas.openxmlformats.org/officeDocument/2006/relationships/hyperlink" Target="https://twitter.com/WIKON_GmbH/status/721998139998212096" TargetMode="External"/><Relationship Id="rId3414" Type="http://schemas.openxmlformats.org/officeDocument/2006/relationships/hyperlink" Target="https://twitter.com/ROKAutomationDE/status/722357854615633920" TargetMode="External"/><Relationship Id="rId6984" Type="http://schemas.openxmlformats.org/officeDocument/2006/relationships/hyperlink" Target="https://pbs.twimg.com/profile_images/717446134499778560/M6wGD8Ci_normal.jpg" TargetMode="External"/><Relationship Id="rId335" Type="http://schemas.openxmlformats.org/officeDocument/2006/relationships/hyperlink" Target="https://twitter.com/LianeServices/status/720553465232154625" TargetMode="External"/><Relationship Id="rId2016" Type="http://schemas.openxmlformats.org/officeDocument/2006/relationships/hyperlink" Target="https://twitter.com/bamitav" TargetMode="External"/><Relationship Id="rId5586" Type="http://schemas.openxmlformats.org/officeDocument/2006/relationships/hyperlink" Target="https://twitter.com/INDIZbot" TargetMode="External"/><Relationship Id="rId6637" Type="http://schemas.openxmlformats.org/officeDocument/2006/relationships/hyperlink" Target="https://twitter.com/YuukiFushimi/status/723154582277234689" TargetMode="External"/><Relationship Id="rId4188" Type="http://schemas.openxmlformats.org/officeDocument/2006/relationships/hyperlink" Target="https://twitter.com/LReehten" TargetMode="External"/><Relationship Id="rId5239" Type="http://schemas.openxmlformats.org/officeDocument/2006/relationships/hyperlink" Target="https://twitter.com/JETZT_PRde/status/722771778557247489" TargetMode="External"/><Relationship Id="rId9110" Type="http://schemas.openxmlformats.org/officeDocument/2006/relationships/hyperlink" Target="https://twitter.com/INDIZbot" TargetMode="External"/><Relationship Id="rId1849" Type="http://schemas.openxmlformats.org/officeDocument/2006/relationships/hyperlink" Target="https://twitter.com/changetokaizen" TargetMode="External"/><Relationship Id="rId5720" Type="http://schemas.openxmlformats.org/officeDocument/2006/relationships/hyperlink" Target="https://pbs.twimg.com/profile_images/645716711723925506/t5G0qOS6_normal.jpg" TargetMode="External"/><Relationship Id="rId192" Type="http://schemas.openxmlformats.org/officeDocument/2006/relationships/hyperlink" Target="https://pbs.twimg.com/profile_images/582849320317145088/IwaXLITm_normal.jpg" TargetMode="External"/><Relationship Id="rId3271" Type="http://schemas.openxmlformats.org/officeDocument/2006/relationships/hyperlink" Target="https://twitter.com/FraunhoferAISEC" TargetMode="External"/><Relationship Id="rId4322" Type="http://schemas.openxmlformats.org/officeDocument/2006/relationships/hyperlink" Target="https://pbs.twimg.com/profile_images/561208179355185153/11KDu7Gt_normal.png" TargetMode="External"/><Relationship Id="rId7892" Type="http://schemas.openxmlformats.org/officeDocument/2006/relationships/hyperlink" Target="https://twitter.com/KBraeckle/status/723459314854289408" TargetMode="External"/><Relationship Id="rId8943" Type="http://schemas.openxmlformats.org/officeDocument/2006/relationships/hyperlink" Target="https://pbs.twimg.com/profile_images/712662993620733953/F-6uyGg3_normal.jpg" TargetMode="External"/><Relationship Id="rId6494" Type="http://schemas.openxmlformats.org/officeDocument/2006/relationships/hyperlink" Target="https://twitter.com/tomov_eu" TargetMode="External"/><Relationship Id="rId7545" Type="http://schemas.openxmlformats.org/officeDocument/2006/relationships/hyperlink" Target="https://twitter.com/INDIZbot" TargetMode="External"/><Relationship Id="rId5096" Type="http://schemas.openxmlformats.org/officeDocument/2006/relationships/hyperlink" Target="https://twitter.com/packagingJ/status/722759256831700993" TargetMode="External"/><Relationship Id="rId6147" Type="http://schemas.openxmlformats.org/officeDocument/2006/relationships/hyperlink" Target="https://twitter.com/Apandia" TargetMode="External"/><Relationship Id="rId729" Type="http://schemas.openxmlformats.org/officeDocument/2006/relationships/hyperlink" Target="https://twitter.com/MiklosLoerinczi/status/720688584701911041" TargetMode="External"/><Relationship Id="rId1359" Type="http://schemas.openxmlformats.org/officeDocument/2006/relationships/hyperlink" Target="https://pbs.twimg.com/profile_images/591547637381337088/1EbOGut1_normal.jpg" TargetMode="External"/><Relationship Id="rId2757" Type="http://schemas.openxmlformats.org/officeDocument/2006/relationships/hyperlink" Target="https://twitter.com/WebRTCSummit" TargetMode="External"/><Relationship Id="rId3808" Type="http://schemas.openxmlformats.org/officeDocument/2006/relationships/hyperlink" Target="https://pbs.twimg.com/profile_images/468319824402055169/JIU0573N_normal.jpeg" TargetMode="External"/><Relationship Id="rId5230" Type="http://schemas.openxmlformats.org/officeDocument/2006/relationships/hyperlink" Target="https://twitter.com/Markenartikler/status/722771061092167680" TargetMode="External"/><Relationship Id="rId9851" Type="http://schemas.openxmlformats.org/officeDocument/2006/relationships/hyperlink" Target="https://twitter.com/heikevangeel/status/724271146481410048" TargetMode="External"/><Relationship Id="rId65" Type="http://schemas.openxmlformats.org/officeDocument/2006/relationships/hyperlink" Target="https://twitter.com/Thierry_AlaNR/status/720506436233601024" TargetMode="External"/><Relationship Id="rId1840" Type="http://schemas.openxmlformats.org/officeDocument/2006/relationships/hyperlink" Target="https://twitter.com/ClemensLink" TargetMode="External"/><Relationship Id="rId8453" Type="http://schemas.openxmlformats.org/officeDocument/2006/relationships/hyperlink" Target="https://twitter.com/jforge/status/723586091220082688" TargetMode="External"/><Relationship Id="rId9504" Type="http://schemas.openxmlformats.org/officeDocument/2006/relationships/hyperlink" Target="https://twitter.com/Andrew_c_hughes/status/724192302512648192" TargetMode="External"/><Relationship Id="rId7055" Type="http://schemas.openxmlformats.org/officeDocument/2006/relationships/hyperlink" Target="https://twitter.com/DanielKueng/status/723249281457598466" TargetMode="External"/><Relationship Id="rId8106" Type="http://schemas.openxmlformats.org/officeDocument/2006/relationships/hyperlink" Target="https://twitter.com/Omni_ID/status/723496377578184704" TargetMode="External"/><Relationship Id="rId10036" Type="http://schemas.openxmlformats.org/officeDocument/2006/relationships/hyperlink" Target="https://twitter.com/INDIZbot" TargetMode="External"/><Relationship Id="rId3665" Type="http://schemas.openxmlformats.org/officeDocument/2006/relationships/hyperlink" Target="https://twitter.com/Bitkom_Service" TargetMode="External"/><Relationship Id="rId4716" Type="http://schemas.openxmlformats.org/officeDocument/2006/relationships/hyperlink" Target="https://twitter.com/christianzeller" TargetMode="External"/><Relationship Id="rId586" Type="http://schemas.openxmlformats.org/officeDocument/2006/relationships/hyperlink" Target="https://pbs.twimg.com/profile_images/645716711723925506/t5G0qOS6_normal.jpg" TargetMode="External"/><Relationship Id="rId2267" Type="http://schemas.openxmlformats.org/officeDocument/2006/relationships/hyperlink" Target="https://pbs.twimg.com/profile_images/708593414833623041/je9d1EJc_normal.jpg" TargetMode="External"/><Relationship Id="rId3318" Type="http://schemas.openxmlformats.org/officeDocument/2006/relationships/hyperlink" Target="https://pbs.twimg.com/profile_images/541146126158536704/IYardufS_normal.jpeg" TargetMode="External"/><Relationship Id="rId6888" Type="http://schemas.openxmlformats.org/officeDocument/2006/relationships/hyperlink" Target="https://pbs.twimg.com/profile_images/1398405138/wallpaper-85615_normal.jpg" TargetMode="External"/><Relationship Id="rId239" Type="http://schemas.openxmlformats.org/officeDocument/2006/relationships/hyperlink" Target="https://twitter.com/RadioOffice/status/720536315457060864" TargetMode="External"/><Relationship Id="rId7939" Type="http://schemas.openxmlformats.org/officeDocument/2006/relationships/hyperlink" Target="https://twitter.com/MetalEcoCity" TargetMode="External"/><Relationship Id="rId9361" Type="http://schemas.openxmlformats.org/officeDocument/2006/relationships/hyperlink" Target="https://pbs.twimg.com/profile_images/541146126158536704/IYardufS_normal.jpeg" TargetMode="External"/><Relationship Id="rId9014" Type="http://schemas.openxmlformats.org/officeDocument/2006/relationships/hyperlink" Target="https://twitter.com/NickBoesl/status/723910364358934528" TargetMode="External"/><Relationship Id="rId720" Type="http://schemas.openxmlformats.org/officeDocument/2006/relationships/hyperlink" Target="https://twitter.com/corischindlbeck/status/720687386603208704" TargetMode="External"/><Relationship Id="rId1350" Type="http://schemas.openxmlformats.org/officeDocument/2006/relationships/hyperlink" Target="https://pbs.twimg.com/profile_images/378800000373511626/dff4caac0dec0dfab35d4c58f5209e18_normal.jpeg" TargetMode="External"/><Relationship Id="rId2401" Type="http://schemas.openxmlformats.org/officeDocument/2006/relationships/hyperlink" Target="https://twitter.com/foresight_lab" TargetMode="External"/><Relationship Id="rId5971" Type="http://schemas.openxmlformats.org/officeDocument/2006/relationships/hyperlink" Target="https://pbs.twimg.com/profile_images/699912588302426112/2kZQzAuA_normal.jpg" TargetMode="External"/><Relationship Id="rId1003" Type="http://schemas.openxmlformats.org/officeDocument/2006/relationships/hyperlink" Target="https://twitter.com/Gesamtmetall" TargetMode="External"/><Relationship Id="rId4573" Type="http://schemas.openxmlformats.org/officeDocument/2006/relationships/hyperlink" Target="https://twitter.com/MarianKoeller/status/722706221933981696" TargetMode="External"/><Relationship Id="rId5624" Type="http://schemas.openxmlformats.org/officeDocument/2006/relationships/hyperlink" Target="https://pbs.twimg.com/profile_images/1281327600/VEM_LOGO_1101_4c_o_Twitter_normal.jpg" TargetMode="External"/><Relationship Id="rId3175" Type="http://schemas.openxmlformats.org/officeDocument/2006/relationships/hyperlink" Target="https://twitter.com/INDIZbot/status/722319364821790720" TargetMode="External"/><Relationship Id="rId4226" Type="http://schemas.openxmlformats.org/officeDocument/2006/relationships/hyperlink" Target="https://pbs.twimg.com/profile_images/645716711723925506/t5G0qOS6_normal.jpg" TargetMode="External"/><Relationship Id="rId7796" Type="http://schemas.openxmlformats.org/officeDocument/2006/relationships/hyperlink" Target="https://twitter.com/verlinked/status/723436246928740353" TargetMode="External"/><Relationship Id="rId8847" Type="http://schemas.openxmlformats.org/officeDocument/2006/relationships/hyperlink" Target="https://pbs.twimg.com/profile_images/378989830/Reinhard-Portrait_normal.jpg" TargetMode="External"/><Relationship Id="rId6398" Type="http://schemas.openxmlformats.org/officeDocument/2006/relationships/hyperlink" Target="https://twitter.com/SEWEURODRIVE" TargetMode="External"/><Relationship Id="rId7449" Type="http://schemas.openxmlformats.org/officeDocument/2006/relationships/hyperlink" Target="https://twitter.com/knauf_philipp" TargetMode="External"/><Relationship Id="rId230" Type="http://schemas.openxmlformats.org/officeDocument/2006/relationships/hyperlink" Target="https://twitter.com/Apandia/status/720535582095507456" TargetMode="External"/><Relationship Id="rId7930" Type="http://schemas.openxmlformats.org/officeDocument/2006/relationships/hyperlink" Target="https://twitter.com/kommoptimierer" TargetMode="External"/><Relationship Id="rId4083" Type="http://schemas.openxmlformats.org/officeDocument/2006/relationships/hyperlink" Target="https://twitter.com/pfisterer_ralf" TargetMode="External"/><Relationship Id="rId5481" Type="http://schemas.openxmlformats.org/officeDocument/2006/relationships/hyperlink" Target="https://twitter.com/Global_Fairs" TargetMode="External"/><Relationship Id="rId6532" Type="http://schemas.openxmlformats.org/officeDocument/2006/relationships/hyperlink" Target="https://pbs.twimg.com/profile_images/548030384030507008/utABqhj9_normal.png" TargetMode="External"/><Relationship Id="rId5134" Type="http://schemas.openxmlformats.org/officeDocument/2006/relationships/hyperlink" Target="https://twitter.com/INDIZbot" TargetMode="External"/><Relationship Id="rId9755" Type="http://schemas.openxmlformats.org/officeDocument/2006/relationships/hyperlink" Target="https://twitter.com/SASCHAKAUS1/status/724243047358337024" TargetMode="External"/><Relationship Id="rId1744" Type="http://schemas.openxmlformats.org/officeDocument/2006/relationships/hyperlink" Target="https://twitter.com/Tiba_Schweiz" TargetMode="External"/><Relationship Id="rId4150" Type="http://schemas.openxmlformats.org/officeDocument/2006/relationships/hyperlink" Target="https://twitter.com/INDIZbot/status/722513014981861376" TargetMode="External"/><Relationship Id="rId5201" Type="http://schemas.openxmlformats.org/officeDocument/2006/relationships/hyperlink" Target="https://pbs.twimg.com/profile_images/615797525040136192/CKF9-v_o_normal.jpg" TargetMode="External"/><Relationship Id="rId8357" Type="http://schemas.openxmlformats.org/officeDocument/2006/relationships/hyperlink" Target="https://abs.twimg.com/sticky/default_profile_images/default_profile_5_normal.png" TargetMode="External"/><Relationship Id="rId8771" Type="http://schemas.openxmlformats.org/officeDocument/2006/relationships/hyperlink" Target="https://twitter.com/BoschPresse/status/723808698515263488" TargetMode="External"/><Relationship Id="rId9408" Type="http://schemas.openxmlformats.org/officeDocument/2006/relationships/hyperlink" Target="https://twitter.com/renaschwarting/status/724173053329084417" TargetMode="External"/><Relationship Id="rId9822" Type="http://schemas.openxmlformats.org/officeDocument/2006/relationships/hyperlink" Target="https://pbs.twimg.com/profile_images/561600740448153600/1SOPpS8W_normal.jpeg" TargetMode="External"/><Relationship Id="rId10287" Type="http://schemas.openxmlformats.org/officeDocument/2006/relationships/hyperlink" Target="https://pbs.twimg.com/profile_images/2181738359/080823016_normal.jpg" TargetMode="External"/><Relationship Id="rId36" Type="http://schemas.openxmlformats.org/officeDocument/2006/relationships/hyperlink" Target="https://pbs.twimg.com/profile_images/690125049806884864/ET63bOiY_normal.jpg" TargetMode="External"/><Relationship Id="rId4967" Type="http://schemas.openxmlformats.org/officeDocument/2006/relationships/hyperlink" Target="https://pbs.twimg.com/profile_images/669502955570241536/rh4E70Pk_normal.jpg" TargetMode="External"/><Relationship Id="rId7373" Type="http://schemas.openxmlformats.org/officeDocument/2006/relationships/hyperlink" Target="https://twitter.com/INDIZbot" TargetMode="External"/><Relationship Id="rId8424" Type="http://schemas.openxmlformats.org/officeDocument/2006/relationships/hyperlink" Target="https://pbs.twimg.com/profile_images/677499340886265856/Tv7B4r_x_normal.jpg" TargetMode="External"/><Relationship Id="rId1811" Type="http://schemas.openxmlformats.org/officeDocument/2006/relationships/hyperlink" Target="https://twitter.com/josebaghdad/status/721410671544573952" TargetMode="External"/><Relationship Id="rId3569" Type="http://schemas.openxmlformats.org/officeDocument/2006/relationships/hyperlink" Target="https://twitter.com/INDIZbot" TargetMode="External"/><Relationship Id="rId7026" Type="http://schemas.openxmlformats.org/officeDocument/2006/relationships/hyperlink" Target="https://pbs.twimg.com/profile_images/710115007380496384/soUshg0u_normal.jpg" TargetMode="External"/><Relationship Id="rId7440" Type="http://schemas.openxmlformats.org/officeDocument/2006/relationships/hyperlink" Target="http://ideenwerkbw.de/" TargetMode="External"/><Relationship Id="rId10007" Type="http://schemas.openxmlformats.org/officeDocument/2006/relationships/hyperlink" Target="https://twitter.com/automatisierer/status/724298817563181056" TargetMode="External"/><Relationship Id="rId3983" Type="http://schemas.openxmlformats.org/officeDocument/2006/relationships/hyperlink" Target="https://twitter.com/MartinaWernerEU" TargetMode="External"/><Relationship Id="rId6042" Type="http://schemas.openxmlformats.org/officeDocument/2006/relationships/hyperlink" Target="https://twitter.com/itandbusinessDE/status/723072913008656384" TargetMode="External"/><Relationship Id="rId9198" Type="http://schemas.openxmlformats.org/officeDocument/2006/relationships/hyperlink" Target="https://twitter.com/serpil_ozguven/status/723972496798691329" TargetMode="External"/><Relationship Id="rId1187" Type="http://schemas.openxmlformats.org/officeDocument/2006/relationships/hyperlink" Target="https://twitter.com/_DSAG/status/720916337497915392" TargetMode="External"/><Relationship Id="rId2585" Type="http://schemas.openxmlformats.org/officeDocument/2006/relationships/hyperlink" Target="https://twitter.com/kommoptimierer/status/722063559560138752" TargetMode="External"/><Relationship Id="rId3636" Type="http://schemas.openxmlformats.org/officeDocument/2006/relationships/hyperlink" Target="https://twitter.com/H_IT_D/status/722393363865927682" TargetMode="External"/><Relationship Id="rId557" Type="http://schemas.openxmlformats.org/officeDocument/2006/relationships/hyperlink" Target="https://twitter.com/EEIPEnMg" TargetMode="External"/><Relationship Id="rId971" Type="http://schemas.openxmlformats.org/officeDocument/2006/relationships/hyperlink" Target="https://twitter.com/MarianKoeller/status/720879118020005889" TargetMode="External"/><Relationship Id="rId2238" Type="http://schemas.openxmlformats.org/officeDocument/2006/relationships/hyperlink" Target="https://pbs.twimg.com/profile_images/690172121973145601/pudiMkyd_normal.jpg" TargetMode="External"/><Relationship Id="rId2652" Type="http://schemas.openxmlformats.org/officeDocument/2006/relationships/hyperlink" Target="https://twitter.com/GeRosenthal" TargetMode="External"/><Relationship Id="rId3703" Type="http://schemas.openxmlformats.org/officeDocument/2006/relationships/hyperlink" Target="https://pbs.twimg.com/profile_images/694181475948875776/dYfsbE3P_normal.jpg" TargetMode="External"/><Relationship Id="rId6859" Type="http://schemas.openxmlformats.org/officeDocument/2006/relationships/hyperlink" Target="https://twitter.com/INDIZbot" TargetMode="External"/><Relationship Id="rId9265" Type="http://schemas.openxmlformats.org/officeDocument/2006/relationships/hyperlink" Target="https://pbs.twimg.com/profile_images/709444980553740288/Xds-Aan6_normal.jpg" TargetMode="External"/><Relationship Id="rId624" Type="http://schemas.openxmlformats.org/officeDocument/2006/relationships/hyperlink" Target="https://twitter.com/MiklosLoerinczi/status/720639802580852736" TargetMode="External"/><Relationship Id="rId1254" Type="http://schemas.openxmlformats.org/officeDocument/2006/relationships/hyperlink" Target="https://pbs.twimg.com/profile_images/645716711723925506/t5G0qOS6_normal.jpg" TargetMode="External"/><Relationship Id="rId2305" Type="http://schemas.openxmlformats.org/officeDocument/2006/relationships/hyperlink" Target="https://twitter.com/INDIZbot/status/721979654861627392" TargetMode="External"/><Relationship Id="rId5875" Type="http://schemas.openxmlformats.org/officeDocument/2006/relationships/hyperlink" Target="https://pbs.twimg.com/profile_images/672794348442877952/m6Is-Nrc_normal.jpg" TargetMode="External"/><Relationship Id="rId6926" Type="http://schemas.openxmlformats.org/officeDocument/2006/relationships/hyperlink" Target="https://twitter.com/DIGITUSmagazin/status/723191999440936960" TargetMode="External"/><Relationship Id="rId8281" Type="http://schemas.openxmlformats.org/officeDocument/2006/relationships/hyperlink" Target="https://twitter.com/acalregion/status/723526083702861824" TargetMode="External"/><Relationship Id="rId9332" Type="http://schemas.openxmlformats.org/officeDocument/2006/relationships/hyperlink" Target="https://twitter.com/KUKA_RoboticsDE" TargetMode="External"/><Relationship Id="rId1321" Type="http://schemas.openxmlformats.org/officeDocument/2006/relationships/hyperlink" Target="https://twitter.com/TellMePlus" TargetMode="External"/><Relationship Id="rId4477" Type="http://schemas.openxmlformats.org/officeDocument/2006/relationships/hyperlink" Target="https://twitter.com/Tiba_Schweiz" TargetMode="External"/><Relationship Id="rId4891" Type="http://schemas.openxmlformats.org/officeDocument/2006/relationships/hyperlink" Target="https://twitter.com/INDIZbot/status/722731936066760704" TargetMode="External"/><Relationship Id="rId5528" Type="http://schemas.openxmlformats.org/officeDocument/2006/relationships/hyperlink" Target="https://pbs.twimg.com/profile_images/600969802908356609/3JqGMg38_normal.png" TargetMode="External"/><Relationship Id="rId3079" Type="http://schemas.openxmlformats.org/officeDocument/2006/relationships/hyperlink" Target="https://twitter.com/BoschSI/status/722311320012472320" TargetMode="External"/><Relationship Id="rId3493" Type="http://schemas.openxmlformats.org/officeDocument/2006/relationships/hyperlink" Target="https://pbs.twimg.com/profile_images/420844205607362560/p085f4o7_normal.png" TargetMode="External"/><Relationship Id="rId4544" Type="http://schemas.openxmlformats.org/officeDocument/2006/relationships/hyperlink" Target="https://pbs.twimg.com/profile_images/2698310449/0da9a659e7a30abe7633746b7ada9ef7_normal.jpeg" TargetMode="External"/><Relationship Id="rId5942" Type="http://schemas.openxmlformats.org/officeDocument/2006/relationships/hyperlink" Target="https://twitter.com/JoergNbr" TargetMode="External"/><Relationship Id="rId8001" Type="http://schemas.openxmlformats.org/officeDocument/2006/relationships/hyperlink" Target="https://twitter.com/davidphotiade/status/723477077345873923" TargetMode="External"/><Relationship Id="rId2095" Type="http://schemas.openxmlformats.org/officeDocument/2006/relationships/hyperlink" Target="https://twitter.com/kommoptimierer/status/721927179991392256" TargetMode="External"/><Relationship Id="rId3146" Type="http://schemas.openxmlformats.org/officeDocument/2006/relationships/hyperlink" Target="https://pbs.twimg.com/profile_images/623849156159868928/BetFDR_i_normal.jpg" TargetMode="External"/><Relationship Id="rId481" Type="http://schemas.openxmlformats.org/officeDocument/2006/relationships/hyperlink" Target="https://pbs.twimg.com/profile_images/496687683813404674/YzNGUapS_normal.jpeg" TargetMode="External"/><Relationship Id="rId2162" Type="http://schemas.openxmlformats.org/officeDocument/2006/relationships/hyperlink" Target="https://twitter.com/LIMITEDMETHWEED/status/721954119657865216" TargetMode="External"/><Relationship Id="rId3560" Type="http://schemas.openxmlformats.org/officeDocument/2006/relationships/hyperlink" Target="https://twitter.com/ahk_balt" TargetMode="External"/><Relationship Id="rId4611" Type="http://schemas.openxmlformats.org/officeDocument/2006/relationships/hyperlink" Target="https://twitter.com/ROKAutomationDE" TargetMode="External"/><Relationship Id="rId6369" Type="http://schemas.openxmlformats.org/officeDocument/2006/relationships/hyperlink" Target="https://twitter.com/IT_Connection/status/723116661906264064" TargetMode="External"/><Relationship Id="rId7767" Type="http://schemas.openxmlformats.org/officeDocument/2006/relationships/hyperlink" Target="https://twitter.com/GustavoPonce67" TargetMode="External"/><Relationship Id="rId8818" Type="http://schemas.openxmlformats.org/officeDocument/2006/relationships/hyperlink" Target="https://twitter.com/THINK_ING" TargetMode="External"/><Relationship Id="rId134" Type="http://schemas.openxmlformats.org/officeDocument/2006/relationships/hyperlink" Target="https://twitter.com/3itcom/status/720516236606640129" TargetMode="External"/><Relationship Id="rId3213" Type="http://schemas.openxmlformats.org/officeDocument/2006/relationships/hyperlink" Target="https://pbs.twimg.com/profile_images/1610234082/jwstwitter_normal.jpg" TargetMode="External"/><Relationship Id="rId6783" Type="http://schemas.openxmlformats.org/officeDocument/2006/relationships/hyperlink" Target="https://pbs.twimg.com/profile_images/534621099556737026/DyF7DRy5_normal.jpeg" TargetMode="External"/><Relationship Id="rId7834" Type="http://schemas.openxmlformats.org/officeDocument/2006/relationships/hyperlink" Target="https://twitter.com/manutencaopt" TargetMode="External"/><Relationship Id="rId2979" Type="http://schemas.openxmlformats.org/officeDocument/2006/relationships/hyperlink" Target="https://twitter.com/JerDoug/status/722259897836904449" TargetMode="External"/><Relationship Id="rId5385" Type="http://schemas.openxmlformats.org/officeDocument/2006/relationships/hyperlink" Target="https://twitter.com/INDIZbot/status/722797327115804672" TargetMode="External"/><Relationship Id="rId6436" Type="http://schemas.openxmlformats.org/officeDocument/2006/relationships/hyperlink" Target="https://pbs.twimg.com/profile_images/1236430172/dominik-big_normal.jpg" TargetMode="External"/><Relationship Id="rId6850" Type="http://schemas.openxmlformats.org/officeDocument/2006/relationships/hyperlink" Target="https://twitter.com/ROKAutomationUK" TargetMode="External"/><Relationship Id="rId7901" Type="http://schemas.openxmlformats.org/officeDocument/2006/relationships/hyperlink" Target="https://twitter.com/SvenMul/status/723461579845603329" TargetMode="External"/><Relationship Id="rId201" Type="http://schemas.openxmlformats.org/officeDocument/2006/relationships/hyperlink" Target="https://pbs.twimg.com/profile_images/615797525040136192/CKF9-v_o_normal.jpg" TargetMode="External"/><Relationship Id="rId1995" Type="http://schemas.openxmlformats.org/officeDocument/2006/relationships/hyperlink" Target="https://twitter.com/CWRoehl" TargetMode="External"/><Relationship Id="rId5038" Type="http://schemas.openxmlformats.org/officeDocument/2006/relationships/hyperlink" Target="https://twitter.com/UweKubach" TargetMode="External"/><Relationship Id="rId5452" Type="http://schemas.openxmlformats.org/officeDocument/2006/relationships/hyperlink" Target="https://twitter.com/AccenturePresse/status/722808306654322688" TargetMode="External"/><Relationship Id="rId6503" Type="http://schemas.openxmlformats.org/officeDocument/2006/relationships/hyperlink" Target="https://twitter.com/rene_ziegler" TargetMode="External"/><Relationship Id="rId9659" Type="http://schemas.openxmlformats.org/officeDocument/2006/relationships/hyperlink" Target="https://twitter.com/MarksMusing" TargetMode="External"/><Relationship Id="rId1648" Type="http://schemas.openxmlformats.org/officeDocument/2006/relationships/hyperlink" Target="https://twitter.com/InternetofBiz" TargetMode="External"/><Relationship Id="rId4054" Type="http://schemas.openxmlformats.org/officeDocument/2006/relationships/hyperlink" Target="https://pbs.twimg.com/profile_images/708212573745901568/A8w7_gKA_normal.jpg" TargetMode="External"/><Relationship Id="rId5105" Type="http://schemas.openxmlformats.org/officeDocument/2006/relationships/hyperlink" Target="https://twitter.com/DAE_Blogger/status/722759818612576257" TargetMode="External"/><Relationship Id="rId8675" Type="http://schemas.openxmlformats.org/officeDocument/2006/relationships/hyperlink" Target="https://twitter.com/INDIZbot/status/723783757342343169" TargetMode="External"/><Relationship Id="rId9726" Type="http://schemas.openxmlformats.org/officeDocument/2006/relationships/hyperlink" Target="https://twitter.com/foresight_lab/status/724236480504311808" TargetMode="External"/><Relationship Id="rId3070" Type="http://schemas.openxmlformats.org/officeDocument/2006/relationships/hyperlink" Target="https://twitter.com/BoschSI/status/722309857202872322" TargetMode="External"/><Relationship Id="rId4121" Type="http://schemas.openxmlformats.org/officeDocument/2006/relationships/hyperlink" Target="https://pbs.twimg.com/profile_images/649572788148285440/Sxl5vTa3_normal.jpg" TargetMode="External"/><Relationship Id="rId7277" Type="http://schemas.openxmlformats.org/officeDocument/2006/relationships/hyperlink" Target="https://twitter.com/BBweeg/status/723390291323981825" TargetMode="External"/><Relationship Id="rId8328" Type="http://schemas.openxmlformats.org/officeDocument/2006/relationships/hyperlink" Target="https://twitter.com/DanielKueng" TargetMode="External"/><Relationship Id="rId1715" Type="http://schemas.openxmlformats.org/officeDocument/2006/relationships/hyperlink" Target="https://twitter.com/INDIZbot/status/721325057239347200" TargetMode="External"/><Relationship Id="rId6293" Type="http://schemas.openxmlformats.org/officeDocument/2006/relationships/hyperlink" Target="https://twitter.com/MartinaWeidmann" TargetMode="External"/><Relationship Id="rId7691" Type="http://schemas.openxmlformats.org/officeDocument/2006/relationships/hyperlink" Target="https://pbs.twimg.com/profile_images/719537970005602304/4yxq2Cg-_normal.jpg" TargetMode="External"/><Relationship Id="rId8742" Type="http://schemas.openxmlformats.org/officeDocument/2006/relationships/hyperlink" Target="https://pbs.twimg.com/profile_images/720569233697017856/YKCnSitZ_normal.jpg" TargetMode="External"/><Relationship Id="rId10258" Type="http://schemas.openxmlformats.org/officeDocument/2006/relationships/hyperlink" Target="https://twitter.com/AlbertoMunoz" TargetMode="External"/><Relationship Id="rId3887" Type="http://schemas.openxmlformats.org/officeDocument/2006/relationships/hyperlink" Target="https://twitter.com/werliefertwas" TargetMode="External"/><Relationship Id="rId4938" Type="http://schemas.openxmlformats.org/officeDocument/2006/relationships/hyperlink" Target="https://twitter.com/Bitkom" TargetMode="External"/><Relationship Id="rId7344" Type="http://schemas.openxmlformats.org/officeDocument/2006/relationships/hyperlink" Target="https://twitter.com/kommoptimierer/status/723400959590690816" TargetMode="External"/><Relationship Id="rId10325" Type="http://schemas.openxmlformats.org/officeDocument/2006/relationships/hyperlink" Target="https://twitter.com/PKwissenswertes/status/724465252755185665" TargetMode="External"/><Relationship Id="rId2489" Type="http://schemas.openxmlformats.org/officeDocument/2006/relationships/hyperlink" Target="https://twitter.com/kion_group/status/722045453458665472" TargetMode="External"/><Relationship Id="rId3954" Type="http://schemas.openxmlformats.org/officeDocument/2006/relationships/hyperlink" Target="https://twitter.com/mfritz_fhg/status/722461563345616897" TargetMode="External"/><Relationship Id="rId6360" Type="http://schemas.openxmlformats.org/officeDocument/2006/relationships/hyperlink" Target="https://pbs.twimg.com/profile_images/3726440228/9ba49ccb938cf571b195e3e83a4e1327_normal.jpeg" TargetMode="External"/><Relationship Id="rId7411" Type="http://schemas.openxmlformats.org/officeDocument/2006/relationships/hyperlink" Target="https://twitter.com/innovationbawue/status/723405336955121664" TargetMode="External"/><Relationship Id="rId875" Type="http://schemas.openxmlformats.org/officeDocument/2006/relationships/hyperlink" Target="https://pbs.twimg.com/profile_images/707651451284287488/OJug5o2o_normal.jpg" TargetMode="External"/><Relationship Id="rId2556" Type="http://schemas.openxmlformats.org/officeDocument/2006/relationships/hyperlink" Target="https://twitter.com/prxagentur" TargetMode="External"/><Relationship Id="rId2970" Type="http://schemas.openxmlformats.org/officeDocument/2006/relationships/hyperlink" Target="https://twitter.com/APGuha/status/722248142398205953" TargetMode="External"/><Relationship Id="rId3607" Type="http://schemas.openxmlformats.org/officeDocument/2006/relationships/hyperlink" Target="https://pbs.twimg.com/profile_images/711649649644445696/AmUV5ABP_normal.jpg" TargetMode="External"/><Relationship Id="rId6013" Type="http://schemas.openxmlformats.org/officeDocument/2006/relationships/hyperlink" Target="https://pbs.twimg.com/profile_images/509470222244249600/93cDgKgI_normal.jpeg" TargetMode="External"/><Relationship Id="rId9169" Type="http://schemas.openxmlformats.org/officeDocument/2006/relationships/hyperlink" Target="https://pbs.twimg.com/profile_images/2994151206/72e14517d19cb49aa35fe3019df8b048_normal.jpeg" TargetMode="External"/><Relationship Id="rId9583" Type="http://schemas.openxmlformats.org/officeDocument/2006/relationships/hyperlink" Target="https://pbs.twimg.com/profile_images/466860381533515776/jiQ9EbK1_normal.jpeg" TargetMode="External"/><Relationship Id="rId528" Type="http://schemas.openxmlformats.org/officeDocument/2006/relationships/hyperlink" Target="https://twitter.com/guneetIoT/status/720614773424013312" TargetMode="External"/><Relationship Id="rId942" Type="http://schemas.openxmlformats.org/officeDocument/2006/relationships/hyperlink" Target="https://twitter.com/INDIZbot" TargetMode="External"/><Relationship Id="rId1158" Type="http://schemas.openxmlformats.org/officeDocument/2006/relationships/hyperlink" Target="https://pbs.twimg.com/profile_images/651379403469926400/6LZT8xnc_normal.jpg" TargetMode="External"/><Relationship Id="rId1572" Type="http://schemas.openxmlformats.org/officeDocument/2006/relationships/hyperlink" Target="https://pbs.twimg.com/profile_images/651964313322721281/-f8yI6Ku_normal.jpg" TargetMode="External"/><Relationship Id="rId2209" Type="http://schemas.openxmlformats.org/officeDocument/2006/relationships/hyperlink" Target="https://twitter.com/MeinGeldMedien" TargetMode="External"/><Relationship Id="rId2623" Type="http://schemas.openxmlformats.org/officeDocument/2006/relationships/hyperlink" Target="https://pbs.twimg.com/profile_images/686519244415176705/LBgib3O7_normal.png" TargetMode="External"/><Relationship Id="rId5779" Type="http://schemas.openxmlformats.org/officeDocument/2006/relationships/hyperlink" Target="https://twitter.com/BOLDLYGO_FFM/status/723039314880397312" TargetMode="External"/><Relationship Id="rId8185" Type="http://schemas.openxmlformats.org/officeDocument/2006/relationships/hyperlink" Target="https://pbs.twimg.com/profile_images/645716711723925506/t5G0qOS6_normal.jpg" TargetMode="External"/><Relationship Id="rId9236" Type="http://schemas.openxmlformats.org/officeDocument/2006/relationships/hyperlink" Target="https://twitter.com/RealJoeGuy" TargetMode="External"/><Relationship Id="rId9650" Type="http://schemas.openxmlformats.org/officeDocument/2006/relationships/hyperlink" Target="https://twitter.com/gaadvancement" TargetMode="External"/><Relationship Id="rId1225" Type="http://schemas.openxmlformats.org/officeDocument/2006/relationships/hyperlink" Target="https://twitter.com/AllforOneSteeb" TargetMode="External"/><Relationship Id="rId8252" Type="http://schemas.openxmlformats.org/officeDocument/2006/relationships/hyperlink" Target="https://pbs.twimg.com/profile_images/598047133485400064/sz5k5LB4_normal.jpg" TargetMode="External"/><Relationship Id="rId9303" Type="http://schemas.openxmlformats.org/officeDocument/2006/relationships/hyperlink" Target="https://twitter.com/kommoptimierer/status/724132315698483200" TargetMode="External"/><Relationship Id="rId3397" Type="http://schemas.openxmlformats.org/officeDocument/2006/relationships/hyperlink" Target="https://pbs.twimg.com/profile_images/690125049806884864/ET63bOiY_normal.jpg" TargetMode="External"/><Relationship Id="rId4795" Type="http://schemas.openxmlformats.org/officeDocument/2006/relationships/hyperlink" Target="https://twitter.com/shootoke/status/722719404358836224" TargetMode="External"/><Relationship Id="rId5846" Type="http://schemas.openxmlformats.org/officeDocument/2006/relationships/hyperlink" Target="https://twitter.com/bigdata_insider" TargetMode="External"/><Relationship Id="rId10182" Type="http://schemas.openxmlformats.org/officeDocument/2006/relationships/hyperlink" Target="https://pbs.twimg.com/profile_images/1073416673/um_logo_facebook_normal.png" TargetMode="External"/><Relationship Id="rId4448" Type="http://schemas.openxmlformats.org/officeDocument/2006/relationships/hyperlink" Target="https://twitter.com/charlotte_hager/status/722694014286303232" TargetMode="External"/><Relationship Id="rId4862" Type="http://schemas.openxmlformats.org/officeDocument/2006/relationships/hyperlink" Target="https://pbs.twimg.com/profile_images/664044971788509188/KRTH7qBq_normal.jpg" TargetMode="External"/><Relationship Id="rId5913" Type="http://schemas.openxmlformats.org/officeDocument/2006/relationships/hyperlink" Target="https://twitter.com/RolandDuerre/status/723060941726732288" TargetMode="External"/><Relationship Id="rId3464" Type="http://schemas.openxmlformats.org/officeDocument/2006/relationships/hyperlink" Target="https://twitter.com/astreim" TargetMode="External"/><Relationship Id="rId4515" Type="http://schemas.openxmlformats.org/officeDocument/2006/relationships/hyperlink" Target="https://twitter.com/onlinebynature" TargetMode="External"/><Relationship Id="rId385" Type="http://schemas.openxmlformats.org/officeDocument/2006/relationships/hyperlink" Target="https://twitter.com/LutzVA" TargetMode="External"/><Relationship Id="rId2066" Type="http://schemas.openxmlformats.org/officeDocument/2006/relationships/hyperlink" Target="https://pbs.twimg.com/profile_images/645716711723925506/t5G0qOS6_normal.jpg" TargetMode="External"/><Relationship Id="rId2480" Type="http://schemas.openxmlformats.org/officeDocument/2006/relationships/hyperlink" Target="https://twitter.com/JETZT_PRde/status/722043197451608064" TargetMode="External"/><Relationship Id="rId3117" Type="http://schemas.openxmlformats.org/officeDocument/2006/relationships/hyperlink" Target="https://twitter.com/steffi_kow" TargetMode="External"/><Relationship Id="rId3531" Type="http://schemas.openxmlformats.org/officeDocument/2006/relationships/hyperlink" Target="https://twitter.com/Apandia/status/722372184958586884" TargetMode="External"/><Relationship Id="rId6687" Type="http://schemas.openxmlformats.org/officeDocument/2006/relationships/hyperlink" Target="https://pbs.twimg.com/profile_images/600279861282869249/IpIJ3MKX_normal.png" TargetMode="External"/><Relationship Id="rId7738" Type="http://schemas.openxmlformats.org/officeDocument/2006/relationships/hyperlink" Target="https://twitter.com/Energize_Rec/status/723429772022304769" TargetMode="External"/><Relationship Id="rId9093" Type="http://schemas.openxmlformats.org/officeDocument/2006/relationships/hyperlink" Target="https://twitter.com/Bitkom/status/723938928311582721" TargetMode="External"/><Relationship Id="rId452" Type="http://schemas.openxmlformats.org/officeDocument/2006/relationships/hyperlink" Target="https://twitter.com/QuickFindsIn/status/720597479125680128" TargetMode="External"/><Relationship Id="rId1082" Type="http://schemas.openxmlformats.org/officeDocument/2006/relationships/hyperlink" Target="https://twitter.com/BakerMcGER/status/720899229410045952" TargetMode="External"/><Relationship Id="rId2133" Type="http://schemas.openxmlformats.org/officeDocument/2006/relationships/hyperlink" Target="https://pbs.twimg.com/profile_images/661569725550469124/-Uzw8rQt_normal.jpg" TargetMode="External"/><Relationship Id="rId5289" Type="http://schemas.openxmlformats.org/officeDocument/2006/relationships/hyperlink" Target="https://pbs.twimg.com/profile_images/600279861282869249/IpIJ3MKX_normal.png" TargetMode="External"/><Relationship Id="rId6754" Type="http://schemas.openxmlformats.org/officeDocument/2006/relationships/hyperlink" Target="https://twitter.com/mark_asbach" TargetMode="External"/><Relationship Id="rId7805" Type="http://schemas.openxmlformats.org/officeDocument/2006/relationships/hyperlink" Target="https://twitter.com/ITK_OWL/status/723439092269223936" TargetMode="External"/><Relationship Id="rId9160" Type="http://schemas.openxmlformats.org/officeDocument/2006/relationships/hyperlink" Target="https://pbs.twimg.com/profile_images/541146126158536704/IYardufS_normal.jpeg" TargetMode="External"/><Relationship Id="rId105" Type="http://schemas.openxmlformats.org/officeDocument/2006/relationships/hyperlink" Target="https://pbs.twimg.com/profile_images/645716711723925506/t5G0qOS6_normal.jpg" TargetMode="External"/><Relationship Id="rId2200" Type="http://schemas.openxmlformats.org/officeDocument/2006/relationships/hyperlink" Target="https://twitter.com/H_IT_D" TargetMode="External"/><Relationship Id="rId5356" Type="http://schemas.openxmlformats.org/officeDocument/2006/relationships/hyperlink" Target="https://pbs.twimg.com/profile_images/719538951988592641/7lKnB2dG_normal.jpg" TargetMode="External"/><Relationship Id="rId6407" Type="http://schemas.openxmlformats.org/officeDocument/2006/relationships/hyperlink" Target="https://twitter.com/SGE" TargetMode="External"/><Relationship Id="rId1899" Type="http://schemas.openxmlformats.org/officeDocument/2006/relationships/hyperlink" Target="https://twitter.com/kommoptimierer/status/721619211580260352" TargetMode="External"/><Relationship Id="rId4372" Type="http://schemas.openxmlformats.org/officeDocument/2006/relationships/hyperlink" Target="https://twitter.com/ROKAutomationUK/status/722682484270436352" TargetMode="External"/><Relationship Id="rId5009" Type="http://schemas.openxmlformats.org/officeDocument/2006/relationships/hyperlink" Target="https://twitter.com/Becker_AnnaLisa/status/722748644709916672" TargetMode="External"/><Relationship Id="rId5770" Type="http://schemas.openxmlformats.org/officeDocument/2006/relationships/hyperlink" Target="https://twitter.com/AnnKatrin_K/status/723035153136640000" TargetMode="External"/><Relationship Id="rId6821" Type="http://schemas.openxmlformats.org/officeDocument/2006/relationships/hyperlink" Target="https://twitter.com/CapgeminiDE/status/723178386491846656" TargetMode="External"/><Relationship Id="rId8579" Type="http://schemas.openxmlformats.org/officeDocument/2006/relationships/hyperlink" Target="https://twitter.com/ULdialogue/status/723755287375540224" TargetMode="External"/><Relationship Id="rId9977" Type="http://schemas.openxmlformats.org/officeDocument/2006/relationships/hyperlink" Target="https://twitter.com/rodneyabrooks/status/724291397281525760" TargetMode="External"/><Relationship Id="rId1966" Type="http://schemas.openxmlformats.org/officeDocument/2006/relationships/hyperlink" Target="https://twitter.com/INDIZbot/status/721672685206519809" TargetMode="External"/><Relationship Id="rId4025" Type="http://schemas.openxmlformats.org/officeDocument/2006/relationships/hyperlink" Target="https://twitter.com/industrie_futur" TargetMode="External"/><Relationship Id="rId5423" Type="http://schemas.openxmlformats.org/officeDocument/2006/relationships/hyperlink" Target="https://twitter.com/ChRothe" TargetMode="External"/><Relationship Id="rId8993" Type="http://schemas.openxmlformats.org/officeDocument/2006/relationships/hyperlink" Target="https://twitter.com/INDIZbot/status/723884783886057472" TargetMode="External"/><Relationship Id="rId1619" Type="http://schemas.openxmlformats.org/officeDocument/2006/relationships/hyperlink" Target="https://twitter.com/VDI_News/status/721249037538705409" TargetMode="External"/><Relationship Id="rId7595" Type="http://schemas.openxmlformats.org/officeDocument/2006/relationships/hyperlink" Target="https://pbs.twimg.com/profile_images/696725980027572224/2-3HmqsY_normal.jpg" TargetMode="External"/><Relationship Id="rId8646" Type="http://schemas.openxmlformats.org/officeDocument/2006/relationships/hyperlink" Target="https://pbs.twimg.com/profile_images/645716711723925506/t5G0qOS6_normal.jpg" TargetMode="External"/><Relationship Id="rId3041" Type="http://schemas.openxmlformats.org/officeDocument/2006/relationships/hyperlink" Target="https://pbs.twimg.com/profile_images/714710040301666304/f92qxjPD_normal.jpg" TargetMode="External"/><Relationship Id="rId6197" Type="http://schemas.openxmlformats.org/officeDocument/2006/relationships/hyperlink" Target="https://pbs.twimg.com/profile_images/3378366810/363099b91cc6453286c2eed06f36a6c4_normal.jpeg" TargetMode="External"/><Relationship Id="rId7248" Type="http://schemas.openxmlformats.org/officeDocument/2006/relationships/hyperlink" Target="https://pbs.twimg.com/profile_images/668699237299961856/wsrcFqQk_normal.jpg" TargetMode="External"/><Relationship Id="rId7662" Type="http://schemas.openxmlformats.org/officeDocument/2006/relationships/hyperlink" Target="https://twitter.com/INDIZbot" TargetMode="External"/><Relationship Id="rId8713" Type="http://schemas.openxmlformats.org/officeDocument/2006/relationships/hyperlink" Target="https://twitter.com/NeleReimers" TargetMode="External"/><Relationship Id="rId10229" Type="http://schemas.openxmlformats.org/officeDocument/2006/relationships/hyperlink" Target="https://twitter.com/EhrkeHeideMarie/status/724376185262727168" TargetMode="External"/><Relationship Id="rId3858" Type="http://schemas.openxmlformats.org/officeDocument/2006/relationships/hyperlink" Target="https://twitter.com/zen_mfg/status/722442858993750016" TargetMode="External"/><Relationship Id="rId4909" Type="http://schemas.openxmlformats.org/officeDocument/2006/relationships/hyperlink" Target="https://twitter.com/INDIZbot/status/722734425897885696" TargetMode="External"/><Relationship Id="rId6264" Type="http://schemas.openxmlformats.org/officeDocument/2006/relationships/hyperlink" Target="https://pbs.twimg.com/profile_images/645716711723925506/t5G0qOS6_normal.jpg" TargetMode="External"/><Relationship Id="rId7315" Type="http://schemas.openxmlformats.org/officeDocument/2006/relationships/hyperlink" Target="https://pbs.twimg.com/profile_images/699724829713428484/rUT0r7Dq_normal.jpg" TargetMode="External"/><Relationship Id="rId779" Type="http://schemas.openxmlformats.org/officeDocument/2006/relationships/hyperlink" Target="https://twitter.com/heikevangeel" TargetMode="External"/><Relationship Id="rId5280" Type="http://schemas.openxmlformats.org/officeDocument/2006/relationships/hyperlink" Target="https://abs.twimg.com/sticky/default_profile_images/default_profile_0_normal.png" TargetMode="External"/><Relationship Id="rId6331" Type="http://schemas.openxmlformats.org/officeDocument/2006/relationships/hyperlink" Target="https://twitter.com/BMWi_Bund/status/723113094935928832" TargetMode="External"/><Relationship Id="rId9487" Type="http://schemas.openxmlformats.org/officeDocument/2006/relationships/hyperlink" Target="https://pbs.twimg.com/profile_images/645716711723925506/t5G0qOS6_normal.jpg" TargetMode="External"/><Relationship Id="rId1476" Type="http://schemas.openxmlformats.org/officeDocument/2006/relationships/hyperlink" Target="https://pbs.twimg.com/profile_images/631516878830178304/X8gApwdt_normal.jpg" TargetMode="External"/><Relationship Id="rId2874" Type="http://schemas.openxmlformats.org/officeDocument/2006/relationships/hyperlink" Target="https://pbs.twimg.com/profile_images/541146126158536704/IYardufS_normal.jpeg" TargetMode="External"/><Relationship Id="rId3925" Type="http://schemas.openxmlformats.org/officeDocument/2006/relationships/hyperlink" Target="https://pbs.twimg.com/profile_images/701518488616235010/LQEUttz__normal.png" TargetMode="External"/><Relationship Id="rId8089" Type="http://schemas.openxmlformats.org/officeDocument/2006/relationships/hyperlink" Target="https://pbs.twimg.com/profile_images/2619086509/ld3z97zhhdbs2essw7s9_normal.jpeg" TargetMode="External"/><Relationship Id="rId846" Type="http://schemas.openxmlformats.org/officeDocument/2006/relationships/hyperlink" Target="https://twitter.com/INDIZbot" TargetMode="External"/><Relationship Id="rId1129" Type="http://schemas.openxmlformats.org/officeDocument/2006/relationships/hyperlink" Target="https://twitter.com/HilgerVoss" TargetMode="External"/><Relationship Id="rId1890" Type="http://schemas.openxmlformats.org/officeDocument/2006/relationships/hyperlink" Target="https://twitter.com/INDIZbot/status/721609612177367040" TargetMode="External"/><Relationship Id="rId2527" Type="http://schemas.openxmlformats.org/officeDocument/2006/relationships/hyperlink" Target="https://twitter.com/NetClubj1/status/722053075930845184" TargetMode="External"/><Relationship Id="rId2941" Type="http://schemas.openxmlformats.org/officeDocument/2006/relationships/hyperlink" Target="https://pbs.twimg.com/profile_images/423125615525756929/nhYR78F1_normal.jpeg" TargetMode="External"/><Relationship Id="rId5000" Type="http://schemas.openxmlformats.org/officeDocument/2006/relationships/hyperlink" Target="https://twitter.com/ScheerKarriere/status/722747784928043008" TargetMode="External"/><Relationship Id="rId8156" Type="http://schemas.openxmlformats.org/officeDocument/2006/relationships/hyperlink" Target="https://twitter.com/SilkeSt" TargetMode="External"/><Relationship Id="rId9207" Type="http://schemas.openxmlformats.org/officeDocument/2006/relationships/hyperlink" Target="https://twitter.com/OleksiyAntonov/status/723975883409752064" TargetMode="External"/><Relationship Id="rId9554" Type="http://schemas.openxmlformats.org/officeDocument/2006/relationships/hyperlink" Target="https://twitter.com/DCAI4online" TargetMode="External"/><Relationship Id="rId913" Type="http://schemas.openxmlformats.org/officeDocument/2006/relationships/hyperlink" Target="https://twitter.com/LWalendy/status/720865494945767428" TargetMode="External"/><Relationship Id="rId1543" Type="http://schemas.openxmlformats.org/officeDocument/2006/relationships/hyperlink" Target="https://twitter.com/H_IT_D" TargetMode="External"/><Relationship Id="rId4699" Type="http://schemas.openxmlformats.org/officeDocument/2006/relationships/hyperlink" Target="https://twitter.com/karl__maurer/status/722711496745226241" TargetMode="External"/><Relationship Id="rId8570" Type="http://schemas.openxmlformats.org/officeDocument/2006/relationships/hyperlink" Target="https://twitter.com/RTHurth/status/723746834091487232" TargetMode="External"/><Relationship Id="rId9621" Type="http://schemas.openxmlformats.org/officeDocument/2006/relationships/hyperlink" Target="https://twitter.com/ElroyWonder/status/724221228760895488" TargetMode="External"/><Relationship Id="rId10086" Type="http://schemas.openxmlformats.org/officeDocument/2006/relationships/hyperlink" Target="https://pbs.twimg.com/profile_images/705912508675170305/MMWsnjwS_normal.jpg" TargetMode="External"/><Relationship Id="rId1610" Type="http://schemas.openxmlformats.org/officeDocument/2006/relationships/hyperlink" Target="https://twitter.com/Aurelien_T_K/status/721244373564919808" TargetMode="External"/><Relationship Id="rId4766" Type="http://schemas.openxmlformats.org/officeDocument/2006/relationships/hyperlink" Target="https://pbs.twimg.com/profile_images/481016015887687680/lDowdEUm_normal.jpeg" TargetMode="External"/><Relationship Id="rId5817" Type="http://schemas.openxmlformats.org/officeDocument/2006/relationships/hyperlink" Target="https://pbs.twimg.com/profile_images/662723326096224256/5V4KH9_O_normal.jpg" TargetMode="External"/><Relationship Id="rId7172" Type="http://schemas.openxmlformats.org/officeDocument/2006/relationships/hyperlink" Target="https://twitter.com/H_IT_D/status/723366551630413824" TargetMode="External"/><Relationship Id="rId8223" Type="http://schemas.openxmlformats.org/officeDocument/2006/relationships/hyperlink" Target="https://twitter.com/joworf" TargetMode="External"/><Relationship Id="rId10153" Type="http://schemas.openxmlformats.org/officeDocument/2006/relationships/hyperlink" Target="https://twitter.com/INDIZbot" TargetMode="External"/><Relationship Id="rId3368" Type="http://schemas.openxmlformats.org/officeDocument/2006/relationships/hyperlink" Target="https://twitter.com/smarterindustry/status/722354577404768256" TargetMode="External"/><Relationship Id="rId3782" Type="http://schemas.openxmlformats.org/officeDocument/2006/relationships/hyperlink" Target="https://twitter.com/INDIZbot" TargetMode="External"/><Relationship Id="rId4419" Type="http://schemas.openxmlformats.org/officeDocument/2006/relationships/hyperlink" Target="https://twitter.com/genuanews" TargetMode="External"/><Relationship Id="rId4833" Type="http://schemas.openxmlformats.org/officeDocument/2006/relationships/hyperlink" Target="https://twitter.com/HESSENMETALL" TargetMode="External"/><Relationship Id="rId7989" Type="http://schemas.openxmlformats.org/officeDocument/2006/relationships/hyperlink" Target="https://twitter.com/ITK_OWL/status/723476858101215232" TargetMode="External"/><Relationship Id="rId10220" Type="http://schemas.openxmlformats.org/officeDocument/2006/relationships/hyperlink" Target="https://twitter.com/h_scoshield/status/724369905714356225" TargetMode="External"/><Relationship Id="rId289" Type="http://schemas.openxmlformats.org/officeDocument/2006/relationships/hyperlink" Target="https://twitter.com/MeinGeldMedien" TargetMode="External"/><Relationship Id="rId2384" Type="http://schemas.openxmlformats.org/officeDocument/2006/relationships/hyperlink" Target="https://twitter.com/IoTMinded/status/722003994109952000" TargetMode="External"/><Relationship Id="rId3435" Type="http://schemas.openxmlformats.org/officeDocument/2006/relationships/hyperlink" Target="https://twitter.com/BoschPresse/status/722359206611959808" TargetMode="External"/><Relationship Id="rId356" Type="http://schemas.openxmlformats.org/officeDocument/2006/relationships/hyperlink" Target="https://twitter.com/Balluff/status/720562802662993920" TargetMode="External"/><Relationship Id="rId770" Type="http://schemas.openxmlformats.org/officeDocument/2006/relationships/hyperlink" Target="https://twitter.com/LeanKnowledge" TargetMode="External"/><Relationship Id="rId2037" Type="http://schemas.openxmlformats.org/officeDocument/2006/relationships/hyperlink" Target="https://twitter.com/_MBauer_" TargetMode="External"/><Relationship Id="rId2451" Type="http://schemas.openxmlformats.org/officeDocument/2006/relationships/hyperlink" Target="https://pbs.twimg.com/profile_images/709647002586497024/8PZ2WUY3_normal.jpg" TargetMode="External"/><Relationship Id="rId4900" Type="http://schemas.openxmlformats.org/officeDocument/2006/relationships/hyperlink" Target="https://twitter.com/joerghackhausen/status/722733663042080768" TargetMode="External"/><Relationship Id="rId6658" Type="http://schemas.openxmlformats.org/officeDocument/2006/relationships/hyperlink" Target="https://twitter.com/kommunikationsm" TargetMode="External"/><Relationship Id="rId9064" Type="http://schemas.openxmlformats.org/officeDocument/2006/relationships/hyperlink" Target="https://pbs.twimg.com/profile_images/710790619728228355/Rqq-ehz7_normal.jpg" TargetMode="External"/><Relationship Id="rId423" Type="http://schemas.openxmlformats.org/officeDocument/2006/relationships/hyperlink" Target="https://pbs.twimg.com/profile_images/684329817961967616/5Xb2yHEP_normal.png" TargetMode="External"/><Relationship Id="rId1053" Type="http://schemas.openxmlformats.org/officeDocument/2006/relationships/hyperlink" Target="https://pbs.twimg.com/profile_images/472323621445042176/etL3MUED_normal.png" TargetMode="External"/><Relationship Id="rId2104" Type="http://schemas.openxmlformats.org/officeDocument/2006/relationships/hyperlink" Target="https://twitter.com/INDIZbot/status/721929137129177088" TargetMode="External"/><Relationship Id="rId3502" Type="http://schemas.openxmlformats.org/officeDocument/2006/relationships/hyperlink" Target="https://pbs.twimg.com/profile_images/534846179717033984/Cw06yZ7i_normal.jpeg" TargetMode="External"/><Relationship Id="rId7709" Type="http://schemas.openxmlformats.org/officeDocument/2006/relationships/hyperlink" Target="https://pbs.twimg.com/profile_images/473759721023758338/3CcJL-Vq_normal.jpeg" TargetMode="External"/><Relationship Id="rId8080" Type="http://schemas.openxmlformats.org/officeDocument/2006/relationships/hyperlink" Target="https://pbs.twimg.com/profile_images/3498242825/e6d8e9f0a9af191ed520a843245b8b58_normal.jpeg" TargetMode="External"/><Relationship Id="rId9131" Type="http://schemas.openxmlformats.org/officeDocument/2006/relationships/hyperlink" Target="https://twitter.com/INDIZbot" TargetMode="External"/><Relationship Id="rId5674" Type="http://schemas.openxmlformats.org/officeDocument/2006/relationships/hyperlink" Target="https://twitter.com/INDIZbot/status/722910729414664192" TargetMode="External"/><Relationship Id="rId6725" Type="http://schemas.openxmlformats.org/officeDocument/2006/relationships/hyperlink" Target="https://twitter.com/SGE/status/723165778242097153" TargetMode="External"/><Relationship Id="rId1120" Type="http://schemas.openxmlformats.org/officeDocument/2006/relationships/hyperlink" Target="https://twitter.com/INDIZbot" TargetMode="External"/><Relationship Id="rId4276" Type="http://schemas.openxmlformats.org/officeDocument/2006/relationships/hyperlink" Target="https://twitter.com/PourLesPatrons/status/722648203703808001" TargetMode="External"/><Relationship Id="rId4690" Type="http://schemas.openxmlformats.org/officeDocument/2006/relationships/hyperlink" Target="https://twitter.com/wertfinder/status/722711095836860418" TargetMode="External"/><Relationship Id="rId5327" Type="http://schemas.openxmlformats.org/officeDocument/2006/relationships/hyperlink" Target="https://twitter.com/Becker_AnnaLisa/status/722790885293998080" TargetMode="External"/><Relationship Id="rId5741" Type="http://schemas.openxmlformats.org/officeDocument/2006/relationships/hyperlink" Target="https://pbs.twimg.com/profile_images/654964085600165888/ptgcu9ub_normal.png" TargetMode="External"/><Relationship Id="rId8897" Type="http://schemas.openxmlformats.org/officeDocument/2006/relationships/hyperlink" Target="https://twitter.com/kommoptimierer/status/723852896308224001" TargetMode="External"/><Relationship Id="rId9948" Type="http://schemas.openxmlformats.org/officeDocument/2006/relationships/hyperlink" Target="https://pbs.twimg.com/profile_images/2766565660/ee6449a17487d18aa65c5ffcb266fad7_normal.png" TargetMode="External"/><Relationship Id="rId1937" Type="http://schemas.openxmlformats.org/officeDocument/2006/relationships/hyperlink" Target="https://twitter.com/verlinked" TargetMode="External"/><Relationship Id="rId3292" Type="http://schemas.openxmlformats.org/officeDocument/2006/relationships/hyperlink" Target="https://twitter.com/PortalAlemania" TargetMode="External"/><Relationship Id="rId4343" Type="http://schemas.openxmlformats.org/officeDocument/2006/relationships/hyperlink" Target="https://pbs.twimg.com/profile_images/645716711723925506/t5G0qOS6_normal.jpg" TargetMode="External"/><Relationship Id="rId7499" Type="http://schemas.openxmlformats.org/officeDocument/2006/relationships/hyperlink" Target="https://pbs.twimg.com/profile_images/533525565954084864/GuMd6KSl_normal.jpeg" TargetMode="External"/><Relationship Id="rId8964" Type="http://schemas.openxmlformats.org/officeDocument/2006/relationships/hyperlink" Target="https://pbs.twimg.com/profile_images/685255985/Bild_2_normal.png" TargetMode="External"/><Relationship Id="rId4410" Type="http://schemas.openxmlformats.org/officeDocument/2006/relationships/hyperlink" Target="https://twitter.com/laszloetesi" TargetMode="External"/><Relationship Id="rId7566" Type="http://schemas.openxmlformats.org/officeDocument/2006/relationships/hyperlink" Target="https://twitter.com/BentNiklas" TargetMode="External"/><Relationship Id="rId8617" Type="http://schemas.openxmlformats.org/officeDocument/2006/relationships/hyperlink" Target="https://twitter.com/CapgeminiDE" TargetMode="External"/><Relationship Id="rId280" Type="http://schemas.openxmlformats.org/officeDocument/2006/relationships/hyperlink" Target="https://twitter.com/Apandia" TargetMode="External"/><Relationship Id="rId3012" Type="http://schemas.openxmlformats.org/officeDocument/2006/relationships/hyperlink" Target="https://twitter.com/pinetco" TargetMode="External"/><Relationship Id="rId6168" Type="http://schemas.openxmlformats.org/officeDocument/2006/relationships/hyperlink" Target="https://twitter.com/LReehten" TargetMode="External"/><Relationship Id="rId6582" Type="http://schemas.openxmlformats.org/officeDocument/2006/relationships/hyperlink" Target="https://twitter.com/laszloetesi" TargetMode="External"/><Relationship Id="rId7219" Type="http://schemas.openxmlformats.org/officeDocument/2006/relationships/hyperlink" Target="https://twitter.com/swissmem" TargetMode="External"/><Relationship Id="rId7980" Type="http://schemas.openxmlformats.org/officeDocument/2006/relationships/hyperlink" Target="https://twitter.com/prxagentur/status/723475977419018240" TargetMode="External"/><Relationship Id="rId5184" Type="http://schemas.openxmlformats.org/officeDocument/2006/relationships/hyperlink" Target="https://pbs.twimg.com/profile_images/567384025568776192/u-T3fEX2_normal.jpeg" TargetMode="External"/><Relationship Id="rId6235" Type="http://schemas.openxmlformats.org/officeDocument/2006/relationships/hyperlink" Target="https://twitter.com/Val_D_R" TargetMode="External"/><Relationship Id="rId7633" Type="http://schemas.openxmlformats.org/officeDocument/2006/relationships/hyperlink" Target="https://twitter.com/AMETRAInge/status/723420227095031808" TargetMode="External"/><Relationship Id="rId2778" Type="http://schemas.openxmlformats.org/officeDocument/2006/relationships/hyperlink" Target="https://twitter.com/S_Koebernick" TargetMode="External"/><Relationship Id="rId3829" Type="http://schemas.openxmlformats.org/officeDocument/2006/relationships/hyperlink" Target="https://pbs.twimg.com/profile_images/718175389890310145/GX8DLe_h_normal.jpg" TargetMode="External"/><Relationship Id="rId7700" Type="http://schemas.openxmlformats.org/officeDocument/2006/relationships/hyperlink" Target="https://pbs.twimg.com/profile_images/593011135428882432/BGMPkrwp_normal.jpg" TargetMode="External"/><Relationship Id="rId1794" Type="http://schemas.openxmlformats.org/officeDocument/2006/relationships/hyperlink" Target="https://pbs.twimg.com/profile_images/463005839918247936/Ui2bf9cw_normal.jpeg" TargetMode="External"/><Relationship Id="rId2845" Type="http://schemas.openxmlformats.org/officeDocument/2006/relationships/hyperlink" Target="https://twitter.com/OJaeger/status/722135486094012417" TargetMode="External"/><Relationship Id="rId5251" Type="http://schemas.openxmlformats.org/officeDocument/2006/relationships/hyperlink" Target="https://twitter.com/faktenkontor" TargetMode="External"/><Relationship Id="rId6302" Type="http://schemas.openxmlformats.org/officeDocument/2006/relationships/hyperlink" Target="https://pbs.twimg.com/profile_images/529288477775380480/2D39vWzF_normal.jpeg" TargetMode="External"/><Relationship Id="rId9458" Type="http://schemas.openxmlformats.org/officeDocument/2006/relationships/hyperlink" Target="https://twitter.com/MartinGaedt" TargetMode="External"/><Relationship Id="rId9872" Type="http://schemas.openxmlformats.org/officeDocument/2006/relationships/hyperlink" Target="https://twitter.com/INDIZbot/status/724274544542924801" TargetMode="External"/><Relationship Id="rId86" Type="http://schemas.openxmlformats.org/officeDocument/2006/relationships/hyperlink" Target="https://twitter.com/NeleReimers/status/720507929229660161" TargetMode="External"/><Relationship Id="rId817" Type="http://schemas.openxmlformats.org/officeDocument/2006/relationships/hyperlink" Target="https://twitter.com/QuickFindsIn/status/720793776101326848" TargetMode="External"/><Relationship Id="rId1447" Type="http://schemas.openxmlformats.org/officeDocument/2006/relationships/hyperlink" Target="https://twitter.com/KathaWeber" TargetMode="External"/><Relationship Id="rId1861" Type="http://schemas.openxmlformats.org/officeDocument/2006/relationships/hyperlink" Target="https://pbs.twimg.com/profile_images/2181612837/Johann_normal.jpg" TargetMode="External"/><Relationship Id="rId2912" Type="http://schemas.openxmlformats.org/officeDocument/2006/relationships/hyperlink" Target="https://twitter.com/tomschaepper" TargetMode="External"/><Relationship Id="rId8474" Type="http://schemas.openxmlformats.org/officeDocument/2006/relationships/hyperlink" Target="https://twitter.com/INDIZbot/status/723597536716566528" TargetMode="External"/><Relationship Id="rId9525" Type="http://schemas.openxmlformats.org/officeDocument/2006/relationships/hyperlink" Target="https://twitter.com/wirtschaft_msl/status/724194240494993408" TargetMode="External"/><Relationship Id="rId1514" Type="http://schemas.openxmlformats.org/officeDocument/2006/relationships/hyperlink" Target="https://twitter.com/QuickFindsIn/status/721056504875393024" TargetMode="External"/><Relationship Id="rId7076" Type="http://schemas.openxmlformats.org/officeDocument/2006/relationships/hyperlink" Target="https://twitter.com/INDIZbot/status/723250496862081024" TargetMode="External"/><Relationship Id="rId7490" Type="http://schemas.openxmlformats.org/officeDocument/2006/relationships/hyperlink" Target="https://pbs.twimg.com/profile_images/645716711723925506/t5G0qOS6_normal.jpg" TargetMode="External"/><Relationship Id="rId8127" Type="http://schemas.openxmlformats.org/officeDocument/2006/relationships/hyperlink" Target="https://twitter.com/AutotaskGmbH/status/723498995079909377" TargetMode="External"/><Relationship Id="rId8541" Type="http://schemas.openxmlformats.org/officeDocument/2006/relationships/hyperlink" Target="https://pbs.twimg.com/profile_images/662723326096224256/5V4KH9_O_normal.jpg" TargetMode="External"/><Relationship Id="rId10057" Type="http://schemas.openxmlformats.org/officeDocument/2006/relationships/hyperlink" Target="https://twitter.com/INDIZbot" TargetMode="External"/><Relationship Id="rId3686" Type="http://schemas.openxmlformats.org/officeDocument/2006/relationships/hyperlink" Target="https://twitter.com/wmaxx_consultig" TargetMode="External"/><Relationship Id="rId6092" Type="http://schemas.openxmlformats.org/officeDocument/2006/relationships/hyperlink" Target="https://twitter.com/Balluff_Service" TargetMode="External"/><Relationship Id="rId7143" Type="http://schemas.openxmlformats.org/officeDocument/2006/relationships/hyperlink" Target="https://pbs.twimg.com/profile_images/722034829412409344/6lUy649v_normal.jpg" TargetMode="External"/><Relationship Id="rId10124" Type="http://schemas.openxmlformats.org/officeDocument/2006/relationships/hyperlink" Target="https://twitter.com/kat2812/status/724341605130444801" TargetMode="External"/><Relationship Id="rId2288" Type="http://schemas.openxmlformats.org/officeDocument/2006/relationships/hyperlink" Target="https://pbs.twimg.com/profile_images/710750672581484545/n4dPcodC_normal.jpg" TargetMode="External"/><Relationship Id="rId3339" Type="http://schemas.openxmlformats.org/officeDocument/2006/relationships/hyperlink" Target="https://pbs.twimg.com/profile_images/686484658196975616/JPwWUmFV_normal.jpg" TargetMode="External"/><Relationship Id="rId4737" Type="http://schemas.openxmlformats.org/officeDocument/2006/relationships/hyperlink" Target="https://twitter.com/TACookDE" TargetMode="External"/><Relationship Id="rId7210" Type="http://schemas.openxmlformats.org/officeDocument/2006/relationships/hyperlink" Target="https://twitter.com/osanten" TargetMode="External"/><Relationship Id="rId3753" Type="http://schemas.openxmlformats.org/officeDocument/2006/relationships/hyperlink" Target="https://twitter.com/INDIZbot/status/722417340210618369" TargetMode="External"/><Relationship Id="rId4804" Type="http://schemas.openxmlformats.org/officeDocument/2006/relationships/hyperlink" Target="https://twitter.com/AlbrechtAstrid/status/722720870817492992" TargetMode="External"/><Relationship Id="rId674" Type="http://schemas.openxmlformats.org/officeDocument/2006/relationships/hyperlink" Target="https://twitter.com/AndeGregson" TargetMode="External"/><Relationship Id="rId2355" Type="http://schemas.openxmlformats.org/officeDocument/2006/relationships/hyperlink" Target="https://pbs.twimg.com/profile_images/532532270788128768/ubrFTMd7_normal.jpeg" TargetMode="External"/><Relationship Id="rId3406" Type="http://schemas.openxmlformats.org/officeDocument/2006/relationships/hyperlink" Target="https://pbs.twimg.com/profile_images/689824323767500800/bE2B56AT_normal.png" TargetMode="External"/><Relationship Id="rId3820" Type="http://schemas.openxmlformats.org/officeDocument/2006/relationships/hyperlink" Target="https://pbs.twimg.com/profile_images/421729458606055424/2lGXAn1N_normal.jpeg" TargetMode="External"/><Relationship Id="rId6976" Type="http://schemas.openxmlformats.org/officeDocument/2006/relationships/hyperlink" Target="https://twitter.com/deviceWISEM2M" TargetMode="External"/><Relationship Id="rId9382" Type="http://schemas.openxmlformats.org/officeDocument/2006/relationships/hyperlink" Target="https://pbs.twimg.com/profile_images/645716711723925506/t5G0qOS6_normal.jpg" TargetMode="External"/><Relationship Id="rId327" Type="http://schemas.openxmlformats.org/officeDocument/2006/relationships/hyperlink" Target="https://pbs.twimg.com/profile_images/1109762201/dorn_v_normal.png" TargetMode="External"/><Relationship Id="rId741" Type="http://schemas.openxmlformats.org/officeDocument/2006/relationships/hyperlink" Target="https://twitter.com/TUslaender/status/720693938756173824" TargetMode="External"/><Relationship Id="rId1371" Type="http://schemas.openxmlformats.org/officeDocument/2006/relationships/hyperlink" Target="http://paper.li/" TargetMode="External"/><Relationship Id="rId2008" Type="http://schemas.openxmlformats.org/officeDocument/2006/relationships/hyperlink" Target="https://twitter.com/INDIZbot/status/721720498091081728" TargetMode="External"/><Relationship Id="rId2422" Type="http://schemas.openxmlformats.org/officeDocument/2006/relationships/hyperlink" Target="https://twitter.com/PW_InCub" TargetMode="External"/><Relationship Id="rId5578" Type="http://schemas.openxmlformats.org/officeDocument/2006/relationships/hyperlink" Target="https://twitter.com/H_IT_D/status/722859616338444288" TargetMode="External"/><Relationship Id="rId5992" Type="http://schemas.openxmlformats.org/officeDocument/2006/relationships/hyperlink" Target="https://pbs.twimg.com/profile_images/565062387749773313/MqpJDTDP_normal.png" TargetMode="External"/><Relationship Id="rId6629" Type="http://schemas.openxmlformats.org/officeDocument/2006/relationships/hyperlink" Target="https://pbs.twimg.com/profile_images/548030384030507008/utABqhj9_normal.png" TargetMode="External"/><Relationship Id="rId9035" Type="http://schemas.openxmlformats.org/officeDocument/2006/relationships/hyperlink" Target="https://twitter.com/Lenze_FR" TargetMode="External"/><Relationship Id="rId1024" Type="http://schemas.openxmlformats.org/officeDocument/2006/relationships/hyperlink" Target="https://twitter.com/dirste" TargetMode="External"/><Relationship Id="rId4594" Type="http://schemas.openxmlformats.org/officeDocument/2006/relationships/hyperlink" Target="https://twitter.com/GermanIOD/status/722707802272215040" TargetMode="External"/><Relationship Id="rId5645" Type="http://schemas.openxmlformats.org/officeDocument/2006/relationships/hyperlink" Target="https://pbs.twimg.com/profile_images/595629691249233920/PnZxF5UO_normal.jpg" TargetMode="External"/><Relationship Id="rId8051" Type="http://schemas.openxmlformats.org/officeDocument/2006/relationships/hyperlink" Target="https://twitter.com/siemensindustry" TargetMode="External"/><Relationship Id="rId9102" Type="http://schemas.openxmlformats.org/officeDocument/2006/relationships/hyperlink" Target="https://twitter.com/croXXing_IBD/status/723939423780528128" TargetMode="External"/><Relationship Id="rId3196" Type="http://schemas.openxmlformats.org/officeDocument/2006/relationships/hyperlink" Target="https://twitter.com/IPEV_Markus" TargetMode="External"/><Relationship Id="rId4247" Type="http://schemas.openxmlformats.org/officeDocument/2006/relationships/hyperlink" Target="https://pbs.twimg.com/profile_images/520223489299472385/NEgWPMTC_normal.png" TargetMode="External"/><Relationship Id="rId4661" Type="http://schemas.openxmlformats.org/officeDocument/2006/relationships/hyperlink" Target="https://pbs.twimg.com/profile_images/701776100779827200/U7ye1yMv_normal.jpg" TargetMode="External"/><Relationship Id="rId8868" Type="http://schemas.openxmlformats.org/officeDocument/2006/relationships/hyperlink" Target="https://pbs.twimg.com/profile_images/645716711723925506/t5G0qOS6_normal.jpg" TargetMode="External"/><Relationship Id="rId3263" Type="http://schemas.openxmlformats.org/officeDocument/2006/relationships/hyperlink" Target="https://twitter.com/Lars_Lauber/status/722331811179835392" TargetMode="External"/><Relationship Id="rId4314" Type="http://schemas.openxmlformats.org/officeDocument/2006/relationships/hyperlink" Target="https://twitter.com/MarioReinsch" TargetMode="External"/><Relationship Id="rId5712" Type="http://schemas.openxmlformats.org/officeDocument/2006/relationships/hyperlink" Target="https://twitter.com/PierreKusz" TargetMode="External"/><Relationship Id="rId9919" Type="http://schemas.openxmlformats.org/officeDocument/2006/relationships/hyperlink" Target="https://twitter.com/andy_m81" TargetMode="External"/><Relationship Id="rId184" Type="http://schemas.openxmlformats.org/officeDocument/2006/relationships/hyperlink" Target="https://twitter.com/SHC_GmbH" TargetMode="External"/><Relationship Id="rId1908" Type="http://schemas.openxmlformats.org/officeDocument/2006/relationships/hyperlink" Target="https://twitter.com/LeanKnowledge/status/721626154084515840" TargetMode="External"/><Relationship Id="rId7884" Type="http://schemas.openxmlformats.org/officeDocument/2006/relationships/hyperlink" Target="https://pbs.twimg.com/profile_images/601365244687024128/LZW9ami0_normal.jpg" TargetMode="External"/><Relationship Id="rId8935" Type="http://schemas.openxmlformats.org/officeDocument/2006/relationships/hyperlink" Target="https://twitter.com/ITK_OWL" TargetMode="External"/><Relationship Id="rId251" Type="http://schemas.openxmlformats.org/officeDocument/2006/relationships/hyperlink" Target="https://twitter.com/y_anniks/status/720537174941265920" TargetMode="External"/><Relationship Id="rId3330" Type="http://schemas.openxmlformats.org/officeDocument/2006/relationships/hyperlink" Target="https://pbs.twimg.com/profile_images/654975252703911936/lfZEytpZ_normal.png" TargetMode="External"/><Relationship Id="rId5088" Type="http://schemas.openxmlformats.org/officeDocument/2006/relationships/hyperlink" Target="https://pbs.twimg.com/profile_images/423815982579085313/XVdEl1vG_normal.png" TargetMode="External"/><Relationship Id="rId6139" Type="http://schemas.openxmlformats.org/officeDocument/2006/relationships/hyperlink" Target="https://twitter.com/startuptickerCH/status/723079369686695936" TargetMode="External"/><Relationship Id="rId6486" Type="http://schemas.openxmlformats.org/officeDocument/2006/relationships/hyperlink" Target="https://twitter.com/BeniSeiler/status/723131843680305152" TargetMode="External"/><Relationship Id="rId7537" Type="http://schemas.openxmlformats.org/officeDocument/2006/relationships/hyperlink" Target="https://twitter.com/csschweiz/status/723413506691751937" TargetMode="External"/><Relationship Id="rId7951" Type="http://schemas.openxmlformats.org/officeDocument/2006/relationships/hyperlink" Target="https://pbs.twimg.com/profile_images/3542998130/5e65449daa56d18e9aab7f6535dc25fc_normal.jpeg" TargetMode="External"/><Relationship Id="rId6553" Type="http://schemas.openxmlformats.org/officeDocument/2006/relationships/hyperlink" Target="https://pbs.twimg.com/profile_images/645716711723925506/t5G0qOS6_normal.jpg" TargetMode="External"/><Relationship Id="rId7604" Type="http://schemas.openxmlformats.org/officeDocument/2006/relationships/hyperlink" Target="https://pbs.twimg.com/profile_images/709444980553740288/Xds-Aan6_normal.jpg" TargetMode="External"/><Relationship Id="rId1698" Type="http://schemas.openxmlformats.org/officeDocument/2006/relationships/hyperlink" Target="https://pbs.twimg.com/profile_images/593011135428882432/BGMPkrwp_normal.jpg" TargetMode="External"/><Relationship Id="rId2749" Type="http://schemas.openxmlformats.org/officeDocument/2006/relationships/hyperlink" Target="https://twitter.com/observaitress/status/722113014342754305" TargetMode="External"/><Relationship Id="rId5155" Type="http://schemas.openxmlformats.org/officeDocument/2006/relationships/hyperlink" Target="https://twitter.com/Der_BDI" TargetMode="External"/><Relationship Id="rId6206" Type="http://schemas.openxmlformats.org/officeDocument/2006/relationships/hyperlink" Target="https://pbs.twimg.com/profile_images/593011135428882432/BGMPkrwp_normal.jpg" TargetMode="External"/><Relationship Id="rId6620" Type="http://schemas.openxmlformats.org/officeDocument/2006/relationships/hyperlink" Target="https://pbs.twimg.com/profile_images/471312276767535104/TIanhngf_normal.jpeg" TargetMode="External"/><Relationship Id="rId9776" Type="http://schemas.openxmlformats.org/officeDocument/2006/relationships/hyperlink" Target="https://twitter.com/Wolfgang_Dorst/status/724250055109185536" TargetMode="External"/><Relationship Id="rId1765" Type="http://schemas.openxmlformats.org/officeDocument/2006/relationships/hyperlink" Target="https://twitter.com/BIGJTHEO" TargetMode="External"/><Relationship Id="rId4171" Type="http://schemas.openxmlformats.org/officeDocument/2006/relationships/hyperlink" Target="https://twitter.com/LReehten/status/722514589842321411" TargetMode="External"/><Relationship Id="rId5222" Type="http://schemas.openxmlformats.org/officeDocument/2006/relationships/hyperlink" Target="https://pbs.twimg.com/profile_images/931716957/rfid-logo_normal.png" TargetMode="External"/><Relationship Id="rId8378" Type="http://schemas.openxmlformats.org/officeDocument/2006/relationships/hyperlink" Target="https://pbs.twimg.com/profile_images/3208294592/1ded0cc64d7f6ba75c4edd4278463235_normal.jpeg" TargetMode="External"/><Relationship Id="rId8792" Type="http://schemas.openxmlformats.org/officeDocument/2006/relationships/hyperlink" Target="https://twitter.com/Fraunhofer_IPK/status/723813888664416258" TargetMode="External"/><Relationship Id="rId9429" Type="http://schemas.openxmlformats.org/officeDocument/2006/relationships/hyperlink" Target="https://twitter.com/INDIZbot/status/724174170549002240" TargetMode="External"/><Relationship Id="rId57" Type="http://schemas.openxmlformats.org/officeDocument/2006/relationships/hyperlink" Target="https://pbs.twimg.com/profile_images/651750095508086786/7EobC7Vn_normal.jpg" TargetMode="External"/><Relationship Id="rId1418" Type="http://schemas.openxmlformats.org/officeDocument/2006/relationships/hyperlink" Target="https://twitter.com/INDIZbot" TargetMode="External"/><Relationship Id="rId2816" Type="http://schemas.openxmlformats.org/officeDocument/2006/relationships/hyperlink" Target="https://pbs.twimg.com/profile_images/687624884244082688/eYnhv8nB_normal.jpg" TargetMode="External"/><Relationship Id="rId7394" Type="http://schemas.openxmlformats.org/officeDocument/2006/relationships/hyperlink" Target="https://twitter.com/AndreHD20" TargetMode="External"/><Relationship Id="rId8445" Type="http://schemas.openxmlformats.org/officeDocument/2006/relationships/hyperlink" Target="https://pbs.twimg.com/profile_images/491236810560114688/qHaoNgg2_normal.jpeg" TargetMode="External"/><Relationship Id="rId9843" Type="http://schemas.openxmlformats.org/officeDocument/2006/relationships/hyperlink" Target="https://pbs.twimg.com/profile_images/722098538604281856/CcBxk1_M_normal.jpg" TargetMode="External"/><Relationship Id="rId1832" Type="http://schemas.openxmlformats.org/officeDocument/2006/relationships/hyperlink" Target="https://twitter.com/INDIZbot/status/721428235830079488" TargetMode="External"/><Relationship Id="rId4988" Type="http://schemas.openxmlformats.org/officeDocument/2006/relationships/hyperlink" Target="https://twitter.com/INDIZbot/status/722746924869267457" TargetMode="External"/><Relationship Id="rId7047" Type="http://schemas.openxmlformats.org/officeDocument/2006/relationships/hyperlink" Target="https://pbs.twimg.com/profile_images/720669524786327552/lJEA-nOB_normal.jpg" TargetMode="External"/><Relationship Id="rId9910" Type="http://schemas.openxmlformats.org/officeDocument/2006/relationships/hyperlink" Target="https://twitter.com/INDIZbot" TargetMode="External"/><Relationship Id="rId6063" Type="http://schemas.openxmlformats.org/officeDocument/2006/relationships/hyperlink" Target="https://twitter.com/verlinked/status/723073864222175233" TargetMode="External"/><Relationship Id="rId7461" Type="http://schemas.openxmlformats.org/officeDocument/2006/relationships/hyperlink" Target="https://twitter.com/WSattlberger" TargetMode="External"/><Relationship Id="rId8512" Type="http://schemas.openxmlformats.org/officeDocument/2006/relationships/hyperlink" Target="https://twitter.com/BMAS_Bund" TargetMode="External"/><Relationship Id="rId10028" Type="http://schemas.openxmlformats.org/officeDocument/2006/relationships/hyperlink" Target="https://twitter.com/TLinn_Visionico/status/724301956328644608" TargetMode="External"/><Relationship Id="rId3657" Type="http://schemas.openxmlformats.org/officeDocument/2006/relationships/hyperlink" Target="https://twitter.com/MindCommerce/status/722395114623131649" TargetMode="External"/><Relationship Id="rId4708" Type="http://schemas.openxmlformats.org/officeDocument/2006/relationships/hyperlink" Target="https://twitter.com/INDIZbot/status/722711828506271744" TargetMode="External"/><Relationship Id="rId7114" Type="http://schemas.openxmlformats.org/officeDocument/2006/relationships/hyperlink" Target="https://twitter.com/INDIZbot" TargetMode="External"/><Relationship Id="rId578" Type="http://schemas.openxmlformats.org/officeDocument/2006/relationships/hyperlink" Target="https://twitter.com/ScheerKarriere" TargetMode="External"/><Relationship Id="rId992" Type="http://schemas.openxmlformats.org/officeDocument/2006/relationships/hyperlink" Target="https://twitter.com/docbroemer/status/720881205030162433" TargetMode="External"/><Relationship Id="rId2259" Type="http://schemas.openxmlformats.org/officeDocument/2006/relationships/hyperlink" Target="http://ideenwerkbw.de/" TargetMode="External"/><Relationship Id="rId2673" Type="http://schemas.openxmlformats.org/officeDocument/2006/relationships/hyperlink" Target="https://twitter.com/INDIZbot" TargetMode="External"/><Relationship Id="rId3724" Type="http://schemas.openxmlformats.org/officeDocument/2006/relationships/hyperlink" Target="https://pbs.twimg.com/profile_images/561208179355185153/11KDu7Gt_normal.png" TargetMode="External"/><Relationship Id="rId6130" Type="http://schemas.openxmlformats.org/officeDocument/2006/relationships/hyperlink" Target="https://twitter.com/Scheer_GmbH/status/723077078334087168" TargetMode="External"/><Relationship Id="rId9286" Type="http://schemas.openxmlformats.org/officeDocument/2006/relationships/hyperlink" Target="https://pbs.twimg.com/profile_images/477208957602119680/8QlGcAVc_normal.jpeg" TargetMode="External"/><Relationship Id="rId645" Type="http://schemas.openxmlformats.org/officeDocument/2006/relationships/hyperlink" Target="https://twitter.com/SFSFFrance/status/720649607928221698" TargetMode="External"/><Relationship Id="rId1275" Type="http://schemas.openxmlformats.org/officeDocument/2006/relationships/hyperlink" Target="https://pbs.twimg.com/profile_images/2587030253/image_normal.jpg" TargetMode="External"/><Relationship Id="rId2326" Type="http://schemas.openxmlformats.org/officeDocument/2006/relationships/hyperlink" Target="https://twitter.com/Slyleg" TargetMode="External"/><Relationship Id="rId2740" Type="http://schemas.openxmlformats.org/officeDocument/2006/relationships/hyperlink" Target="https://twitter.com/RahmanNow/status/722108104490491905" TargetMode="External"/><Relationship Id="rId5896" Type="http://schemas.openxmlformats.org/officeDocument/2006/relationships/hyperlink" Target="https://pbs.twimg.com/profile_images/601673968551075840/MnulnKkj_normal.png" TargetMode="External"/><Relationship Id="rId6947" Type="http://schemas.openxmlformats.org/officeDocument/2006/relationships/hyperlink" Target="https://twitter.com/INDIZbot/status/723202645201170432" TargetMode="External"/><Relationship Id="rId9353" Type="http://schemas.openxmlformats.org/officeDocument/2006/relationships/hyperlink" Target="https://twitter.com/cybus_io" TargetMode="External"/><Relationship Id="rId712" Type="http://schemas.openxmlformats.org/officeDocument/2006/relationships/hyperlink" Target="https://pbs.twimg.com/profile_images/666540900990984192/lziqwbbo_normal.jpg" TargetMode="External"/><Relationship Id="rId1342" Type="http://schemas.openxmlformats.org/officeDocument/2006/relationships/hyperlink" Target="https://twitter.com/Bitkom_Service" TargetMode="External"/><Relationship Id="rId4498" Type="http://schemas.openxmlformats.org/officeDocument/2006/relationships/hyperlink" Target="https://twitter.com/Pointernil/status/722699473831505922" TargetMode="External"/><Relationship Id="rId5549" Type="http://schemas.openxmlformats.org/officeDocument/2006/relationships/hyperlink" Target="https://pbs.twimg.com/profile_images/662723326096224256/5V4KH9_O_normal.jpg" TargetMode="External"/><Relationship Id="rId9006" Type="http://schemas.openxmlformats.org/officeDocument/2006/relationships/hyperlink" Target="https://pbs.twimg.com/profile_images/588981131996966912/55KBnYR7_normal.jpg" TargetMode="External"/><Relationship Id="rId9420" Type="http://schemas.openxmlformats.org/officeDocument/2006/relationships/hyperlink" Target="https://twitter.com/slxlearning/status/724173240168411136" TargetMode="External"/><Relationship Id="rId5963" Type="http://schemas.openxmlformats.org/officeDocument/2006/relationships/hyperlink" Target="https://twitter.com/EugenieNicoud" TargetMode="External"/><Relationship Id="rId8022" Type="http://schemas.openxmlformats.org/officeDocument/2006/relationships/hyperlink" Target="https://twitter.com/proALPHA/status/723480471376662528" TargetMode="External"/><Relationship Id="rId3167" Type="http://schemas.openxmlformats.org/officeDocument/2006/relationships/hyperlink" Target="https://pbs.twimg.com/profile_images/666343498925400064/e0BybeOH_normal.jpg" TargetMode="External"/><Relationship Id="rId4565" Type="http://schemas.openxmlformats.org/officeDocument/2006/relationships/hyperlink" Target="https://pbs.twimg.com/profile_images/723407487395713024/0hZv7R8S_normal.jpg" TargetMode="External"/><Relationship Id="rId5616" Type="http://schemas.openxmlformats.org/officeDocument/2006/relationships/hyperlink" Target="https://twitter.com/INDIZbot" TargetMode="External"/><Relationship Id="rId3581" Type="http://schemas.openxmlformats.org/officeDocument/2006/relationships/hyperlink" Target="https://twitter.com/MeinGeldMedien" TargetMode="External"/><Relationship Id="rId4218" Type="http://schemas.openxmlformats.org/officeDocument/2006/relationships/hyperlink" Target="https://twitter.com/fannyfromSWE" TargetMode="External"/><Relationship Id="rId4632" Type="http://schemas.openxmlformats.org/officeDocument/2006/relationships/hyperlink" Target="https://twitter.com/KPMG_DE" TargetMode="External"/><Relationship Id="rId7788" Type="http://schemas.openxmlformats.org/officeDocument/2006/relationships/hyperlink" Target="https://pbs.twimg.com/profile_images/723412380474957825/5UsyKqto_normal.jpg" TargetMode="External"/><Relationship Id="rId8839" Type="http://schemas.openxmlformats.org/officeDocument/2006/relationships/hyperlink" Target="https://twitter.com/cricket2771" TargetMode="External"/><Relationship Id="rId2183" Type="http://schemas.openxmlformats.org/officeDocument/2006/relationships/hyperlink" Target="https://twitter.com/INDIZbot/status/721956780214001664" TargetMode="External"/><Relationship Id="rId3234" Type="http://schemas.openxmlformats.org/officeDocument/2006/relationships/hyperlink" Target="https://pbs.twimg.com/profile_images/672314625904541696/nkjpjIHy_normal.png" TargetMode="External"/><Relationship Id="rId7855" Type="http://schemas.openxmlformats.org/officeDocument/2006/relationships/hyperlink" Target="https://twitter.com/FelixGerg" TargetMode="External"/><Relationship Id="rId8906" Type="http://schemas.openxmlformats.org/officeDocument/2006/relationships/hyperlink" Target="https://twitter.com/verlinked/status/723859021099233281" TargetMode="External"/><Relationship Id="rId155" Type="http://schemas.openxmlformats.org/officeDocument/2006/relationships/hyperlink" Target="https://twitter.com/zettel_kasten/status/720521025037983744" TargetMode="External"/><Relationship Id="rId2250" Type="http://schemas.openxmlformats.org/officeDocument/2006/relationships/hyperlink" Target="https://pbs.twimg.com/profile_images/698748740811821056/qse_j83N_normal.jpg" TargetMode="External"/><Relationship Id="rId3301" Type="http://schemas.openxmlformats.org/officeDocument/2006/relationships/hyperlink" Target="https://twitter.com/MarioReinsch" TargetMode="External"/><Relationship Id="rId6457" Type="http://schemas.openxmlformats.org/officeDocument/2006/relationships/hyperlink" Target="https://pbs.twimg.com/profile_images/603699032804859904/lb5IMG5x_normal.jpg" TargetMode="External"/><Relationship Id="rId6871" Type="http://schemas.openxmlformats.org/officeDocument/2006/relationships/hyperlink" Target="https://twitter.com/MichaelKemme" TargetMode="External"/><Relationship Id="rId7508" Type="http://schemas.openxmlformats.org/officeDocument/2006/relationships/hyperlink" Target="https://pbs.twimg.com/profile_images/645716711723925506/t5G0qOS6_normal.jpg" TargetMode="External"/><Relationship Id="rId222" Type="http://schemas.openxmlformats.org/officeDocument/2006/relationships/hyperlink" Target="https://pbs.twimg.com/profile_images/645716711723925506/t5G0qOS6_normal.jpg" TargetMode="External"/><Relationship Id="rId5059" Type="http://schemas.openxmlformats.org/officeDocument/2006/relationships/hyperlink" Target="https://twitter.com/MagazinoGmbH" TargetMode="External"/><Relationship Id="rId5473" Type="http://schemas.openxmlformats.org/officeDocument/2006/relationships/hyperlink" Target="https://twitter.com/Telit_IoT/status/722814907188690944" TargetMode="External"/><Relationship Id="rId6524" Type="http://schemas.openxmlformats.org/officeDocument/2006/relationships/hyperlink" Target="https://twitter.com/INDIZbot" TargetMode="External"/><Relationship Id="rId7922" Type="http://schemas.openxmlformats.org/officeDocument/2006/relationships/hyperlink" Target="https://twitter.com/centigradegmbh/status/723463106014384128" TargetMode="External"/><Relationship Id="rId4075" Type="http://schemas.openxmlformats.org/officeDocument/2006/relationships/hyperlink" Target="https://twitter.com/ThingsOfIntern/status/722498255569948672" TargetMode="External"/><Relationship Id="rId5126" Type="http://schemas.openxmlformats.org/officeDocument/2006/relationships/hyperlink" Target="https://twitter.com/mbaukarriere/status/722761805467095040" TargetMode="External"/><Relationship Id="rId1669" Type="http://schemas.openxmlformats.org/officeDocument/2006/relationships/hyperlink" Target="https://twitter.com/IV_JHG" TargetMode="External"/><Relationship Id="rId3091" Type="http://schemas.openxmlformats.org/officeDocument/2006/relationships/hyperlink" Target="https://twitter.com/QuickFindsIn/status/722312782180290560" TargetMode="External"/><Relationship Id="rId4142" Type="http://schemas.openxmlformats.org/officeDocument/2006/relationships/hyperlink" Target="https://pbs.twimg.com/profile_images/623849156159868928/BetFDR_i_normal.jpg" TargetMode="External"/><Relationship Id="rId5540" Type="http://schemas.openxmlformats.org/officeDocument/2006/relationships/hyperlink" Target="https://pbs.twimg.com/profile_images/713694636490039296/ykcgR5ct_normal.jpg" TargetMode="External"/><Relationship Id="rId7298" Type="http://schemas.openxmlformats.org/officeDocument/2006/relationships/hyperlink" Target="https://twitter.com/INDIZbot/status/723393890829496320" TargetMode="External"/><Relationship Id="rId8349" Type="http://schemas.openxmlformats.org/officeDocument/2006/relationships/hyperlink" Target="https://twitter.com/LReehten" TargetMode="External"/><Relationship Id="rId8696" Type="http://schemas.openxmlformats.org/officeDocument/2006/relationships/hyperlink" Target="https://twitter.com/Derdack/status/723790965073428480" TargetMode="External"/><Relationship Id="rId9747" Type="http://schemas.openxmlformats.org/officeDocument/2006/relationships/hyperlink" Target="https://twitter.com/IlkkaNiemela" TargetMode="External"/><Relationship Id="rId1736" Type="http://schemas.openxmlformats.org/officeDocument/2006/relationships/hyperlink" Target="https://twitter.com/Tiba_Schweiz/status/721344963016044545" TargetMode="External"/><Relationship Id="rId8763" Type="http://schemas.openxmlformats.org/officeDocument/2006/relationships/hyperlink" Target="https://pbs.twimg.com/profile_images/706510515703521284/ajsG565v_normal.jpg" TargetMode="External"/><Relationship Id="rId9814" Type="http://schemas.openxmlformats.org/officeDocument/2006/relationships/hyperlink" Target="https://twitter.com/mitunsdigital" TargetMode="External"/><Relationship Id="rId10279" Type="http://schemas.openxmlformats.org/officeDocument/2006/relationships/hyperlink" Target="https://twitter.com/INDIZbot" TargetMode="External"/><Relationship Id="rId28" Type="http://schemas.openxmlformats.org/officeDocument/2006/relationships/hyperlink" Target="https://twitter.com/jeangui" TargetMode="External"/><Relationship Id="rId1803" Type="http://schemas.openxmlformats.org/officeDocument/2006/relationships/hyperlink" Target="https://pbs.twimg.com/profile_images/2393699938/kc3cv5tzu6hjyuj9oqes_normal.jpeg" TargetMode="External"/><Relationship Id="rId4959" Type="http://schemas.openxmlformats.org/officeDocument/2006/relationships/hyperlink" Target="https://twitter.com/Gruendercoaches" TargetMode="External"/><Relationship Id="rId7365" Type="http://schemas.openxmlformats.org/officeDocument/2006/relationships/hyperlink" Target="https://twitter.com/sarhapu/status/723403317678739456" TargetMode="External"/><Relationship Id="rId8416" Type="http://schemas.openxmlformats.org/officeDocument/2006/relationships/hyperlink" Target="https://twitter.com/colbytylerford" TargetMode="External"/><Relationship Id="rId8830" Type="http://schemas.openxmlformats.org/officeDocument/2006/relationships/hyperlink" Target="https://twitter.com/MeinGeldMedien" TargetMode="External"/><Relationship Id="rId10346" Type="http://schemas.openxmlformats.org/officeDocument/2006/relationships/hyperlink" Target="https://twitter.com/LReehten/status/724469421293604864" TargetMode="External"/><Relationship Id="rId3975" Type="http://schemas.openxmlformats.org/officeDocument/2006/relationships/hyperlink" Target="https://twitter.com/ITK_OWL/status/722464552198225924" TargetMode="External"/><Relationship Id="rId6381" Type="http://schemas.openxmlformats.org/officeDocument/2006/relationships/hyperlink" Target="https://twitter.com/DerKonstrukteu/status/723117383817138178" TargetMode="External"/><Relationship Id="rId7018" Type="http://schemas.openxmlformats.org/officeDocument/2006/relationships/hyperlink" Target="https://twitter.com/MTuchelmann" TargetMode="External"/><Relationship Id="rId7432" Type="http://schemas.openxmlformats.org/officeDocument/2006/relationships/hyperlink" Target="https://pbs.twimg.com/profile_images/719538951988592641/7lKnB2dG_normal.jpg" TargetMode="External"/><Relationship Id="rId896" Type="http://schemas.openxmlformats.org/officeDocument/2006/relationships/hyperlink" Target="https://pbs.twimg.com/profile_images/645921258018725888/K6K3dJyf_normal.jpg" TargetMode="External"/><Relationship Id="rId2577" Type="http://schemas.openxmlformats.org/officeDocument/2006/relationships/hyperlink" Target="https://pbs.twimg.com/profile_images/645716711723925506/t5G0qOS6_normal.jpg" TargetMode="External"/><Relationship Id="rId3628" Type="http://schemas.openxmlformats.org/officeDocument/2006/relationships/hyperlink" Target="https://pbs.twimg.com/profile_images/645716711723925506/t5G0qOS6_normal.jpg" TargetMode="External"/><Relationship Id="rId6034" Type="http://schemas.openxmlformats.org/officeDocument/2006/relationships/hyperlink" Target="https://pbs.twimg.com/profile_images/643020582188130304/nh8hXpkM_normal.jpg" TargetMode="External"/><Relationship Id="rId549" Type="http://schemas.openxmlformats.org/officeDocument/2006/relationships/hyperlink" Target="https://twitter.com/Global_Fairs/status/720617657435877376" TargetMode="External"/><Relationship Id="rId1179" Type="http://schemas.openxmlformats.org/officeDocument/2006/relationships/hyperlink" Target="https://pbs.twimg.com/profile_images/554983681148727297/X_vneDtT_normal.jpeg" TargetMode="External"/><Relationship Id="rId1593" Type="http://schemas.openxmlformats.org/officeDocument/2006/relationships/hyperlink" Target="https://pbs.twimg.com/profile_images/645716711723925506/t5G0qOS6_normal.jpg" TargetMode="External"/><Relationship Id="rId2991" Type="http://schemas.openxmlformats.org/officeDocument/2006/relationships/hyperlink" Target="https://twitter.com/S_Allen_IIoT/status/722261838704947200" TargetMode="External"/><Relationship Id="rId5050" Type="http://schemas.openxmlformats.org/officeDocument/2006/relationships/hyperlink" Target="https://twitter.com/catkinEU" TargetMode="External"/><Relationship Id="rId6101" Type="http://schemas.openxmlformats.org/officeDocument/2006/relationships/hyperlink" Target="https://twitter.com/INDIZbot" TargetMode="External"/><Relationship Id="rId9257" Type="http://schemas.openxmlformats.org/officeDocument/2006/relationships/hyperlink" Target="https://twitter.com/QuickFindsIn" TargetMode="External"/><Relationship Id="rId963" Type="http://schemas.openxmlformats.org/officeDocument/2006/relationships/hyperlink" Target="https://pbs.twimg.com/profile_images/708264103798824960/BACwIYDp_normal.jpg" TargetMode="External"/><Relationship Id="rId1246" Type="http://schemas.openxmlformats.org/officeDocument/2006/relationships/hyperlink" Target="https://twitter.com/INDIZbot" TargetMode="External"/><Relationship Id="rId2644" Type="http://schemas.openxmlformats.org/officeDocument/2006/relationships/hyperlink" Target="https://pbs.twimg.com/profile_images/529282600972451840/sDHsXvMh_normal.jpeg" TargetMode="External"/><Relationship Id="rId8273" Type="http://schemas.openxmlformats.org/officeDocument/2006/relationships/hyperlink" Target="https://pbs.twimg.com/profile_images/600279861282869249/IpIJ3MKX_normal.png" TargetMode="External"/><Relationship Id="rId9671" Type="http://schemas.openxmlformats.org/officeDocument/2006/relationships/hyperlink" Target="https://twitter.com/ewhitmore" TargetMode="External"/><Relationship Id="rId616" Type="http://schemas.openxmlformats.org/officeDocument/2006/relationships/hyperlink" Target="https://pbs.twimg.com/profile_images/566986293888835584/_uYTcau__normal.png" TargetMode="External"/><Relationship Id="rId1660" Type="http://schemas.openxmlformats.org/officeDocument/2006/relationships/hyperlink" Target="https://twitter.com/MindCommerce" TargetMode="External"/><Relationship Id="rId2711" Type="http://schemas.openxmlformats.org/officeDocument/2006/relationships/hyperlink" Target="https://pbs.twimg.com/profile_images/722098538604281856/CcBxk1_M_normal.jpg" TargetMode="External"/><Relationship Id="rId5867" Type="http://schemas.openxmlformats.org/officeDocument/2006/relationships/hyperlink" Target="https://twitter.com/itsOWL_Cluster" TargetMode="External"/><Relationship Id="rId6918" Type="http://schemas.openxmlformats.org/officeDocument/2006/relationships/hyperlink" Target="https://pbs.twimg.com/profile_images/590945003289059328/J0FpdmyS_normal.png" TargetMode="External"/><Relationship Id="rId9324" Type="http://schemas.openxmlformats.org/officeDocument/2006/relationships/hyperlink" Target="https://twitter.com/ClaudiaFeusi/status/724139656690950144" TargetMode="External"/><Relationship Id="rId1313" Type="http://schemas.openxmlformats.org/officeDocument/2006/relationships/hyperlink" Target="https://twitter.com/SchneiderElecDE/status/720952625462702081" TargetMode="External"/><Relationship Id="rId4469" Type="http://schemas.openxmlformats.org/officeDocument/2006/relationships/hyperlink" Target="https://twitter.com/eacorg/status/722697536234983424" TargetMode="External"/><Relationship Id="rId4883" Type="http://schemas.openxmlformats.org/officeDocument/2006/relationships/hyperlink" Target="https://pbs.twimg.com/profile_images/699724829713428484/rUT0r7Dq_normal.jpg" TargetMode="External"/><Relationship Id="rId5934" Type="http://schemas.openxmlformats.org/officeDocument/2006/relationships/hyperlink" Target="https://twitter.com/markherten/status/723062368968826880" TargetMode="External"/><Relationship Id="rId8340" Type="http://schemas.openxmlformats.org/officeDocument/2006/relationships/hyperlink" Target="https://twitter.com/INDIZbot" TargetMode="External"/><Relationship Id="rId10270" Type="http://schemas.openxmlformats.org/officeDocument/2006/relationships/hyperlink" Target="https://twitter.com/INDIZbot" TargetMode="External"/><Relationship Id="rId3485" Type="http://schemas.openxmlformats.org/officeDocument/2006/relationships/hyperlink" Target="https://twitter.com/openscienceeu" TargetMode="External"/><Relationship Id="rId4536" Type="http://schemas.openxmlformats.org/officeDocument/2006/relationships/hyperlink" Target="https://twitter.com/tuevnord" TargetMode="External"/><Relationship Id="rId4950" Type="http://schemas.openxmlformats.org/officeDocument/2006/relationships/hyperlink" Target="https://twitter.com/christophwitte" TargetMode="External"/><Relationship Id="rId2087" Type="http://schemas.openxmlformats.org/officeDocument/2006/relationships/hyperlink" Target="https://pbs.twimg.com/profile_images/645716711723925506/t5G0qOS6_normal.jpg" TargetMode="External"/><Relationship Id="rId3138" Type="http://schemas.openxmlformats.org/officeDocument/2006/relationships/hyperlink" Target="https://twitter.com/LReehten" TargetMode="External"/><Relationship Id="rId3552" Type="http://schemas.openxmlformats.org/officeDocument/2006/relationships/hyperlink" Target="https://twitter.com/H_IT_D/status/722376018770546688" TargetMode="External"/><Relationship Id="rId4603" Type="http://schemas.openxmlformats.org/officeDocument/2006/relationships/hyperlink" Target="https://twitter.com/DKEAktuell/status/722708179830837249" TargetMode="External"/><Relationship Id="rId7759" Type="http://schemas.openxmlformats.org/officeDocument/2006/relationships/hyperlink" Target="https://twitter.com/gerhardauer/status/723430759806038016" TargetMode="External"/><Relationship Id="rId473" Type="http://schemas.openxmlformats.org/officeDocument/2006/relationships/hyperlink" Target="https://twitter.com/INDIZbot" TargetMode="External"/><Relationship Id="rId2154" Type="http://schemas.openxmlformats.org/officeDocument/2006/relationships/hyperlink" Target="https://pbs.twimg.com/profile_images/500565080807723009/yP0sT_1k_normal.png" TargetMode="External"/><Relationship Id="rId3205" Type="http://schemas.openxmlformats.org/officeDocument/2006/relationships/hyperlink" Target="https://twitter.com/Weidmueller" TargetMode="External"/><Relationship Id="rId9181" Type="http://schemas.openxmlformats.org/officeDocument/2006/relationships/hyperlink" Target="https://pbs.twimg.com/profile_images/645716711723925506/t5G0qOS6_normal.jpg" TargetMode="External"/><Relationship Id="rId126" Type="http://schemas.openxmlformats.org/officeDocument/2006/relationships/hyperlink" Target="https://pbs.twimg.com/profile_images/3112599272/7446ab70cbab1cf15ac54e9b795d2849_normal.jpeg" TargetMode="External"/><Relationship Id="rId540" Type="http://schemas.openxmlformats.org/officeDocument/2006/relationships/hyperlink" Target="https://twitter.com/INDIZbot/status/720615827586838528" TargetMode="External"/><Relationship Id="rId1170" Type="http://schemas.openxmlformats.org/officeDocument/2006/relationships/hyperlink" Target="https://pbs.twimg.com/profile_images/663668561366245376/2ovYiiJf_normal.jpg" TargetMode="External"/><Relationship Id="rId2221" Type="http://schemas.openxmlformats.org/officeDocument/2006/relationships/hyperlink" Target="https://twitter.com/OJaeger" TargetMode="External"/><Relationship Id="rId5377" Type="http://schemas.openxmlformats.org/officeDocument/2006/relationships/hyperlink" Target="https://pbs.twimg.com/profile_images/662723326096224256/5V4KH9_O_normal.jpg" TargetMode="External"/><Relationship Id="rId6428" Type="http://schemas.openxmlformats.org/officeDocument/2006/relationships/hyperlink" Target="https://twitter.com/INDIZbot" TargetMode="External"/><Relationship Id="rId6775" Type="http://schemas.openxmlformats.org/officeDocument/2006/relationships/hyperlink" Target="https://twitter.com/BDOManufacture" TargetMode="External"/><Relationship Id="rId7826" Type="http://schemas.openxmlformats.org/officeDocument/2006/relationships/hyperlink" Target="https://twitter.com/MaTi_WOO/status/723443414281256961" TargetMode="External"/><Relationship Id="rId5791" Type="http://schemas.openxmlformats.org/officeDocument/2006/relationships/hyperlink" Target="https://twitter.com/YCOLLOT/status/723042206752333824" TargetMode="External"/><Relationship Id="rId6842" Type="http://schemas.openxmlformats.org/officeDocument/2006/relationships/hyperlink" Target="https://twitter.com/SecExperten/status/723179254503055360" TargetMode="External"/><Relationship Id="rId9998" Type="http://schemas.openxmlformats.org/officeDocument/2006/relationships/hyperlink" Target="https://twitter.com/colbytylerford/status/724296712752365570" TargetMode="External"/><Relationship Id="rId1987" Type="http://schemas.openxmlformats.org/officeDocument/2006/relationships/hyperlink" Target="https://twitter.com/JUMO_net/status/721694587081912321" TargetMode="External"/><Relationship Id="rId4393" Type="http://schemas.openxmlformats.org/officeDocument/2006/relationships/hyperlink" Target="https://twitter.com/INDIZbot/status/722686526577053696" TargetMode="External"/><Relationship Id="rId5444" Type="http://schemas.openxmlformats.org/officeDocument/2006/relationships/hyperlink" Target="https://pbs.twimg.com/profile_images/645716711723925506/t5G0qOS6_normal.jpg" TargetMode="External"/><Relationship Id="rId4046" Type="http://schemas.openxmlformats.org/officeDocument/2006/relationships/hyperlink" Target="https://twitter.com/INDIZbot" TargetMode="External"/><Relationship Id="rId4460" Type="http://schemas.openxmlformats.org/officeDocument/2006/relationships/hyperlink" Target="https://twitter.com/genuanews/status/722696413994426369" TargetMode="External"/><Relationship Id="rId5511" Type="http://schemas.openxmlformats.org/officeDocument/2006/relationships/hyperlink" Target="https://twitter.com/INDIZbot" TargetMode="External"/><Relationship Id="rId8667" Type="http://schemas.openxmlformats.org/officeDocument/2006/relationships/hyperlink" Target="https://pbs.twimg.com/profile_images/666911961599315968/aP7ID_qm_normal.png" TargetMode="External"/><Relationship Id="rId9718" Type="http://schemas.openxmlformats.org/officeDocument/2006/relationships/hyperlink" Target="https://pbs.twimg.com/profile_images/645716711723925506/t5G0qOS6_normal.jpg" TargetMode="External"/><Relationship Id="rId1707" Type="http://schemas.openxmlformats.org/officeDocument/2006/relationships/hyperlink" Target="https://pbs.twimg.com/profile_images/2310782535/image_normal.jpg" TargetMode="External"/><Relationship Id="rId3062" Type="http://schemas.openxmlformats.org/officeDocument/2006/relationships/hyperlink" Target="https://pbs.twimg.com/profile_images/645716711723925506/t5G0qOS6_normal.jpg" TargetMode="External"/><Relationship Id="rId4113" Type="http://schemas.openxmlformats.org/officeDocument/2006/relationships/hyperlink" Target="https://twitter.com/INDIZbot" TargetMode="External"/><Relationship Id="rId7269" Type="http://schemas.openxmlformats.org/officeDocument/2006/relationships/hyperlink" Target="https://pbs.twimg.com/profile_images/712293940125437952/-mwOdFpy_normal.jpg" TargetMode="External"/><Relationship Id="rId7683" Type="http://schemas.openxmlformats.org/officeDocument/2006/relationships/hyperlink" Target="https://twitter.com/Samarelli75" TargetMode="External"/><Relationship Id="rId8734" Type="http://schemas.openxmlformats.org/officeDocument/2006/relationships/hyperlink" Target="https://twitter.com/mirko_ross" TargetMode="External"/><Relationship Id="rId6285" Type="http://schemas.openxmlformats.org/officeDocument/2006/relationships/hyperlink" Target="https://twitter.com/PwC_Switzerland/status/723102231382360064" TargetMode="External"/><Relationship Id="rId7336" Type="http://schemas.openxmlformats.org/officeDocument/2006/relationships/hyperlink" Target="https://pbs.twimg.com/profile_images/595639511855529984/XvdMq9KS_normal.jpg" TargetMode="External"/><Relationship Id="rId3879" Type="http://schemas.openxmlformats.org/officeDocument/2006/relationships/hyperlink" Target="https://twitter.com/IBMCommerceDACH/status/722449721013510147" TargetMode="External"/><Relationship Id="rId6352" Type="http://schemas.openxmlformats.org/officeDocument/2006/relationships/hyperlink" Target="https://twitter.com/FHNWTechnik" TargetMode="External"/><Relationship Id="rId7750" Type="http://schemas.openxmlformats.org/officeDocument/2006/relationships/hyperlink" Target="https://twitter.com/conosco/status/723430347073974272" TargetMode="External"/><Relationship Id="rId8801" Type="http://schemas.openxmlformats.org/officeDocument/2006/relationships/hyperlink" Target="https://twitter.com/ArminLaschet/status/723815283534733312" TargetMode="External"/><Relationship Id="rId10317" Type="http://schemas.openxmlformats.org/officeDocument/2006/relationships/hyperlink" Target="https://pbs.twimg.com/profile_images/645716711723925506/t5G0qOS6_normal.jpg" TargetMode="External"/><Relationship Id="rId2895" Type="http://schemas.openxmlformats.org/officeDocument/2006/relationships/hyperlink" Target="https://twitter.com/INDIZbot/status/722150780082462721" TargetMode="External"/><Relationship Id="rId3946" Type="http://schemas.openxmlformats.org/officeDocument/2006/relationships/hyperlink" Target="https://pbs.twimg.com/profile_images/555327405187801088/bhizIjB-_normal.png" TargetMode="External"/><Relationship Id="rId6005" Type="http://schemas.openxmlformats.org/officeDocument/2006/relationships/hyperlink" Target="https://twitter.com/SGE" TargetMode="External"/><Relationship Id="rId7403" Type="http://schemas.openxmlformats.org/officeDocument/2006/relationships/hyperlink" Target="https://twitter.com/MartinGaedt" TargetMode="External"/><Relationship Id="rId867" Type="http://schemas.openxmlformats.org/officeDocument/2006/relationships/hyperlink" Target="https://twitter.com/stefan_hagen" TargetMode="External"/><Relationship Id="rId1497" Type="http://schemas.openxmlformats.org/officeDocument/2006/relationships/hyperlink" Target="https://pbs.twimg.com/profile_images/645716711723925506/t5G0qOS6_normal.jpg" TargetMode="External"/><Relationship Id="rId2548" Type="http://schemas.openxmlformats.org/officeDocument/2006/relationships/hyperlink" Target="https://twitter.com/BoschPresse/status/722058413061115905" TargetMode="External"/><Relationship Id="rId2962" Type="http://schemas.openxmlformats.org/officeDocument/2006/relationships/hyperlink" Target="https://pbs.twimg.com/profile_images/696007904596463617/Y_yX9fUv_normal.jpg" TargetMode="External"/><Relationship Id="rId9575" Type="http://schemas.openxmlformats.org/officeDocument/2006/relationships/hyperlink" Target="https://twitter.com/SimonDueckert" TargetMode="External"/><Relationship Id="rId934" Type="http://schemas.openxmlformats.org/officeDocument/2006/relationships/hyperlink" Target="https://twitter.com/ZuliefermarktDE/status/720870222584893440" TargetMode="External"/><Relationship Id="rId1564" Type="http://schemas.openxmlformats.org/officeDocument/2006/relationships/hyperlink" Target="https://twitter.com/carolin_schroer" TargetMode="External"/><Relationship Id="rId2615" Type="http://schemas.openxmlformats.org/officeDocument/2006/relationships/hyperlink" Target="https://twitter.com/BerHerg/status/722069109706514432" TargetMode="External"/><Relationship Id="rId5021" Type="http://schemas.openxmlformats.org/officeDocument/2006/relationships/hyperlink" Target="https://twitter.com/kosslers/status/722749371813474305" TargetMode="External"/><Relationship Id="rId8177" Type="http://schemas.openxmlformats.org/officeDocument/2006/relationships/hyperlink" Target="https://twitter.com/BubalPresidente" TargetMode="External"/><Relationship Id="rId8591" Type="http://schemas.openxmlformats.org/officeDocument/2006/relationships/hyperlink" Target="https://twitter.com/Weinrichter/status/723759868939767808" TargetMode="External"/><Relationship Id="rId9228" Type="http://schemas.openxmlformats.org/officeDocument/2006/relationships/hyperlink" Target="https://twitter.com/sallyafrank/status/724026775735508992" TargetMode="External"/><Relationship Id="rId9642" Type="http://schemas.openxmlformats.org/officeDocument/2006/relationships/hyperlink" Target="https://twitter.com/RahmanNow/status/724224289243828224" TargetMode="External"/><Relationship Id="rId1217" Type="http://schemas.openxmlformats.org/officeDocument/2006/relationships/hyperlink" Target="https://twitter.com/leanbi1/status/720926637458604032" TargetMode="External"/><Relationship Id="rId1631" Type="http://schemas.openxmlformats.org/officeDocument/2006/relationships/hyperlink" Target="https://twitter.com/Evolutivist/status/721250241463390208" TargetMode="External"/><Relationship Id="rId4787" Type="http://schemas.openxmlformats.org/officeDocument/2006/relationships/hyperlink" Target="https://pbs.twimg.com/profile_images/714617781107499009/pfUjM0_S_normal.jpg" TargetMode="External"/><Relationship Id="rId5838" Type="http://schemas.openxmlformats.org/officeDocument/2006/relationships/hyperlink" Target="https://twitter.com/fh_stpoelten/status/723051455985246208" TargetMode="External"/><Relationship Id="rId7193" Type="http://schemas.openxmlformats.org/officeDocument/2006/relationships/hyperlink" Target="https://twitter.com/INDIZbot/status/723373770702884864" TargetMode="External"/><Relationship Id="rId8244" Type="http://schemas.openxmlformats.org/officeDocument/2006/relationships/hyperlink" Target="https://twitter.com/AguilarCharlott" TargetMode="External"/><Relationship Id="rId10174" Type="http://schemas.openxmlformats.org/officeDocument/2006/relationships/hyperlink" Target="https://twitter.com/induux_de" TargetMode="External"/><Relationship Id="rId3389" Type="http://schemas.openxmlformats.org/officeDocument/2006/relationships/hyperlink" Target="https://twitter.com/zwitscher66" TargetMode="External"/><Relationship Id="rId7260" Type="http://schemas.openxmlformats.org/officeDocument/2006/relationships/hyperlink" Target="https://pbs.twimg.com/profile_images/645716711723925506/t5G0qOS6_normal.jpg" TargetMode="External"/><Relationship Id="rId8311" Type="http://schemas.openxmlformats.org/officeDocument/2006/relationships/hyperlink" Target="https://twitter.com/INDIZbot/status/723529721032638464" TargetMode="External"/><Relationship Id="rId3456" Type="http://schemas.openxmlformats.org/officeDocument/2006/relationships/hyperlink" Target="https://twitter.com/ZeljkoP/status/722361688423604224" TargetMode="External"/><Relationship Id="rId4854" Type="http://schemas.openxmlformats.org/officeDocument/2006/relationships/hyperlink" Target="https://twitter.com/Senfberg" TargetMode="External"/><Relationship Id="rId5905" Type="http://schemas.openxmlformats.org/officeDocument/2006/relationships/hyperlink" Target="https://pbs.twimg.com/profile_images/665798535779065856/sbUN3m6Q_normal.jpg" TargetMode="External"/><Relationship Id="rId10241" Type="http://schemas.openxmlformats.org/officeDocument/2006/relationships/hyperlink" Target="https://twitter.com/PPanchakIW/status/724390800164048897" TargetMode="External"/><Relationship Id="rId377" Type="http://schemas.openxmlformats.org/officeDocument/2006/relationships/hyperlink" Target="https://twitter.com/INKA_Forum/status/720568560880324608" TargetMode="External"/><Relationship Id="rId2058" Type="http://schemas.openxmlformats.org/officeDocument/2006/relationships/hyperlink" Target="https://twitter.com/SpielbergHolger" TargetMode="External"/><Relationship Id="rId3109" Type="http://schemas.openxmlformats.org/officeDocument/2006/relationships/hyperlink" Target="https://twitter.com/LReehten/status/722314431590440960" TargetMode="External"/><Relationship Id="rId3870" Type="http://schemas.openxmlformats.org/officeDocument/2006/relationships/hyperlink" Target="https://twitter.com/HolgerPaul66/status/722444304048906240" TargetMode="External"/><Relationship Id="rId4507" Type="http://schemas.openxmlformats.org/officeDocument/2006/relationships/hyperlink" Target="https://twitter.com/KUKA_Presse/status/722700694206197761" TargetMode="External"/><Relationship Id="rId4921" Type="http://schemas.openxmlformats.org/officeDocument/2006/relationships/hyperlink" Target="https://twitter.com/HDSintGroup/status/722737259485782016" TargetMode="External"/><Relationship Id="rId9085" Type="http://schemas.openxmlformats.org/officeDocument/2006/relationships/hyperlink" Target="https://pbs.twimg.com/profile_images/700439210688434176/GMuBceYm_normal.jpg" TargetMode="External"/><Relationship Id="rId791" Type="http://schemas.openxmlformats.org/officeDocument/2006/relationships/hyperlink" Target="https://twitter.com/willempoterman" TargetMode="External"/><Relationship Id="rId1074" Type="http://schemas.openxmlformats.org/officeDocument/2006/relationships/hyperlink" Target="https://pbs.twimg.com/profile_images/378800000678134515/27b6e1353c05881133bb578e013f75ea_normal.png" TargetMode="External"/><Relationship Id="rId2472" Type="http://schemas.openxmlformats.org/officeDocument/2006/relationships/hyperlink" Target="https://pbs.twimg.com/profile_images/504606990081863680/i2J4aVBb_normal.jpeg" TargetMode="External"/><Relationship Id="rId3523" Type="http://schemas.openxmlformats.org/officeDocument/2006/relationships/hyperlink" Target="https://pbs.twimg.com/profile_images/552551275527938050/oM0Hdpyd_normal.jpeg" TargetMode="External"/><Relationship Id="rId6679" Type="http://schemas.openxmlformats.org/officeDocument/2006/relationships/hyperlink" Target="https://twitter.com/GPAdjpBildung" TargetMode="External"/><Relationship Id="rId444" Type="http://schemas.openxmlformats.org/officeDocument/2006/relationships/hyperlink" Target="https://pbs.twimg.com/profile_images/703199515042418688/5Z4p9wxm_normal.png" TargetMode="External"/><Relationship Id="rId2125" Type="http://schemas.openxmlformats.org/officeDocument/2006/relationships/hyperlink" Target="http://ideenwerkbw.de/" TargetMode="External"/><Relationship Id="rId5695" Type="http://schemas.openxmlformats.org/officeDocument/2006/relationships/hyperlink" Target="https://twitter.com/INDIZbot/status/722940801966350336" TargetMode="External"/><Relationship Id="rId6746" Type="http://schemas.openxmlformats.org/officeDocument/2006/relationships/hyperlink" Target="https://twitter.com/BeniSeiler/status/723167634720718849" TargetMode="External"/><Relationship Id="rId9152" Type="http://schemas.openxmlformats.org/officeDocument/2006/relationships/hyperlink" Target="https://twitter.com/colbytylerford" TargetMode="External"/><Relationship Id="rId511" Type="http://schemas.openxmlformats.org/officeDocument/2006/relationships/hyperlink" Target="https://pbs.twimg.com/profile_images/591951396217327616/HbcCX2zX_normal.png" TargetMode="External"/><Relationship Id="rId1141" Type="http://schemas.openxmlformats.org/officeDocument/2006/relationships/hyperlink" Target="https://twitter.com/christophwitte" TargetMode="External"/><Relationship Id="rId4297" Type="http://schemas.openxmlformats.org/officeDocument/2006/relationships/hyperlink" Target="https://twitter.com/ROKAutomationAT/status/722661096008654848" TargetMode="External"/><Relationship Id="rId5348" Type="http://schemas.openxmlformats.org/officeDocument/2006/relationships/hyperlink" Target="https://twitter.com/Bitkom_I40/status/722794552717742080" TargetMode="External"/><Relationship Id="rId5762" Type="http://schemas.openxmlformats.org/officeDocument/2006/relationships/hyperlink" Target="https://pbs.twimg.com/profile_images/666911961599315968/aP7ID_qm_normal.png" TargetMode="External"/><Relationship Id="rId6813" Type="http://schemas.openxmlformats.org/officeDocument/2006/relationships/hyperlink" Target="https://pbs.twimg.com/profile_images/717555626092548096/hiruf99E_normal.jpg" TargetMode="External"/><Relationship Id="rId9969" Type="http://schemas.openxmlformats.org/officeDocument/2006/relationships/hyperlink" Target="https://pbs.twimg.com/profile_images/692360292546842624/MNSepg8N_normal.jpg" TargetMode="External"/><Relationship Id="rId4364" Type="http://schemas.openxmlformats.org/officeDocument/2006/relationships/hyperlink" Target="https://pbs.twimg.com/profile_images/615223235827900416/r0xU5jIu_normal.jpg" TargetMode="External"/><Relationship Id="rId5415" Type="http://schemas.openxmlformats.org/officeDocument/2006/relationships/hyperlink" Target="https://twitter.com/BoschPresse/status/722799285218226177" TargetMode="External"/><Relationship Id="rId1958" Type="http://schemas.openxmlformats.org/officeDocument/2006/relationships/hyperlink" Target="https://pbs.twimg.com/profile_images/662723326096224256/5V4KH9_O_normal.jpg" TargetMode="External"/><Relationship Id="rId3380" Type="http://schemas.openxmlformats.org/officeDocument/2006/relationships/hyperlink" Target="https://twitter.com/Der_Betriebslei" TargetMode="External"/><Relationship Id="rId4017" Type="http://schemas.openxmlformats.org/officeDocument/2006/relationships/hyperlink" Target="https://twitter.com/TUslaender/status/722471365052338176" TargetMode="External"/><Relationship Id="rId4431" Type="http://schemas.openxmlformats.org/officeDocument/2006/relationships/hyperlink" Target="https://twitter.com/tresmo360" TargetMode="External"/><Relationship Id="rId7587" Type="http://schemas.openxmlformats.org/officeDocument/2006/relationships/hyperlink" Target="https://twitter.com/DKEAktuell" TargetMode="External"/><Relationship Id="rId8638" Type="http://schemas.openxmlformats.org/officeDocument/2006/relationships/hyperlink" Target="https://twitter.com/INDIZbot" TargetMode="External"/><Relationship Id="rId8985" Type="http://schemas.openxmlformats.org/officeDocument/2006/relationships/hyperlink" Target="https://pbs.twimg.com/profile_images/672794348442877952/m6Is-Nrc_normal.jpg" TargetMode="External"/><Relationship Id="rId3033" Type="http://schemas.openxmlformats.org/officeDocument/2006/relationships/hyperlink" Target="https://twitter.com/INDIZbot" TargetMode="External"/><Relationship Id="rId6189" Type="http://schemas.openxmlformats.org/officeDocument/2006/relationships/hyperlink" Target="https://twitter.com/tagderlogistik" TargetMode="External"/><Relationship Id="rId7654" Type="http://schemas.openxmlformats.org/officeDocument/2006/relationships/hyperlink" Target="https://twitter.com/tcerisier_johan/status/723422160727867392" TargetMode="External"/><Relationship Id="rId8705" Type="http://schemas.openxmlformats.org/officeDocument/2006/relationships/hyperlink" Target="https://twitter.com/matgnt2/status/723793150477778944" TargetMode="External"/><Relationship Id="rId2799" Type="http://schemas.openxmlformats.org/officeDocument/2006/relationships/hyperlink" Target="https://twitter.com/HaileyMcK" TargetMode="External"/><Relationship Id="rId3100" Type="http://schemas.openxmlformats.org/officeDocument/2006/relationships/hyperlink" Target="https://twitter.com/INDIZbot/status/722314159719915520" TargetMode="External"/><Relationship Id="rId6256" Type="http://schemas.openxmlformats.org/officeDocument/2006/relationships/hyperlink" Target="https://twitter.com/prxagentur" TargetMode="External"/><Relationship Id="rId6670" Type="http://schemas.openxmlformats.org/officeDocument/2006/relationships/hyperlink" Target="https://twitter.com/RudiKennes" TargetMode="External"/><Relationship Id="rId7307" Type="http://schemas.openxmlformats.org/officeDocument/2006/relationships/hyperlink" Target="https://twitter.com/INDIZbot/status/723396259915034624" TargetMode="External"/><Relationship Id="rId7721" Type="http://schemas.openxmlformats.org/officeDocument/2006/relationships/hyperlink" Target="https://pbs.twimg.com/profile_images/677781149037514752/TcTK8Bpv_normal.png" TargetMode="External"/><Relationship Id="rId2866" Type="http://schemas.openxmlformats.org/officeDocument/2006/relationships/hyperlink" Target="http://ulitzer.com/" TargetMode="External"/><Relationship Id="rId3917" Type="http://schemas.openxmlformats.org/officeDocument/2006/relationships/hyperlink" Target="https://twitter.com/vopbal" TargetMode="External"/><Relationship Id="rId5272" Type="http://schemas.openxmlformats.org/officeDocument/2006/relationships/hyperlink" Target="https://twitter.com/WirtschaftNRW" TargetMode="External"/><Relationship Id="rId6323" Type="http://schemas.openxmlformats.org/officeDocument/2006/relationships/hyperlink" Target="https://pbs.twimg.com/profile_images/687255709180796928/1ccBfNwK_normal.png" TargetMode="External"/><Relationship Id="rId9479" Type="http://schemas.openxmlformats.org/officeDocument/2006/relationships/hyperlink" Target="https://twitter.com/induux_de" TargetMode="External"/><Relationship Id="rId9893" Type="http://schemas.openxmlformats.org/officeDocument/2006/relationships/hyperlink" Target="https://twitter.com/MarianKoeller/status/724275570306113536" TargetMode="External"/><Relationship Id="rId838" Type="http://schemas.openxmlformats.org/officeDocument/2006/relationships/hyperlink" Target="https://twitter.com/TheSDDC/status/720836289025576960" TargetMode="External"/><Relationship Id="rId1468" Type="http://schemas.openxmlformats.org/officeDocument/2006/relationships/hyperlink" Target="https://twitter.com/INDIZbot" TargetMode="External"/><Relationship Id="rId1882" Type="http://schemas.openxmlformats.org/officeDocument/2006/relationships/hyperlink" Target="https://pbs.twimg.com/profile_images/717361645454905344/eSYXksup_normal.jpg" TargetMode="External"/><Relationship Id="rId2519" Type="http://schemas.openxmlformats.org/officeDocument/2006/relationships/hyperlink" Target="https://twitter.com/TechnoMarketOV" TargetMode="External"/><Relationship Id="rId8495" Type="http://schemas.openxmlformats.org/officeDocument/2006/relationships/hyperlink" Target="https://twitter.com/BerndHops/status/723602257170825216" TargetMode="External"/><Relationship Id="rId9546" Type="http://schemas.openxmlformats.org/officeDocument/2006/relationships/hyperlink" Target="https://twitter.com/Motorious_Cafe/status/724199907637231616" TargetMode="External"/><Relationship Id="rId1535" Type="http://schemas.openxmlformats.org/officeDocument/2006/relationships/hyperlink" Target="https://twitter.com/_damoca/status/721066483925835776" TargetMode="External"/><Relationship Id="rId2933" Type="http://schemas.openxmlformats.org/officeDocument/2006/relationships/hyperlink" Target="https://twitter.com/DevOpsSummit" TargetMode="External"/><Relationship Id="rId7097" Type="http://schemas.openxmlformats.org/officeDocument/2006/relationships/hyperlink" Target="https://twitter.com/sarhapu/status/723261011223035904" TargetMode="External"/><Relationship Id="rId8148" Type="http://schemas.openxmlformats.org/officeDocument/2006/relationships/hyperlink" Target="https://twitter.com/INDIZbot/status/723499506432630784" TargetMode="External"/><Relationship Id="rId8562" Type="http://schemas.openxmlformats.org/officeDocument/2006/relationships/hyperlink" Target="https://pbs.twimg.com/profile_images/616793252524650496/bQbxJqmz_normal.jpg" TargetMode="External"/><Relationship Id="rId9960" Type="http://schemas.openxmlformats.org/officeDocument/2006/relationships/hyperlink" Target="https://pbs.twimg.com/profile_images/543161217645178880/JQuBT7KS_normal.png" TargetMode="External"/><Relationship Id="rId10078" Type="http://schemas.openxmlformats.org/officeDocument/2006/relationships/hyperlink" Target="https://twitter.com/apachi5223" TargetMode="External"/><Relationship Id="rId905" Type="http://schemas.openxmlformats.org/officeDocument/2006/relationships/hyperlink" Target="https://pbs.twimg.com/profile_images/709356351768686592/BWnChYSq_normal.jpg" TargetMode="External"/><Relationship Id="rId7164" Type="http://schemas.openxmlformats.org/officeDocument/2006/relationships/hyperlink" Target="https://pbs.twimg.com/profile_images/599726511197814784/hcPkurXV_normal.jpg" TargetMode="External"/><Relationship Id="rId8215" Type="http://schemas.openxmlformats.org/officeDocument/2006/relationships/hyperlink" Target="https://twitter.com/kommoptimierer/status/723512940847091712" TargetMode="External"/><Relationship Id="rId9613" Type="http://schemas.openxmlformats.org/officeDocument/2006/relationships/hyperlink" Target="https://pbs.twimg.com/profile_images/607471680647241728/QSYQ2ibq_normal.jpg" TargetMode="External"/><Relationship Id="rId1602" Type="http://schemas.openxmlformats.org/officeDocument/2006/relationships/hyperlink" Target="https://pbs.twimg.com/profile_images/710982607606038528/t8IYX_cK_normal.jpg" TargetMode="External"/><Relationship Id="rId4758" Type="http://schemas.openxmlformats.org/officeDocument/2006/relationships/hyperlink" Target="https://twitter.com/Industrie_40" TargetMode="External"/><Relationship Id="rId5809" Type="http://schemas.openxmlformats.org/officeDocument/2006/relationships/hyperlink" Target="https://twitter.com/Bitkom" TargetMode="External"/><Relationship Id="rId6180" Type="http://schemas.openxmlformats.org/officeDocument/2006/relationships/hyperlink" Target="https://twitter.com/LReehten" TargetMode="External"/><Relationship Id="rId10145" Type="http://schemas.openxmlformats.org/officeDocument/2006/relationships/hyperlink" Target="https://twitter.com/RealJoeGuy/status/724346941795123200" TargetMode="External"/><Relationship Id="rId3774" Type="http://schemas.openxmlformats.org/officeDocument/2006/relationships/hyperlink" Target="https://twitter.com/LeasingVerband/status/722424120965742592" TargetMode="External"/><Relationship Id="rId4825" Type="http://schemas.openxmlformats.org/officeDocument/2006/relationships/hyperlink" Target="https://twitter.com/VhUHessen/status/722722367286480896" TargetMode="External"/><Relationship Id="rId7231" Type="http://schemas.openxmlformats.org/officeDocument/2006/relationships/hyperlink" Target="https://twitter.com/AndreHD20" TargetMode="External"/><Relationship Id="rId10212" Type="http://schemas.openxmlformats.org/officeDocument/2006/relationships/hyperlink" Target="https://pbs.twimg.com/profile_images/714503631253479424/C1W-YKaG_normal.jpg" TargetMode="External"/><Relationship Id="rId695" Type="http://schemas.openxmlformats.org/officeDocument/2006/relationships/hyperlink" Target="https://twitter.com/BWSAGROUP" TargetMode="External"/><Relationship Id="rId2376" Type="http://schemas.openxmlformats.org/officeDocument/2006/relationships/hyperlink" Target="https://pbs.twimg.com/profile_images/2416217270/6vmtlo7m644v6jwaux83_normal.jpeg" TargetMode="External"/><Relationship Id="rId2790" Type="http://schemas.openxmlformats.org/officeDocument/2006/relationships/hyperlink" Target="https://twitter.com/ThingsExpo" TargetMode="External"/><Relationship Id="rId3427" Type="http://schemas.openxmlformats.org/officeDocument/2006/relationships/hyperlink" Target="https://pbs.twimg.com/profile_images/722805235593453570/vZTZykh7_normal.jpg" TargetMode="External"/><Relationship Id="rId3841" Type="http://schemas.openxmlformats.org/officeDocument/2006/relationships/hyperlink" Target="https://pbs.twimg.com/profile_images/601388857477754880/Vqs2MuAc_normal.jpg" TargetMode="External"/><Relationship Id="rId6997" Type="http://schemas.openxmlformats.org/officeDocument/2006/relationships/hyperlink" Target="https://twitter.com/TorbenFred" TargetMode="External"/><Relationship Id="rId348" Type="http://schemas.openxmlformats.org/officeDocument/2006/relationships/hyperlink" Target="https://pbs.twimg.com/profile_images/588981131996966912/55KBnYR7_normal.jpg" TargetMode="External"/><Relationship Id="rId762" Type="http://schemas.openxmlformats.org/officeDocument/2006/relationships/hyperlink" Target="https://twitter.com/dutchhts/status/720709501490475008" TargetMode="External"/><Relationship Id="rId1392" Type="http://schemas.openxmlformats.org/officeDocument/2006/relationships/hyperlink" Target="https://twitter.com/Allabout_IoT/status/720986105848471553" TargetMode="External"/><Relationship Id="rId2029" Type="http://schemas.openxmlformats.org/officeDocument/2006/relationships/hyperlink" Target="https://twitter.com/SmartRuralAreas/status/721747156755955712" TargetMode="External"/><Relationship Id="rId2443" Type="http://schemas.openxmlformats.org/officeDocument/2006/relationships/hyperlink" Target="https://twitter.com/INDIZbot" TargetMode="External"/><Relationship Id="rId5599" Type="http://schemas.openxmlformats.org/officeDocument/2006/relationships/hyperlink" Target="https://twitter.com/OJaeger/status/722874122880073729" TargetMode="External"/><Relationship Id="rId9056" Type="http://schemas.openxmlformats.org/officeDocument/2006/relationships/hyperlink" Target="https://twitter.com/ggaugler" TargetMode="External"/><Relationship Id="rId9470" Type="http://schemas.openxmlformats.org/officeDocument/2006/relationships/hyperlink" Target="https://twitter.com/tuevnordpolitik" TargetMode="External"/><Relationship Id="rId415" Type="http://schemas.openxmlformats.org/officeDocument/2006/relationships/hyperlink" Target="https://twitter.com/ROKAutomationUK" TargetMode="External"/><Relationship Id="rId1045" Type="http://schemas.openxmlformats.org/officeDocument/2006/relationships/hyperlink" Target="https://twitter.com/markherten" TargetMode="External"/><Relationship Id="rId2510" Type="http://schemas.openxmlformats.org/officeDocument/2006/relationships/hyperlink" Target="https://twitter.com/Red_Schmidt" TargetMode="External"/><Relationship Id="rId5666" Type="http://schemas.openxmlformats.org/officeDocument/2006/relationships/hyperlink" Target="https://pbs.twimg.com/profile_images/451994816889360385/SYPpc3iI_normal.jpeg" TargetMode="External"/><Relationship Id="rId8072" Type="http://schemas.openxmlformats.org/officeDocument/2006/relationships/hyperlink" Target="https://twitter.com/acatech_de" TargetMode="External"/><Relationship Id="rId9123" Type="http://schemas.openxmlformats.org/officeDocument/2006/relationships/hyperlink" Target="https://twitter.com/Tim_Caesar/status/723950887815766017" TargetMode="External"/><Relationship Id="rId1112" Type="http://schemas.openxmlformats.org/officeDocument/2006/relationships/hyperlink" Target="https://twitter.com/DidierDeruaz/status/720901998959271937" TargetMode="External"/><Relationship Id="rId4268" Type="http://schemas.openxmlformats.org/officeDocument/2006/relationships/hyperlink" Target="https://pbs.twimg.com/profile_images/532532270788128768/ubrFTMd7_normal.jpeg" TargetMode="External"/><Relationship Id="rId5319" Type="http://schemas.openxmlformats.org/officeDocument/2006/relationships/hyperlink" Target="https://pbs.twimg.com/profile_images/645716711723925506/t5G0qOS6_normal.jpg" TargetMode="External"/><Relationship Id="rId6717" Type="http://schemas.openxmlformats.org/officeDocument/2006/relationships/hyperlink" Target="https://pbs.twimg.com/profile_images/615223235827900416/r0xU5jIu_normal.jpg" TargetMode="External"/><Relationship Id="rId3284" Type="http://schemas.openxmlformats.org/officeDocument/2006/relationships/hyperlink" Target="https://twitter.com/IDKOMPASS/status/722340973771030529" TargetMode="External"/><Relationship Id="rId4682" Type="http://schemas.openxmlformats.org/officeDocument/2006/relationships/hyperlink" Target="https://pbs.twimg.com/profile_images/448784906177372160/yjjDD_wt_normal.png" TargetMode="External"/><Relationship Id="rId5733" Type="http://schemas.openxmlformats.org/officeDocument/2006/relationships/hyperlink" Target="https://twitter.com/INDIZbot" TargetMode="External"/><Relationship Id="rId8889" Type="http://schemas.openxmlformats.org/officeDocument/2006/relationships/hyperlink" Target="https://pbs.twimg.com/profile_images/514530926475223040/f_eBYNPf_normal.jpeg" TargetMode="External"/><Relationship Id="rId1929" Type="http://schemas.openxmlformats.org/officeDocument/2006/relationships/hyperlink" Target="https://twitter.com/JeffRConnolly/status/721634471116537857" TargetMode="External"/><Relationship Id="rId4335" Type="http://schemas.openxmlformats.org/officeDocument/2006/relationships/hyperlink" Target="https://twitter.com/INDIZbot" TargetMode="External"/><Relationship Id="rId5800" Type="http://schemas.openxmlformats.org/officeDocument/2006/relationships/hyperlink" Target="https://twitter.com/INDIZbot/status/723044109800361984" TargetMode="External"/><Relationship Id="rId8956" Type="http://schemas.openxmlformats.org/officeDocument/2006/relationships/hyperlink" Target="https://twitter.com/JuergenGietl" TargetMode="External"/><Relationship Id="rId3351" Type="http://schemas.openxmlformats.org/officeDocument/2006/relationships/hyperlink" Target="https://pbs.twimg.com/profile_images/701004613206433792/o4DJfA8-_normal.jpg" TargetMode="External"/><Relationship Id="rId4402" Type="http://schemas.openxmlformats.org/officeDocument/2006/relationships/hyperlink" Target="https://twitter.com/cmichoudpro/status/722686849395855362" TargetMode="External"/><Relationship Id="rId7558" Type="http://schemas.openxmlformats.org/officeDocument/2006/relationships/hyperlink" Target="https://twitter.com/INDIZbot/status/723414144565665792" TargetMode="External"/><Relationship Id="rId7972" Type="http://schemas.openxmlformats.org/officeDocument/2006/relationships/hyperlink" Target="https://pbs.twimg.com/profile_images/645716711723925506/t5G0qOS6_normal.jpg" TargetMode="External"/><Relationship Id="rId8609" Type="http://schemas.openxmlformats.org/officeDocument/2006/relationships/hyperlink" Target="https://twitter.com/INDIZbot/status/723766620745830400" TargetMode="External"/><Relationship Id="rId272" Type="http://schemas.openxmlformats.org/officeDocument/2006/relationships/hyperlink" Target="https://twitter.com/Apandia/status/720541412245270528" TargetMode="External"/><Relationship Id="rId3004" Type="http://schemas.openxmlformats.org/officeDocument/2006/relationships/hyperlink" Target="https://pbs.twimg.com/profile_images/448785978165968896/SQOcI8cJ_normal.png" TargetMode="External"/><Relationship Id="rId6574" Type="http://schemas.openxmlformats.org/officeDocument/2006/relationships/hyperlink" Target="https://twitter.com/Bitkom_I40/status/723145045054902272" TargetMode="External"/><Relationship Id="rId7625" Type="http://schemas.openxmlformats.org/officeDocument/2006/relationships/hyperlink" Target="https://pbs.twimg.com/profile_images/631021673857290240/dsNYkRwd_normal.jpg" TargetMode="External"/><Relationship Id="rId2020" Type="http://schemas.openxmlformats.org/officeDocument/2006/relationships/hyperlink" Target="https://twitter.com/H_IT_D/status/721735113776586759" TargetMode="External"/><Relationship Id="rId5176" Type="http://schemas.openxmlformats.org/officeDocument/2006/relationships/hyperlink" Target="https://twitter.com/Rossmanith_QM" TargetMode="External"/><Relationship Id="rId5590" Type="http://schemas.openxmlformats.org/officeDocument/2006/relationships/hyperlink" Target="https://twitter.com/INDIZbot/status/722863299331825668" TargetMode="External"/><Relationship Id="rId6227" Type="http://schemas.openxmlformats.org/officeDocument/2006/relationships/hyperlink" Target="https://twitter.com/technikzukunft/status/723090178261278720" TargetMode="External"/><Relationship Id="rId6641" Type="http://schemas.openxmlformats.org/officeDocument/2006/relationships/hyperlink" Target="https://pbs.twimg.com/profile_images/709479158489948161/NxFpURG3_normal.jpg" TargetMode="External"/><Relationship Id="rId9797" Type="http://schemas.openxmlformats.org/officeDocument/2006/relationships/hyperlink" Target="https://twitter.com/catkinEU/status/724259556335992833" TargetMode="External"/><Relationship Id="rId4192" Type="http://schemas.openxmlformats.org/officeDocument/2006/relationships/hyperlink" Target="https://twitter.com/LReehten/status/722516580760952833" TargetMode="External"/><Relationship Id="rId5243" Type="http://schemas.openxmlformats.org/officeDocument/2006/relationships/hyperlink" Target="https://pbs.twimg.com/profile_images/600969802908356609/3JqGMg38_normal.png" TargetMode="External"/><Relationship Id="rId8399" Type="http://schemas.openxmlformats.org/officeDocument/2006/relationships/hyperlink" Target="https://pbs.twimg.com/profile_images/645716711723925506/t5G0qOS6_normal.jpg" TargetMode="External"/><Relationship Id="rId1786" Type="http://schemas.openxmlformats.org/officeDocument/2006/relationships/hyperlink" Target="https://twitter.com/Dr_RobertFreund" TargetMode="External"/><Relationship Id="rId2837" Type="http://schemas.openxmlformats.org/officeDocument/2006/relationships/hyperlink" Target="https://pbs.twimg.com/profile_images/623849156159868928/BetFDR_i_normal.jpg" TargetMode="External"/><Relationship Id="rId9864" Type="http://schemas.openxmlformats.org/officeDocument/2006/relationships/hyperlink" Target="https://pbs.twimg.com/profile_images/604338428227010560/6jzSa8us_normal.png" TargetMode="External"/><Relationship Id="rId78" Type="http://schemas.openxmlformats.org/officeDocument/2006/relationships/hyperlink" Target="https://pbs.twimg.com/profile_images/623103587527344128/2HZGdh68_normal.png" TargetMode="External"/><Relationship Id="rId809" Type="http://schemas.openxmlformats.org/officeDocument/2006/relationships/hyperlink" Target="https://pbs.twimg.com/profile_images/618126359622221824/GH4y7y_J_normal.jpg" TargetMode="External"/><Relationship Id="rId1439" Type="http://schemas.openxmlformats.org/officeDocument/2006/relationships/hyperlink" Target="https://pbs.twimg.com/profile_images/438597769180094464/3KS08yHc_normal.jpeg" TargetMode="External"/><Relationship Id="rId1853" Type="http://schemas.openxmlformats.org/officeDocument/2006/relationships/hyperlink" Target="https://twitter.com/LeanKnowledge/status/721587046297505792" TargetMode="External"/><Relationship Id="rId2904" Type="http://schemas.openxmlformats.org/officeDocument/2006/relationships/hyperlink" Target="https://twitter.com/ARAitken/status/722154466632429568" TargetMode="External"/><Relationship Id="rId5310" Type="http://schemas.openxmlformats.org/officeDocument/2006/relationships/hyperlink" Target="https://pbs.twimg.com/profile_images/593011135428882432/BGMPkrwp_normal.jpg" TargetMode="External"/><Relationship Id="rId7068" Type="http://schemas.openxmlformats.org/officeDocument/2006/relationships/hyperlink" Target="https://pbs.twimg.com/profile_images/645716711723925506/t5G0qOS6_normal.jpg" TargetMode="External"/><Relationship Id="rId8119" Type="http://schemas.openxmlformats.org/officeDocument/2006/relationships/hyperlink" Target="https://pbs.twimg.com/profile_images/691353676179443712/kXg2h6SR_normal.jpg" TargetMode="External"/><Relationship Id="rId8466" Type="http://schemas.openxmlformats.org/officeDocument/2006/relationships/hyperlink" Target="https://pbs.twimg.com/profile_images/645716711723925506/t5G0qOS6_normal.jpg" TargetMode="External"/><Relationship Id="rId8880" Type="http://schemas.openxmlformats.org/officeDocument/2006/relationships/hyperlink" Target="https://pbs.twimg.com/profile_images/704767814406643712/VcnCdfke_normal.jpg" TargetMode="External"/><Relationship Id="rId9517" Type="http://schemas.openxmlformats.org/officeDocument/2006/relationships/hyperlink" Target="https://abs.twimg.com/sticky/default_profile_images/default_profile_3_normal.png" TargetMode="External"/><Relationship Id="rId9931" Type="http://schemas.openxmlformats.org/officeDocument/2006/relationships/hyperlink" Target="https://twitter.com/DohmeyerK" TargetMode="External"/><Relationship Id="rId1506" Type="http://schemas.openxmlformats.org/officeDocument/2006/relationships/hyperlink" Target="https://pbs.twimg.com/profile_images/618126359622221824/GH4y7y_J_normal.jpg" TargetMode="External"/><Relationship Id="rId1920" Type="http://schemas.openxmlformats.org/officeDocument/2006/relationships/hyperlink" Target="https://twitter.com/INDIZbot/status/721627285242134528" TargetMode="External"/><Relationship Id="rId7482" Type="http://schemas.openxmlformats.org/officeDocument/2006/relationships/hyperlink" Target="https://twitter.com/CIOVoice" TargetMode="External"/><Relationship Id="rId8533" Type="http://schemas.openxmlformats.org/officeDocument/2006/relationships/hyperlink" Target="https://twitter.com/oliverdhm" TargetMode="External"/><Relationship Id="rId10049" Type="http://schemas.openxmlformats.org/officeDocument/2006/relationships/hyperlink" Target="https://twitter.com/H_IT_D/status/724312262257733632" TargetMode="External"/><Relationship Id="rId3678" Type="http://schemas.openxmlformats.org/officeDocument/2006/relationships/hyperlink" Target="https://twitter.com/wmaxx_consultig/status/722404486497574913" TargetMode="External"/><Relationship Id="rId4729" Type="http://schemas.openxmlformats.org/officeDocument/2006/relationships/hyperlink" Target="https://twitter.com/1ironbark1/status/722715011701940225" TargetMode="External"/><Relationship Id="rId6084" Type="http://schemas.openxmlformats.org/officeDocument/2006/relationships/hyperlink" Target="https://twitter.com/INDIZbot/status/723074128786415616" TargetMode="External"/><Relationship Id="rId7135" Type="http://schemas.openxmlformats.org/officeDocument/2006/relationships/hyperlink" Target="https://twitter.com/Frank_Reinelt" TargetMode="External"/><Relationship Id="rId8600" Type="http://schemas.openxmlformats.org/officeDocument/2006/relationships/hyperlink" Target="https://twitter.com/ROKAutoCHDE/status/723764623212584960" TargetMode="External"/><Relationship Id="rId10116" Type="http://schemas.openxmlformats.org/officeDocument/2006/relationships/hyperlink" Target="https://pbs.twimg.com/profile_images/709444980553740288/Xds-Aan6_normal.jpg" TargetMode="External"/><Relationship Id="rId599" Type="http://schemas.openxmlformats.org/officeDocument/2006/relationships/hyperlink" Target="https://twitter.com/Geschnattere" TargetMode="External"/><Relationship Id="rId2694" Type="http://schemas.openxmlformats.org/officeDocument/2006/relationships/hyperlink" Target="https://twitter.com/Jautomatise" TargetMode="External"/><Relationship Id="rId3745" Type="http://schemas.openxmlformats.org/officeDocument/2006/relationships/hyperlink" Target="https://pbs.twimg.com/profile_images/615797525040136192/CKF9-v_o_normal.jpg" TargetMode="External"/><Relationship Id="rId6151" Type="http://schemas.openxmlformats.org/officeDocument/2006/relationships/hyperlink" Target="https://twitter.com/AbockAngela/status/723081511768068096" TargetMode="External"/><Relationship Id="rId7202" Type="http://schemas.openxmlformats.org/officeDocument/2006/relationships/hyperlink" Target="https://twitter.com/neerajdeuskar79/status/723378260336218112" TargetMode="External"/><Relationship Id="rId666" Type="http://schemas.openxmlformats.org/officeDocument/2006/relationships/hyperlink" Target="https://twitter.com/IT_Connection/status/720659247856545792" TargetMode="External"/><Relationship Id="rId1296" Type="http://schemas.openxmlformats.org/officeDocument/2006/relationships/hyperlink" Target="https://pbs.twimg.com/profile_images/645716711723925506/t5G0qOS6_normal.jpg" TargetMode="External"/><Relationship Id="rId2347" Type="http://schemas.openxmlformats.org/officeDocument/2006/relationships/hyperlink" Target="https://twitter.com/HTxA" TargetMode="External"/><Relationship Id="rId9374" Type="http://schemas.openxmlformats.org/officeDocument/2006/relationships/hyperlink" Target="https://twitter.com/karelcrombach" TargetMode="External"/><Relationship Id="rId319" Type="http://schemas.openxmlformats.org/officeDocument/2006/relationships/hyperlink" Target="https://twitter.com/digitale_Konst" TargetMode="External"/><Relationship Id="rId1363" Type="http://schemas.openxmlformats.org/officeDocument/2006/relationships/hyperlink" Target="https://twitter.com/heidelbergmobil" TargetMode="External"/><Relationship Id="rId2761" Type="http://schemas.openxmlformats.org/officeDocument/2006/relationships/hyperlink" Target="https://twitter.com/mbesch/status/722113692062642180" TargetMode="External"/><Relationship Id="rId3812" Type="http://schemas.openxmlformats.org/officeDocument/2006/relationships/hyperlink" Target="https://twitter.com/INDIZbot" TargetMode="External"/><Relationship Id="rId6968" Type="http://schemas.openxmlformats.org/officeDocument/2006/relationships/hyperlink" Target="https://twitter.com/ke13ds/status/723214013451128836" TargetMode="External"/><Relationship Id="rId8390" Type="http://schemas.openxmlformats.org/officeDocument/2006/relationships/hyperlink" Target="https://pbs.twimg.com/profile_images/1234499388/n367104918594_7014_normal.jpg" TargetMode="External"/><Relationship Id="rId9027" Type="http://schemas.openxmlformats.org/officeDocument/2006/relationships/hyperlink" Target="https://pbs.twimg.com/profile_images/674973920039145474/z8uky1Lp_normal.jpg" TargetMode="External"/><Relationship Id="rId733" Type="http://schemas.openxmlformats.org/officeDocument/2006/relationships/hyperlink" Target="https://pbs.twimg.com/profile_images/418795472472383488/YQgyHWog_normal.jpeg" TargetMode="External"/><Relationship Id="rId1016" Type="http://schemas.openxmlformats.org/officeDocument/2006/relationships/hyperlink" Target="https://twitter.com/sensorplustest/status/720885131934715904" TargetMode="External"/><Relationship Id="rId2414" Type="http://schemas.openxmlformats.org/officeDocument/2006/relationships/hyperlink" Target="https://twitter.com/INDIZbot/status/722017237654237185" TargetMode="External"/><Relationship Id="rId5984" Type="http://schemas.openxmlformats.org/officeDocument/2006/relationships/hyperlink" Target="https://twitter.com/it_rebellen" TargetMode="External"/><Relationship Id="rId8043" Type="http://schemas.openxmlformats.org/officeDocument/2006/relationships/hyperlink" Target="https://twitter.com/Bitkom_Service/status/723485760784097280" TargetMode="External"/><Relationship Id="rId9441" Type="http://schemas.openxmlformats.org/officeDocument/2006/relationships/hyperlink" Target="https://twitter.com/patriciaduques4/status/724175173939802112" TargetMode="External"/><Relationship Id="rId800" Type="http://schemas.openxmlformats.org/officeDocument/2006/relationships/hyperlink" Target="https://pbs.twimg.com/profile_images/489403559394304001/8SQlWWA1_normal.jpeg" TargetMode="External"/><Relationship Id="rId1430" Type="http://schemas.openxmlformats.org/officeDocument/2006/relationships/hyperlink" Target="https://twitter.com/innovationbawue" TargetMode="External"/><Relationship Id="rId4586" Type="http://schemas.openxmlformats.org/officeDocument/2006/relationships/hyperlink" Target="https://pbs.twimg.com/profile_images/617379223972499456/mB9LBMsl_normal.jpg" TargetMode="External"/><Relationship Id="rId5637" Type="http://schemas.openxmlformats.org/officeDocument/2006/relationships/hyperlink" Target="https://twitter.com/Cathy_Brennan" TargetMode="External"/><Relationship Id="rId3188" Type="http://schemas.openxmlformats.org/officeDocument/2006/relationships/hyperlink" Target="https://twitter.com/BoschMEMS/status/722320924054274048" TargetMode="External"/><Relationship Id="rId4239" Type="http://schemas.openxmlformats.org/officeDocument/2006/relationships/hyperlink" Target="https://twitter.com/Geschnattere" TargetMode="External"/><Relationship Id="rId4653" Type="http://schemas.openxmlformats.org/officeDocument/2006/relationships/hyperlink" Target="https://twitter.com/IEBook" TargetMode="External"/><Relationship Id="rId5704" Type="http://schemas.openxmlformats.org/officeDocument/2006/relationships/hyperlink" Target="https://twitter.com/H_IT_D/status/722953664881512448" TargetMode="External"/><Relationship Id="rId8110" Type="http://schemas.openxmlformats.org/officeDocument/2006/relationships/hyperlink" Target="https://pbs.twimg.com/profile_images/722385992343285760/ww8YLZ2q_normal.jpg" TargetMode="External"/><Relationship Id="rId10040" Type="http://schemas.openxmlformats.org/officeDocument/2006/relationships/hyperlink" Target="https://twitter.com/INDIZbot/status/724307580110159873" TargetMode="External"/><Relationship Id="rId3255" Type="http://schemas.openxmlformats.org/officeDocument/2006/relationships/hyperlink" Target="https://pbs.twimg.com/profile_images/559680089638838272/Z1jALFTj_normal.jpeg" TargetMode="External"/><Relationship Id="rId4306" Type="http://schemas.openxmlformats.org/officeDocument/2006/relationships/hyperlink" Target="https://twitter.com/INDIZbot/status/722661364917997568" TargetMode="External"/><Relationship Id="rId4720" Type="http://schemas.openxmlformats.org/officeDocument/2006/relationships/hyperlink" Target="https://twitter.com/cerratlan/status/722713648653824000" TargetMode="External"/><Relationship Id="rId7876" Type="http://schemas.openxmlformats.org/officeDocument/2006/relationships/hyperlink" Target="https://twitter.com/FullSpeedSystem" TargetMode="External"/><Relationship Id="rId8927" Type="http://schemas.openxmlformats.org/officeDocument/2006/relationships/hyperlink" Target="https://twitter.com/CullenVerena/status/723866822613819392" TargetMode="External"/><Relationship Id="rId176" Type="http://schemas.openxmlformats.org/officeDocument/2006/relationships/hyperlink" Target="https://twitter.com/Reply_DE/status/720523264599199744" TargetMode="External"/><Relationship Id="rId590" Type="http://schemas.openxmlformats.org/officeDocument/2006/relationships/hyperlink" Target="https://twitter.com/S_Koebernick" TargetMode="External"/><Relationship Id="rId2271" Type="http://schemas.openxmlformats.org/officeDocument/2006/relationships/hyperlink" Target="https://twitter.com/Alex_Sattler" TargetMode="External"/><Relationship Id="rId3322" Type="http://schemas.openxmlformats.org/officeDocument/2006/relationships/hyperlink" Target="https://twitter.com/MarianKoeller" TargetMode="External"/><Relationship Id="rId6478" Type="http://schemas.openxmlformats.org/officeDocument/2006/relationships/hyperlink" Target="https://pbs.twimg.com/profile_images/471312276767535104/TIanhngf_normal.jpeg" TargetMode="External"/><Relationship Id="rId7529" Type="http://schemas.openxmlformats.org/officeDocument/2006/relationships/hyperlink" Target="https://pbs.twimg.com/profile_images/561137710287425536/htHMwCBr_normal.png" TargetMode="External"/><Relationship Id="rId243" Type="http://schemas.openxmlformats.org/officeDocument/2006/relationships/hyperlink" Target="https://pbs.twimg.com/profile_images/534311198326419456/tVIBh5o0_normal.jpeg" TargetMode="External"/><Relationship Id="rId5494" Type="http://schemas.openxmlformats.org/officeDocument/2006/relationships/hyperlink" Target="https://twitter.com/m_biscarrat/status/722818541108355072" TargetMode="External"/><Relationship Id="rId6892" Type="http://schemas.openxmlformats.org/officeDocument/2006/relationships/hyperlink" Target="https://twitter.com/WalesBuzz" TargetMode="External"/><Relationship Id="rId7943" Type="http://schemas.openxmlformats.org/officeDocument/2006/relationships/hyperlink" Target="http://all-electronics.de/" TargetMode="External"/><Relationship Id="rId310" Type="http://schemas.openxmlformats.org/officeDocument/2006/relationships/hyperlink" Target="https://twitter.com/mitunsdigital" TargetMode="External"/><Relationship Id="rId4096" Type="http://schemas.openxmlformats.org/officeDocument/2006/relationships/hyperlink" Target="https://twitter.com/INDIZbot/status/722500675037487105" TargetMode="External"/><Relationship Id="rId5147" Type="http://schemas.openxmlformats.org/officeDocument/2006/relationships/hyperlink" Target="https://twitter.com/AGiesenNRW/status/722762434633535489" TargetMode="External"/><Relationship Id="rId6545" Type="http://schemas.openxmlformats.org/officeDocument/2006/relationships/hyperlink" Target="https://twitter.com/mkkrueg" TargetMode="External"/><Relationship Id="rId5561" Type="http://schemas.openxmlformats.org/officeDocument/2006/relationships/hyperlink" Target="https://pbs.twimg.com/profile_images/666911961599315968/aP7ID_qm_normal.png" TargetMode="External"/><Relationship Id="rId6612" Type="http://schemas.openxmlformats.org/officeDocument/2006/relationships/hyperlink" Target="https://twitter.com/marketingBOERSE" TargetMode="External"/><Relationship Id="rId9768" Type="http://schemas.openxmlformats.org/officeDocument/2006/relationships/hyperlink" Target="https://pbs.twimg.com/profile_images/723407487395713024/0hZv7R8S_normal.jpg" TargetMode="External"/><Relationship Id="rId1757" Type="http://schemas.openxmlformats.org/officeDocument/2006/relationships/hyperlink" Target="https://twitter.com/SALIM__S/status/721352453459951616" TargetMode="External"/><Relationship Id="rId2808" Type="http://schemas.openxmlformats.org/officeDocument/2006/relationships/hyperlink" Target="https://twitter.com/JoansHere" TargetMode="External"/><Relationship Id="rId4163" Type="http://schemas.openxmlformats.org/officeDocument/2006/relationships/hyperlink" Target="https://pbs.twimg.com/profile_images/623849156159868928/BetFDR_i_normal.jpg" TargetMode="External"/><Relationship Id="rId5214" Type="http://schemas.openxmlformats.org/officeDocument/2006/relationships/hyperlink" Target="https://twitter.com/LuisB" TargetMode="External"/><Relationship Id="rId8784" Type="http://schemas.openxmlformats.org/officeDocument/2006/relationships/hyperlink" Target="https://pbs.twimg.com/profile_images/719493338953609216/HOWuI2Az_normal.jpg" TargetMode="External"/><Relationship Id="rId9835" Type="http://schemas.openxmlformats.org/officeDocument/2006/relationships/hyperlink" Target="https://twitter.com/alternacomm" TargetMode="External"/><Relationship Id="rId49" Type="http://schemas.openxmlformats.org/officeDocument/2006/relationships/hyperlink" Target="https://twitter.com/Vick0366" TargetMode="External"/><Relationship Id="rId1824" Type="http://schemas.openxmlformats.org/officeDocument/2006/relationships/hyperlink" Target="https://pbs.twimg.com/profile_images/510721015945498624/1UpjmZMi_normal.jpeg" TargetMode="External"/><Relationship Id="rId4230" Type="http://schemas.openxmlformats.org/officeDocument/2006/relationships/hyperlink" Target="https://twitter.com/wmaxx_consultig" TargetMode="External"/><Relationship Id="rId7386" Type="http://schemas.openxmlformats.org/officeDocument/2006/relationships/hyperlink" Target="https://twitter.com/APuZ_bpb/status/723404171261542401" TargetMode="External"/><Relationship Id="rId8437" Type="http://schemas.openxmlformats.org/officeDocument/2006/relationships/hyperlink" Target="https://twitter.com/h_scoshield" TargetMode="External"/><Relationship Id="rId8851" Type="http://schemas.openxmlformats.org/officeDocument/2006/relationships/hyperlink" Target="https://twitter.com/INDIZbot" TargetMode="External"/><Relationship Id="rId7039" Type="http://schemas.openxmlformats.org/officeDocument/2006/relationships/hyperlink" Target="https://twitter.com/catkinEU" TargetMode="External"/><Relationship Id="rId7453" Type="http://schemas.openxmlformats.org/officeDocument/2006/relationships/hyperlink" Target="https://twitter.com/INDIZbot/status/723406796950376448" TargetMode="External"/><Relationship Id="rId8504" Type="http://schemas.openxmlformats.org/officeDocument/2006/relationships/hyperlink" Target="https://twitter.com/kommoptimierer/status/723603536618110977" TargetMode="External"/><Relationship Id="rId9902" Type="http://schemas.openxmlformats.org/officeDocument/2006/relationships/hyperlink" Target="https://twitter.com/Robert_Weber_/status/724276744887390208" TargetMode="External"/><Relationship Id="rId2598" Type="http://schemas.openxmlformats.org/officeDocument/2006/relationships/hyperlink" Target="https://pbs.twimg.com/profile_images/593011135428882432/BGMPkrwp_normal.jpg" TargetMode="External"/><Relationship Id="rId3996" Type="http://schemas.openxmlformats.org/officeDocument/2006/relationships/hyperlink" Target="https://twitter.com/aguittard/status/722466887716761604" TargetMode="External"/><Relationship Id="rId6055" Type="http://schemas.openxmlformats.org/officeDocument/2006/relationships/hyperlink" Target="https://pbs.twimg.com/profile_images/514736619115384832/edvgJxyt_normal.png" TargetMode="External"/><Relationship Id="rId7106" Type="http://schemas.openxmlformats.org/officeDocument/2006/relationships/hyperlink" Target="https://twitter.com/sarhapu/status/723262108268433408" TargetMode="External"/><Relationship Id="rId3649" Type="http://schemas.openxmlformats.org/officeDocument/2006/relationships/hyperlink" Target="https://pbs.twimg.com/profile_images/645716711723925506/t5G0qOS6_normal.jpg" TargetMode="External"/><Relationship Id="rId5071" Type="http://schemas.openxmlformats.org/officeDocument/2006/relationships/hyperlink" Target="https://twitter.com/AGiesenNRW" TargetMode="External"/><Relationship Id="rId6122" Type="http://schemas.openxmlformats.org/officeDocument/2006/relationships/hyperlink" Target="https://pbs.twimg.com/profile_images/713304949757755392/c4EhSmgZ_normal.jpg" TargetMode="External"/><Relationship Id="rId7520" Type="http://schemas.openxmlformats.org/officeDocument/2006/relationships/hyperlink" Target="https://pbs.twimg.com/profile_images/600969802908356609/3JqGMg38_normal.png" TargetMode="External"/><Relationship Id="rId9278" Type="http://schemas.openxmlformats.org/officeDocument/2006/relationships/hyperlink" Target="https://twitter.com/David__DaSilva" TargetMode="External"/><Relationship Id="rId984" Type="http://schemas.openxmlformats.org/officeDocument/2006/relationships/hyperlink" Target="https://pbs.twimg.com/profile_images/676700631248166912/ZVQvTezj_normal.png" TargetMode="External"/><Relationship Id="rId2665" Type="http://schemas.openxmlformats.org/officeDocument/2006/relationships/hyperlink" Target="https://twitter.com/SmartAutomati0n/status/722082051554279424" TargetMode="External"/><Relationship Id="rId3716" Type="http://schemas.openxmlformats.org/officeDocument/2006/relationships/hyperlink" Target="https://twitter.com/Angela_Josephs" TargetMode="External"/><Relationship Id="rId9692" Type="http://schemas.openxmlformats.org/officeDocument/2006/relationships/hyperlink" Target="https://twitter.com/INDIZbot" TargetMode="External"/><Relationship Id="rId637" Type="http://schemas.openxmlformats.org/officeDocument/2006/relationships/hyperlink" Target="https://pbs.twimg.com/profile_images/645716711723925506/t5G0qOS6_normal.jpg" TargetMode="External"/><Relationship Id="rId1267" Type="http://schemas.openxmlformats.org/officeDocument/2006/relationships/hyperlink" Target="https://twitter.com/Apandia" TargetMode="External"/><Relationship Id="rId1681" Type="http://schemas.openxmlformats.org/officeDocument/2006/relationships/hyperlink" Target="https://twitter.com/EconTypes" TargetMode="External"/><Relationship Id="rId2318" Type="http://schemas.openxmlformats.org/officeDocument/2006/relationships/hyperlink" Target="https://twitter.com/conosco/status/721982604551987201" TargetMode="External"/><Relationship Id="rId2732" Type="http://schemas.openxmlformats.org/officeDocument/2006/relationships/hyperlink" Target="https://pbs.twimg.com/profile_images/591951396217327616/HbcCX2zX_normal.png" TargetMode="External"/><Relationship Id="rId5888" Type="http://schemas.openxmlformats.org/officeDocument/2006/relationships/hyperlink" Target="https://twitter.com/markherten" TargetMode="External"/><Relationship Id="rId6939" Type="http://schemas.openxmlformats.org/officeDocument/2006/relationships/hyperlink" Target="https://pbs.twimg.com/profile_images/686153219328872448/sWdOqu2g_normal.jpg" TargetMode="External"/><Relationship Id="rId8294" Type="http://schemas.openxmlformats.org/officeDocument/2006/relationships/hyperlink" Target="https://pbs.twimg.com/profile_images/645716711723925506/t5G0qOS6_normal.jpg" TargetMode="External"/><Relationship Id="rId9345" Type="http://schemas.openxmlformats.org/officeDocument/2006/relationships/hyperlink" Target="https://twitter.com/INDIZbot/status/724148801699762178" TargetMode="External"/><Relationship Id="rId704" Type="http://schemas.openxmlformats.org/officeDocument/2006/relationships/hyperlink" Target="https://twitter.com/JOUAILLECM" TargetMode="External"/><Relationship Id="rId1334" Type="http://schemas.openxmlformats.org/officeDocument/2006/relationships/hyperlink" Target="https://twitter.com/SAPFrance/status/720963254563041280" TargetMode="External"/><Relationship Id="rId5955" Type="http://schemas.openxmlformats.org/officeDocument/2006/relationships/hyperlink" Target="https://twitter.com/AHK_Oesterreich/status/723065182583296001" TargetMode="External"/><Relationship Id="rId8361" Type="http://schemas.openxmlformats.org/officeDocument/2006/relationships/hyperlink" Target="https://twitter.com/H_IT_D" TargetMode="External"/><Relationship Id="rId9412" Type="http://schemas.openxmlformats.org/officeDocument/2006/relationships/hyperlink" Target="https://pbs.twimg.com/profile_images/654019682811408384/80tMWtJJ_normal.png" TargetMode="External"/><Relationship Id="rId10291" Type="http://schemas.openxmlformats.org/officeDocument/2006/relationships/hyperlink" Target="https://twitter.com/ProdMgrNet" TargetMode="External"/><Relationship Id="rId40" Type="http://schemas.openxmlformats.org/officeDocument/2006/relationships/hyperlink" Target="https://twitter.com/VINCENTRICHET" TargetMode="External"/><Relationship Id="rId1401" Type="http://schemas.openxmlformats.org/officeDocument/2006/relationships/hyperlink" Target="https://twitter.com/INDIZbot/status/720987837915656192" TargetMode="External"/><Relationship Id="rId4557" Type="http://schemas.openxmlformats.org/officeDocument/2006/relationships/hyperlink" Target="https://twitter.com/MEArbeitgeber" TargetMode="External"/><Relationship Id="rId5608" Type="http://schemas.openxmlformats.org/officeDocument/2006/relationships/hyperlink" Target="https://twitter.com/vemdiearbeitgeb/status/722889310844747777" TargetMode="External"/><Relationship Id="rId8014" Type="http://schemas.openxmlformats.org/officeDocument/2006/relationships/hyperlink" Target="https://pbs.twimg.com/profile_images/623849156159868928/BetFDR_i_normal.jpg" TargetMode="External"/><Relationship Id="rId3159" Type="http://schemas.openxmlformats.org/officeDocument/2006/relationships/hyperlink" Target="https://twitter.com/idl_social" TargetMode="External"/><Relationship Id="rId3573" Type="http://schemas.openxmlformats.org/officeDocument/2006/relationships/hyperlink" Target="https://twitter.com/ClaasBorchers/status/722378439441956864" TargetMode="External"/><Relationship Id="rId4971" Type="http://schemas.openxmlformats.org/officeDocument/2006/relationships/hyperlink" Target="https://twitter.com/IfKom_eV" TargetMode="External"/><Relationship Id="rId7030" Type="http://schemas.openxmlformats.org/officeDocument/2006/relationships/hyperlink" Target="https://twitter.com/gpodagrosi" TargetMode="External"/><Relationship Id="rId494" Type="http://schemas.openxmlformats.org/officeDocument/2006/relationships/hyperlink" Target="https://twitter.com/HudsonFasteners" TargetMode="External"/><Relationship Id="rId2175" Type="http://schemas.openxmlformats.org/officeDocument/2006/relationships/hyperlink" Target="https://pbs.twimg.com/profile_images/609375510158774272/P5glOk4b_normal.jpg" TargetMode="External"/><Relationship Id="rId3226" Type="http://schemas.openxmlformats.org/officeDocument/2006/relationships/hyperlink" Target="https://twitter.com/IT_Connection" TargetMode="External"/><Relationship Id="rId4624" Type="http://schemas.openxmlformats.org/officeDocument/2006/relationships/hyperlink" Target="https://twitter.com/detecon/status/722709238695477248" TargetMode="External"/><Relationship Id="rId10011" Type="http://schemas.openxmlformats.org/officeDocument/2006/relationships/hyperlink" Target="https://pbs.twimg.com/profile_images/1684373225/Joe_Guy_normal.jpg" TargetMode="External"/><Relationship Id="rId147" Type="http://schemas.openxmlformats.org/officeDocument/2006/relationships/hyperlink" Target="https://pbs.twimg.com/profile_images/645716711723925506/t5G0qOS6_normal.jpg" TargetMode="External"/><Relationship Id="rId1191" Type="http://schemas.openxmlformats.org/officeDocument/2006/relationships/hyperlink" Target="https://pbs.twimg.com/profile_images/2247114895/HatcherPass_normal.jpg" TargetMode="External"/><Relationship Id="rId3640" Type="http://schemas.openxmlformats.org/officeDocument/2006/relationships/hyperlink" Target="https://pbs.twimg.com/profile_images/686924088154140672/1_ZIe3FE_normal.png" TargetMode="External"/><Relationship Id="rId6796" Type="http://schemas.openxmlformats.org/officeDocument/2006/relationships/hyperlink" Target="https://twitter.com/A_Ostertag" TargetMode="External"/><Relationship Id="rId7847" Type="http://schemas.openxmlformats.org/officeDocument/2006/relationships/hyperlink" Target="https://twitter.com/packagingJ/status/723447546551668736" TargetMode="External"/><Relationship Id="rId561" Type="http://schemas.openxmlformats.org/officeDocument/2006/relationships/hyperlink" Target="https://twitter.com/EnergyPages/status/720620696376893440" TargetMode="External"/><Relationship Id="rId2242" Type="http://schemas.openxmlformats.org/officeDocument/2006/relationships/hyperlink" Target="https://twitter.com/IoTClan" TargetMode="External"/><Relationship Id="rId5398" Type="http://schemas.openxmlformats.org/officeDocument/2006/relationships/hyperlink" Target="https://abs.twimg.com/sticky/default_profile_images/default_profile_5_normal.png" TargetMode="External"/><Relationship Id="rId6449" Type="http://schemas.openxmlformats.org/officeDocument/2006/relationships/hyperlink" Target="https://twitter.com/Groeneme" TargetMode="External"/><Relationship Id="rId6863" Type="http://schemas.openxmlformats.org/officeDocument/2006/relationships/hyperlink" Target="https://twitter.com/INDIZbot/status/723179870054957056" TargetMode="External"/><Relationship Id="rId7914" Type="http://schemas.openxmlformats.org/officeDocument/2006/relationships/hyperlink" Target="https://abs.twimg.com/sticky/default_profile_images/default_profile_3_normal.png" TargetMode="External"/><Relationship Id="rId214" Type="http://schemas.openxmlformats.org/officeDocument/2006/relationships/hyperlink" Target="https://twitter.com/Kiesi23" TargetMode="External"/><Relationship Id="rId5465" Type="http://schemas.openxmlformats.org/officeDocument/2006/relationships/hyperlink" Target="https://pbs.twimg.com/profile_images/698459430262853632/aWQTuDjj_normal.jpg" TargetMode="External"/><Relationship Id="rId6516" Type="http://schemas.openxmlformats.org/officeDocument/2006/relationships/hyperlink" Target="https://twitter.com/INDIZbot/status/723134483348729857" TargetMode="External"/><Relationship Id="rId6930" Type="http://schemas.openxmlformats.org/officeDocument/2006/relationships/hyperlink" Target="https://pbs.twimg.com/profile_images/645716711723925506/t5G0qOS6_normal.jpg" TargetMode="External"/><Relationship Id="rId4067" Type="http://schemas.openxmlformats.org/officeDocument/2006/relationships/hyperlink" Target="https://twitter.com/H_IT_D" TargetMode="External"/><Relationship Id="rId4481" Type="http://schemas.openxmlformats.org/officeDocument/2006/relationships/hyperlink" Target="https://twitter.com/Tiba_Schweiz/status/722697853253132289" TargetMode="External"/><Relationship Id="rId5118" Type="http://schemas.openxmlformats.org/officeDocument/2006/relationships/hyperlink" Target="https://pbs.twimg.com/profile_images/572721926804488192/AGAGHTgy_normal.jpeg" TargetMode="External"/><Relationship Id="rId5532" Type="http://schemas.openxmlformats.org/officeDocument/2006/relationships/hyperlink" Target="https://twitter.com/UCoester" TargetMode="External"/><Relationship Id="rId8688" Type="http://schemas.openxmlformats.org/officeDocument/2006/relationships/hyperlink" Target="https://pbs.twimg.com/profile_images/645716711723925506/t5G0qOS6_normal.jpg" TargetMode="External"/><Relationship Id="rId9739" Type="http://schemas.openxmlformats.org/officeDocument/2006/relationships/hyperlink" Target="https://twitter.com/Linde_WoMH/status/724237984359280640" TargetMode="External"/><Relationship Id="rId3083" Type="http://schemas.openxmlformats.org/officeDocument/2006/relationships/hyperlink" Target="https://pbs.twimg.com/profile_images/1450403428/_8IA1859b_normal.jpg" TargetMode="External"/><Relationship Id="rId4134" Type="http://schemas.openxmlformats.org/officeDocument/2006/relationships/hyperlink" Target="https://twitter.com/LReehten" TargetMode="External"/><Relationship Id="rId1728" Type="http://schemas.openxmlformats.org/officeDocument/2006/relationships/hyperlink" Target="https://pbs.twimg.com/profile_images/645716711723925506/t5G0qOS6_normal.jpg" TargetMode="External"/><Relationship Id="rId3150" Type="http://schemas.openxmlformats.org/officeDocument/2006/relationships/hyperlink" Target="https://twitter.com/BTU_News" TargetMode="External"/><Relationship Id="rId4201" Type="http://schemas.openxmlformats.org/officeDocument/2006/relationships/hyperlink" Target="https://twitter.com/LNI40/status/722517986360324096" TargetMode="External"/><Relationship Id="rId7357" Type="http://schemas.openxmlformats.org/officeDocument/2006/relationships/hyperlink" Target="https://pbs.twimg.com/profile_images/612885190445277184/czOaaOdG_normal.jpg" TargetMode="External"/><Relationship Id="rId8408" Type="http://schemas.openxmlformats.org/officeDocument/2006/relationships/hyperlink" Target="https://twitter.com/msftmfg/status/723561796771164160" TargetMode="External"/><Relationship Id="rId8755" Type="http://schemas.openxmlformats.org/officeDocument/2006/relationships/hyperlink" Target="https://twitter.com/ines_oppermann" TargetMode="External"/><Relationship Id="rId9806" Type="http://schemas.openxmlformats.org/officeDocument/2006/relationships/hyperlink" Target="https://twitter.com/buendnisZdI/status/724261408888729600" TargetMode="External"/><Relationship Id="rId7771" Type="http://schemas.openxmlformats.org/officeDocument/2006/relationships/hyperlink" Target="https://twitter.com/Apandia/status/723432065429983232" TargetMode="External"/><Relationship Id="rId8822" Type="http://schemas.openxmlformats.org/officeDocument/2006/relationships/hyperlink" Target="https://twitter.com/indranilsircar/status/723826642276233217" TargetMode="External"/><Relationship Id="rId10338" Type="http://schemas.openxmlformats.org/officeDocument/2006/relationships/hyperlink" Target="https://pbs.twimg.com/profile_images/722335308587667456/D9WBDm85_normal.jpg" TargetMode="External"/><Relationship Id="rId3967" Type="http://schemas.openxmlformats.org/officeDocument/2006/relationships/hyperlink" Target="https://pbs.twimg.com/profile_images/615797525040136192/CKF9-v_o_normal.jpg" TargetMode="External"/><Relationship Id="rId6373" Type="http://schemas.openxmlformats.org/officeDocument/2006/relationships/hyperlink" Target="https://pbs.twimg.com/profile_images/670603819370332160/adLx3Uuh_normal.jpg" TargetMode="External"/><Relationship Id="rId7424" Type="http://schemas.openxmlformats.org/officeDocument/2006/relationships/hyperlink" Target="https://twitter.com/rajesh266/status/723405729961402368" TargetMode="External"/><Relationship Id="rId4" Type="http://schemas.openxmlformats.org/officeDocument/2006/relationships/hyperlink" Target="https://twitter.com/LGLPpressPaca" TargetMode="External"/><Relationship Id="rId888" Type="http://schemas.openxmlformats.org/officeDocument/2006/relationships/hyperlink" Target="https://twitter.com/INDIZbot" TargetMode="External"/><Relationship Id="rId2569" Type="http://schemas.openxmlformats.org/officeDocument/2006/relationships/hyperlink" Target="https://twitter.com/prxagentur/status/722061665135640576" TargetMode="External"/><Relationship Id="rId2983" Type="http://schemas.openxmlformats.org/officeDocument/2006/relationships/hyperlink" Target="https://pbs.twimg.com/profile_images/1110110878/Spring_72dpi_normal.jpg" TargetMode="External"/><Relationship Id="rId6026" Type="http://schemas.openxmlformats.org/officeDocument/2006/relationships/hyperlink" Target="https://twitter.com/Balluff_Service" TargetMode="External"/><Relationship Id="rId6440" Type="http://schemas.openxmlformats.org/officeDocument/2006/relationships/hyperlink" Target="https://twitter.com/acatech_de" TargetMode="External"/><Relationship Id="rId9596" Type="http://schemas.openxmlformats.org/officeDocument/2006/relationships/hyperlink" Target="https://twitter.com/NiinaHaasola" TargetMode="External"/><Relationship Id="rId955" Type="http://schemas.openxmlformats.org/officeDocument/2006/relationships/hyperlink" Target="https://twitter.com/LightingnLife" TargetMode="External"/><Relationship Id="rId1585" Type="http://schemas.openxmlformats.org/officeDocument/2006/relationships/hyperlink" Target="https://twitter.com/CapgeminiDE" TargetMode="External"/><Relationship Id="rId2636" Type="http://schemas.openxmlformats.org/officeDocument/2006/relationships/hyperlink" Target="https://twitter.com/inform_software" TargetMode="External"/><Relationship Id="rId5042" Type="http://schemas.openxmlformats.org/officeDocument/2006/relationships/hyperlink" Target="https://twitter.com/SICK_de/status/722751006799335424" TargetMode="External"/><Relationship Id="rId8198" Type="http://schemas.openxmlformats.org/officeDocument/2006/relationships/hyperlink" Target="https://abs.twimg.com/sticky/default_profile_images/default_profile_5_normal.png" TargetMode="External"/><Relationship Id="rId9249" Type="http://schemas.openxmlformats.org/officeDocument/2006/relationships/hyperlink" Target="https://twitter.com/MfgCareersInc/status/724048989209939968" TargetMode="External"/><Relationship Id="rId9663" Type="http://schemas.openxmlformats.org/officeDocument/2006/relationships/hyperlink" Target="https://twitter.com/SachinKaradgi/status/724227791273775105" TargetMode="External"/><Relationship Id="rId608" Type="http://schemas.openxmlformats.org/officeDocument/2006/relationships/hyperlink" Target="https://twitter.com/TForwardingGmbH" TargetMode="External"/><Relationship Id="rId1238" Type="http://schemas.openxmlformats.org/officeDocument/2006/relationships/hyperlink" Target="https://twitter.com/kommoptimierer/status/720930925857652736" TargetMode="External"/><Relationship Id="rId1652" Type="http://schemas.openxmlformats.org/officeDocument/2006/relationships/hyperlink" Target="https://twitter.com/INDIZbot/status/721262145015570432" TargetMode="External"/><Relationship Id="rId8265" Type="http://schemas.openxmlformats.org/officeDocument/2006/relationships/hyperlink" Target="https://twitter.com/Frank_Reinelt" TargetMode="External"/><Relationship Id="rId9316" Type="http://schemas.openxmlformats.org/officeDocument/2006/relationships/hyperlink" Target="https://pbs.twimg.com/profile_images/645716711723925506/t5G0qOS6_normal.jpg" TargetMode="External"/><Relationship Id="rId10195" Type="http://schemas.openxmlformats.org/officeDocument/2006/relationships/hyperlink" Target="https://twitter.com/CSGermany" TargetMode="External"/><Relationship Id="rId1305" Type="http://schemas.openxmlformats.org/officeDocument/2006/relationships/hyperlink" Target="https://pbs.twimg.com/profile_images/497752224643043331/9wtAAp-D_normal.jpeg" TargetMode="External"/><Relationship Id="rId2703" Type="http://schemas.openxmlformats.org/officeDocument/2006/relationships/hyperlink" Target="https://twitter.com/DanielDomigall" TargetMode="External"/><Relationship Id="rId5859" Type="http://schemas.openxmlformats.org/officeDocument/2006/relationships/hyperlink" Target="https://twitter.com/FM_Elektro/status/723055410308112384" TargetMode="External"/><Relationship Id="rId7281" Type="http://schemas.openxmlformats.org/officeDocument/2006/relationships/hyperlink" Target="https://pbs.twimg.com/profile_images/378800000111133717/089a6b46600861851e0931497cfed9d8_normal.jpeg" TargetMode="External"/><Relationship Id="rId8332" Type="http://schemas.openxmlformats.org/officeDocument/2006/relationships/hyperlink" Target="https://twitter.com/INDIZbot/status/723537138759782400" TargetMode="External"/><Relationship Id="rId9730" Type="http://schemas.openxmlformats.org/officeDocument/2006/relationships/hyperlink" Target="http://paper.li/" TargetMode="External"/><Relationship Id="rId4875" Type="http://schemas.openxmlformats.org/officeDocument/2006/relationships/hyperlink" Target="https://twitter.com/degenpa" TargetMode="External"/><Relationship Id="rId5926" Type="http://schemas.openxmlformats.org/officeDocument/2006/relationships/hyperlink" Target="https://pbs.twimg.com/profile_images/637652033793851392/sK5pDpLB_normal.png" TargetMode="External"/><Relationship Id="rId10262" Type="http://schemas.openxmlformats.org/officeDocument/2006/relationships/hyperlink" Target="https://twitter.com/meganlilly24/status/724423004143263744" TargetMode="External"/><Relationship Id="rId11" Type="http://schemas.openxmlformats.org/officeDocument/2006/relationships/hyperlink" Target="https://twitter.com/ASoumagne/status/720497658796892160" TargetMode="External"/><Relationship Id="rId398" Type="http://schemas.openxmlformats.org/officeDocument/2006/relationships/hyperlink" Target="https://twitter.com/INDIZbot/status/720580301852971008" TargetMode="External"/><Relationship Id="rId2079" Type="http://schemas.openxmlformats.org/officeDocument/2006/relationships/hyperlink" Target="https://twitter.com/acfredenucci" TargetMode="External"/><Relationship Id="rId3477" Type="http://schemas.openxmlformats.org/officeDocument/2006/relationships/hyperlink" Target="https://twitter.com/SimonSchneid/status/722363866936655872" TargetMode="External"/><Relationship Id="rId3891" Type="http://schemas.openxmlformats.org/officeDocument/2006/relationships/hyperlink" Target="https://twitter.com/VDMAeu/status/722451841712328704" TargetMode="External"/><Relationship Id="rId4528" Type="http://schemas.openxmlformats.org/officeDocument/2006/relationships/hyperlink" Target="https://twitter.com/Digitalwandel/status/722702403926147072" TargetMode="External"/><Relationship Id="rId4942" Type="http://schemas.openxmlformats.org/officeDocument/2006/relationships/hyperlink" Target="https://twitter.com/SHC_GmbH/status/722740475363475456" TargetMode="External"/><Relationship Id="rId2493" Type="http://schemas.openxmlformats.org/officeDocument/2006/relationships/hyperlink" Target="https://pbs.twimg.com/profile_images/701004613206433792/o4DJfA8-_normal.jpg" TargetMode="External"/><Relationship Id="rId3544" Type="http://schemas.openxmlformats.org/officeDocument/2006/relationships/hyperlink" Target="https://pbs.twimg.com/profile_images/645716711723925506/t5G0qOS6_normal.jpg" TargetMode="External"/><Relationship Id="rId7001" Type="http://schemas.openxmlformats.org/officeDocument/2006/relationships/hyperlink" Target="https://twitter.com/computerdoktor/status/723228513608802304" TargetMode="External"/><Relationship Id="rId465" Type="http://schemas.openxmlformats.org/officeDocument/2006/relationships/hyperlink" Target="https://twitter.com/Personalpraxis/status/720599615821717504" TargetMode="External"/><Relationship Id="rId1095" Type="http://schemas.openxmlformats.org/officeDocument/2006/relationships/hyperlink" Target="https://pbs.twimg.com/profile_images/645716711723925506/t5G0qOS6_normal.jpg" TargetMode="External"/><Relationship Id="rId2146" Type="http://schemas.openxmlformats.org/officeDocument/2006/relationships/hyperlink" Target="https://twitter.com/AnnaWypior" TargetMode="External"/><Relationship Id="rId2560" Type="http://schemas.openxmlformats.org/officeDocument/2006/relationships/hyperlink" Target="https://twitter.com/BoschPresse/status/722060034260213760" TargetMode="External"/><Relationship Id="rId3611" Type="http://schemas.openxmlformats.org/officeDocument/2006/relationships/hyperlink" Target="https://twitter.com/RebelinAluminio" TargetMode="External"/><Relationship Id="rId6767" Type="http://schemas.openxmlformats.org/officeDocument/2006/relationships/hyperlink" Target="https://twitter.com/croXXing_IBD/status/723168832169345024" TargetMode="External"/><Relationship Id="rId7818" Type="http://schemas.openxmlformats.org/officeDocument/2006/relationships/hyperlink" Target="https://pbs.twimg.com/profile_images/718175389890310145/GX8DLe_h_normal.jpg" TargetMode="External"/><Relationship Id="rId9173" Type="http://schemas.openxmlformats.org/officeDocument/2006/relationships/hyperlink" Target="https://twitter.com/clemgraf" TargetMode="External"/><Relationship Id="rId118" Type="http://schemas.openxmlformats.org/officeDocument/2006/relationships/hyperlink" Target="https://twitter.com/FlorianWoh" TargetMode="External"/><Relationship Id="rId532" Type="http://schemas.openxmlformats.org/officeDocument/2006/relationships/hyperlink" Target="https://pbs.twimg.com/profile_images/595262312518438912/sodQUqdg_normal.jpg" TargetMode="External"/><Relationship Id="rId1162" Type="http://schemas.openxmlformats.org/officeDocument/2006/relationships/hyperlink" Target="https://twitter.com/blisslogixIT" TargetMode="External"/><Relationship Id="rId2213" Type="http://schemas.openxmlformats.org/officeDocument/2006/relationships/hyperlink" Target="https://twitter.com/bluebait/status/721962167986163712" TargetMode="External"/><Relationship Id="rId5369" Type="http://schemas.openxmlformats.org/officeDocument/2006/relationships/hyperlink" Target="https://twitter.com/AccenturePresse" TargetMode="External"/><Relationship Id="rId5783" Type="http://schemas.openxmlformats.org/officeDocument/2006/relationships/hyperlink" Target="https://pbs.twimg.com/profile_images/713021101106995200/w4EIzjMN_normal.jpg" TargetMode="External"/><Relationship Id="rId9240" Type="http://schemas.openxmlformats.org/officeDocument/2006/relationships/hyperlink" Target="https://twitter.com/Philip_W_Morris/status/724030694645751808" TargetMode="External"/><Relationship Id="rId4385" Type="http://schemas.openxmlformats.org/officeDocument/2006/relationships/hyperlink" Target="https://pbs.twimg.com/profile_images/378800000104294821/5a742075b9441c9de8a86c75a712b0c7_normal.png" TargetMode="External"/><Relationship Id="rId5436" Type="http://schemas.openxmlformats.org/officeDocument/2006/relationships/hyperlink" Target="https://twitter.com/texdatacom" TargetMode="External"/><Relationship Id="rId6834" Type="http://schemas.openxmlformats.org/officeDocument/2006/relationships/hyperlink" Target="https://pbs.twimg.com/profile_images/602765400586096640/zQgtVu4r_normal.jpg" TargetMode="External"/><Relationship Id="rId1979" Type="http://schemas.openxmlformats.org/officeDocument/2006/relationships/hyperlink" Target="https://pbs.twimg.com/profile_images/628639886103445504/x3eziL0C_normal.jpg" TargetMode="External"/><Relationship Id="rId4038" Type="http://schemas.openxmlformats.org/officeDocument/2006/relationships/hyperlink" Target="https://twitter.com/ChrisRouiller/status/722480174214881281" TargetMode="External"/><Relationship Id="rId5850" Type="http://schemas.openxmlformats.org/officeDocument/2006/relationships/hyperlink" Target="https://twitter.com/Apandia/status/723053682086944769" TargetMode="External"/><Relationship Id="rId6901" Type="http://schemas.openxmlformats.org/officeDocument/2006/relationships/hyperlink" Target="https://twitter.com/ant0inet" TargetMode="External"/><Relationship Id="rId3054" Type="http://schemas.openxmlformats.org/officeDocument/2006/relationships/hyperlink" Target="https://twitter.com/plmitbusiness" TargetMode="External"/><Relationship Id="rId4452" Type="http://schemas.openxmlformats.org/officeDocument/2006/relationships/hyperlink" Target="https://pbs.twimg.com/profile_images/639760528215285760/XWLagToM_normal.jpg" TargetMode="External"/><Relationship Id="rId5503" Type="http://schemas.openxmlformats.org/officeDocument/2006/relationships/hyperlink" Target="https://twitter.com/GTAI_com/status/722824871969951744" TargetMode="External"/><Relationship Id="rId8659" Type="http://schemas.openxmlformats.org/officeDocument/2006/relationships/hyperlink" Target="https://twitter.com/BOLDLYGO_FFM" TargetMode="External"/><Relationship Id="rId4105" Type="http://schemas.openxmlformats.org/officeDocument/2006/relationships/hyperlink" Target="https://twitter.com/ProdMgrNet/status/722507260195418112" TargetMode="External"/><Relationship Id="rId7675" Type="http://schemas.openxmlformats.org/officeDocument/2006/relationships/hyperlink" Target="https://twitter.com/fabiendutheil71/status/723425365289394177" TargetMode="External"/><Relationship Id="rId8726" Type="http://schemas.openxmlformats.org/officeDocument/2006/relationships/hyperlink" Target="https://twitter.com/mirko_ross/status/723798098246537216" TargetMode="External"/><Relationship Id="rId2070" Type="http://schemas.openxmlformats.org/officeDocument/2006/relationships/hyperlink" Target="https://twitter.com/APPI37510" TargetMode="External"/><Relationship Id="rId3121" Type="http://schemas.openxmlformats.org/officeDocument/2006/relationships/hyperlink" Target="https://twitter.com/LReehten/status/722314512708276224" TargetMode="External"/><Relationship Id="rId6277" Type="http://schemas.openxmlformats.org/officeDocument/2006/relationships/hyperlink" Target="https://pbs.twimg.com/profile_images/471312276767535104/TIanhngf_normal.jpeg" TargetMode="External"/><Relationship Id="rId6691" Type="http://schemas.openxmlformats.org/officeDocument/2006/relationships/hyperlink" Target="https://twitter.com/tsystemsde" TargetMode="External"/><Relationship Id="rId7328" Type="http://schemas.openxmlformats.org/officeDocument/2006/relationships/hyperlink" Target="https://twitter.com/VladaCZE" TargetMode="External"/><Relationship Id="rId7742" Type="http://schemas.openxmlformats.org/officeDocument/2006/relationships/hyperlink" Target="https://pbs.twimg.com/profile_images/662723326096224256/5V4KH9_O_normal.jpg" TargetMode="External"/><Relationship Id="rId10309" Type="http://schemas.openxmlformats.org/officeDocument/2006/relationships/hyperlink" Target="https://twitter.com/Ahmed_Adel" TargetMode="External"/><Relationship Id="rId2887" Type="http://schemas.openxmlformats.org/officeDocument/2006/relationships/hyperlink" Target="https://pbs.twimg.com/profile_images/653481171414872064/-C8HD5Mf_normal.jpg" TargetMode="External"/><Relationship Id="rId5293" Type="http://schemas.openxmlformats.org/officeDocument/2006/relationships/hyperlink" Target="https://twitter.com/ITK_OWL" TargetMode="External"/><Relationship Id="rId6344" Type="http://schemas.openxmlformats.org/officeDocument/2006/relationships/hyperlink" Target="https://twitter.com/ROKAutomationDE/status/723115347667079168" TargetMode="External"/><Relationship Id="rId859" Type="http://schemas.openxmlformats.org/officeDocument/2006/relationships/hyperlink" Target="https://twitter.com/marcusreif/status/720850588389347332" TargetMode="External"/><Relationship Id="rId1489" Type="http://schemas.openxmlformats.org/officeDocument/2006/relationships/hyperlink" Target="https://twitter.com/batix" TargetMode="External"/><Relationship Id="rId3938" Type="http://schemas.openxmlformats.org/officeDocument/2006/relationships/hyperlink" Target="https://twitter.com/H_IT_D" TargetMode="External"/><Relationship Id="rId5360" Type="http://schemas.openxmlformats.org/officeDocument/2006/relationships/hyperlink" Target="https://twitter.com/INDIZbot" TargetMode="External"/><Relationship Id="rId6411" Type="http://schemas.openxmlformats.org/officeDocument/2006/relationships/hyperlink" Target="https://twitter.com/IT_Connection/status/723120435290857472" TargetMode="External"/><Relationship Id="rId9567" Type="http://schemas.openxmlformats.org/officeDocument/2006/relationships/hyperlink" Target="https://twitter.com/SelbmannSimone/status/724207302925029376" TargetMode="External"/><Relationship Id="rId2954" Type="http://schemas.openxmlformats.org/officeDocument/2006/relationships/hyperlink" Target="https://twitter.com/INDIZbot" TargetMode="External"/><Relationship Id="rId5013" Type="http://schemas.openxmlformats.org/officeDocument/2006/relationships/hyperlink" Target="https://pbs.twimg.com/profile_images/710019343636156416/IxXhDHFL_normal.jpg" TargetMode="External"/><Relationship Id="rId8169" Type="http://schemas.openxmlformats.org/officeDocument/2006/relationships/hyperlink" Target="https://twitter.com/DeviceInsight_/status/723506735768580096" TargetMode="External"/><Relationship Id="rId9981" Type="http://schemas.openxmlformats.org/officeDocument/2006/relationships/hyperlink" Target="https://pbs.twimg.com/profile_images/3502729434/95675e6f45ad2e1bbc6c5736995ec15c_normal.png" TargetMode="External"/><Relationship Id="rId926" Type="http://schemas.openxmlformats.org/officeDocument/2006/relationships/hyperlink" Target="https://pbs.twimg.com/profile_images/656779070798172160/TNRHncFi_normal.jpg" TargetMode="External"/><Relationship Id="rId1556" Type="http://schemas.openxmlformats.org/officeDocument/2006/relationships/hyperlink" Target="https://twitter.com/IIConsortium/status/721089549183672320" TargetMode="External"/><Relationship Id="rId1970" Type="http://schemas.openxmlformats.org/officeDocument/2006/relationships/hyperlink" Target="https://pbs.twimg.com/profile_images/618300868606062592/rBEB_H0O_normal.png" TargetMode="External"/><Relationship Id="rId2607" Type="http://schemas.openxmlformats.org/officeDocument/2006/relationships/hyperlink" Target="https://pbs.twimg.com/profile_images/593011135428882432/BGMPkrwp_normal.jpg" TargetMode="External"/><Relationship Id="rId7185" Type="http://schemas.openxmlformats.org/officeDocument/2006/relationships/hyperlink" Target="https://pbs.twimg.com/profile_images/271136077/Germanbirdy_normal.jpg" TargetMode="External"/><Relationship Id="rId8583" Type="http://schemas.openxmlformats.org/officeDocument/2006/relationships/hyperlink" Target="https://pbs.twimg.com/profile_images/680696942163300352/dT4ULAXJ_normal.jpg" TargetMode="External"/><Relationship Id="rId9634" Type="http://schemas.openxmlformats.org/officeDocument/2006/relationships/hyperlink" Target="https://pbs.twimg.com/profile_images/654265087822270464/xwz4d0Ug_normal.jpg" TargetMode="External"/><Relationship Id="rId10099" Type="http://schemas.openxmlformats.org/officeDocument/2006/relationships/hyperlink" Target="https://twitter.com/fnaujoks" TargetMode="External"/><Relationship Id="rId1209" Type="http://schemas.openxmlformats.org/officeDocument/2006/relationships/hyperlink" Target="https://pbs.twimg.com/profile_images/619429467434434560/ywWYiH5V_normal.jpg" TargetMode="External"/><Relationship Id="rId1623" Type="http://schemas.openxmlformats.org/officeDocument/2006/relationships/hyperlink" Target="https://pbs.twimg.com/profile_images/645716711723925506/t5G0qOS6_normal.jpg" TargetMode="External"/><Relationship Id="rId4779" Type="http://schemas.openxmlformats.org/officeDocument/2006/relationships/hyperlink" Target="https://twitter.com/ORBIT_DE" TargetMode="External"/><Relationship Id="rId8236" Type="http://schemas.openxmlformats.org/officeDocument/2006/relationships/hyperlink" Target="https://twitter.com/5min7/status/723518625370529793" TargetMode="External"/><Relationship Id="rId8650" Type="http://schemas.openxmlformats.org/officeDocument/2006/relationships/hyperlink" Target="https://twitter.com/ITMredaktion" TargetMode="External"/><Relationship Id="rId9701" Type="http://schemas.openxmlformats.org/officeDocument/2006/relationships/hyperlink" Target="https://twitter.com/BoschPresse" TargetMode="External"/><Relationship Id="rId10166" Type="http://schemas.openxmlformats.org/officeDocument/2006/relationships/hyperlink" Target="https://twitter.com/induux_de/status/724352257299456000" TargetMode="External"/><Relationship Id="rId3795" Type="http://schemas.openxmlformats.org/officeDocument/2006/relationships/hyperlink" Target="https://twitter.com/INDIZbot/status/722427764993888257" TargetMode="External"/><Relationship Id="rId4846" Type="http://schemas.openxmlformats.org/officeDocument/2006/relationships/hyperlink" Target="https://twitter.com/SusChem/status/722724014834204672" TargetMode="External"/><Relationship Id="rId7252" Type="http://schemas.openxmlformats.org/officeDocument/2006/relationships/hyperlink" Target="https://twitter.com/catkinEU" TargetMode="External"/><Relationship Id="rId8303" Type="http://schemas.openxmlformats.org/officeDocument/2006/relationships/hyperlink" Target="https://pbs.twimg.com/profile_images/645716711723925506/t5G0qOS6_normal.jpg" TargetMode="External"/><Relationship Id="rId10233" Type="http://schemas.openxmlformats.org/officeDocument/2006/relationships/hyperlink" Target="https://pbs.twimg.com/profile_images/3072828143/e5426915b22318faa18155fbf31b7279_normal.jpeg" TargetMode="External"/><Relationship Id="rId2397" Type="http://schemas.openxmlformats.org/officeDocument/2006/relationships/hyperlink" Target="https://pbs.twimg.com/profile_images/615483475265765376/ntQ1BSUI_normal.jpg" TargetMode="External"/><Relationship Id="rId3448" Type="http://schemas.openxmlformats.org/officeDocument/2006/relationships/hyperlink" Target="https://pbs.twimg.com/profile_images/3199168151/5cfaae4907a0a081a53f8ab237271c86_normal.jpeg" TargetMode="External"/><Relationship Id="rId3862" Type="http://schemas.openxmlformats.org/officeDocument/2006/relationships/hyperlink" Target="https://pbs.twimg.com/profile_images/662723326096224256/5V4KH9_O_normal.jpg" TargetMode="External"/><Relationship Id="rId369" Type="http://schemas.openxmlformats.org/officeDocument/2006/relationships/hyperlink" Target="https://pbs.twimg.com/profile_images/722385992343285760/ww8YLZ2q_normal.jpg" TargetMode="External"/><Relationship Id="rId783" Type="http://schemas.openxmlformats.org/officeDocument/2006/relationships/hyperlink" Target="https://twitter.com/QuickFindsIn/status/720718275181580288" TargetMode="External"/><Relationship Id="rId2464" Type="http://schemas.openxmlformats.org/officeDocument/2006/relationships/hyperlink" Target="https://twitter.com/Apandia" TargetMode="External"/><Relationship Id="rId3515" Type="http://schemas.openxmlformats.org/officeDocument/2006/relationships/hyperlink" Target="https://twitter.com/prxpragma" TargetMode="External"/><Relationship Id="rId4913" Type="http://schemas.openxmlformats.org/officeDocument/2006/relationships/hyperlink" Target="https://pbs.twimg.com/profile_images/645716711723925506/t5G0qOS6_normal.jpg" TargetMode="External"/><Relationship Id="rId9077" Type="http://schemas.openxmlformats.org/officeDocument/2006/relationships/hyperlink" Target="https://twitter.com/ITDredaktion" TargetMode="External"/><Relationship Id="rId9491" Type="http://schemas.openxmlformats.org/officeDocument/2006/relationships/hyperlink" Target="https://twitter.com/bastihollmann" TargetMode="External"/><Relationship Id="rId10300" Type="http://schemas.openxmlformats.org/officeDocument/2006/relationships/hyperlink" Target="https://twitter.com/H_IT_D" TargetMode="External"/><Relationship Id="rId436" Type="http://schemas.openxmlformats.org/officeDocument/2006/relationships/hyperlink" Target="https://twitter.com/corischindlbeck" TargetMode="External"/><Relationship Id="rId1066" Type="http://schemas.openxmlformats.org/officeDocument/2006/relationships/hyperlink" Target="https://twitter.com/MFakholy" TargetMode="External"/><Relationship Id="rId1480" Type="http://schemas.openxmlformats.org/officeDocument/2006/relationships/hyperlink" Target="https://twitter.com/Dr_RobertFreund" TargetMode="External"/><Relationship Id="rId2117" Type="http://schemas.openxmlformats.org/officeDocument/2006/relationships/hyperlink" Target="https://pbs.twimg.com/profile_images/645716711723925506/t5G0qOS6_normal.jpg" TargetMode="External"/><Relationship Id="rId8093" Type="http://schemas.openxmlformats.org/officeDocument/2006/relationships/hyperlink" Target="https://twitter.com/LeanKnowledge" TargetMode="External"/><Relationship Id="rId9144" Type="http://schemas.openxmlformats.org/officeDocument/2006/relationships/hyperlink" Target="https://twitter.com/startupkanal/status/723954830809677824" TargetMode="External"/><Relationship Id="rId850" Type="http://schemas.openxmlformats.org/officeDocument/2006/relationships/hyperlink" Target="https://twitter.com/INDIZbot/status/720844432128389120" TargetMode="External"/><Relationship Id="rId1133" Type="http://schemas.openxmlformats.org/officeDocument/2006/relationships/hyperlink" Target="https://twitter.com/HilgerVoss/status/720904928521273344" TargetMode="External"/><Relationship Id="rId2531" Type="http://schemas.openxmlformats.org/officeDocument/2006/relationships/hyperlink" Target="https://pbs.twimg.com/profile_images/438307550828560384/ayCoNB0D_normal.jpeg" TargetMode="External"/><Relationship Id="rId4289" Type="http://schemas.openxmlformats.org/officeDocument/2006/relationships/hyperlink" Target="https://pbs.twimg.com/profile_images/465817969902092288/sEIgw9Gb_normal.jpeg" TargetMode="External"/><Relationship Id="rId5687" Type="http://schemas.openxmlformats.org/officeDocument/2006/relationships/hyperlink" Target="https://pbs.twimg.com/profile_images/1245871742/AZDEC_normal.jpg" TargetMode="External"/><Relationship Id="rId6738" Type="http://schemas.openxmlformats.org/officeDocument/2006/relationships/hyperlink" Target="https://pbs.twimg.com/profile_images/556544747477929984/qc_itTgJ_normal.jpeg" TargetMode="External"/><Relationship Id="rId8160" Type="http://schemas.openxmlformats.org/officeDocument/2006/relationships/hyperlink" Target="https://twitter.com/INDIZbot/status/723501905863925760" TargetMode="External"/><Relationship Id="rId503" Type="http://schemas.openxmlformats.org/officeDocument/2006/relationships/hyperlink" Target="https://twitter.com/prxpragma" TargetMode="External"/><Relationship Id="rId5754" Type="http://schemas.openxmlformats.org/officeDocument/2006/relationships/hyperlink" Target="https://twitter.com/PW_InCub" TargetMode="External"/><Relationship Id="rId6805" Type="http://schemas.openxmlformats.org/officeDocument/2006/relationships/hyperlink" Target="https://twitter.com/brigittezypries" TargetMode="External"/><Relationship Id="rId9211" Type="http://schemas.openxmlformats.org/officeDocument/2006/relationships/hyperlink" Target="https://pbs.twimg.com/profile_images/3382064129/c8704527a56747df8e78cc48e86c3d9d_normal.jpeg" TargetMode="External"/><Relationship Id="rId10090" Type="http://schemas.openxmlformats.org/officeDocument/2006/relationships/hyperlink" Target="https://twitter.com/kingzulu82" TargetMode="External"/><Relationship Id="rId1200" Type="http://schemas.openxmlformats.org/officeDocument/2006/relationships/hyperlink" Target="https://pbs.twimg.com/profile_images/689494495101087744/QiE7i7oZ_normal.jpg" TargetMode="External"/><Relationship Id="rId4356" Type="http://schemas.openxmlformats.org/officeDocument/2006/relationships/hyperlink" Target="https://twitter.com/SMWA_SN" TargetMode="External"/><Relationship Id="rId4770" Type="http://schemas.openxmlformats.org/officeDocument/2006/relationships/hyperlink" Target="https://twitter.com/MEArbeitgeber" TargetMode="External"/><Relationship Id="rId5407" Type="http://schemas.openxmlformats.org/officeDocument/2006/relationships/hyperlink" Target="https://pbs.twimg.com/profile_images/2619086509/ld3z97zhhdbs2essw7s9_normal.jpeg" TargetMode="External"/><Relationship Id="rId5821" Type="http://schemas.openxmlformats.org/officeDocument/2006/relationships/hyperlink" Target="https://twitter.com/HilgerVoss" TargetMode="External"/><Relationship Id="rId8977" Type="http://schemas.openxmlformats.org/officeDocument/2006/relationships/hyperlink" Target="https://twitter.com/CableTechnology" TargetMode="External"/><Relationship Id="rId3372" Type="http://schemas.openxmlformats.org/officeDocument/2006/relationships/hyperlink" Target="https://twitter.com/INDIZbot/status/722354593926131713" TargetMode="External"/><Relationship Id="rId4009" Type="http://schemas.openxmlformats.org/officeDocument/2006/relationships/hyperlink" Target="https://pbs.twimg.com/profile_images/555327405187801088/bhizIjB-_normal.png" TargetMode="External"/><Relationship Id="rId4423" Type="http://schemas.openxmlformats.org/officeDocument/2006/relationships/hyperlink" Target="https://twitter.com/guido_be/status/722689536308940800" TargetMode="External"/><Relationship Id="rId7579" Type="http://schemas.openxmlformats.org/officeDocument/2006/relationships/hyperlink" Target="https://twitter.com/BakerMcGER/status/723416255214948352" TargetMode="External"/><Relationship Id="rId7993" Type="http://schemas.openxmlformats.org/officeDocument/2006/relationships/hyperlink" Target="https://pbs.twimg.com/profile_images/645716711723925506/t5G0qOS6_normal.jpg" TargetMode="External"/><Relationship Id="rId293" Type="http://schemas.openxmlformats.org/officeDocument/2006/relationships/hyperlink" Target="https://twitter.com/Marc_Leeuw/status/720544166627962880" TargetMode="External"/><Relationship Id="rId3025" Type="http://schemas.openxmlformats.org/officeDocument/2006/relationships/hyperlink" Target="https://twitter.com/BIGJTHEO/status/722303764787552256" TargetMode="External"/><Relationship Id="rId6595" Type="http://schemas.openxmlformats.org/officeDocument/2006/relationships/hyperlink" Target="https://twitter.com/Konecranes_DE/status/723148291064647684" TargetMode="External"/><Relationship Id="rId7646" Type="http://schemas.openxmlformats.org/officeDocument/2006/relationships/hyperlink" Target="https://pbs.twimg.com/profile_images/548030384030507008/utABqhj9_normal.png" TargetMode="External"/><Relationship Id="rId360" Type="http://schemas.openxmlformats.org/officeDocument/2006/relationships/hyperlink" Target="https://pbs.twimg.com/profile_images/569775748420878336/9QtKa5WK_normal.png" TargetMode="External"/><Relationship Id="rId2041" Type="http://schemas.openxmlformats.org/officeDocument/2006/relationships/hyperlink" Target="https://twitter.com/INDIZbot/status/721760424077733888" TargetMode="External"/><Relationship Id="rId5197" Type="http://schemas.openxmlformats.org/officeDocument/2006/relationships/hyperlink" Target="https://twitter.com/bertramgeck/status/722768225088454656" TargetMode="External"/><Relationship Id="rId6248" Type="http://schemas.openxmlformats.org/officeDocument/2006/relationships/hyperlink" Target="https://twitter.com/vemdiearbeitgeb/status/723091891563065344" TargetMode="External"/><Relationship Id="rId5264" Type="http://schemas.openxmlformats.org/officeDocument/2006/relationships/hyperlink" Target="https://twitter.com/stefanklix/status/722776445186084864" TargetMode="External"/><Relationship Id="rId6662" Type="http://schemas.openxmlformats.org/officeDocument/2006/relationships/hyperlink" Target="https://twitter.com/KPMG_DE/status/723156997701398529" TargetMode="External"/><Relationship Id="rId7713" Type="http://schemas.openxmlformats.org/officeDocument/2006/relationships/hyperlink" Target="https://twitter.com/s_w_weyer" TargetMode="External"/><Relationship Id="rId2858" Type="http://schemas.openxmlformats.org/officeDocument/2006/relationships/hyperlink" Target="https://pbs.twimg.com/profile_images/557949283861663744/XRnqLo9K_normal.jpeg" TargetMode="External"/><Relationship Id="rId3909" Type="http://schemas.openxmlformats.org/officeDocument/2006/relationships/hyperlink" Target="https://twitter.com/Rhenatic/status/722455596000264192" TargetMode="External"/><Relationship Id="rId6315" Type="http://schemas.openxmlformats.org/officeDocument/2006/relationships/hyperlink" Target="https://twitter.com/HESSENMETALL" TargetMode="External"/><Relationship Id="rId9885" Type="http://schemas.openxmlformats.org/officeDocument/2006/relationships/hyperlink" Target="https://pbs.twimg.com/profile_images/645716711723925506/t5G0qOS6_normal.jpg" TargetMode="External"/><Relationship Id="rId99" Type="http://schemas.openxmlformats.org/officeDocument/2006/relationships/hyperlink" Target="https://pbs.twimg.com/profile_images/469070945483628546/iD8AeJP6_normal.png" TargetMode="External"/><Relationship Id="rId1874" Type="http://schemas.openxmlformats.org/officeDocument/2006/relationships/hyperlink" Target="https://twitter.com/Thomas_Michl" TargetMode="External"/><Relationship Id="rId2925" Type="http://schemas.openxmlformats.org/officeDocument/2006/relationships/hyperlink" Target="https://twitter.com/INDIZbot/status/722175768432943104" TargetMode="External"/><Relationship Id="rId4280" Type="http://schemas.openxmlformats.org/officeDocument/2006/relationships/hyperlink" Target="https://pbs.twimg.com/profile_images/611852434609184769/qSWdBcwR_normal.jpg" TargetMode="External"/><Relationship Id="rId5331" Type="http://schemas.openxmlformats.org/officeDocument/2006/relationships/hyperlink" Target="https://pbs.twimg.com/profile_images/502066779590385665/YElxw-eg_normal.jpeg" TargetMode="External"/><Relationship Id="rId8487" Type="http://schemas.openxmlformats.org/officeDocument/2006/relationships/hyperlink" Target="https://pbs.twimg.com/profile_images/669193589495345152/nJYiWy7H_normal.jpg" TargetMode="External"/><Relationship Id="rId9538" Type="http://schemas.openxmlformats.org/officeDocument/2006/relationships/hyperlink" Target="https://pbs.twimg.com/profile_images/1521890851/logo_normal.jpg" TargetMode="External"/><Relationship Id="rId9952" Type="http://schemas.openxmlformats.org/officeDocument/2006/relationships/hyperlink" Target="https://twitter.com/claus_hammer" TargetMode="External"/><Relationship Id="rId1527" Type="http://schemas.openxmlformats.org/officeDocument/2006/relationships/hyperlink" Target="https://pbs.twimg.com/profile_images/541146126158536704/IYardufS_normal.jpeg" TargetMode="External"/><Relationship Id="rId1941" Type="http://schemas.openxmlformats.org/officeDocument/2006/relationships/hyperlink" Target="https://twitter.com/induux_de/status/721654687292895232" TargetMode="External"/><Relationship Id="rId7089" Type="http://schemas.openxmlformats.org/officeDocument/2006/relationships/hyperlink" Target="https://pbs.twimg.com/profile_images/698375438155059201/CHH9GkNn_normal.jpg" TargetMode="External"/><Relationship Id="rId8554" Type="http://schemas.openxmlformats.org/officeDocument/2006/relationships/hyperlink" Target="https://twitter.com/TLinn_Visionico" TargetMode="External"/><Relationship Id="rId9605" Type="http://schemas.openxmlformats.org/officeDocument/2006/relationships/hyperlink" Target="https://twitter.com/CSGermany" TargetMode="External"/><Relationship Id="rId3699" Type="http://schemas.openxmlformats.org/officeDocument/2006/relationships/hyperlink" Target="https://twitter.com/Databanque/status/722408803300282373" TargetMode="External"/><Relationship Id="rId4000" Type="http://schemas.openxmlformats.org/officeDocument/2006/relationships/hyperlink" Target="https://pbs.twimg.com/profile_images/419443300631064576/z6p0EaBD_normal.jpeg" TargetMode="External"/><Relationship Id="rId7156" Type="http://schemas.openxmlformats.org/officeDocument/2006/relationships/hyperlink" Target="https://twitter.com/INDIZbot" TargetMode="External"/><Relationship Id="rId7570" Type="http://schemas.openxmlformats.org/officeDocument/2006/relationships/hyperlink" Target="https://twitter.com/BGarciaSchmidt/status/723414338833248256" TargetMode="External"/><Relationship Id="rId8207" Type="http://schemas.openxmlformats.org/officeDocument/2006/relationships/hyperlink" Target="https://pbs.twimg.com/profile_images/723407487395713024/0hZv7R8S_normal.jpg" TargetMode="External"/><Relationship Id="rId8621" Type="http://schemas.openxmlformats.org/officeDocument/2006/relationships/hyperlink" Target="https://twitter.com/INDIZbot/status/723768657843773440" TargetMode="External"/><Relationship Id="rId10137" Type="http://schemas.openxmlformats.org/officeDocument/2006/relationships/hyperlink" Target="https://pbs.twimg.com/profile_images/3502729434/95675e6f45ad2e1bbc6c5736995ec15c_normal.png" TargetMode="External"/><Relationship Id="rId6172" Type="http://schemas.openxmlformats.org/officeDocument/2006/relationships/hyperlink" Target="https://twitter.com/CapgeminiDE/status/723083531371569152" TargetMode="External"/><Relationship Id="rId7223" Type="http://schemas.openxmlformats.org/officeDocument/2006/relationships/hyperlink" Target="https://twitter.com/BIGJTHEO/status/723385214555185153" TargetMode="External"/><Relationship Id="rId687" Type="http://schemas.openxmlformats.org/officeDocument/2006/relationships/hyperlink" Target="https://twitter.com/brill_stefan/status/720677714622091264" TargetMode="External"/><Relationship Id="rId2368" Type="http://schemas.openxmlformats.org/officeDocument/2006/relationships/hyperlink" Target="https://twitter.com/matthiaslechner" TargetMode="External"/><Relationship Id="rId3766" Type="http://schemas.openxmlformats.org/officeDocument/2006/relationships/hyperlink" Target="https://pbs.twimg.com/profile_images/566177236412162049/EX91Psgn_normal.jpeg" TargetMode="External"/><Relationship Id="rId4817" Type="http://schemas.openxmlformats.org/officeDocument/2006/relationships/hyperlink" Target="https://pbs.twimg.com/profile_images/710750672581484545/n4dPcodC_normal.jpg" TargetMode="External"/><Relationship Id="rId9395" Type="http://schemas.openxmlformats.org/officeDocument/2006/relationships/hyperlink" Target="https://twitter.com/INDIZbot" TargetMode="External"/><Relationship Id="rId10204" Type="http://schemas.openxmlformats.org/officeDocument/2006/relationships/hyperlink" Target="https://twitter.com/gaadvancement" TargetMode="External"/><Relationship Id="rId2782" Type="http://schemas.openxmlformats.org/officeDocument/2006/relationships/hyperlink" Target="https://twitter.com/INDIZbot/status/722117951785168896" TargetMode="External"/><Relationship Id="rId3419" Type="http://schemas.openxmlformats.org/officeDocument/2006/relationships/hyperlink" Target="https://twitter.com/MarianKoeller" TargetMode="External"/><Relationship Id="rId3833" Type="http://schemas.openxmlformats.org/officeDocument/2006/relationships/hyperlink" Target="https://twitter.com/INDIZbot" TargetMode="External"/><Relationship Id="rId6989" Type="http://schemas.openxmlformats.org/officeDocument/2006/relationships/hyperlink" Target="https://twitter.com/INDIZbot/status/723225077492408320" TargetMode="External"/><Relationship Id="rId9048" Type="http://schemas.openxmlformats.org/officeDocument/2006/relationships/hyperlink" Target="https://twitter.com/RaykJakobi/status/723917963959668737" TargetMode="External"/><Relationship Id="rId754" Type="http://schemas.openxmlformats.org/officeDocument/2006/relationships/hyperlink" Target="https://pbs.twimg.com/profile_images/660034078662664192/fW_fR4oj_normal.jpg" TargetMode="External"/><Relationship Id="rId1384" Type="http://schemas.openxmlformats.org/officeDocument/2006/relationships/hyperlink" Target="https://pbs.twimg.com/profile_images/1640917480/SAbineJuni2011_normal.JPG" TargetMode="External"/><Relationship Id="rId2435" Type="http://schemas.openxmlformats.org/officeDocument/2006/relationships/hyperlink" Target="https://twitter.com/gpodagrosi/status/722024417027600384" TargetMode="External"/><Relationship Id="rId3900" Type="http://schemas.openxmlformats.org/officeDocument/2006/relationships/hyperlink" Target="https://twitter.com/aguittard/status/722454337050554368" TargetMode="External"/><Relationship Id="rId9462" Type="http://schemas.openxmlformats.org/officeDocument/2006/relationships/hyperlink" Target="https://twitter.com/charisma_expert/status/724179560372277253" TargetMode="External"/><Relationship Id="rId90" Type="http://schemas.openxmlformats.org/officeDocument/2006/relationships/hyperlink" Target="https://pbs.twimg.com/profile_images/3726440228/9ba49ccb938cf571b195e3e83a4e1327_normal.jpeg" TargetMode="External"/><Relationship Id="rId407" Type="http://schemas.openxmlformats.org/officeDocument/2006/relationships/hyperlink" Target="https://twitter.com/LoidlRudolf/status/720584435524050945" TargetMode="External"/><Relationship Id="rId821" Type="http://schemas.openxmlformats.org/officeDocument/2006/relationships/hyperlink" Target="https://pbs.twimg.com/profile_images/645716711723925506/t5G0qOS6_normal.jpg" TargetMode="External"/><Relationship Id="rId1037" Type="http://schemas.openxmlformats.org/officeDocument/2006/relationships/hyperlink" Target="https://twitter.com/josefbrunner/status/720888109240422400" TargetMode="External"/><Relationship Id="rId1451" Type="http://schemas.openxmlformats.org/officeDocument/2006/relationships/hyperlink" Target="https://twitter.com/MichaelleSalmon/status/721008066750234624" TargetMode="External"/><Relationship Id="rId2502" Type="http://schemas.openxmlformats.org/officeDocument/2006/relationships/hyperlink" Target="https://pbs.twimg.com/profile_images/423438208873922560/3cq2Jpt-_normal.jpeg" TargetMode="External"/><Relationship Id="rId5658" Type="http://schemas.openxmlformats.org/officeDocument/2006/relationships/hyperlink" Target="https://twitter.com/Stormchild3" TargetMode="External"/><Relationship Id="rId6709" Type="http://schemas.openxmlformats.org/officeDocument/2006/relationships/hyperlink" Target="https://twitter.com/ProgressSW_DE" TargetMode="External"/><Relationship Id="rId8064" Type="http://schemas.openxmlformats.org/officeDocument/2006/relationships/hyperlink" Target="https://twitter.com/AliceTimm1/status/723487896557203456" TargetMode="External"/><Relationship Id="rId9115" Type="http://schemas.openxmlformats.org/officeDocument/2006/relationships/hyperlink" Target="https://pbs.twimg.com/profile_images/645716711723925506/t5G0qOS6_normal.jpg" TargetMode="External"/><Relationship Id="rId1104" Type="http://schemas.openxmlformats.org/officeDocument/2006/relationships/hyperlink" Target="https://pbs.twimg.com/profile_images/469070945483628546/iD8AeJP6_normal.png" TargetMode="External"/><Relationship Id="rId4674" Type="http://schemas.openxmlformats.org/officeDocument/2006/relationships/hyperlink" Target="https://twitter.com/HESSENMETALL" TargetMode="External"/><Relationship Id="rId5725" Type="http://schemas.openxmlformats.org/officeDocument/2006/relationships/hyperlink" Target="https://twitter.com/brill_stefan/status/723000551680692224" TargetMode="External"/><Relationship Id="rId7080" Type="http://schemas.openxmlformats.org/officeDocument/2006/relationships/hyperlink" Target="https://pbs.twimg.com/profile_images/645716711723925506/t5G0qOS6_normal.jpg" TargetMode="External"/><Relationship Id="rId8131" Type="http://schemas.openxmlformats.org/officeDocument/2006/relationships/hyperlink" Target="https://pbs.twimg.com/profile_images/523906834000650242/-PpDUEnV_normal.jpeg" TargetMode="External"/><Relationship Id="rId10061" Type="http://schemas.openxmlformats.org/officeDocument/2006/relationships/hyperlink" Target="https://twitter.com/BeierMichael71/status/724315989203144704" TargetMode="External"/><Relationship Id="rId3276" Type="http://schemas.openxmlformats.org/officeDocument/2006/relationships/hyperlink" Target="https://pbs.twimg.com/profile_images/619614759370014720/AS__iYuZ_normal.jpg" TargetMode="External"/><Relationship Id="rId3690" Type="http://schemas.openxmlformats.org/officeDocument/2006/relationships/hyperlink" Target="https://twitter.com/evryabova47791/status/722407137637502976" TargetMode="External"/><Relationship Id="rId4327" Type="http://schemas.openxmlformats.org/officeDocument/2006/relationships/hyperlink" Target="https://twitter.com/IoTMinded/status/722674020290859008" TargetMode="External"/><Relationship Id="rId197" Type="http://schemas.openxmlformats.org/officeDocument/2006/relationships/hyperlink" Target="https://twitter.com/J_Perbet/status/720532263058989056" TargetMode="External"/><Relationship Id="rId2292" Type="http://schemas.openxmlformats.org/officeDocument/2006/relationships/hyperlink" Target="https://twitter.com/AdrianWeiler" TargetMode="External"/><Relationship Id="rId3343" Type="http://schemas.openxmlformats.org/officeDocument/2006/relationships/hyperlink" Target="https://twitter.com/Der_Betriebslei" TargetMode="External"/><Relationship Id="rId4741" Type="http://schemas.openxmlformats.org/officeDocument/2006/relationships/hyperlink" Target="https://twitter.com/Industrie_40/status/722716168075796480" TargetMode="External"/><Relationship Id="rId6499" Type="http://schemas.openxmlformats.org/officeDocument/2006/relationships/hyperlink" Target="https://pbs.twimg.com/profile_images/557949283861663744/XRnqLo9K_normal.jpeg" TargetMode="External"/><Relationship Id="rId7897" Type="http://schemas.openxmlformats.org/officeDocument/2006/relationships/hyperlink" Target="https://twitter.com/Ronald_Heinze" TargetMode="External"/><Relationship Id="rId8948" Type="http://schemas.openxmlformats.org/officeDocument/2006/relationships/hyperlink" Target="https://twitter.com/croXXing_IBD/status/723870193206865920" TargetMode="External"/><Relationship Id="rId264" Type="http://schemas.openxmlformats.org/officeDocument/2006/relationships/hyperlink" Target="https://pbs.twimg.com/profile_images/645716711723925506/t5G0qOS6_normal.jpg" TargetMode="External"/><Relationship Id="rId7964" Type="http://schemas.openxmlformats.org/officeDocument/2006/relationships/hyperlink" Target="https://twitter.com/Robert_Weber_" TargetMode="External"/><Relationship Id="rId3410" Type="http://schemas.openxmlformats.org/officeDocument/2006/relationships/hyperlink" Target="https://twitter.com/ROKAutomationAT" TargetMode="External"/><Relationship Id="rId6566" Type="http://schemas.openxmlformats.org/officeDocument/2006/relationships/hyperlink" Target="https://twitter.com/IT2Industry" TargetMode="External"/><Relationship Id="rId6980" Type="http://schemas.openxmlformats.org/officeDocument/2006/relationships/hyperlink" Target="https://twitter.com/BeierMichael71/status/723223147516817408" TargetMode="External"/><Relationship Id="rId7617" Type="http://schemas.openxmlformats.org/officeDocument/2006/relationships/hyperlink" Target="https://twitter.com/BakerMcGER" TargetMode="External"/><Relationship Id="rId331" Type="http://schemas.openxmlformats.org/officeDocument/2006/relationships/hyperlink" Target="https://twitter.com/DIN_Innovation" TargetMode="External"/><Relationship Id="rId2012" Type="http://schemas.openxmlformats.org/officeDocument/2006/relationships/hyperlink" Target="https://pbs.twimg.com/profile_images/378800000827898552/669f90369b095789252ae6f0649bc39a_normal.png" TargetMode="External"/><Relationship Id="rId5168" Type="http://schemas.openxmlformats.org/officeDocument/2006/relationships/hyperlink" Target="https://twitter.com/PS_I_T/status/722764904701292544" TargetMode="External"/><Relationship Id="rId5582" Type="http://schemas.openxmlformats.org/officeDocument/2006/relationships/hyperlink" Target="https://pbs.twimg.com/profile_images/722859460138549248/9TXlqP2__normal.jpg" TargetMode="External"/><Relationship Id="rId6219" Type="http://schemas.openxmlformats.org/officeDocument/2006/relationships/hyperlink" Target="https://pbs.twimg.com/profile_images/645597459/Gerd_Profilbild_2_normal.jpg" TargetMode="External"/><Relationship Id="rId6633" Type="http://schemas.openxmlformats.org/officeDocument/2006/relationships/hyperlink" Target="https://twitter.com/BitkomResearch" TargetMode="External"/><Relationship Id="rId9789" Type="http://schemas.openxmlformats.org/officeDocument/2006/relationships/hyperlink" Target="https://pbs.twimg.com/profile_images/604338428227010560/6jzSa8us_normal.png" TargetMode="External"/><Relationship Id="rId1778" Type="http://schemas.openxmlformats.org/officeDocument/2006/relationships/hyperlink" Target="https://twitter.com/QuickFindsIn/status/721391713957183488" TargetMode="External"/><Relationship Id="rId2829" Type="http://schemas.openxmlformats.org/officeDocument/2006/relationships/hyperlink" Target="https://twitter.com/LReehten" TargetMode="External"/><Relationship Id="rId4184" Type="http://schemas.openxmlformats.org/officeDocument/2006/relationships/hyperlink" Target="https://pbs.twimg.com/profile_images/623849156159868928/BetFDR_i_normal.jpg" TargetMode="External"/><Relationship Id="rId5235" Type="http://schemas.openxmlformats.org/officeDocument/2006/relationships/hyperlink" Target="https://twitter.com/kid_magdeburg" TargetMode="External"/><Relationship Id="rId6700" Type="http://schemas.openxmlformats.org/officeDocument/2006/relationships/hyperlink" Target="https://twitter.com/Bitkom" TargetMode="External"/><Relationship Id="rId9856" Type="http://schemas.openxmlformats.org/officeDocument/2006/relationships/hyperlink" Target="https://twitter.com/mitunsdigital" TargetMode="External"/><Relationship Id="rId4251" Type="http://schemas.openxmlformats.org/officeDocument/2006/relationships/hyperlink" Target="https://twitter.com/H_IT_D" TargetMode="External"/><Relationship Id="rId5302" Type="http://schemas.openxmlformats.org/officeDocument/2006/relationships/hyperlink" Target="https://twitter.com/kommoptimierer" TargetMode="External"/><Relationship Id="rId8458" Type="http://schemas.openxmlformats.org/officeDocument/2006/relationships/hyperlink" Target="https://twitter.com/PSchleinitz" TargetMode="External"/><Relationship Id="rId9509" Type="http://schemas.openxmlformats.org/officeDocument/2006/relationships/hyperlink" Target="https://twitter.com/RussellKMills" TargetMode="External"/><Relationship Id="rId1845" Type="http://schemas.openxmlformats.org/officeDocument/2006/relationships/hyperlink" Target="https://pbs.twimg.com/profile_images/719888219328933889/X_V4faXr_normal.jpg" TargetMode="External"/><Relationship Id="rId7474" Type="http://schemas.openxmlformats.org/officeDocument/2006/relationships/hyperlink" Target="https://twitter.com/QuickFindsIn/status/723409005557649408" TargetMode="External"/><Relationship Id="rId8872" Type="http://schemas.openxmlformats.org/officeDocument/2006/relationships/hyperlink" Target="https://twitter.com/CSGermany" TargetMode="External"/><Relationship Id="rId9923" Type="http://schemas.openxmlformats.org/officeDocument/2006/relationships/hyperlink" Target="https://twitter.com/gpodagrosi/status/724277990155272193" TargetMode="External"/><Relationship Id="rId1912" Type="http://schemas.openxmlformats.org/officeDocument/2006/relationships/hyperlink" Target="https://pbs.twimg.com/profile_images/637227259481468928/NfIt-fjl_normal.jpg" TargetMode="External"/><Relationship Id="rId6076" Type="http://schemas.openxmlformats.org/officeDocument/2006/relationships/hyperlink" Target="https://pbs.twimg.com/profile_images/641773023/b2b-news_normal.jpg" TargetMode="External"/><Relationship Id="rId7127" Type="http://schemas.openxmlformats.org/officeDocument/2006/relationships/hyperlink" Target="https://twitter.com/INDIZbot/status/723265683035963392" TargetMode="External"/><Relationship Id="rId8525" Type="http://schemas.openxmlformats.org/officeDocument/2006/relationships/hyperlink" Target="https://twitter.com/Googleulv/status/723620953792614400" TargetMode="External"/><Relationship Id="rId5092" Type="http://schemas.openxmlformats.org/officeDocument/2006/relationships/hyperlink" Target="https://twitter.com/Global_Fairs" TargetMode="External"/><Relationship Id="rId6490" Type="http://schemas.openxmlformats.org/officeDocument/2006/relationships/hyperlink" Target="https://pbs.twimg.com/profile_images/722786285123977216/jpQ6qPff_normal.jpg" TargetMode="External"/><Relationship Id="rId7541" Type="http://schemas.openxmlformats.org/officeDocument/2006/relationships/hyperlink" Target="https://pbs.twimg.com/profile_images/456341504751964160/Cdptz2iN_normal.jpeg" TargetMode="External"/><Relationship Id="rId10108" Type="http://schemas.openxmlformats.org/officeDocument/2006/relationships/hyperlink" Target="https://twitter.com/StaplerPaul" TargetMode="External"/><Relationship Id="rId2686" Type="http://schemas.openxmlformats.org/officeDocument/2006/relationships/hyperlink" Target="https://twitter.com/INDIZbot/status/722085272893136896" TargetMode="External"/><Relationship Id="rId3737" Type="http://schemas.openxmlformats.org/officeDocument/2006/relationships/hyperlink" Target="https://twitter.com/INDIZbot" TargetMode="External"/><Relationship Id="rId6143" Type="http://schemas.openxmlformats.org/officeDocument/2006/relationships/hyperlink" Target="https://pbs.twimg.com/profile_images/684297499461423104/URLCw8tn_normal.jpg" TargetMode="External"/><Relationship Id="rId9299" Type="http://schemas.openxmlformats.org/officeDocument/2006/relationships/hyperlink" Target="https://twitter.com/knowhowag" TargetMode="External"/><Relationship Id="rId658" Type="http://schemas.openxmlformats.org/officeDocument/2006/relationships/hyperlink" Target="https://pbs.twimg.com/profile_images/693723211972907008/LSMUxTvG_normal.jpg" TargetMode="External"/><Relationship Id="rId1288" Type="http://schemas.openxmlformats.org/officeDocument/2006/relationships/hyperlink" Target="https://twitter.com/Round_Solutions" TargetMode="External"/><Relationship Id="rId2339" Type="http://schemas.openxmlformats.org/officeDocument/2006/relationships/hyperlink" Target="https://twitter.com/WibuSystems/status/721986929135325185" TargetMode="External"/><Relationship Id="rId2753" Type="http://schemas.openxmlformats.org/officeDocument/2006/relationships/hyperlink" Target="https://pbs.twimg.com/profile_images/436501817481256960/-oSbocC2_normal.jpeg" TargetMode="External"/><Relationship Id="rId3804" Type="http://schemas.openxmlformats.org/officeDocument/2006/relationships/hyperlink" Target="https://twitter.com/TimSheaARC/status/722429923302969344" TargetMode="External"/><Relationship Id="rId6210" Type="http://schemas.openxmlformats.org/officeDocument/2006/relationships/hyperlink" Target="https://pbs.twimg.com/profile_images/527033706687369216/VgfQAMV8_normal.jpeg" TargetMode="External"/><Relationship Id="rId9366" Type="http://schemas.openxmlformats.org/officeDocument/2006/relationships/hyperlink" Target="https://twitter.com/JeffRConnolly/status/724158020154855426" TargetMode="External"/><Relationship Id="rId9780" Type="http://schemas.openxmlformats.org/officeDocument/2006/relationships/hyperlink" Target="https://pbs.twimg.com/profile_images/649572788148285440/Sxl5vTa3_normal.jpg" TargetMode="External"/><Relationship Id="rId725" Type="http://schemas.openxmlformats.org/officeDocument/2006/relationships/hyperlink" Target="https://twitter.com/bgebot" TargetMode="External"/><Relationship Id="rId1355" Type="http://schemas.openxmlformats.org/officeDocument/2006/relationships/hyperlink" Target="https://twitter.com/dumslaff/status/720973200117669888" TargetMode="External"/><Relationship Id="rId2406" Type="http://schemas.openxmlformats.org/officeDocument/2006/relationships/hyperlink" Target="https://pbs.twimg.com/profile_images/722385992343285760/ww8YLZ2q_normal.jpg" TargetMode="External"/><Relationship Id="rId8382" Type="http://schemas.openxmlformats.org/officeDocument/2006/relationships/hyperlink" Target="https://twitter.com/PROJECTCONSULT_" TargetMode="External"/><Relationship Id="rId9019" Type="http://schemas.openxmlformats.org/officeDocument/2006/relationships/hyperlink" Target="https://twitter.com/siemensindustry" TargetMode="External"/><Relationship Id="rId9433" Type="http://schemas.openxmlformats.org/officeDocument/2006/relationships/hyperlink" Target="https://pbs.twimg.com/profile_images/619614759370014720/AS__iYuZ_normal.jpg" TargetMode="External"/><Relationship Id="rId1008" Type="http://schemas.openxmlformats.org/officeDocument/2006/relationships/hyperlink" Target="https://pbs.twimg.com/profile_images/644041606304256000/yOHTHLkX_normal.jpg" TargetMode="External"/><Relationship Id="rId1422" Type="http://schemas.openxmlformats.org/officeDocument/2006/relationships/hyperlink" Target="https://twitter.com/JuVid/status/720993403710869507" TargetMode="External"/><Relationship Id="rId2820" Type="http://schemas.openxmlformats.org/officeDocument/2006/relationships/hyperlink" Target="https://twitter.com/LReehten" TargetMode="External"/><Relationship Id="rId4578" Type="http://schemas.openxmlformats.org/officeDocument/2006/relationships/hyperlink" Target="https://twitter.com/schroederluegde" TargetMode="External"/><Relationship Id="rId5976" Type="http://schemas.openxmlformats.org/officeDocument/2006/relationships/hyperlink" Target="https://twitter.com/einkauf_mgmt/status/723066282728255489" TargetMode="External"/><Relationship Id="rId8035" Type="http://schemas.openxmlformats.org/officeDocument/2006/relationships/hyperlink" Target="https://pbs.twimg.com/profile_images/539210265472925697/HbDVwVlm_normal.jpeg" TargetMode="External"/><Relationship Id="rId61" Type="http://schemas.openxmlformats.org/officeDocument/2006/relationships/hyperlink" Target="https://twitter.com/JuVid" TargetMode="External"/><Relationship Id="rId4992" Type="http://schemas.openxmlformats.org/officeDocument/2006/relationships/hyperlink" Target="https://pbs.twimg.com/profile_images/645716711723925506/t5G0qOS6_normal.jpg" TargetMode="External"/><Relationship Id="rId5629" Type="http://schemas.openxmlformats.org/officeDocument/2006/relationships/hyperlink" Target="https://twitter.com/Cathy_Brennan/status/722892622751080449" TargetMode="External"/><Relationship Id="rId7051" Type="http://schemas.openxmlformats.org/officeDocument/2006/relationships/hyperlink" Target="https://twitter.com/DanielKueng" TargetMode="External"/><Relationship Id="rId8102" Type="http://schemas.openxmlformats.org/officeDocument/2006/relationships/hyperlink" Target="https://twitter.com/Lean_john" TargetMode="External"/><Relationship Id="rId9500" Type="http://schemas.openxmlformats.org/officeDocument/2006/relationships/hyperlink" Target="https://twitter.com/PortalAlemania" TargetMode="External"/><Relationship Id="rId2196" Type="http://schemas.openxmlformats.org/officeDocument/2006/relationships/hyperlink" Target="https://pbs.twimg.com/profile_images/663668561366245376/2ovYiiJf_normal.jpg" TargetMode="External"/><Relationship Id="rId3594" Type="http://schemas.openxmlformats.org/officeDocument/2006/relationships/hyperlink" Target="https://twitter.com/kommoptimierer/status/722380477143900160" TargetMode="External"/><Relationship Id="rId4645" Type="http://schemas.openxmlformats.org/officeDocument/2006/relationships/hyperlink" Target="https://twitter.com/DKEAktuell/status/722709467272507392" TargetMode="External"/><Relationship Id="rId10032" Type="http://schemas.openxmlformats.org/officeDocument/2006/relationships/hyperlink" Target="https://pbs.twimg.com/profile_images/521027553796956160/3xW6Jwcx_normal.jpeg" TargetMode="External"/><Relationship Id="rId168" Type="http://schemas.openxmlformats.org/officeDocument/2006/relationships/hyperlink" Target="https://pbs.twimg.com/profile_images/693115470753480704/31tK3_Cm_normal.png" TargetMode="External"/><Relationship Id="rId3247" Type="http://schemas.openxmlformats.org/officeDocument/2006/relationships/hyperlink" Target="https://twitter.com/bamitav" TargetMode="External"/><Relationship Id="rId3661" Type="http://schemas.openxmlformats.org/officeDocument/2006/relationships/hyperlink" Target="https://pbs.twimg.com/profile_images/378800000059779860/fc04b1d73248cf633802cef808ea363d_normal.jpeg" TargetMode="External"/><Relationship Id="rId4712" Type="http://schemas.openxmlformats.org/officeDocument/2006/relationships/hyperlink" Target="https://pbs.twimg.com/profile_images/645716711723925506/t5G0qOS6_normal.jpg" TargetMode="External"/><Relationship Id="rId7868" Type="http://schemas.openxmlformats.org/officeDocument/2006/relationships/hyperlink" Target="https://twitter.com/automotive_IT/status/723451144031227905" TargetMode="External"/><Relationship Id="rId8919" Type="http://schemas.openxmlformats.org/officeDocument/2006/relationships/hyperlink" Target="https://abs.twimg.com/sticky/default_profile_images/default_profile_2_normal.png" TargetMode="External"/><Relationship Id="rId582" Type="http://schemas.openxmlformats.org/officeDocument/2006/relationships/hyperlink" Target="https://twitter.com/INDIZbot/status/720632997721059328" TargetMode="External"/><Relationship Id="rId2263" Type="http://schemas.openxmlformats.org/officeDocument/2006/relationships/hyperlink" Target="https://twitter.com/ironsharkgmbh/status/721973691689644032" TargetMode="External"/><Relationship Id="rId3314" Type="http://schemas.openxmlformats.org/officeDocument/2006/relationships/hyperlink" Target="https://twitter.com/MindCommerce/status/722348216293974016" TargetMode="External"/><Relationship Id="rId6884" Type="http://schemas.openxmlformats.org/officeDocument/2006/relationships/hyperlink" Target="https://twitter.com/Cumulocity/status/723181046297059330" TargetMode="External"/><Relationship Id="rId7935" Type="http://schemas.openxmlformats.org/officeDocument/2006/relationships/hyperlink" Target="https://pbs.twimg.com/profile_images/645716711723925506/t5G0qOS6_normal.jpg" TargetMode="External"/><Relationship Id="rId9290" Type="http://schemas.openxmlformats.org/officeDocument/2006/relationships/hyperlink" Target="https://twitter.com/INDIZbot" TargetMode="External"/><Relationship Id="rId235" Type="http://schemas.openxmlformats.org/officeDocument/2006/relationships/hyperlink" Target="https://twitter.com/croXXing_IBD" TargetMode="External"/><Relationship Id="rId2330" Type="http://schemas.openxmlformats.org/officeDocument/2006/relationships/hyperlink" Target="https://twitter.com/kommoptimierer/status/721986718560161792" TargetMode="External"/><Relationship Id="rId5486" Type="http://schemas.openxmlformats.org/officeDocument/2006/relationships/hyperlink" Target="https://pbs.twimg.com/profile_images/591535147239002112/g9kA6jE8_normal.jpg" TargetMode="External"/><Relationship Id="rId6537" Type="http://schemas.openxmlformats.org/officeDocument/2006/relationships/hyperlink" Target="https://twitter.com/CapgeminiDE/status/723135624774033408" TargetMode="External"/><Relationship Id="rId302" Type="http://schemas.openxmlformats.org/officeDocument/2006/relationships/hyperlink" Target="https://twitter.com/INDIZbot/status/720545028012175360" TargetMode="External"/><Relationship Id="rId4088" Type="http://schemas.openxmlformats.org/officeDocument/2006/relationships/hyperlink" Target="https://pbs.twimg.com/profile_images/541146126158536704/IYardufS_normal.jpeg" TargetMode="External"/><Relationship Id="rId5139" Type="http://schemas.openxmlformats.org/officeDocument/2006/relationships/hyperlink" Target="https://pbs.twimg.com/profile_images/694530943139315712/TQHmYxMT_normal.png" TargetMode="External"/><Relationship Id="rId5553" Type="http://schemas.openxmlformats.org/officeDocument/2006/relationships/hyperlink" Target="https://twitter.com/KesslerEllis" TargetMode="External"/><Relationship Id="rId6951" Type="http://schemas.openxmlformats.org/officeDocument/2006/relationships/hyperlink" Target="https://pbs.twimg.com/profile_images/672794348442877952/m6Is-Nrc_normal.jpg" TargetMode="External"/><Relationship Id="rId9010" Type="http://schemas.openxmlformats.org/officeDocument/2006/relationships/hyperlink" Target="https://twitter.com/KUKA_RoboticsDE" TargetMode="External"/><Relationship Id="rId4155" Type="http://schemas.openxmlformats.org/officeDocument/2006/relationships/hyperlink" Target="https://twitter.com/LReehten" TargetMode="External"/><Relationship Id="rId5206" Type="http://schemas.openxmlformats.org/officeDocument/2006/relationships/hyperlink" Target="https://twitter.com/JETZT_PRde/status/722768684402536448" TargetMode="External"/><Relationship Id="rId6604" Type="http://schemas.openxmlformats.org/officeDocument/2006/relationships/hyperlink" Target="https://twitter.com/FHNWTechnik/status/723150044451348480" TargetMode="External"/><Relationship Id="rId1749" Type="http://schemas.openxmlformats.org/officeDocument/2006/relationships/hyperlink" Target="https://pbs.twimg.com/profile_images/705270537073852416/CZoAp0su_normal.jpg" TargetMode="External"/><Relationship Id="rId3171" Type="http://schemas.openxmlformats.org/officeDocument/2006/relationships/hyperlink" Target="https://twitter.com/HeikeDiebler" TargetMode="External"/><Relationship Id="rId5620" Type="http://schemas.openxmlformats.org/officeDocument/2006/relationships/hyperlink" Target="https://twitter.com/arnaud_the/status/722891168451731456" TargetMode="External"/><Relationship Id="rId8776" Type="http://schemas.openxmlformats.org/officeDocument/2006/relationships/hyperlink" Target="https://twitter.com/INDIZbot" TargetMode="External"/><Relationship Id="rId9827" Type="http://schemas.openxmlformats.org/officeDocument/2006/relationships/hyperlink" Target="https://twitter.com/RethinkRobotics/status/724269150814740481" TargetMode="External"/><Relationship Id="rId1816" Type="http://schemas.openxmlformats.org/officeDocument/2006/relationships/hyperlink" Target="https://twitter.com/julienramauge" TargetMode="External"/><Relationship Id="rId4222" Type="http://schemas.openxmlformats.org/officeDocument/2006/relationships/hyperlink" Target="https://twitter.com/MelitaDelic/status/722530192820985857" TargetMode="External"/><Relationship Id="rId7378" Type="http://schemas.openxmlformats.org/officeDocument/2006/relationships/hyperlink" Target="https://pbs.twimg.com/profile_images/645716711723925506/t5G0qOS6_normal.jpg" TargetMode="External"/><Relationship Id="rId7792" Type="http://schemas.openxmlformats.org/officeDocument/2006/relationships/hyperlink" Target="https://twitter.com/kommoptimierer" TargetMode="External"/><Relationship Id="rId8429" Type="http://schemas.openxmlformats.org/officeDocument/2006/relationships/hyperlink" Target="https://twitter.com/RealJoeGuy/status/723563410449899520" TargetMode="External"/><Relationship Id="rId8843" Type="http://schemas.openxmlformats.org/officeDocument/2006/relationships/hyperlink" Target="https://twitter.com/TU_KL/status/723838619484622848" TargetMode="External"/><Relationship Id="rId3988" Type="http://schemas.openxmlformats.org/officeDocument/2006/relationships/hyperlink" Target="https://pbs.twimg.com/profile_images/555327405187801088/bhizIjB-_normal.png" TargetMode="External"/><Relationship Id="rId6394" Type="http://schemas.openxmlformats.org/officeDocument/2006/relationships/hyperlink" Target="https://pbs.twimg.com/profile_images/3151814681/889304b58206053d6f22bd0b52344369_normal.jpeg" TargetMode="External"/><Relationship Id="rId7445" Type="http://schemas.openxmlformats.org/officeDocument/2006/relationships/hyperlink" Target="https://pbs.twimg.com/profile_images/701346285345972224/o2eiYGY__normal.jpg" TargetMode="External"/><Relationship Id="rId8910" Type="http://schemas.openxmlformats.org/officeDocument/2006/relationships/hyperlink" Target="https://pbs.twimg.com/profile_images/666911961599315968/aP7ID_qm_normal.png" TargetMode="External"/><Relationship Id="rId6047" Type="http://schemas.openxmlformats.org/officeDocument/2006/relationships/hyperlink" Target="https://twitter.com/tobias_goers" TargetMode="External"/><Relationship Id="rId6461" Type="http://schemas.openxmlformats.org/officeDocument/2006/relationships/hyperlink" Target="https://twitter.com/SGE" TargetMode="External"/><Relationship Id="rId7512" Type="http://schemas.openxmlformats.org/officeDocument/2006/relationships/hyperlink" Target="https://twitter.com/catkinEU" TargetMode="External"/><Relationship Id="rId976" Type="http://schemas.openxmlformats.org/officeDocument/2006/relationships/hyperlink" Target="https://twitter.com/INDIZbot" TargetMode="External"/><Relationship Id="rId2657" Type="http://schemas.openxmlformats.org/officeDocument/2006/relationships/hyperlink" Target="https://pbs.twimg.com/profile_images/561208179355185153/11KDu7Gt_normal.png" TargetMode="External"/><Relationship Id="rId5063" Type="http://schemas.openxmlformats.org/officeDocument/2006/relationships/hyperlink" Target="https://twitter.com/HolgerPaul66/status/722753738050572289" TargetMode="External"/><Relationship Id="rId6114" Type="http://schemas.openxmlformats.org/officeDocument/2006/relationships/hyperlink" Target="https://twitter.com/FOMforscht" TargetMode="External"/><Relationship Id="rId9684" Type="http://schemas.openxmlformats.org/officeDocument/2006/relationships/hyperlink" Target="https://twitter.com/neerajdeuskar79/status/724231381879013376" TargetMode="External"/><Relationship Id="rId629" Type="http://schemas.openxmlformats.org/officeDocument/2006/relationships/hyperlink" Target="https://twitter.com/awesigs" TargetMode="External"/><Relationship Id="rId1259" Type="http://schemas.openxmlformats.org/officeDocument/2006/relationships/hyperlink" Target="https://twitter.com/itelligence_de/status/720934857103314944" TargetMode="External"/><Relationship Id="rId3708" Type="http://schemas.openxmlformats.org/officeDocument/2006/relationships/hyperlink" Target="https://twitter.com/INDIZbot/status/722409946919346176" TargetMode="External"/><Relationship Id="rId5130" Type="http://schemas.openxmlformats.org/officeDocument/2006/relationships/hyperlink" Target="https://pbs.twimg.com/profile_images/672343322632024064/4z8q3pp4_normal.jpg" TargetMode="External"/><Relationship Id="rId8286" Type="http://schemas.openxmlformats.org/officeDocument/2006/relationships/hyperlink" Target="https://twitter.com/HPE_DE" TargetMode="External"/><Relationship Id="rId9337" Type="http://schemas.openxmlformats.org/officeDocument/2006/relationships/hyperlink" Target="https://pbs.twimg.com/profile_images/1539645084/FB-KWlogo.004_normal.png" TargetMode="External"/><Relationship Id="rId1673" Type="http://schemas.openxmlformats.org/officeDocument/2006/relationships/hyperlink" Target="https://twitter.com/Eloy_Herrero/status/721271766073655296" TargetMode="External"/><Relationship Id="rId2724" Type="http://schemas.openxmlformats.org/officeDocument/2006/relationships/hyperlink" Target="https://twitter.com/Bitkom_aero" TargetMode="External"/><Relationship Id="rId9751" Type="http://schemas.openxmlformats.org/officeDocument/2006/relationships/hyperlink" Target="https://twitter.com/pareekhjain/status/724241646683066368" TargetMode="External"/><Relationship Id="rId1326" Type="http://schemas.openxmlformats.org/officeDocument/2006/relationships/hyperlink" Target="https://pbs.twimg.com/profile_images/722385992343285760/ww8YLZ2q_normal.jpg" TargetMode="External"/><Relationship Id="rId1740" Type="http://schemas.openxmlformats.org/officeDocument/2006/relationships/hyperlink" Target="https://pbs.twimg.com/profile_images/705270537073852416/CZoAp0su_normal.jpg" TargetMode="External"/><Relationship Id="rId4896" Type="http://schemas.openxmlformats.org/officeDocument/2006/relationships/hyperlink" Target="https://twitter.com/ThomasSchulzGE" TargetMode="External"/><Relationship Id="rId5947" Type="http://schemas.openxmlformats.org/officeDocument/2006/relationships/hyperlink" Target="https://pbs.twimg.com/profile_images/705302839937990656/1KfW5-Ht_normal.jpg" TargetMode="External"/><Relationship Id="rId8353" Type="http://schemas.openxmlformats.org/officeDocument/2006/relationships/hyperlink" Target="https://twitter.com/INDIZbot/status/723539503189757952" TargetMode="External"/><Relationship Id="rId9404" Type="http://schemas.openxmlformats.org/officeDocument/2006/relationships/hyperlink" Target="https://twitter.com/akwyz" TargetMode="External"/><Relationship Id="rId10283" Type="http://schemas.openxmlformats.org/officeDocument/2006/relationships/hyperlink" Target="https://twitter.com/MartinGaedt/status/724454020455247872" TargetMode="External"/><Relationship Id="rId32" Type="http://schemas.openxmlformats.org/officeDocument/2006/relationships/hyperlink" Target="https://twitter.com/JuhaJalone/status/720501249922240512" TargetMode="External"/><Relationship Id="rId3498" Type="http://schemas.openxmlformats.org/officeDocument/2006/relationships/hyperlink" Target="https://twitter.com/MartinaWernerEU/status/722366757839773696" TargetMode="External"/><Relationship Id="rId4549" Type="http://schemas.openxmlformats.org/officeDocument/2006/relationships/hyperlink" Target="https://twitter.com/INDIZbot/status/722704514562830336" TargetMode="External"/><Relationship Id="rId4963" Type="http://schemas.openxmlformats.org/officeDocument/2006/relationships/hyperlink" Target="https://twitter.com/VDE_Group/status/722743800850812928" TargetMode="External"/><Relationship Id="rId8006" Type="http://schemas.openxmlformats.org/officeDocument/2006/relationships/hyperlink" Target="https://twitter.com/MoellerHorcher" TargetMode="External"/><Relationship Id="rId8420" Type="http://schemas.openxmlformats.org/officeDocument/2006/relationships/hyperlink" Target="https://twitter.com/INDIZbot/status/723562681706360832" TargetMode="External"/><Relationship Id="rId10350" Type="http://schemas.openxmlformats.org/officeDocument/2006/relationships/hyperlink" Target="https://pbs.twimg.com/profile_images/709444980553740288/Xds-Aan6_normal.jpg" TargetMode="External"/><Relationship Id="rId3565" Type="http://schemas.openxmlformats.org/officeDocument/2006/relationships/hyperlink" Target="https://pbs.twimg.com/profile_images/645716711723925506/t5G0qOS6_normal.jpg" TargetMode="External"/><Relationship Id="rId4616" Type="http://schemas.openxmlformats.org/officeDocument/2006/relationships/hyperlink" Target="https://pbs.twimg.com/profile_images/601673968551075840/MnulnKkj_normal.png" TargetMode="External"/><Relationship Id="rId7022" Type="http://schemas.openxmlformats.org/officeDocument/2006/relationships/hyperlink" Target="https://twitter.com/SiePing/status/723237091761655808" TargetMode="External"/><Relationship Id="rId10003" Type="http://schemas.openxmlformats.org/officeDocument/2006/relationships/hyperlink" Target="https://twitter.com/Ronald_Heinze" TargetMode="External"/><Relationship Id="rId486" Type="http://schemas.openxmlformats.org/officeDocument/2006/relationships/hyperlink" Target="https://twitter.com/Metaalmagazine/status/720605789510111232" TargetMode="External"/><Relationship Id="rId2167" Type="http://schemas.openxmlformats.org/officeDocument/2006/relationships/hyperlink" Target="https://twitter.com/MarioReinsch" TargetMode="External"/><Relationship Id="rId2581" Type="http://schemas.openxmlformats.org/officeDocument/2006/relationships/hyperlink" Target="https://twitter.com/Bitkom_I40" TargetMode="External"/><Relationship Id="rId3218" Type="http://schemas.openxmlformats.org/officeDocument/2006/relationships/hyperlink" Target="https://twitter.com/BEMA_Consulting/status/722325800058531840" TargetMode="External"/><Relationship Id="rId3632" Type="http://schemas.openxmlformats.org/officeDocument/2006/relationships/hyperlink" Target="https://twitter.com/MarioReinsch" TargetMode="External"/><Relationship Id="rId6788" Type="http://schemas.openxmlformats.org/officeDocument/2006/relationships/hyperlink" Target="https://twitter.com/ITK_OWL/status/723171321484550144" TargetMode="External"/><Relationship Id="rId9194" Type="http://schemas.openxmlformats.org/officeDocument/2006/relationships/hyperlink" Target="https://twitter.com/Lean_john" TargetMode="External"/><Relationship Id="rId139" Type="http://schemas.openxmlformats.org/officeDocument/2006/relationships/hyperlink" Target="https://twitter.com/H_IT_D" TargetMode="External"/><Relationship Id="rId553" Type="http://schemas.openxmlformats.org/officeDocument/2006/relationships/hyperlink" Target="https://pbs.twimg.com/profile_images/694530943139315712/TQHmYxMT_normal.png" TargetMode="External"/><Relationship Id="rId1183" Type="http://schemas.openxmlformats.org/officeDocument/2006/relationships/hyperlink" Target="https://twitter.com/_DSAG" TargetMode="External"/><Relationship Id="rId2234" Type="http://schemas.openxmlformats.org/officeDocument/2006/relationships/hyperlink" Target="https://twitter.com/NicolasChulot/status/721968187391217664" TargetMode="External"/><Relationship Id="rId7839" Type="http://schemas.openxmlformats.org/officeDocument/2006/relationships/hyperlink" Target="https://pbs.twimg.com/profile_images/662723326096224256/5V4KH9_O_normal.jpg" TargetMode="External"/><Relationship Id="rId9261" Type="http://schemas.openxmlformats.org/officeDocument/2006/relationships/hyperlink" Target="https://twitter.com/MartinGaedt/status/724105552041807872" TargetMode="External"/><Relationship Id="rId206" Type="http://schemas.openxmlformats.org/officeDocument/2006/relationships/hyperlink" Target="https://twitter.com/R3Coms/status/720533704725147651" TargetMode="External"/><Relationship Id="rId6855" Type="http://schemas.openxmlformats.org/officeDocument/2006/relationships/hyperlink" Target="https://pbs.twimg.com/profile_images/615797525040136192/CKF9-v_o_normal.jpg" TargetMode="External"/><Relationship Id="rId7906" Type="http://schemas.openxmlformats.org/officeDocument/2006/relationships/hyperlink" Target="https://twitter.com/INDIZbot" TargetMode="External"/><Relationship Id="rId620" Type="http://schemas.openxmlformats.org/officeDocument/2006/relationships/hyperlink" Target="https://twitter.com/proALPHA" TargetMode="External"/><Relationship Id="rId1250" Type="http://schemas.openxmlformats.org/officeDocument/2006/relationships/hyperlink" Target="https://twitter.com/INDIZbot/status/720932576127492096" TargetMode="External"/><Relationship Id="rId2301" Type="http://schemas.openxmlformats.org/officeDocument/2006/relationships/hyperlink" Target="https://twitter.com/UweKubach" TargetMode="External"/><Relationship Id="rId4059" Type="http://schemas.openxmlformats.org/officeDocument/2006/relationships/hyperlink" Target="https://twitter.com/SAPFrance/status/722488095157919744" TargetMode="External"/><Relationship Id="rId5457" Type="http://schemas.openxmlformats.org/officeDocument/2006/relationships/hyperlink" Target="https://twitter.com/RalphRio" TargetMode="External"/><Relationship Id="rId5871" Type="http://schemas.openxmlformats.org/officeDocument/2006/relationships/hyperlink" Target="https://twitter.com/itelligence_de/status/723056817014628352" TargetMode="External"/><Relationship Id="rId6508" Type="http://schemas.openxmlformats.org/officeDocument/2006/relationships/hyperlink" Target="https://pbs.twimg.com/profile_images/643892666695073792/IDQzvziq_normal.jpg" TargetMode="External"/><Relationship Id="rId6922" Type="http://schemas.openxmlformats.org/officeDocument/2006/relationships/hyperlink" Target="https://twitter.com/H_IT_D" TargetMode="External"/><Relationship Id="rId4473" Type="http://schemas.openxmlformats.org/officeDocument/2006/relationships/hyperlink" Target="https://pbs.twimg.com/profile_images/1824628700/SAM-Logo_2007_post_normal.jpg" TargetMode="External"/><Relationship Id="rId5524" Type="http://schemas.openxmlformats.org/officeDocument/2006/relationships/hyperlink" Target="https://twitter.com/Uli_Schumacher/status/722837940888403971" TargetMode="External"/><Relationship Id="rId3075" Type="http://schemas.openxmlformats.org/officeDocument/2006/relationships/hyperlink" Target="https://twitter.com/ThorstenRamus" TargetMode="External"/><Relationship Id="rId4126" Type="http://schemas.openxmlformats.org/officeDocument/2006/relationships/hyperlink" Target="https://twitter.com/MWiedenmaier/status/722509533835325440" TargetMode="External"/><Relationship Id="rId4540" Type="http://schemas.openxmlformats.org/officeDocument/2006/relationships/hyperlink" Target="https://twitter.com/MarianKoeller/status/722703185773768704" TargetMode="External"/><Relationship Id="rId7696" Type="http://schemas.openxmlformats.org/officeDocument/2006/relationships/hyperlink" Target="https://twitter.com/karl__maurer/status/723426984311713793" TargetMode="External"/><Relationship Id="rId8747" Type="http://schemas.openxmlformats.org/officeDocument/2006/relationships/hyperlink" Target="https://twitter.com/lenze_benelux/status/723800198884036608" TargetMode="External"/><Relationship Id="rId2091" Type="http://schemas.openxmlformats.org/officeDocument/2006/relationships/hyperlink" Target="https://twitter.com/kommoptimierer" TargetMode="External"/><Relationship Id="rId3142" Type="http://schemas.openxmlformats.org/officeDocument/2006/relationships/hyperlink" Target="https://twitter.com/LReehten/status/722314926639943680" TargetMode="External"/><Relationship Id="rId6298" Type="http://schemas.openxmlformats.org/officeDocument/2006/relationships/hyperlink" Target="https://pbs.twimg.com/profile_images/541146126158536704/IYardufS_normal.jpeg" TargetMode="External"/><Relationship Id="rId7349" Type="http://schemas.openxmlformats.org/officeDocument/2006/relationships/hyperlink" Target="https://twitter.com/INDIZbot" TargetMode="External"/><Relationship Id="rId7763" Type="http://schemas.openxmlformats.org/officeDocument/2006/relationships/hyperlink" Target="https://pbs.twimg.com/profile_images/685327213/Apandia_normal.gif" TargetMode="External"/><Relationship Id="rId6365" Type="http://schemas.openxmlformats.org/officeDocument/2006/relationships/hyperlink" Target="https://twitter.com/SGE" TargetMode="External"/><Relationship Id="rId7416" Type="http://schemas.openxmlformats.org/officeDocument/2006/relationships/hyperlink" Target="https://pbs.twimg.com/profile_images/719538951988592641/7lKnB2dG_normal.jpg" TargetMode="External"/><Relationship Id="rId8814" Type="http://schemas.openxmlformats.org/officeDocument/2006/relationships/hyperlink" Target="https://pbs.twimg.com/profile_images/589085549564186624/DdqwNz5R_normal.jpg" TargetMode="External"/><Relationship Id="rId130" Type="http://schemas.openxmlformats.org/officeDocument/2006/relationships/hyperlink" Target="https://twitter.com/HPEstartupFR" TargetMode="External"/><Relationship Id="rId3959" Type="http://schemas.openxmlformats.org/officeDocument/2006/relationships/hyperlink" Target="https://twitter.com/Rhenatic" TargetMode="External"/><Relationship Id="rId5381" Type="http://schemas.openxmlformats.org/officeDocument/2006/relationships/hyperlink" Target="https://twitter.com/aidegare" TargetMode="External"/><Relationship Id="rId6018" Type="http://schemas.openxmlformats.org/officeDocument/2006/relationships/hyperlink" Target="https://twitter.com/ZuliefermarktDE/status/723071926122479616" TargetMode="External"/><Relationship Id="rId7830" Type="http://schemas.openxmlformats.org/officeDocument/2006/relationships/hyperlink" Target="https://pbs.twimg.com/profile_images/717330814950903808/rwZ3obhE_normal.jpg" TargetMode="External"/><Relationship Id="rId2975" Type="http://schemas.openxmlformats.org/officeDocument/2006/relationships/hyperlink" Target="https://twitter.com/NoSQLDigest" TargetMode="External"/><Relationship Id="rId5034" Type="http://schemas.openxmlformats.org/officeDocument/2006/relationships/hyperlink" Target="https://pbs.twimg.com/profile_images/645716711723925506/t5G0qOS6_normal.jpg" TargetMode="External"/><Relationship Id="rId6432" Type="http://schemas.openxmlformats.org/officeDocument/2006/relationships/hyperlink" Target="https://twitter.com/Edukatico/status/723124762763915266" TargetMode="External"/><Relationship Id="rId9588" Type="http://schemas.openxmlformats.org/officeDocument/2006/relationships/hyperlink" Target="https://twitter.com/hannover_messe/status/724211380862242816" TargetMode="External"/><Relationship Id="rId947" Type="http://schemas.openxmlformats.org/officeDocument/2006/relationships/hyperlink" Target="https://pbs.twimg.com/profile_images/378800000820155178/6664d84a949d3e421809fd63b22fdc6f_normal.jpeg" TargetMode="External"/><Relationship Id="rId1577" Type="http://schemas.openxmlformats.org/officeDocument/2006/relationships/hyperlink" Target="https://twitter.com/dsloly/status/721142120757739520" TargetMode="External"/><Relationship Id="rId1991" Type="http://schemas.openxmlformats.org/officeDocument/2006/relationships/hyperlink" Target="https://pbs.twimg.com/profile_images/611280074017538048/w7tmii0Y_normal.jpg" TargetMode="External"/><Relationship Id="rId2628" Type="http://schemas.openxmlformats.org/officeDocument/2006/relationships/hyperlink" Target="https://twitter.com/MarianKoeller/status/722071203226238976" TargetMode="External"/><Relationship Id="rId9655" Type="http://schemas.openxmlformats.org/officeDocument/2006/relationships/hyperlink" Target="https://pbs.twimg.com/profile_images/645716711723925506/t5G0qOS6_normal.jpg" TargetMode="External"/><Relationship Id="rId1644" Type="http://schemas.openxmlformats.org/officeDocument/2006/relationships/hyperlink" Target="https://pbs.twimg.com/profile_images/541146126158536704/IYardufS_normal.jpeg" TargetMode="External"/><Relationship Id="rId4050" Type="http://schemas.openxmlformats.org/officeDocument/2006/relationships/hyperlink" Target="https://twitter.com/alnoor31/status/722487221912215554" TargetMode="External"/><Relationship Id="rId5101" Type="http://schemas.openxmlformats.org/officeDocument/2006/relationships/hyperlink" Target="https://twitter.com/QuickFindsIn" TargetMode="External"/><Relationship Id="rId8257" Type="http://schemas.openxmlformats.org/officeDocument/2006/relationships/hyperlink" Target="https://twitter.com/ProgressSW_DE/status/723522931620503556" TargetMode="External"/><Relationship Id="rId8671" Type="http://schemas.openxmlformats.org/officeDocument/2006/relationships/hyperlink" Target="https://twitter.com/VDMAonline" TargetMode="External"/><Relationship Id="rId9308" Type="http://schemas.openxmlformats.org/officeDocument/2006/relationships/hyperlink" Target="https://twitter.com/INDIZbot" TargetMode="External"/><Relationship Id="rId9722" Type="http://schemas.openxmlformats.org/officeDocument/2006/relationships/hyperlink" Target="https://twitter.com/schroederluegde" TargetMode="External"/><Relationship Id="rId10187" Type="http://schemas.openxmlformats.org/officeDocument/2006/relationships/hyperlink" Target="https://twitter.com/BurakYenier/status/724358131703119872" TargetMode="External"/><Relationship Id="rId1711" Type="http://schemas.openxmlformats.org/officeDocument/2006/relationships/hyperlink" Target="https://twitter.com/verlinked" TargetMode="External"/><Relationship Id="rId4867" Type="http://schemas.openxmlformats.org/officeDocument/2006/relationships/hyperlink" Target="https://twitter.com/ThomasSchulzGE/status/722728943015620608" TargetMode="External"/><Relationship Id="rId7273" Type="http://schemas.openxmlformats.org/officeDocument/2006/relationships/hyperlink" Target="https://twitter.com/bearlytech" TargetMode="External"/><Relationship Id="rId8324" Type="http://schemas.openxmlformats.org/officeDocument/2006/relationships/hyperlink" Target="https://pbs.twimg.com/profile_images/604338428227010560/6jzSa8us_normal.png" TargetMode="External"/><Relationship Id="rId10254" Type="http://schemas.openxmlformats.org/officeDocument/2006/relationships/hyperlink" Target="https://pbs.twimg.com/profile_images/444069537869094912/Oh8ZB7sl_normal.jpeg" TargetMode="External"/><Relationship Id="rId3469" Type="http://schemas.openxmlformats.org/officeDocument/2006/relationships/hyperlink" Target="https://pbs.twimg.com/profile_images/685327213/Apandia_normal.gif" TargetMode="External"/><Relationship Id="rId5918" Type="http://schemas.openxmlformats.org/officeDocument/2006/relationships/hyperlink" Target="https://twitter.com/INDIZbot" TargetMode="External"/><Relationship Id="rId7340" Type="http://schemas.openxmlformats.org/officeDocument/2006/relationships/hyperlink" Target="https://twitter.com/tobias_goers" TargetMode="External"/><Relationship Id="rId2485" Type="http://schemas.openxmlformats.org/officeDocument/2006/relationships/hyperlink" Target="https://twitter.com/sapcustdev" TargetMode="External"/><Relationship Id="rId3883" Type="http://schemas.openxmlformats.org/officeDocument/2006/relationships/hyperlink" Target="https://pbs.twimg.com/profile_images/722430922390401024/OXKzmoSE_normal.jpg" TargetMode="External"/><Relationship Id="rId4934" Type="http://schemas.openxmlformats.org/officeDocument/2006/relationships/hyperlink" Target="https://pbs.twimg.com/profile_images/723407487395713024/0hZv7R8S_normal.jpg" TargetMode="External"/><Relationship Id="rId9098" Type="http://schemas.openxmlformats.org/officeDocument/2006/relationships/hyperlink" Target="https://twitter.com/ITK_OWL" TargetMode="External"/><Relationship Id="rId10321" Type="http://schemas.openxmlformats.org/officeDocument/2006/relationships/hyperlink" Target="https://twitter.com/EVM_dk" TargetMode="External"/><Relationship Id="rId457" Type="http://schemas.openxmlformats.org/officeDocument/2006/relationships/hyperlink" Target="https://twitter.com/verlinked" TargetMode="External"/><Relationship Id="rId1087" Type="http://schemas.openxmlformats.org/officeDocument/2006/relationships/hyperlink" Target="https://twitter.com/kommoptimierer" TargetMode="External"/><Relationship Id="rId2138" Type="http://schemas.openxmlformats.org/officeDocument/2006/relationships/hyperlink" Target="https://twitter.com/INDIZbot/status/721944281158696960" TargetMode="External"/><Relationship Id="rId3536" Type="http://schemas.openxmlformats.org/officeDocument/2006/relationships/hyperlink" Target="https://twitter.com/Der_Betriebslei" TargetMode="External"/><Relationship Id="rId3950" Type="http://schemas.openxmlformats.org/officeDocument/2006/relationships/hyperlink" Target="https://twitter.com/aguittard" TargetMode="External"/><Relationship Id="rId9165" Type="http://schemas.openxmlformats.org/officeDocument/2006/relationships/hyperlink" Target="https://twitter.com/kat2812/status/723958195723456513" TargetMode="External"/><Relationship Id="rId871" Type="http://schemas.openxmlformats.org/officeDocument/2006/relationships/hyperlink" Target="https://twitter.com/VernierB/status/720854537448214528" TargetMode="External"/><Relationship Id="rId2552" Type="http://schemas.openxmlformats.org/officeDocument/2006/relationships/hyperlink" Target="https://pbs.twimg.com/profile_images/2619086509/ld3z97zhhdbs2essw7s9_normal.jpeg" TargetMode="External"/><Relationship Id="rId3603" Type="http://schemas.openxmlformats.org/officeDocument/2006/relationships/hyperlink" Target="https://twitter.com/einkauf_mgmt/status/722382389469691904" TargetMode="External"/><Relationship Id="rId6759" Type="http://schemas.openxmlformats.org/officeDocument/2006/relationships/hyperlink" Target="https://pbs.twimg.com/profile_images/464342929553645568/ti4ho-YV_normal.png" TargetMode="External"/><Relationship Id="rId524" Type="http://schemas.openxmlformats.org/officeDocument/2006/relationships/hyperlink" Target="https://twitter.com/HoptonPaul" TargetMode="External"/><Relationship Id="rId1154" Type="http://schemas.openxmlformats.org/officeDocument/2006/relationships/hyperlink" Target="https://twitter.com/topometric/status/720908907036741632" TargetMode="External"/><Relationship Id="rId2205" Type="http://schemas.openxmlformats.org/officeDocument/2006/relationships/hyperlink" Target="https://pbs.twimg.com/profile_images/3726440228/9ba49ccb938cf571b195e3e83a4e1327_normal.jpeg" TargetMode="External"/><Relationship Id="rId5775" Type="http://schemas.openxmlformats.org/officeDocument/2006/relationships/hyperlink" Target="https://twitter.com/Aravind_blr" TargetMode="External"/><Relationship Id="rId6826" Type="http://schemas.openxmlformats.org/officeDocument/2006/relationships/hyperlink" Target="https://twitter.com/j_froemming" TargetMode="External"/><Relationship Id="rId8181" Type="http://schemas.openxmlformats.org/officeDocument/2006/relationships/hyperlink" Target="https://twitter.com/TijenOnaran/status/723509415949799424" TargetMode="External"/><Relationship Id="rId9232" Type="http://schemas.openxmlformats.org/officeDocument/2006/relationships/hyperlink" Target="https://pbs.twimg.com/profile_images/3502729434/95675e6f45ad2e1bbc6c5736995ec15c_normal.png" TargetMode="External"/><Relationship Id="rId1221" Type="http://schemas.openxmlformats.org/officeDocument/2006/relationships/hyperlink" Target="https://pbs.twimg.com/profile_images/378800000725467177/1b5e4c6430e88c9990d7d87cff4a795c_normal.jpeg" TargetMode="External"/><Relationship Id="rId4377" Type="http://schemas.openxmlformats.org/officeDocument/2006/relationships/hyperlink" Target="https://twitter.com/LReehten" TargetMode="External"/><Relationship Id="rId4791" Type="http://schemas.openxmlformats.org/officeDocument/2006/relationships/hyperlink" Target="https://twitter.com/INDIZbot" TargetMode="External"/><Relationship Id="rId5428" Type="http://schemas.openxmlformats.org/officeDocument/2006/relationships/hyperlink" Target="https://pbs.twimg.com/profile_images/694530943139315712/TQHmYxMT_normal.png" TargetMode="External"/><Relationship Id="rId5842" Type="http://schemas.openxmlformats.org/officeDocument/2006/relationships/hyperlink" Target="https://pbs.twimg.com/profile_images/648776467464212480/zcXaLLGc_normal.png" TargetMode="External"/><Relationship Id="rId8998" Type="http://schemas.openxmlformats.org/officeDocument/2006/relationships/hyperlink" Target="https://twitter.com/SusanneJRomero" TargetMode="External"/><Relationship Id="rId3393" Type="http://schemas.openxmlformats.org/officeDocument/2006/relationships/hyperlink" Target="https://twitter.com/Der_Betriebslei/status/722356110636761088" TargetMode="External"/><Relationship Id="rId4444" Type="http://schemas.openxmlformats.org/officeDocument/2006/relationships/hyperlink" Target="https://twitter.com/HTxAlive/status/722692980658827264" TargetMode="External"/><Relationship Id="rId3046" Type="http://schemas.openxmlformats.org/officeDocument/2006/relationships/hyperlink" Target="https://twitter.com/Geschnattere/status/722307346601484288" TargetMode="External"/><Relationship Id="rId3460" Type="http://schemas.openxmlformats.org/officeDocument/2006/relationships/hyperlink" Target="https://pbs.twimg.com/profile_images/1448214118/de-touzalin_7853_w_normal.jpg" TargetMode="External"/><Relationship Id="rId381" Type="http://schemas.openxmlformats.org/officeDocument/2006/relationships/hyperlink" Target="https://pbs.twimg.com/profile_images/666911961599315968/aP7ID_qm_normal.png" TargetMode="External"/><Relationship Id="rId2062" Type="http://schemas.openxmlformats.org/officeDocument/2006/relationships/hyperlink" Target="https://twitter.com/INDIZbot/status/721790621690802177" TargetMode="External"/><Relationship Id="rId3113" Type="http://schemas.openxmlformats.org/officeDocument/2006/relationships/hyperlink" Target="https://pbs.twimg.com/profile_images/648776467464212480/zcXaLLGc_normal.png" TargetMode="External"/><Relationship Id="rId4511" Type="http://schemas.openxmlformats.org/officeDocument/2006/relationships/hyperlink" Target="https://pbs.twimg.com/profile_images/619429467434434560/ywWYiH5V_normal.jpg" TargetMode="External"/><Relationship Id="rId6269" Type="http://schemas.openxmlformats.org/officeDocument/2006/relationships/hyperlink" Target="https://twitter.com/WTI_FfM" TargetMode="External"/><Relationship Id="rId7667" Type="http://schemas.openxmlformats.org/officeDocument/2006/relationships/hyperlink" Target="https://pbs.twimg.com/profile_images/651750095508086786/7EobC7Vn_normal.jpg" TargetMode="External"/><Relationship Id="rId8718" Type="http://schemas.openxmlformats.org/officeDocument/2006/relationships/hyperlink" Target="https://pbs.twimg.com/profile_images/592732122621816833/UoX04brn_normal.png" TargetMode="External"/><Relationship Id="rId6683" Type="http://schemas.openxmlformats.org/officeDocument/2006/relationships/hyperlink" Target="https://twitter.com/JanatIGMetall/status/723160122323664897" TargetMode="External"/><Relationship Id="rId7734" Type="http://schemas.openxmlformats.org/officeDocument/2006/relationships/hyperlink" Target="https://twitter.com/PASSnews" TargetMode="External"/><Relationship Id="rId2879" Type="http://schemas.openxmlformats.org/officeDocument/2006/relationships/hyperlink" Target="https://twitter.com/SYSCONtv/status/722146503842770944" TargetMode="External"/><Relationship Id="rId5285" Type="http://schemas.openxmlformats.org/officeDocument/2006/relationships/hyperlink" Target="https://twitter.com/H_IT_D/status/722781545564491776" TargetMode="External"/><Relationship Id="rId6336" Type="http://schemas.openxmlformats.org/officeDocument/2006/relationships/hyperlink" Target="https://pbs.twimg.com/profile_images/530502164116828160/uy27F1-j_normal.jpeg" TargetMode="External"/><Relationship Id="rId6750" Type="http://schemas.openxmlformats.org/officeDocument/2006/relationships/hyperlink" Target="https://pbs.twimg.com/profile_images/3763167092/97da7a2f03bd12f3fad27eba9bbb1034_normal.jpeg" TargetMode="External"/><Relationship Id="rId7801" Type="http://schemas.openxmlformats.org/officeDocument/2006/relationships/hyperlink" Target="https://twitter.com/Hardt_am_Limit" TargetMode="External"/><Relationship Id="rId101" Type="http://schemas.openxmlformats.org/officeDocument/2006/relationships/hyperlink" Target="https://twitter.com/INDIZbot/status/720512453671587840" TargetMode="External"/><Relationship Id="rId1895" Type="http://schemas.openxmlformats.org/officeDocument/2006/relationships/hyperlink" Target="https://twitter.com/samuel_vuadens" TargetMode="External"/><Relationship Id="rId2946" Type="http://schemas.openxmlformats.org/officeDocument/2006/relationships/hyperlink" Target="https://twitter.com/LtCaezar/status/722187499183988736" TargetMode="External"/><Relationship Id="rId5352" Type="http://schemas.openxmlformats.org/officeDocument/2006/relationships/hyperlink" Target="https://pbs.twimg.com/profile_images/645716711723925506/t5G0qOS6_normal.jpg" TargetMode="External"/><Relationship Id="rId6403" Type="http://schemas.openxmlformats.org/officeDocument/2006/relationships/hyperlink" Target="https://pbs.twimg.com/profile_images/2576159086/x3og0hhz2d60d9embrsg_normal.jpeg" TargetMode="External"/><Relationship Id="rId9559" Type="http://schemas.openxmlformats.org/officeDocument/2006/relationships/hyperlink" Target="https://pbs.twimg.com/profile_images/3020224163/dd9be06125f57cfbdc462d4a984befa5_normal.jpeg" TargetMode="External"/><Relationship Id="rId9973" Type="http://schemas.openxmlformats.org/officeDocument/2006/relationships/hyperlink" Target="https://twitter.com/sallyafrank" TargetMode="External"/><Relationship Id="rId918" Type="http://schemas.openxmlformats.org/officeDocument/2006/relationships/hyperlink" Target="https://twitter.com/ThorstenRamus" TargetMode="External"/><Relationship Id="rId1548" Type="http://schemas.openxmlformats.org/officeDocument/2006/relationships/hyperlink" Target="https://pbs.twimg.com/profile_images/509745088696578048/tElL2_Ef_normal.jpeg" TargetMode="External"/><Relationship Id="rId5005" Type="http://schemas.openxmlformats.org/officeDocument/2006/relationships/hyperlink" Target="https://twitter.com/SHC_GmbH" TargetMode="External"/><Relationship Id="rId8575" Type="http://schemas.openxmlformats.org/officeDocument/2006/relationships/hyperlink" Target="https://twitter.com/UL_Commercial" TargetMode="External"/><Relationship Id="rId9626" Type="http://schemas.openxmlformats.org/officeDocument/2006/relationships/hyperlink" Target="https://twitter.com/ElroyWonder" TargetMode="External"/><Relationship Id="rId1962" Type="http://schemas.openxmlformats.org/officeDocument/2006/relationships/hyperlink" Target="https://twitter.com/INDIZbot" TargetMode="External"/><Relationship Id="rId4021" Type="http://schemas.openxmlformats.org/officeDocument/2006/relationships/hyperlink" Target="https://pbs.twimg.com/profile_images/681859767346851841/T3TRbOSr_normal.jpg" TargetMode="External"/><Relationship Id="rId7177" Type="http://schemas.openxmlformats.org/officeDocument/2006/relationships/hyperlink" Target="https://twitter.com/Following_HR" TargetMode="External"/><Relationship Id="rId7591" Type="http://schemas.openxmlformats.org/officeDocument/2006/relationships/hyperlink" Target="https://twitter.com/tubezweinull/status/723416965264470016" TargetMode="External"/><Relationship Id="rId8228" Type="http://schemas.openxmlformats.org/officeDocument/2006/relationships/hyperlink" Target="https://pbs.twimg.com/profile_images/717612294386106368/XuG9D04T_normal.jpg" TargetMode="External"/><Relationship Id="rId1615" Type="http://schemas.openxmlformats.org/officeDocument/2006/relationships/hyperlink" Target="https://twitter.com/Fran_tandem" TargetMode="External"/><Relationship Id="rId6193" Type="http://schemas.openxmlformats.org/officeDocument/2006/relationships/hyperlink" Target="https://twitter.com/AndyBaldauf/status/723086830049042432" TargetMode="External"/><Relationship Id="rId7244" Type="http://schemas.openxmlformats.org/officeDocument/2006/relationships/hyperlink" Target="https://twitter.com/INDIZbot/status/723386427149418496" TargetMode="External"/><Relationship Id="rId8642" Type="http://schemas.openxmlformats.org/officeDocument/2006/relationships/hyperlink" Target="https://twitter.com/FJDorfer/status/723774678616170496" TargetMode="External"/><Relationship Id="rId10158" Type="http://schemas.openxmlformats.org/officeDocument/2006/relationships/hyperlink" Target="https://pbs.twimg.com/profile_images/700870440315723776/1Wtoil9s_normal.png" TargetMode="External"/><Relationship Id="rId3787" Type="http://schemas.openxmlformats.org/officeDocument/2006/relationships/hyperlink" Target="https://pbs.twimg.com/profile_images/473761360644292608/at3KLOzY_normal.jpeg" TargetMode="External"/><Relationship Id="rId4838" Type="http://schemas.openxmlformats.org/officeDocument/2006/relationships/hyperlink" Target="https://pbs.twimg.com/profile_images/715611424811315200/RGuTAYX__normal.jpg" TargetMode="External"/><Relationship Id="rId10225" Type="http://schemas.openxmlformats.org/officeDocument/2006/relationships/hyperlink" Target="https://twitter.com/mjg73" TargetMode="External"/><Relationship Id="rId2389" Type="http://schemas.openxmlformats.org/officeDocument/2006/relationships/hyperlink" Target="https://twitter.com/akquinet" TargetMode="External"/><Relationship Id="rId3854" Type="http://schemas.openxmlformats.org/officeDocument/2006/relationships/hyperlink" Target="https://twitter.com/charisma_expert" TargetMode="External"/><Relationship Id="rId4905" Type="http://schemas.openxmlformats.org/officeDocument/2006/relationships/hyperlink" Target="https://twitter.com/Gesamtmetall" TargetMode="External"/><Relationship Id="rId6260" Type="http://schemas.openxmlformats.org/officeDocument/2006/relationships/hyperlink" Target="https://twitter.com/INDIZbot/status/723094211902464000" TargetMode="External"/><Relationship Id="rId7311" Type="http://schemas.openxmlformats.org/officeDocument/2006/relationships/hyperlink" Target="https://pbs.twimg.com/profile_images/1078958034/Logo_xethix_klein_normal.jpg" TargetMode="External"/><Relationship Id="rId775" Type="http://schemas.openxmlformats.org/officeDocument/2006/relationships/hyperlink" Target="https://pbs.twimg.com/profile_images/378800000832540984/08f85f5a644d0edf1fc387140334494b_normal.jpeg" TargetMode="External"/><Relationship Id="rId2456" Type="http://schemas.openxmlformats.org/officeDocument/2006/relationships/hyperlink" Target="https://twitter.com/WiegandsWarte/status/722031575467212800" TargetMode="External"/><Relationship Id="rId2870" Type="http://schemas.openxmlformats.org/officeDocument/2006/relationships/hyperlink" Target="https://twitter.com/Tom_Frick/status/722144351380455424" TargetMode="External"/><Relationship Id="rId3507" Type="http://schemas.openxmlformats.org/officeDocument/2006/relationships/hyperlink" Target="https://twitter.com/markherten/status/722367066079145986" TargetMode="External"/><Relationship Id="rId3921" Type="http://schemas.openxmlformats.org/officeDocument/2006/relationships/hyperlink" Target="https://twitter.com/GOettingerEU/status/722458283609604096" TargetMode="External"/><Relationship Id="rId9069" Type="http://schemas.openxmlformats.org/officeDocument/2006/relationships/hyperlink" Target="https://twitter.com/cncmachinerycnc/status/723929893256478724" TargetMode="External"/><Relationship Id="rId9483" Type="http://schemas.openxmlformats.org/officeDocument/2006/relationships/hyperlink" Target="https://twitter.com/INDIZbot/status/724186415584690176" TargetMode="External"/><Relationship Id="rId428" Type="http://schemas.openxmlformats.org/officeDocument/2006/relationships/hyperlink" Target="https://twitter.com/NRWinEU/status/720590176217624576" TargetMode="External"/><Relationship Id="rId842" Type="http://schemas.openxmlformats.org/officeDocument/2006/relationships/hyperlink" Target="https://pbs.twimg.com/profile_images/593054907936186369/zjxLhMTm_normal.jpg" TargetMode="External"/><Relationship Id="rId1058" Type="http://schemas.openxmlformats.org/officeDocument/2006/relationships/hyperlink" Target="https://twitter.com/chemie_azubi/status/720891627988979712" TargetMode="External"/><Relationship Id="rId1472" Type="http://schemas.openxmlformats.org/officeDocument/2006/relationships/hyperlink" Target="https://twitter.com/ThomasSchulzGE/status/721021926320304128" TargetMode="External"/><Relationship Id="rId2109" Type="http://schemas.openxmlformats.org/officeDocument/2006/relationships/hyperlink" Target="https://twitter.com/ScopeOnline" TargetMode="External"/><Relationship Id="rId2523" Type="http://schemas.openxmlformats.org/officeDocument/2006/relationships/hyperlink" Target="https://twitter.com/PapaVise" TargetMode="External"/><Relationship Id="rId5679" Type="http://schemas.openxmlformats.org/officeDocument/2006/relationships/hyperlink" Target="https://twitter.com/mhaller1979" TargetMode="External"/><Relationship Id="rId8085" Type="http://schemas.openxmlformats.org/officeDocument/2006/relationships/hyperlink" Target="https://twitter.com/TM20_de/status/723492830711308288" TargetMode="External"/><Relationship Id="rId9136" Type="http://schemas.openxmlformats.org/officeDocument/2006/relationships/hyperlink" Target="https://pbs.twimg.com/profile_images/645716711723925506/t5G0qOS6_normal.jpg" TargetMode="External"/><Relationship Id="rId9550" Type="http://schemas.openxmlformats.org/officeDocument/2006/relationships/hyperlink" Target="https://pbs.twimg.com/profile_images/461160007162019840/g_znRn8e_normal.jpeg" TargetMode="External"/><Relationship Id="rId1125" Type="http://schemas.openxmlformats.org/officeDocument/2006/relationships/hyperlink" Target="https://pbs.twimg.com/profile_images/645716711723925506/t5G0qOS6_normal.jpg" TargetMode="External"/><Relationship Id="rId4695" Type="http://schemas.openxmlformats.org/officeDocument/2006/relationships/hyperlink" Target="https://twitter.com/kommoptimierer" TargetMode="External"/><Relationship Id="rId8152" Type="http://schemas.openxmlformats.org/officeDocument/2006/relationships/hyperlink" Target="https://pbs.twimg.com/profile_images/477019775843852288/kSR5GfEE_normal.png" TargetMode="External"/><Relationship Id="rId9203" Type="http://schemas.openxmlformats.org/officeDocument/2006/relationships/hyperlink" Target="https://twitter.com/INDIZbot" TargetMode="External"/><Relationship Id="rId10082" Type="http://schemas.openxmlformats.org/officeDocument/2006/relationships/hyperlink" Target="https://twitter.com/kingzulu82/status/724325551847157760" TargetMode="External"/><Relationship Id="rId3297" Type="http://schemas.openxmlformats.org/officeDocument/2006/relationships/hyperlink" Target="https://pbs.twimg.com/profile_images/560799766007664640/lsjqv0TW_normal.jpeg" TargetMode="External"/><Relationship Id="rId4348" Type="http://schemas.openxmlformats.org/officeDocument/2006/relationships/hyperlink" Target="https://twitter.com/H_IT_D/status/722677698531893249" TargetMode="External"/><Relationship Id="rId5746" Type="http://schemas.openxmlformats.org/officeDocument/2006/relationships/hyperlink" Target="https://twitter.com/m_brueser/status/723023102775537664" TargetMode="External"/><Relationship Id="rId4762" Type="http://schemas.openxmlformats.org/officeDocument/2006/relationships/hyperlink" Target="https://twitter.com/FK_Verband/status/722717057222057986" TargetMode="External"/><Relationship Id="rId5813" Type="http://schemas.openxmlformats.org/officeDocument/2006/relationships/hyperlink" Target="https://twitter.com/AccenturePresse/status/723046284626530304" TargetMode="External"/><Relationship Id="rId8969" Type="http://schemas.openxmlformats.org/officeDocument/2006/relationships/hyperlink" Target="https://twitter.com/KUKA_Presse/status/723875972236365824" TargetMode="External"/><Relationship Id="rId285" Type="http://schemas.openxmlformats.org/officeDocument/2006/relationships/hyperlink" Target="https://pbs.twimg.com/profile_images/616871511236997121/YFo9usbN_normal.png" TargetMode="External"/><Relationship Id="rId3364" Type="http://schemas.openxmlformats.org/officeDocument/2006/relationships/hyperlink" Target="https://twitter.com/CarloPiltz" TargetMode="External"/><Relationship Id="rId4415" Type="http://schemas.openxmlformats.org/officeDocument/2006/relationships/hyperlink" Target="https://pbs.twimg.com/profile_images/713694636490039296/ykcgR5ct_normal.jpg" TargetMode="External"/><Relationship Id="rId7985" Type="http://schemas.openxmlformats.org/officeDocument/2006/relationships/hyperlink" Target="https://twitter.com/POLYASVoting" TargetMode="External"/><Relationship Id="rId2380" Type="http://schemas.openxmlformats.org/officeDocument/2006/relationships/hyperlink" Target="https://twitter.com/Pamsav1" TargetMode="External"/><Relationship Id="rId3017" Type="http://schemas.openxmlformats.org/officeDocument/2006/relationships/hyperlink" Target="https://pbs.twimg.com/profile_images/645716711723925506/t5G0qOS6_normal.jpg" TargetMode="External"/><Relationship Id="rId3431" Type="http://schemas.openxmlformats.org/officeDocument/2006/relationships/hyperlink" Target="https://twitter.com/dimstoyanov" TargetMode="External"/><Relationship Id="rId6587" Type="http://schemas.openxmlformats.org/officeDocument/2006/relationships/hyperlink" Target="https://pbs.twimg.com/profile_images/378800000678134515/27b6e1353c05881133bb578e013f75ea_normal.png" TargetMode="External"/><Relationship Id="rId7638" Type="http://schemas.openxmlformats.org/officeDocument/2006/relationships/hyperlink" Target="https://twitter.com/BMAS_Bund" TargetMode="External"/><Relationship Id="rId352" Type="http://schemas.openxmlformats.org/officeDocument/2006/relationships/hyperlink" Target="https://twitter.com/AWNarses" TargetMode="External"/><Relationship Id="rId2033" Type="http://schemas.openxmlformats.org/officeDocument/2006/relationships/hyperlink" Target="https://pbs.twimg.com/profile_images/706784163433680896/xE8ttuE2_normal.jpg" TargetMode="External"/><Relationship Id="rId5189" Type="http://schemas.openxmlformats.org/officeDocument/2006/relationships/hyperlink" Target="https://twitter.com/startupradioDE" TargetMode="External"/><Relationship Id="rId6654" Type="http://schemas.openxmlformats.org/officeDocument/2006/relationships/hyperlink" Target="https://pbs.twimg.com/profile_images/609682170458804225/WAAXyFob_normal.jpg" TargetMode="External"/><Relationship Id="rId7705" Type="http://schemas.openxmlformats.org/officeDocument/2006/relationships/hyperlink" Target="https://twitter.com/GTAI_com/status/723427413191847936" TargetMode="External"/><Relationship Id="rId9060" Type="http://schemas.openxmlformats.org/officeDocument/2006/relationships/hyperlink" Target="https://twitter.com/Databanque/status/723924560819552256" TargetMode="External"/><Relationship Id="rId1799" Type="http://schemas.openxmlformats.org/officeDocument/2006/relationships/hyperlink" Target="https://twitter.com/LeanKnowledge/status/721403834669641728" TargetMode="External"/><Relationship Id="rId2100" Type="http://schemas.openxmlformats.org/officeDocument/2006/relationships/hyperlink" Target="https://twitter.com/ScopeOnline" TargetMode="External"/><Relationship Id="rId5256" Type="http://schemas.openxmlformats.org/officeDocument/2006/relationships/hyperlink" Target="https://abs.twimg.com/sticky/default_profile_images/default_profile_2_normal.png" TargetMode="External"/><Relationship Id="rId5670" Type="http://schemas.openxmlformats.org/officeDocument/2006/relationships/hyperlink" Target="https://twitter.com/INDIZbot" TargetMode="External"/><Relationship Id="rId6307" Type="http://schemas.openxmlformats.org/officeDocument/2006/relationships/hyperlink" Target="https://twitter.com/Stefan_Roggatz/status/723106835352293376" TargetMode="External"/><Relationship Id="rId4272" Type="http://schemas.openxmlformats.org/officeDocument/2006/relationships/hyperlink" Target="https://twitter.com/QuickFindsIn" TargetMode="External"/><Relationship Id="rId5323" Type="http://schemas.openxmlformats.org/officeDocument/2006/relationships/hyperlink" Target="https://twitter.com/BoschPresse" TargetMode="External"/><Relationship Id="rId6721" Type="http://schemas.openxmlformats.org/officeDocument/2006/relationships/hyperlink" Target="https://twitter.com/SGE" TargetMode="External"/><Relationship Id="rId8479" Type="http://schemas.openxmlformats.org/officeDocument/2006/relationships/hyperlink" Target="https://twitter.com/pmpoulin" TargetMode="External"/><Relationship Id="rId9877" Type="http://schemas.openxmlformats.org/officeDocument/2006/relationships/hyperlink" Target="https://twitter.com/INDIZbot" TargetMode="External"/><Relationship Id="rId1866" Type="http://schemas.openxmlformats.org/officeDocument/2006/relationships/hyperlink" Target="https://twitter.com/INDIZbot/status/721589601941512192" TargetMode="External"/><Relationship Id="rId2917" Type="http://schemas.openxmlformats.org/officeDocument/2006/relationships/hyperlink" Target="https://pbs.twimg.com/profile_images/507504284364046336/ptuuw46i_normal.png" TargetMode="External"/><Relationship Id="rId8893" Type="http://schemas.openxmlformats.org/officeDocument/2006/relationships/hyperlink" Target="https://twitter.com/ZVEIorg" TargetMode="External"/><Relationship Id="rId9944" Type="http://schemas.openxmlformats.org/officeDocument/2006/relationships/hyperlink" Target="https://twitter.com/catkinEU/status/724282935088541699" TargetMode="External"/><Relationship Id="rId1519" Type="http://schemas.openxmlformats.org/officeDocument/2006/relationships/hyperlink" Target="https://twitter.com/Databanque" TargetMode="External"/><Relationship Id="rId1933" Type="http://schemas.openxmlformats.org/officeDocument/2006/relationships/hyperlink" Target="https://pbs.twimg.com/profile_images/591951396217327616/HbcCX2zX_normal.png" TargetMode="External"/><Relationship Id="rId6097" Type="http://schemas.openxmlformats.org/officeDocument/2006/relationships/hyperlink" Target="https://pbs.twimg.com/profile_images/645716711723925506/t5G0qOS6_normal.jpg" TargetMode="External"/><Relationship Id="rId7495" Type="http://schemas.openxmlformats.org/officeDocument/2006/relationships/hyperlink" Target="https://twitter.com/BerHerg/status/723409703204585472" TargetMode="External"/><Relationship Id="rId8546" Type="http://schemas.openxmlformats.org/officeDocument/2006/relationships/hyperlink" Target="https://twitter.com/QuickFindsIn/status/723665697134374912" TargetMode="External"/><Relationship Id="rId8960" Type="http://schemas.openxmlformats.org/officeDocument/2006/relationships/hyperlink" Target="https://twitter.com/TABC_Council/status/723873954008555522" TargetMode="External"/><Relationship Id="rId7148" Type="http://schemas.openxmlformats.org/officeDocument/2006/relationships/hyperlink" Target="https://twitter.com/H_IT_D/status/723286860206772224" TargetMode="External"/><Relationship Id="rId7562" Type="http://schemas.openxmlformats.org/officeDocument/2006/relationships/hyperlink" Target="https://pbs.twimg.com/profile_images/656085170995535873/WqzD_O5g_normal.jpg" TargetMode="External"/><Relationship Id="rId8613" Type="http://schemas.openxmlformats.org/officeDocument/2006/relationships/hyperlink" Target="https://pbs.twimg.com/profile_images/662723326096224256/5V4KH9_O_normal.jpg" TargetMode="External"/><Relationship Id="rId10129" Type="http://schemas.openxmlformats.org/officeDocument/2006/relationships/hyperlink" Target="https://twitter.com/msftmfg" TargetMode="External"/><Relationship Id="rId3758" Type="http://schemas.openxmlformats.org/officeDocument/2006/relationships/hyperlink" Target="https://twitter.com/ITK_OWL" TargetMode="External"/><Relationship Id="rId4809" Type="http://schemas.openxmlformats.org/officeDocument/2006/relationships/hyperlink" Target="https://twitter.com/AppianDE" TargetMode="External"/><Relationship Id="rId6164" Type="http://schemas.openxmlformats.org/officeDocument/2006/relationships/hyperlink" Target="https://pbs.twimg.com/profile_images/502433997083770880/CUYqr_Em_normal.jpeg" TargetMode="External"/><Relationship Id="rId7215" Type="http://schemas.openxmlformats.org/officeDocument/2006/relationships/hyperlink" Target="https://pbs.twimg.com/profile_images/490060130231132160/qLmnir1s_normal.jpeg" TargetMode="External"/><Relationship Id="rId679" Type="http://schemas.openxmlformats.org/officeDocument/2006/relationships/hyperlink" Target="https://pbs.twimg.com/profile_images/527810716611260416/_hbIRCwV_normal.jpeg" TargetMode="External"/><Relationship Id="rId2774" Type="http://schemas.openxmlformats.org/officeDocument/2006/relationships/hyperlink" Target="https://pbs.twimg.com/profile_images/378800000469661221/e10187d0979a6e71b7861417f3801a91_normal.jpeg" TargetMode="External"/><Relationship Id="rId5180" Type="http://schemas.openxmlformats.org/officeDocument/2006/relationships/hyperlink" Target="https://twitter.com/prxagentur/status/722766167413243904" TargetMode="External"/><Relationship Id="rId6231" Type="http://schemas.openxmlformats.org/officeDocument/2006/relationships/hyperlink" Target="https://pbs.twimg.com/profile_images/378800000104294821/5a742075b9441c9de8a86c75a712b0c7_normal.png" TargetMode="External"/><Relationship Id="rId9387" Type="http://schemas.openxmlformats.org/officeDocument/2006/relationships/hyperlink" Target="https://twitter.com/Bitkom_I40/status/724169277603864579" TargetMode="External"/><Relationship Id="rId746" Type="http://schemas.openxmlformats.org/officeDocument/2006/relationships/hyperlink" Target="https://twitter.com/rapifireio" TargetMode="External"/><Relationship Id="rId1376" Type="http://schemas.openxmlformats.org/officeDocument/2006/relationships/hyperlink" Target="https://twitter.com/H_IT_D" TargetMode="External"/><Relationship Id="rId2427" Type="http://schemas.openxmlformats.org/officeDocument/2006/relationships/hyperlink" Target="https://pbs.twimg.com/profile_images/699591789964083200/ZinQaSi0_normal.jpg" TargetMode="External"/><Relationship Id="rId3825" Type="http://schemas.openxmlformats.org/officeDocument/2006/relationships/hyperlink" Target="https://twitter.com/itmeetsindustry/status/722433795912282113" TargetMode="External"/><Relationship Id="rId9454" Type="http://schemas.openxmlformats.org/officeDocument/2006/relationships/hyperlink" Target="https://pbs.twimg.com/profile_images/645716711723925506/t5G0qOS6_normal.jpg" TargetMode="External"/><Relationship Id="rId1029" Type="http://schemas.openxmlformats.org/officeDocument/2006/relationships/hyperlink" Target="https://pbs.twimg.com/profile_images/645716711723925506/t5G0qOS6_normal.jpg" TargetMode="External"/><Relationship Id="rId1790" Type="http://schemas.openxmlformats.org/officeDocument/2006/relationships/hyperlink" Target="https://twitter.com/AnnaWypior/status/721402747912892416" TargetMode="External"/><Relationship Id="rId2841" Type="http://schemas.openxmlformats.org/officeDocument/2006/relationships/hyperlink" Target="https://twitter.com/IT_Connection" TargetMode="External"/><Relationship Id="rId5997" Type="http://schemas.openxmlformats.org/officeDocument/2006/relationships/hyperlink" Target="https://twitter.com/ITK_OWL/status/723068109054201856" TargetMode="External"/><Relationship Id="rId8056" Type="http://schemas.openxmlformats.org/officeDocument/2006/relationships/hyperlink" Target="https://pbs.twimg.com/profile_images/623849156159868928/BetFDR_i_normal.jpg" TargetMode="External"/><Relationship Id="rId9107" Type="http://schemas.openxmlformats.org/officeDocument/2006/relationships/hyperlink" Target="https://twitter.com/cleanstrom" TargetMode="External"/><Relationship Id="rId82" Type="http://schemas.openxmlformats.org/officeDocument/2006/relationships/hyperlink" Target="https://twitter.com/INDIZbot" TargetMode="External"/><Relationship Id="rId813" Type="http://schemas.openxmlformats.org/officeDocument/2006/relationships/hyperlink" Target="https://twitter.com/H_IT_D" TargetMode="External"/><Relationship Id="rId1443" Type="http://schemas.openxmlformats.org/officeDocument/2006/relationships/hyperlink" Target="https://pbs.twimg.com/profile_images/552211771360940032/CmEYO0l3_normal.png" TargetMode="External"/><Relationship Id="rId4599" Type="http://schemas.openxmlformats.org/officeDocument/2006/relationships/hyperlink" Target="https://twitter.com/ElkeStei" TargetMode="External"/><Relationship Id="rId7072" Type="http://schemas.openxmlformats.org/officeDocument/2006/relationships/hyperlink" Target="https://twitter.com/kat2812" TargetMode="External"/><Relationship Id="rId8470" Type="http://schemas.openxmlformats.org/officeDocument/2006/relationships/hyperlink" Target="https://twitter.com/CarstenDierig" TargetMode="External"/><Relationship Id="rId9521" Type="http://schemas.openxmlformats.org/officeDocument/2006/relationships/hyperlink" Target="https://twitter.com/nicolaikr" TargetMode="External"/><Relationship Id="rId1510" Type="http://schemas.openxmlformats.org/officeDocument/2006/relationships/hyperlink" Target="https://twitter.com/JCGeorghiou" TargetMode="External"/><Relationship Id="rId4666" Type="http://schemas.openxmlformats.org/officeDocument/2006/relationships/hyperlink" Target="https://twitter.com/INAUTOMATION/status/722710270611689472" TargetMode="External"/><Relationship Id="rId5717" Type="http://schemas.openxmlformats.org/officeDocument/2006/relationships/hyperlink" Target="https://pbs.twimg.com/profile_images/615138499931570176/w-VYMBPx_normal.jpg" TargetMode="External"/><Relationship Id="rId8123" Type="http://schemas.openxmlformats.org/officeDocument/2006/relationships/hyperlink" Target="https://twitter.com/centigradegmbh" TargetMode="External"/><Relationship Id="rId10053" Type="http://schemas.openxmlformats.org/officeDocument/2006/relationships/hyperlink" Target="https://pbs.twimg.com/profile_images/286802570/punkt_klein_normal.png" TargetMode="External"/><Relationship Id="rId3268" Type="http://schemas.openxmlformats.org/officeDocument/2006/relationships/hyperlink" Target="https://twitter.com/stahlmarkt" TargetMode="External"/><Relationship Id="rId3682" Type="http://schemas.openxmlformats.org/officeDocument/2006/relationships/hyperlink" Target="https://pbs.twimg.com/profile_images/645716711723925506/t5G0qOS6_normal.jpg" TargetMode="External"/><Relationship Id="rId4319" Type="http://schemas.openxmlformats.org/officeDocument/2006/relationships/hyperlink" Target="https://pbs.twimg.com/profile_images/603699032804859904/lb5IMG5x_normal.jpg" TargetMode="External"/><Relationship Id="rId4733" Type="http://schemas.openxmlformats.org/officeDocument/2006/relationships/hyperlink" Target="https://pbs.twimg.com/profile_images/609375510158774272/P5glOk4b_normal.jpg" TargetMode="External"/><Relationship Id="rId7889" Type="http://schemas.openxmlformats.org/officeDocument/2006/relationships/hyperlink" Target="https://twitter.com/CapgeminiDE/status/723459042434244609" TargetMode="External"/><Relationship Id="rId10120" Type="http://schemas.openxmlformats.org/officeDocument/2006/relationships/hyperlink" Target="https://twitter.com/DigiRobotics" TargetMode="External"/><Relationship Id="rId189" Type="http://schemas.openxmlformats.org/officeDocument/2006/relationships/hyperlink" Target="https://pbs.twimg.com/profile_images/551850203137835010/zUzY9zTC_normal.jpeg" TargetMode="External"/><Relationship Id="rId2284" Type="http://schemas.openxmlformats.org/officeDocument/2006/relationships/hyperlink" Target="https://twitter.com/cpcEU/status/721978410906558464" TargetMode="External"/><Relationship Id="rId3335" Type="http://schemas.openxmlformats.org/officeDocument/2006/relationships/hyperlink" Target="https://twitter.com/DCAI4online/status/722349880681828352" TargetMode="External"/><Relationship Id="rId256" Type="http://schemas.openxmlformats.org/officeDocument/2006/relationships/hyperlink" Target="https://twitter.com/INDIZbot" TargetMode="External"/><Relationship Id="rId670" Type="http://schemas.openxmlformats.org/officeDocument/2006/relationships/hyperlink" Target="https://pbs.twimg.com/profile_images/645716711723925506/t5G0qOS6_normal.jpg" TargetMode="External"/><Relationship Id="rId2351" Type="http://schemas.openxmlformats.org/officeDocument/2006/relationships/hyperlink" Target="https://twitter.com/INDIZbot/status/721992247626084352" TargetMode="External"/><Relationship Id="rId3402" Type="http://schemas.openxmlformats.org/officeDocument/2006/relationships/hyperlink" Target="https://twitter.com/H_IT_D/status/722357263961235456" TargetMode="External"/><Relationship Id="rId4800" Type="http://schemas.openxmlformats.org/officeDocument/2006/relationships/hyperlink" Target="https://twitter.com/markherten" TargetMode="External"/><Relationship Id="rId6558" Type="http://schemas.openxmlformats.org/officeDocument/2006/relationships/hyperlink" Target="https://twitter.com/SGE/status/723138921442480128" TargetMode="External"/><Relationship Id="rId7956" Type="http://schemas.openxmlformats.org/officeDocument/2006/relationships/hyperlink" Target="https://twitter.com/GTAI_de/status/723473421808619520" TargetMode="External"/><Relationship Id="rId323" Type="http://schemas.openxmlformats.org/officeDocument/2006/relationships/hyperlink" Target="https://twitter.com/digitale_Konst/status/720550312889741312" TargetMode="External"/><Relationship Id="rId2004" Type="http://schemas.openxmlformats.org/officeDocument/2006/relationships/hyperlink" Target="https://twitter.com/INDIZbot" TargetMode="External"/><Relationship Id="rId6972" Type="http://schemas.openxmlformats.org/officeDocument/2006/relationships/hyperlink" Target="https://pbs.twimg.com/profile_images/591951396217327616/HbcCX2zX_normal.png" TargetMode="External"/><Relationship Id="rId7609" Type="http://schemas.openxmlformats.org/officeDocument/2006/relationships/hyperlink" Target="https://twitter.com/MarkusKleeb/status/723417680884076544" TargetMode="External"/><Relationship Id="rId9031" Type="http://schemas.openxmlformats.org/officeDocument/2006/relationships/hyperlink" Target="https://pbs.twimg.com/profile_images/489403559394304001/8SQlWWA1_normal.jpeg" TargetMode="External"/><Relationship Id="rId4176" Type="http://schemas.openxmlformats.org/officeDocument/2006/relationships/hyperlink" Target="https://twitter.com/LReehten" TargetMode="External"/><Relationship Id="rId5574" Type="http://schemas.openxmlformats.org/officeDocument/2006/relationships/hyperlink" Target="https://twitter.com/quickfindseotip" TargetMode="External"/><Relationship Id="rId6625" Type="http://schemas.openxmlformats.org/officeDocument/2006/relationships/hyperlink" Target="https://twitter.com/BE_DACH/status/723152824192782336" TargetMode="External"/><Relationship Id="rId1020" Type="http://schemas.openxmlformats.org/officeDocument/2006/relationships/hyperlink" Target="https://pbs.twimg.com/profile_images/718175389890310145/GX8DLe_h_normal.jpg" TargetMode="External"/><Relationship Id="rId4590" Type="http://schemas.openxmlformats.org/officeDocument/2006/relationships/hyperlink" Target="https://twitter.com/AltenaTCS" TargetMode="External"/><Relationship Id="rId5227" Type="http://schemas.openxmlformats.org/officeDocument/2006/relationships/hyperlink" Target="https://twitter.com/thfege/status/722770978250616833" TargetMode="External"/><Relationship Id="rId5641" Type="http://schemas.openxmlformats.org/officeDocument/2006/relationships/hyperlink" Target="https://twitter.com/ARichter_/status/722894647102611456" TargetMode="External"/><Relationship Id="rId8797" Type="http://schemas.openxmlformats.org/officeDocument/2006/relationships/hyperlink" Target="https://twitter.com/BDI_TTIP" TargetMode="External"/><Relationship Id="rId9848" Type="http://schemas.openxmlformats.org/officeDocument/2006/relationships/hyperlink" Target="https://twitter.com/LNI40/status/724271048036855809" TargetMode="External"/><Relationship Id="rId1837" Type="http://schemas.openxmlformats.org/officeDocument/2006/relationships/hyperlink" Target="https://twitter.com/IT_Connection" TargetMode="External"/><Relationship Id="rId3192" Type="http://schemas.openxmlformats.org/officeDocument/2006/relationships/hyperlink" Target="https://pbs.twimg.com/profile_images/691697715944779776/WfLWqhS8_normal.jpg" TargetMode="External"/><Relationship Id="rId4243" Type="http://schemas.openxmlformats.org/officeDocument/2006/relationships/hyperlink" Target="https://twitter.com/akwyz/status/722547717621346306" TargetMode="External"/><Relationship Id="rId7399" Type="http://schemas.openxmlformats.org/officeDocument/2006/relationships/hyperlink" Target="https://pbs.twimg.com/profile_images/720398951539699712/frIo6DH3_normal.jpg" TargetMode="External"/><Relationship Id="rId8864" Type="http://schemas.openxmlformats.org/officeDocument/2006/relationships/hyperlink" Target="https://twitter.com/VDMAonline/status/723843933357268992" TargetMode="External"/><Relationship Id="rId9915" Type="http://schemas.openxmlformats.org/officeDocument/2006/relationships/hyperlink" Target="https://pbs.twimg.com/profile_images/638707523160272896/YonVe2-H_normal.jpg" TargetMode="External"/><Relationship Id="rId4310" Type="http://schemas.openxmlformats.org/officeDocument/2006/relationships/hyperlink" Target="https://pbs.twimg.com/profile_images/645716711723925506/t5G0qOS6_normal.jpg" TargetMode="External"/><Relationship Id="rId7466" Type="http://schemas.openxmlformats.org/officeDocument/2006/relationships/hyperlink" Target="https://pbs.twimg.com/profile_images/718453542210703360/gxKMOQIw_normal.jpg" TargetMode="External"/><Relationship Id="rId7880" Type="http://schemas.openxmlformats.org/officeDocument/2006/relationships/hyperlink" Target="https://twitter.com/JoeMenninger/status/723452639216832517" TargetMode="External"/><Relationship Id="rId8517" Type="http://schemas.openxmlformats.org/officeDocument/2006/relationships/hyperlink" Target="https://pbs.twimg.com/profile_images/466860381533515776/jiQ9EbK1_normal.jpeg" TargetMode="External"/><Relationship Id="rId180" Type="http://schemas.openxmlformats.org/officeDocument/2006/relationships/hyperlink" Target="https://pbs.twimg.com/profile_images/719117304554995713/A7zuftvH_normal.jpg" TargetMode="External"/><Relationship Id="rId1904" Type="http://schemas.openxmlformats.org/officeDocument/2006/relationships/hyperlink" Target="https://twitter.com/ITnet_TH" TargetMode="External"/><Relationship Id="rId6068" Type="http://schemas.openxmlformats.org/officeDocument/2006/relationships/hyperlink" Target="https://twitter.com/kommoptimierer" TargetMode="External"/><Relationship Id="rId6482" Type="http://schemas.openxmlformats.org/officeDocument/2006/relationships/hyperlink" Target="https://twitter.com/clarissahaller" TargetMode="External"/><Relationship Id="rId7119" Type="http://schemas.openxmlformats.org/officeDocument/2006/relationships/hyperlink" Target="https://pbs.twimg.com/profile_images/692017435269054464/uFlgRwyV_normal.jpg" TargetMode="External"/><Relationship Id="rId7533" Type="http://schemas.openxmlformats.org/officeDocument/2006/relationships/hyperlink" Target="https://twitter.com/CompetitorsNews" TargetMode="External"/><Relationship Id="rId8931" Type="http://schemas.openxmlformats.org/officeDocument/2006/relationships/hyperlink" Target="https://pbs.twimg.com/profile_images/615797525040136192/CKF9-v_o_normal.jpg" TargetMode="External"/><Relationship Id="rId5084" Type="http://schemas.openxmlformats.org/officeDocument/2006/relationships/hyperlink" Target="https://twitter.com/GenRob_Deutsch/status/722756982248058881" TargetMode="External"/><Relationship Id="rId6135" Type="http://schemas.openxmlformats.org/officeDocument/2006/relationships/hyperlink" Target="https://twitter.com/SAP_IoT" TargetMode="External"/><Relationship Id="rId997" Type="http://schemas.openxmlformats.org/officeDocument/2006/relationships/hyperlink" Target="https://twitter.com/YJ_Vesco" TargetMode="External"/><Relationship Id="rId2678" Type="http://schemas.openxmlformats.org/officeDocument/2006/relationships/hyperlink" Target="https://pbs.twimg.com/profile_images/645716711723925506/t5G0qOS6_normal.jpg" TargetMode="External"/><Relationship Id="rId3729" Type="http://schemas.openxmlformats.org/officeDocument/2006/relationships/hyperlink" Target="https://twitter.com/POLYASVoting/status/722414201424089088" TargetMode="External"/><Relationship Id="rId5151" Type="http://schemas.openxmlformats.org/officeDocument/2006/relationships/hyperlink" Target="https://pbs.twimg.com/profile_images/672343322632024064/4z8q3pp4_normal.jpg" TargetMode="External"/><Relationship Id="rId7600" Type="http://schemas.openxmlformats.org/officeDocument/2006/relationships/hyperlink" Target="https://twitter.com/DKEAktuell/status/723417275777208321" TargetMode="External"/><Relationship Id="rId1694" Type="http://schemas.openxmlformats.org/officeDocument/2006/relationships/hyperlink" Target="https://twitter.com/josebaghdad/status/721285630291013633" TargetMode="External"/><Relationship Id="rId2745" Type="http://schemas.openxmlformats.org/officeDocument/2006/relationships/hyperlink" Target="https://twitter.com/ThingsExpo" TargetMode="External"/><Relationship Id="rId6202" Type="http://schemas.openxmlformats.org/officeDocument/2006/relationships/hyperlink" Target="https://twitter.com/Marcvanderham/status/723087801747558400" TargetMode="External"/><Relationship Id="rId9358" Type="http://schemas.openxmlformats.org/officeDocument/2006/relationships/hyperlink" Target="https://pbs.twimg.com/profile_images/668353815469555712/KWTVVgWw_normal.jpg" TargetMode="External"/><Relationship Id="rId9772" Type="http://schemas.openxmlformats.org/officeDocument/2006/relationships/hyperlink" Target="https://twitter.com/_bluebiz" TargetMode="External"/><Relationship Id="rId717" Type="http://schemas.openxmlformats.org/officeDocument/2006/relationships/hyperlink" Target="https://twitter.com/INDIZbot/status/720685995440676864" TargetMode="External"/><Relationship Id="rId1347" Type="http://schemas.openxmlformats.org/officeDocument/2006/relationships/hyperlink" Target="https://pbs.twimg.com/profile_images/645716711723925506/t5G0qOS6_normal.jpg" TargetMode="External"/><Relationship Id="rId1761" Type="http://schemas.openxmlformats.org/officeDocument/2006/relationships/hyperlink" Target="https://pbs.twimg.com/profile_images/378800000827898552/669f90369b095789252ae6f0649bc39a_normal.png" TargetMode="External"/><Relationship Id="rId2812" Type="http://schemas.openxmlformats.org/officeDocument/2006/relationships/hyperlink" Target="https://twitter.com/fjablonski/status/722131369900523520" TargetMode="External"/><Relationship Id="rId5968" Type="http://schemas.openxmlformats.org/officeDocument/2006/relationships/hyperlink" Target="https://pbs.twimg.com/profile_images/720617927934943232/xmh2VSTG_normal.jpg" TargetMode="External"/><Relationship Id="rId8374" Type="http://schemas.openxmlformats.org/officeDocument/2006/relationships/hyperlink" Target="https://twitter.com/HuelsmannT/status/723547480630136834" TargetMode="External"/><Relationship Id="rId9425" Type="http://schemas.openxmlformats.org/officeDocument/2006/relationships/hyperlink" Target="https://twitter.com/INDIZbot" TargetMode="External"/><Relationship Id="rId53" Type="http://schemas.openxmlformats.org/officeDocument/2006/relationships/hyperlink" Target="https://twitter.com/SAPlearn/status/720505166349340674" TargetMode="External"/><Relationship Id="rId1414" Type="http://schemas.openxmlformats.org/officeDocument/2006/relationships/hyperlink" Target="https://pbs.twimg.com/profile_images/645716711723925506/t5G0qOS6_normal.jpg" TargetMode="External"/><Relationship Id="rId4984" Type="http://schemas.openxmlformats.org/officeDocument/2006/relationships/hyperlink" Target="https://twitter.com/FK_Verband" TargetMode="External"/><Relationship Id="rId7390" Type="http://schemas.openxmlformats.org/officeDocument/2006/relationships/hyperlink" Target="https://pbs.twimg.com/profile_images/548030384030507008/utABqhj9_normal.png" TargetMode="External"/><Relationship Id="rId8027" Type="http://schemas.openxmlformats.org/officeDocument/2006/relationships/hyperlink" Target="https://twitter.com/ATNplus" TargetMode="External"/><Relationship Id="rId8441" Type="http://schemas.openxmlformats.org/officeDocument/2006/relationships/hyperlink" Target="https://twitter.com/The_CIE/status/723569836144648193" TargetMode="External"/><Relationship Id="rId3586" Type="http://schemas.openxmlformats.org/officeDocument/2006/relationships/hyperlink" Target="https://pbs.twimg.com/profile_images/473759721023758338/3CcJL-Vq_normal.jpeg" TargetMode="External"/><Relationship Id="rId4637" Type="http://schemas.openxmlformats.org/officeDocument/2006/relationships/hyperlink" Target="https://pbs.twimg.com/profile_images/645716711723925506/t5G0qOS6_normal.jpg" TargetMode="External"/><Relationship Id="rId7043" Type="http://schemas.openxmlformats.org/officeDocument/2006/relationships/hyperlink" Target="https://twitter.com/cerratlan/status/723248327970697216" TargetMode="External"/><Relationship Id="rId10024" Type="http://schemas.openxmlformats.org/officeDocument/2006/relationships/hyperlink" Target="https://twitter.com/PB2013PB" TargetMode="External"/><Relationship Id="rId2188" Type="http://schemas.openxmlformats.org/officeDocument/2006/relationships/hyperlink" Target="https://twitter.com/SICK_Karriere" TargetMode="External"/><Relationship Id="rId3239" Type="http://schemas.openxmlformats.org/officeDocument/2006/relationships/hyperlink" Target="https://twitter.com/bcfhdw/status/722327306056949760" TargetMode="External"/><Relationship Id="rId7110" Type="http://schemas.openxmlformats.org/officeDocument/2006/relationships/hyperlink" Target="https://pbs.twimg.com/profile_images/645716711723925506/t5G0qOS6_normal.jpg" TargetMode="External"/><Relationship Id="rId574" Type="http://schemas.openxmlformats.org/officeDocument/2006/relationships/hyperlink" Target="https://pbs.twimg.com/profile_images/465833729533820928/XEgCMpMC_normal.jpeg" TargetMode="External"/><Relationship Id="rId2255" Type="http://schemas.openxmlformats.org/officeDocument/2006/relationships/hyperlink" Target="http://ideenwerkbw.de/" TargetMode="External"/><Relationship Id="rId3653" Type="http://schemas.openxmlformats.org/officeDocument/2006/relationships/hyperlink" Target="https://twitter.com/INDIZbot" TargetMode="External"/><Relationship Id="rId4704" Type="http://schemas.openxmlformats.org/officeDocument/2006/relationships/hyperlink" Target="https://twitter.com/lutzrach" TargetMode="External"/><Relationship Id="rId9282" Type="http://schemas.openxmlformats.org/officeDocument/2006/relationships/hyperlink" Target="https://twitter.com/INDIZbot/status/724123494372528128" TargetMode="External"/><Relationship Id="rId227" Type="http://schemas.openxmlformats.org/officeDocument/2006/relationships/hyperlink" Target="https://twitter.com/INDIZbot/status/720535114770477057" TargetMode="External"/><Relationship Id="rId3306" Type="http://schemas.openxmlformats.org/officeDocument/2006/relationships/hyperlink" Target="https://pbs.twimg.com/profile_images/448785058711601152/lLXOAUVA_normal.png" TargetMode="External"/><Relationship Id="rId3720" Type="http://schemas.openxmlformats.org/officeDocument/2006/relationships/hyperlink" Target="https://twitter.com/OuestValo/status/722410950473723904" TargetMode="External"/><Relationship Id="rId6876" Type="http://schemas.openxmlformats.org/officeDocument/2006/relationships/hyperlink" Target="https://pbs.twimg.com/profile_images/670192287620665344/EaHFFkWS_normal.jpg" TargetMode="External"/><Relationship Id="rId7927" Type="http://schemas.openxmlformats.org/officeDocument/2006/relationships/hyperlink" Target="https://twitter.com/verlinked" TargetMode="External"/><Relationship Id="rId641" Type="http://schemas.openxmlformats.org/officeDocument/2006/relationships/hyperlink" Target="https://twitter.com/GalatiRita" TargetMode="External"/><Relationship Id="rId1271" Type="http://schemas.openxmlformats.org/officeDocument/2006/relationships/hyperlink" Target="https://twitter.com/RobelMesfun/status/720939753131110401" TargetMode="External"/><Relationship Id="rId2322" Type="http://schemas.openxmlformats.org/officeDocument/2006/relationships/hyperlink" Target="https://pbs.twimg.com/profile_images/378800000827898552/669f90369b095789252ae6f0649bc39a_normal.png" TargetMode="External"/><Relationship Id="rId5478" Type="http://schemas.openxmlformats.org/officeDocument/2006/relationships/hyperlink" Target="https://twitter.com/INDIZbot" TargetMode="External"/><Relationship Id="rId5892" Type="http://schemas.openxmlformats.org/officeDocument/2006/relationships/hyperlink" Target="https://twitter.com/ITK_OWL/status/723059833621102592" TargetMode="External"/><Relationship Id="rId6529" Type="http://schemas.openxmlformats.org/officeDocument/2006/relationships/hyperlink" Target="https://pbs.twimg.com/profile_images/704261533229051904/NvHqH_ex_normal.jpg" TargetMode="External"/><Relationship Id="rId6943" Type="http://schemas.openxmlformats.org/officeDocument/2006/relationships/hyperlink" Target="https://twitter.com/MicrocityNE" TargetMode="External"/><Relationship Id="rId4494" Type="http://schemas.openxmlformats.org/officeDocument/2006/relationships/hyperlink" Target="https://twitter.com/FHNWTechnik" TargetMode="External"/><Relationship Id="rId5545" Type="http://schemas.openxmlformats.org/officeDocument/2006/relationships/hyperlink" Target="https://twitter.com/Gruendercoaches/status/722843952177668096" TargetMode="External"/><Relationship Id="rId9002" Type="http://schemas.openxmlformats.org/officeDocument/2006/relationships/hyperlink" Target="https://twitter.com/DigitalSpaceLab/status/723888568050044930" TargetMode="External"/><Relationship Id="rId3096" Type="http://schemas.openxmlformats.org/officeDocument/2006/relationships/hyperlink" Target="https://twitter.com/WRS_GmbH" TargetMode="External"/><Relationship Id="rId4147" Type="http://schemas.openxmlformats.org/officeDocument/2006/relationships/hyperlink" Target="https://twitter.com/LReehten/status/722512986313723904" TargetMode="External"/><Relationship Id="rId4561" Type="http://schemas.openxmlformats.org/officeDocument/2006/relationships/hyperlink" Target="https://twitter.com/Gesamtmetall/status/722705137299546112" TargetMode="External"/><Relationship Id="rId5612" Type="http://schemas.openxmlformats.org/officeDocument/2006/relationships/hyperlink" Target="https://pbs.twimg.com/profile_images/1281327600/VEM_LOGO_1101_4c_o_Twitter_normal.jpg" TargetMode="External"/><Relationship Id="rId8768" Type="http://schemas.openxmlformats.org/officeDocument/2006/relationships/hyperlink" Target="https://twitter.com/HolgerPaul66/status/723808649865519106" TargetMode="External"/><Relationship Id="rId3163" Type="http://schemas.openxmlformats.org/officeDocument/2006/relationships/hyperlink" Target="https://twitter.com/PSIPENTA/status/722316728504610816" TargetMode="External"/><Relationship Id="rId4214" Type="http://schemas.openxmlformats.org/officeDocument/2006/relationships/hyperlink" Target="https://pbs.twimg.com/profile_images/604338428227010560/6jzSa8us_normal.png" TargetMode="External"/><Relationship Id="rId9819" Type="http://schemas.openxmlformats.org/officeDocument/2006/relationships/hyperlink" Target="https://pbs.twimg.com/profile_images/701004613206433792/o4DJfA8-_normal.jpg" TargetMode="External"/><Relationship Id="rId1808" Type="http://schemas.openxmlformats.org/officeDocument/2006/relationships/hyperlink" Target="https://twitter.com/Lean_john/status/721404248446124033" TargetMode="External"/><Relationship Id="rId6386" Type="http://schemas.openxmlformats.org/officeDocument/2006/relationships/hyperlink" Target="https://twitter.com/SGE" TargetMode="External"/><Relationship Id="rId7784" Type="http://schemas.openxmlformats.org/officeDocument/2006/relationships/hyperlink" Target="https://twitter.com/3Dgrenzenlos/status/723434827085537280" TargetMode="External"/><Relationship Id="rId8835" Type="http://schemas.openxmlformats.org/officeDocument/2006/relationships/hyperlink" Target="https://pbs.twimg.com/profile_images/645716711723925506/t5G0qOS6_normal.jpg" TargetMode="External"/><Relationship Id="rId151" Type="http://schemas.openxmlformats.org/officeDocument/2006/relationships/hyperlink" Target="https://twitter.com/asauguet" TargetMode="External"/><Relationship Id="rId3230" Type="http://schemas.openxmlformats.org/officeDocument/2006/relationships/hyperlink" Target="https://twitter.com/INDIZbot/status/722326849649512448" TargetMode="External"/><Relationship Id="rId6039" Type="http://schemas.openxmlformats.org/officeDocument/2006/relationships/hyperlink" Target="https://twitter.com/ATS_news/status/723072672461152256" TargetMode="External"/><Relationship Id="rId7437" Type="http://schemas.openxmlformats.org/officeDocument/2006/relationships/hyperlink" Target="https://twitter.com/siemens_press/status/723406163778228224" TargetMode="External"/><Relationship Id="rId7851" Type="http://schemas.openxmlformats.org/officeDocument/2006/relationships/hyperlink" Target="https://pbs.twimg.com/profile_images/473392648988790784/r8NTdRz0_normal.jpeg" TargetMode="External"/><Relationship Id="rId8902" Type="http://schemas.openxmlformats.org/officeDocument/2006/relationships/hyperlink" Target="https://twitter.com/MECSPE" TargetMode="External"/><Relationship Id="rId2996" Type="http://schemas.openxmlformats.org/officeDocument/2006/relationships/hyperlink" Target="https://twitter.com/APGuha" TargetMode="External"/><Relationship Id="rId6453" Type="http://schemas.openxmlformats.org/officeDocument/2006/relationships/hyperlink" Target="https://twitter.com/Martina_Palm/status/723129434132238338" TargetMode="External"/><Relationship Id="rId7504" Type="http://schemas.openxmlformats.org/officeDocument/2006/relationships/hyperlink" Target="https://twitter.com/SabineGillessen/status/723411206556413952" TargetMode="External"/><Relationship Id="rId968" Type="http://schemas.openxmlformats.org/officeDocument/2006/relationships/hyperlink" Target="https://twitter.com/INDIZbot/status/720877102866628608" TargetMode="External"/><Relationship Id="rId1598" Type="http://schemas.openxmlformats.org/officeDocument/2006/relationships/hyperlink" Target="https://twitter.com/DKEAktuell/status/721238015121743872" TargetMode="External"/><Relationship Id="rId2649" Type="http://schemas.openxmlformats.org/officeDocument/2006/relationships/hyperlink" Target="https://twitter.com/bengolder" TargetMode="External"/><Relationship Id="rId5055" Type="http://schemas.openxmlformats.org/officeDocument/2006/relationships/hyperlink" Target="https://pbs.twimg.com/profile_images/594934750122536960/nG4kmfDF_normal.jpg" TargetMode="External"/><Relationship Id="rId6106" Type="http://schemas.openxmlformats.org/officeDocument/2006/relationships/hyperlink" Target="https://pbs.twimg.com/profile_images/593771436461977601/JLe43OHw_normal.png" TargetMode="External"/><Relationship Id="rId6520" Type="http://schemas.openxmlformats.org/officeDocument/2006/relationships/hyperlink" Target="https://pbs.twimg.com/profile_images/645716711723925506/t5G0qOS6_normal.jpg" TargetMode="External"/><Relationship Id="rId9676" Type="http://schemas.openxmlformats.org/officeDocument/2006/relationships/hyperlink" Target="https://pbs.twimg.com/profile_images/662723326096224256/5V4KH9_O_normal.jpg" TargetMode="External"/><Relationship Id="rId1665" Type="http://schemas.openxmlformats.org/officeDocument/2006/relationships/hyperlink" Target="https://pbs.twimg.com/profile_images/562193841587896321/nfd18Y4g_normal.jpeg" TargetMode="External"/><Relationship Id="rId2716" Type="http://schemas.openxmlformats.org/officeDocument/2006/relationships/hyperlink" Target="https://twitter.com/VR_Nachrichten/status/722097744907792384" TargetMode="External"/><Relationship Id="rId4071" Type="http://schemas.openxmlformats.org/officeDocument/2006/relationships/hyperlink" Target="http://machinads.com/" TargetMode="External"/><Relationship Id="rId5122" Type="http://schemas.openxmlformats.org/officeDocument/2006/relationships/hyperlink" Target="https://twitter.com/ahk_frankreich" TargetMode="External"/><Relationship Id="rId8278" Type="http://schemas.openxmlformats.org/officeDocument/2006/relationships/hyperlink" Target="https://twitter.com/NicoletteBarn/status/723525938844033024" TargetMode="External"/><Relationship Id="rId8692" Type="http://schemas.openxmlformats.org/officeDocument/2006/relationships/hyperlink" Target="https://twitter.com/BOLDLYGO_FFM" TargetMode="External"/><Relationship Id="rId9329" Type="http://schemas.openxmlformats.org/officeDocument/2006/relationships/hyperlink" Target="https://twitter.com/INDIZbot" TargetMode="External"/><Relationship Id="rId9743" Type="http://schemas.openxmlformats.org/officeDocument/2006/relationships/hyperlink" Target="https://pbs.twimg.com/profile_images/721423009114931200/0w9BDsO3_normal.jpg" TargetMode="External"/><Relationship Id="rId1318" Type="http://schemas.openxmlformats.org/officeDocument/2006/relationships/hyperlink" Target="https://twitter.com/ludivineallard2" TargetMode="External"/><Relationship Id="rId7294" Type="http://schemas.openxmlformats.org/officeDocument/2006/relationships/hyperlink" Target="https://twitter.com/INDIZbot" TargetMode="External"/><Relationship Id="rId8345" Type="http://schemas.openxmlformats.org/officeDocument/2006/relationships/hyperlink" Target="https://pbs.twimg.com/profile_images/645716711723925506/t5G0qOS6_normal.jpg" TargetMode="External"/><Relationship Id="rId1732" Type="http://schemas.openxmlformats.org/officeDocument/2006/relationships/hyperlink" Target="https://twitter.com/Nicolas__Maury" TargetMode="External"/><Relationship Id="rId4888" Type="http://schemas.openxmlformats.org/officeDocument/2006/relationships/hyperlink" Target="https://twitter.com/ShowkuenstlerDe/status/722731422067355648" TargetMode="External"/><Relationship Id="rId5939" Type="http://schemas.openxmlformats.org/officeDocument/2006/relationships/hyperlink" Target="https://twitter.com/itmeetsindustry" TargetMode="External"/><Relationship Id="rId7361" Type="http://schemas.openxmlformats.org/officeDocument/2006/relationships/hyperlink" Target="https://twitter.com/IoTMinded" TargetMode="External"/><Relationship Id="rId9810" Type="http://schemas.openxmlformats.org/officeDocument/2006/relationships/hyperlink" Target="https://pbs.twimg.com/profile_images/577265159799881728/VbVFh8Vy_normal.jpeg" TargetMode="External"/><Relationship Id="rId10275" Type="http://schemas.openxmlformats.org/officeDocument/2006/relationships/hyperlink" Target="https://pbs.twimg.com/profile_images/637589130348732416/Hh-lw5mM_normal.jpg" TargetMode="External"/><Relationship Id="rId24" Type="http://schemas.openxmlformats.org/officeDocument/2006/relationships/hyperlink" Target="https://pbs.twimg.com/profile_images/677070445489819648/vs7fK6QH_normal.jpg" TargetMode="External"/><Relationship Id="rId4955" Type="http://schemas.openxmlformats.org/officeDocument/2006/relationships/hyperlink" Target="https://pbs.twimg.com/profile_images/3625979673/acb661eae563d818836eb138c74e91f7_normal.jpeg" TargetMode="External"/><Relationship Id="rId7014" Type="http://schemas.openxmlformats.org/officeDocument/2006/relationships/hyperlink" Target="https://pbs.twimg.com/profile_images/541146126158536704/IYardufS_normal.jpeg" TargetMode="External"/><Relationship Id="rId8412" Type="http://schemas.openxmlformats.org/officeDocument/2006/relationships/hyperlink" Target="https://pbs.twimg.com/profile_images/3502729434/95675e6f45ad2e1bbc6c5736995ec15c_normal.png" TargetMode="External"/><Relationship Id="rId10342" Type="http://schemas.openxmlformats.org/officeDocument/2006/relationships/hyperlink" Target="https://twitter.com/NaciraSALVAN" TargetMode="External"/><Relationship Id="rId3557" Type="http://schemas.openxmlformats.org/officeDocument/2006/relationships/hyperlink" Target="https://twitter.com/DerKonstrukteu" TargetMode="External"/><Relationship Id="rId3971" Type="http://schemas.openxmlformats.org/officeDocument/2006/relationships/hyperlink" Target="https://twitter.com/croXXing_IBD" TargetMode="External"/><Relationship Id="rId4608" Type="http://schemas.openxmlformats.org/officeDocument/2006/relationships/hyperlink" Target="https://twitter.com/catkinEU" TargetMode="External"/><Relationship Id="rId478" Type="http://schemas.openxmlformats.org/officeDocument/2006/relationships/hyperlink" Target="https://pbs.twimg.com/profile_images/497752224643043331/9wtAAp-D_normal.jpeg" TargetMode="External"/><Relationship Id="rId892" Type="http://schemas.openxmlformats.org/officeDocument/2006/relationships/hyperlink" Target="https://twitter.com/AKTIVWirtschaft/status/720857160771461121" TargetMode="External"/><Relationship Id="rId2159" Type="http://schemas.openxmlformats.org/officeDocument/2006/relationships/hyperlink" Target="https://twitter.com/FreudenbergITde/status/721954000980078592" TargetMode="External"/><Relationship Id="rId2573" Type="http://schemas.openxmlformats.org/officeDocument/2006/relationships/hyperlink" Target="https://twitter.com/innovationbawue/status/722061938184863745" TargetMode="External"/><Relationship Id="rId3624" Type="http://schemas.openxmlformats.org/officeDocument/2006/relationships/hyperlink" Target="https://twitter.com/ITK_OWL/status/722386664048431104" TargetMode="External"/><Relationship Id="rId6030" Type="http://schemas.openxmlformats.org/officeDocument/2006/relationships/hyperlink" Target="https://twitter.com/DigitalTrans_HS/status/723072565586042880" TargetMode="External"/><Relationship Id="rId9186" Type="http://schemas.openxmlformats.org/officeDocument/2006/relationships/hyperlink" Target="https://twitter.com/LeanKnowledge/status/723969048338419712" TargetMode="External"/><Relationship Id="rId545" Type="http://schemas.openxmlformats.org/officeDocument/2006/relationships/hyperlink" Target="https://twitter.com/FalcoCS" TargetMode="External"/><Relationship Id="rId1175" Type="http://schemas.openxmlformats.org/officeDocument/2006/relationships/hyperlink" Target="https://twitter.com/PwC_France/status/720913372997382144" TargetMode="External"/><Relationship Id="rId2226" Type="http://schemas.openxmlformats.org/officeDocument/2006/relationships/hyperlink" Target="https://pbs.twimg.com/profile_images/451994816889360385/SYPpc3iI_normal.jpeg" TargetMode="External"/><Relationship Id="rId2640" Type="http://schemas.openxmlformats.org/officeDocument/2006/relationships/hyperlink" Target="https://twitter.com/LNI40/status/722073521229283328" TargetMode="External"/><Relationship Id="rId5796" Type="http://schemas.openxmlformats.org/officeDocument/2006/relationships/hyperlink" Target="https://twitter.com/MEArbeitgeber" TargetMode="External"/><Relationship Id="rId6847" Type="http://schemas.openxmlformats.org/officeDocument/2006/relationships/hyperlink" Target="https://twitter.com/CloudExperten" TargetMode="External"/><Relationship Id="rId9253" Type="http://schemas.openxmlformats.org/officeDocument/2006/relationships/hyperlink" Target="https://pbs.twimg.com/profile_images/592208932988264449/bM2abhue_normal.png" TargetMode="External"/><Relationship Id="rId612" Type="http://schemas.openxmlformats.org/officeDocument/2006/relationships/hyperlink" Target="https://twitter.com/INDIZbot/status/720635721107812353" TargetMode="External"/><Relationship Id="rId1242" Type="http://schemas.openxmlformats.org/officeDocument/2006/relationships/hyperlink" Target="https://pbs.twimg.com/profile_images/699591789964083200/ZinQaSi0_normal.jpg" TargetMode="External"/><Relationship Id="rId4398" Type="http://schemas.openxmlformats.org/officeDocument/2006/relationships/hyperlink" Target="https://twitter.com/HECGmbH" TargetMode="External"/><Relationship Id="rId5449" Type="http://schemas.openxmlformats.org/officeDocument/2006/relationships/hyperlink" Target="https://twitter.com/AliceTimm1/status/722807797545594880" TargetMode="External"/><Relationship Id="rId9320" Type="http://schemas.openxmlformats.org/officeDocument/2006/relationships/hyperlink" Target="https://twitter.com/INDIZbot" TargetMode="External"/><Relationship Id="rId4465" Type="http://schemas.openxmlformats.org/officeDocument/2006/relationships/hyperlink" Target="https://twitter.com/ANIS_RO" TargetMode="External"/><Relationship Id="rId5863" Type="http://schemas.openxmlformats.org/officeDocument/2006/relationships/hyperlink" Target="https://pbs.twimg.com/profile_images/2852333596/b758613f0f0e093a5895033c8ef9e6d1_normal.png" TargetMode="External"/><Relationship Id="rId6914" Type="http://schemas.openxmlformats.org/officeDocument/2006/relationships/hyperlink" Target="https://twitter.com/IT_Connection/status/723190054202556416" TargetMode="External"/><Relationship Id="rId3067" Type="http://schemas.openxmlformats.org/officeDocument/2006/relationships/hyperlink" Target="https://twitter.com/H_IT_D/status/722309777909387264" TargetMode="External"/><Relationship Id="rId4118" Type="http://schemas.openxmlformats.org/officeDocument/2006/relationships/hyperlink" Target="https://pbs.twimg.com/profile_images/645716711723925506/t5G0qOS6_normal.jpg" TargetMode="External"/><Relationship Id="rId5516" Type="http://schemas.openxmlformats.org/officeDocument/2006/relationships/hyperlink" Target="https://pbs.twimg.com/profile_images/677089590499540992/Dli24AC7_normal.png" TargetMode="External"/><Relationship Id="rId5930" Type="http://schemas.openxmlformats.org/officeDocument/2006/relationships/hyperlink" Target="https://twitter.com/ManaleOss" TargetMode="External"/><Relationship Id="rId3481" Type="http://schemas.openxmlformats.org/officeDocument/2006/relationships/hyperlink" Target="https://pbs.twimg.com/profile_images/723407487395713024/0hZv7R8S_normal.jpg" TargetMode="External"/><Relationship Id="rId4532" Type="http://schemas.openxmlformats.org/officeDocument/2006/relationships/hyperlink" Target="https://pbs.twimg.com/profile_images/688820224167145472/kdbI9It6_normal.png" TargetMode="External"/><Relationship Id="rId7688" Type="http://schemas.openxmlformats.org/officeDocument/2006/relationships/hyperlink" Target="https://pbs.twimg.com/profile_images/516225055496228864/tsHkO0zs_normal.jpeg" TargetMode="External"/><Relationship Id="rId8739" Type="http://schemas.openxmlformats.org/officeDocument/2006/relationships/hyperlink" Target="https://pbs.twimg.com/profile_images/720569233697017856/YKCnSitZ_normal.jpg" TargetMode="External"/><Relationship Id="rId2083" Type="http://schemas.openxmlformats.org/officeDocument/2006/relationships/hyperlink" Target="https://twitter.com/H_IT_D/status/721847699742400513" TargetMode="External"/><Relationship Id="rId3134" Type="http://schemas.openxmlformats.org/officeDocument/2006/relationships/hyperlink" Target="https://pbs.twimg.com/profile_images/623849156159868928/BetFDR_i_normal.jpg" TargetMode="External"/><Relationship Id="rId7755" Type="http://schemas.openxmlformats.org/officeDocument/2006/relationships/hyperlink" Target="https://twitter.com/RobotsArmy" TargetMode="External"/><Relationship Id="rId8806" Type="http://schemas.openxmlformats.org/officeDocument/2006/relationships/hyperlink" Target="https://twitter.com/Alleantiasrl" TargetMode="External"/><Relationship Id="rId2150" Type="http://schemas.openxmlformats.org/officeDocument/2006/relationships/hyperlink" Target="https://twitter.com/3Dsignals/status/721949475070152705" TargetMode="External"/><Relationship Id="rId3201" Type="http://schemas.openxmlformats.org/officeDocument/2006/relationships/hyperlink" Target="https://pbs.twimg.com/profile_images/709648582048157696/BnZ5RzQA_normal.jpg" TargetMode="External"/><Relationship Id="rId6357" Type="http://schemas.openxmlformats.org/officeDocument/2006/relationships/hyperlink" Target="https://pbs.twimg.com/profile_images/662199310969360384/A66r-VNa_normal.jpg" TargetMode="External"/><Relationship Id="rId6771" Type="http://schemas.openxmlformats.org/officeDocument/2006/relationships/hyperlink" Target="https://pbs.twimg.com/profile_images/1117525291/image_normal.jpg" TargetMode="External"/><Relationship Id="rId7408" Type="http://schemas.openxmlformats.org/officeDocument/2006/relationships/hyperlink" Target="https://pbs.twimg.com/profile_images/709444980553740288/Xds-Aan6_normal.jpg" TargetMode="External"/><Relationship Id="rId7822" Type="http://schemas.openxmlformats.org/officeDocument/2006/relationships/hyperlink" Target="https://twitter.com/thyssenkrupp" TargetMode="External"/><Relationship Id="rId122" Type="http://schemas.openxmlformats.org/officeDocument/2006/relationships/hyperlink" Target="https://twitter.com/h_scoshield/status/720515021218914304" TargetMode="External"/><Relationship Id="rId5373" Type="http://schemas.openxmlformats.org/officeDocument/2006/relationships/hyperlink" Target="https://twitter.com/UmweltDialog/status/722796403706073088" TargetMode="External"/><Relationship Id="rId6424" Type="http://schemas.openxmlformats.org/officeDocument/2006/relationships/hyperlink" Target="https://pbs.twimg.com/profile_images/448785058711601152/lLXOAUVA_normal.png" TargetMode="External"/><Relationship Id="rId1569" Type="http://schemas.openxmlformats.org/officeDocument/2006/relationships/hyperlink" Target="https://pbs.twimg.com/profile_images/451994816889360385/SYPpc3iI_normal.jpeg" TargetMode="External"/><Relationship Id="rId2967" Type="http://schemas.openxmlformats.org/officeDocument/2006/relationships/hyperlink" Target="https://twitter.com/CKmatics/status/722226464918097921" TargetMode="External"/><Relationship Id="rId5026" Type="http://schemas.openxmlformats.org/officeDocument/2006/relationships/hyperlink" Target="https://twitter.com/SHC_GmbH" TargetMode="External"/><Relationship Id="rId5440" Type="http://schemas.openxmlformats.org/officeDocument/2006/relationships/hyperlink" Target="https://twitter.com/BoschPresse/status/722804583626620928" TargetMode="External"/><Relationship Id="rId8596" Type="http://schemas.openxmlformats.org/officeDocument/2006/relationships/hyperlink" Target="https://twitter.com/ROKAutomationDE" TargetMode="External"/><Relationship Id="rId9994" Type="http://schemas.openxmlformats.org/officeDocument/2006/relationships/hyperlink" Target="https://twitter.com/DengelY" TargetMode="External"/><Relationship Id="rId939" Type="http://schemas.openxmlformats.org/officeDocument/2006/relationships/hyperlink" Target="https://twitter.com/retotrinkler" TargetMode="External"/><Relationship Id="rId1983" Type="http://schemas.openxmlformats.org/officeDocument/2006/relationships/hyperlink" Target="https://twitter.com/INDIZbot" TargetMode="External"/><Relationship Id="rId4042" Type="http://schemas.openxmlformats.org/officeDocument/2006/relationships/hyperlink" Target="https://pbs.twimg.com/profile_images/613472305570824192/BKw639DG_normal.png" TargetMode="External"/><Relationship Id="rId7198" Type="http://schemas.openxmlformats.org/officeDocument/2006/relationships/hyperlink" Target="https://twitter.com/neerajdeuskar79" TargetMode="External"/><Relationship Id="rId8249" Type="http://schemas.openxmlformats.org/officeDocument/2006/relationships/hyperlink" Target="https://pbs.twimg.com/profile_images/600279861282869249/IpIJ3MKX_normal.png" TargetMode="External"/><Relationship Id="rId9647" Type="http://schemas.openxmlformats.org/officeDocument/2006/relationships/hyperlink" Target="https://twitter.com/MicrosoftDE" TargetMode="External"/><Relationship Id="rId1636" Type="http://schemas.openxmlformats.org/officeDocument/2006/relationships/hyperlink" Target="https://twitter.com/vielioertle" TargetMode="External"/><Relationship Id="rId8663" Type="http://schemas.openxmlformats.org/officeDocument/2006/relationships/hyperlink" Target="https://twitter.com/GregRodehueser/status/723781484147027968" TargetMode="External"/><Relationship Id="rId9714" Type="http://schemas.openxmlformats.org/officeDocument/2006/relationships/hyperlink" Target="https://twitter.com/INDIZbot/status/724234303589240832" TargetMode="External"/><Relationship Id="rId10179" Type="http://schemas.openxmlformats.org/officeDocument/2006/relationships/hyperlink" Target="https://pbs.twimg.com/profile_images/591951396217327616/HbcCX2zX_normal.png" TargetMode="External"/><Relationship Id="rId1703" Type="http://schemas.openxmlformats.org/officeDocument/2006/relationships/hyperlink" Target="https://twitter.com/QuickFindsIn/status/721292060683153408" TargetMode="External"/><Relationship Id="rId4859" Type="http://schemas.openxmlformats.org/officeDocument/2006/relationships/hyperlink" Target="https://pbs.twimg.com/profile_images/433533281326227456/t50WsDxe_normal.png" TargetMode="External"/><Relationship Id="rId7265" Type="http://schemas.openxmlformats.org/officeDocument/2006/relationships/hyperlink" Target="https://twitter.com/siemens_press/status/723389318484492289" TargetMode="External"/><Relationship Id="rId8316" Type="http://schemas.openxmlformats.org/officeDocument/2006/relationships/hyperlink" Target="https://twitter.com/JeannetteSchol3" TargetMode="External"/><Relationship Id="rId8730" Type="http://schemas.openxmlformats.org/officeDocument/2006/relationships/hyperlink" Target="https://pbs.twimg.com/profile_images/722385992343285760/ww8YLZ2q_normal.jpg" TargetMode="External"/><Relationship Id="rId10246" Type="http://schemas.openxmlformats.org/officeDocument/2006/relationships/hyperlink" Target="https://twitter.com/PeterKaridis" TargetMode="External"/><Relationship Id="rId3875" Type="http://schemas.openxmlformats.org/officeDocument/2006/relationships/hyperlink" Target="https://twitter.com/charisma_expert" TargetMode="External"/><Relationship Id="rId4926" Type="http://schemas.openxmlformats.org/officeDocument/2006/relationships/hyperlink" Target="https://twitter.com/mschottenhammer" TargetMode="External"/><Relationship Id="rId6281" Type="http://schemas.openxmlformats.org/officeDocument/2006/relationships/hyperlink" Target="https://twitter.com/SGE" TargetMode="External"/><Relationship Id="rId7332" Type="http://schemas.openxmlformats.org/officeDocument/2006/relationships/hyperlink" Target="https://twitter.com/guidogoeldenitz/status/723400420433891332" TargetMode="External"/><Relationship Id="rId10313" Type="http://schemas.openxmlformats.org/officeDocument/2006/relationships/hyperlink" Target="https://twitter.com/stratadatalabs/status/724460623153737728" TargetMode="External"/><Relationship Id="rId796" Type="http://schemas.openxmlformats.org/officeDocument/2006/relationships/hyperlink" Target="https://abs.twimg.com/sticky/default_profile_images/default_profile_1_normal.png" TargetMode="External"/><Relationship Id="rId2477" Type="http://schemas.openxmlformats.org/officeDocument/2006/relationships/hyperlink" Target="https://twitter.com/H_IT_D/status/722043076550590468" TargetMode="External"/><Relationship Id="rId3528" Type="http://schemas.openxmlformats.org/officeDocument/2006/relationships/hyperlink" Target="https://twitter.com/CapgeminiDE/status/722371903588012033" TargetMode="External"/><Relationship Id="rId449" Type="http://schemas.openxmlformats.org/officeDocument/2006/relationships/hyperlink" Target="https://twitter.com/INDIZbot/status/720595366173937664" TargetMode="External"/><Relationship Id="rId863" Type="http://schemas.openxmlformats.org/officeDocument/2006/relationships/hyperlink" Target="https://pbs.twimg.com/profile_images/456733287579258880/TyCf6C1b_normal.png" TargetMode="External"/><Relationship Id="rId1079" Type="http://schemas.openxmlformats.org/officeDocument/2006/relationships/hyperlink" Target="https://twitter.com/mitunsdigital/status/720899217556971520" TargetMode="External"/><Relationship Id="rId1493" Type="http://schemas.openxmlformats.org/officeDocument/2006/relationships/hyperlink" Target="https://twitter.com/ITnet_TH/status/721034260266754048" TargetMode="External"/><Relationship Id="rId2544" Type="http://schemas.openxmlformats.org/officeDocument/2006/relationships/hyperlink" Target="https://twitter.com/genuanews" TargetMode="External"/><Relationship Id="rId2891" Type="http://schemas.openxmlformats.org/officeDocument/2006/relationships/hyperlink" Target="https://twitter.com/INDIZbot" TargetMode="External"/><Relationship Id="rId3942" Type="http://schemas.openxmlformats.org/officeDocument/2006/relationships/hyperlink" Target="https://twitter.com/Rhenatic/status/722460191145463810" TargetMode="External"/><Relationship Id="rId6001" Type="http://schemas.openxmlformats.org/officeDocument/2006/relationships/hyperlink" Target="https://pbs.twimg.com/profile_images/685327213/Apandia_normal.gif" TargetMode="External"/><Relationship Id="rId9157" Type="http://schemas.openxmlformats.org/officeDocument/2006/relationships/hyperlink" Target="https://pbs.twimg.com/profile_images/2994151206/72e14517d19cb49aa35fe3019df8b048_normal.jpeg" TargetMode="External"/><Relationship Id="rId9571" Type="http://schemas.openxmlformats.org/officeDocument/2006/relationships/hyperlink" Target="https://pbs.twimg.com/profile_images/600931948937220096/eFgywrzm_normal.jpg" TargetMode="External"/><Relationship Id="rId516" Type="http://schemas.openxmlformats.org/officeDocument/2006/relationships/hyperlink" Target="https://twitter.com/kommoptimierer/status/720613836185841664" TargetMode="External"/><Relationship Id="rId1146" Type="http://schemas.openxmlformats.org/officeDocument/2006/relationships/hyperlink" Target="https://pbs.twimg.com/profile_images/3625979673/acb661eae563d818836eb138c74e91f7_normal.jpeg" TargetMode="External"/><Relationship Id="rId8173" Type="http://schemas.openxmlformats.org/officeDocument/2006/relationships/hyperlink" Target="https://pbs.twimg.com/profile_images/615797525040136192/CKF9-v_o_normal.jpg" TargetMode="External"/><Relationship Id="rId9224" Type="http://schemas.openxmlformats.org/officeDocument/2006/relationships/hyperlink" Target="https://twitter.com/msftmfg" TargetMode="External"/><Relationship Id="rId930" Type="http://schemas.openxmlformats.org/officeDocument/2006/relationships/hyperlink" Target="https://twitter.com/akrv1" TargetMode="External"/><Relationship Id="rId1560" Type="http://schemas.openxmlformats.org/officeDocument/2006/relationships/hyperlink" Target="https://pbs.twimg.com/profile_images/3086977440/0297f37e105e3c645b069ec8a3214d4e_normal.jpeg" TargetMode="External"/><Relationship Id="rId2611" Type="http://schemas.openxmlformats.org/officeDocument/2006/relationships/hyperlink" Target="https://twitter.com/JETZT_PRde" TargetMode="External"/><Relationship Id="rId5767" Type="http://schemas.openxmlformats.org/officeDocument/2006/relationships/hyperlink" Target="https://twitter.com/ULdialogue/status/723030513087213569" TargetMode="External"/><Relationship Id="rId6818" Type="http://schemas.openxmlformats.org/officeDocument/2006/relationships/hyperlink" Target="https://twitter.com/pechardscheck/status/723178150276919297" TargetMode="External"/><Relationship Id="rId1213" Type="http://schemas.openxmlformats.org/officeDocument/2006/relationships/hyperlink" Target="https://twitter.com/FK_Verband" TargetMode="External"/><Relationship Id="rId4369" Type="http://schemas.openxmlformats.org/officeDocument/2006/relationships/hyperlink" Target="https://twitter.com/INDIZbot/status/722681493777223680" TargetMode="External"/><Relationship Id="rId4783" Type="http://schemas.openxmlformats.org/officeDocument/2006/relationships/hyperlink" Target="https://twitter.com/infotipgmbh/status/722718323843194881" TargetMode="External"/><Relationship Id="rId5834" Type="http://schemas.openxmlformats.org/officeDocument/2006/relationships/hyperlink" Target="https://twitter.com/m_biscarrat/status/723051404798099456" TargetMode="External"/><Relationship Id="rId8240" Type="http://schemas.openxmlformats.org/officeDocument/2006/relationships/hyperlink" Target="https://pbs.twimg.com/profile_images/706950007178584064/MRcGCkkS_normal.jpg" TargetMode="External"/><Relationship Id="rId10170" Type="http://schemas.openxmlformats.org/officeDocument/2006/relationships/hyperlink" Target="https://pbs.twimg.com/profile_images/645716711723925506/t5G0qOS6_normal.jpg" TargetMode="External"/><Relationship Id="rId3385" Type="http://schemas.openxmlformats.org/officeDocument/2006/relationships/hyperlink" Target="https://pbs.twimg.com/profile_images/591576946808643585/cidKFrJM_normal.jpg" TargetMode="External"/><Relationship Id="rId4436" Type="http://schemas.openxmlformats.org/officeDocument/2006/relationships/hyperlink" Target="https://pbs.twimg.com/profile_images/615797525040136192/CKF9-v_o_normal.jpg" TargetMode="External"/><Relationship Id="rId4850" Type="http://schemas.openxmlformats.org/officeDocument/2006/relationships/hyperlink" Target="https://pbs.twimg.com/profile_images/685482363778936832/uyeJ4oAt_normal.jpg" TargetMode="External"/><Relationship Id="rId5901" Type="http://schemas.openxmlformats.org/officeDocument/2006/relationships/hyperlink" Target="https://twitter.com/mkoeppen/status/723060743424380928" TargetMode="External"/><Relationship Id="rId3038" Type="http://schemas.openxmlformats.org/officeDocument/2006/relationships/hyperlink" Target="https://pbs.twimg.com/profile_images/593054907936186369/zjxLhMTm_normal.jpg" TargetMode="External"/><Relationship Id="rId3452" Type="http://schemas.openxmlformats.org/officeDocument/2006/relationships/hyperlink" Target="https://twitter.com/OStaffelbach" TargetMode="External"/><Relationship Id="rId4503" Type="http://schemas.openxmlformats.org/officeDocument/2006/relationships/hyperlink" Target="https://twitter.com/personalmagazin" TargetMode="External"/><Relationship Id="rId7659" Type="http://schemas.openxmlformats.org/officeDocument/2006/relationships/hyperlink" Target="https://twitter.com/joworf" TargetMode="External"/><Relationship Id="rId373" Type="http://schemas.openxmlformats.org/officeDocument/2006/relationships/hyperlink" Target="https://twitter.com/kommoptimierer" TargetMode="External"/><Relationship Id="rId2054" Type="http://schemas.openxmlformats.org/officeDocument/2006/relationships/hyperlink" Target="https://pbs.twimg.com/profile_images/609353055839064064/G4xcQR7r_normal.jpg" TargetMode="External"/><Relationship Id="rId3105" Type="http://schemas.openxmlformats.org/officeDocument/2006/relationships/hyperlink" Target="https://twitter.com/LReehten" TargetMode="External"/><Relationship Id="rId6675" Type="http://schemas.openxmlformats.org/officeDocument/2006/relationships/hyperlink" Target="https://pbs.twimg.com/profile_images/662723326096224256/5V4KH9_O_normal.jpg" TargetMode="External"/><Relationship Id="rId9081" Type="http://schemas.openxmlformats.org/officeDocument/2006/relationships/hyperlink" Target="https://twitter.com/mediamorfo/status/723932347914170368" TargetMode="External"/><Relationship Id="rId440" Type="http://schemas.openxmlformats.org/officeDocument/2006/relationships/hyperlink" Target="https://twitter.com/Electronic_Jobs/status/720592440017690624" TargetMode="External"/><Relationship Id="rId1070" Type="http://schemas.openxmlformats.org/officeDocument/2006/relationships/hyperlink" Target="https://twitter.com/_TheDigitalGuy/status/720894115458756608" TargetMode="External"/><Relationship Id="rId2121" Type="http://schemas.openxmlformats.org/officeDocument/2006/relationships/hyperlink" Target="https://twitter.com/MartinGaedt" TargetMode="External"/><Relationship Id="rId5277" Type="http://schemas.openxmlformats.org/officeDocument/2006/relationships/hyperlink" Target="https://pbs.twimg.com/profile_images/645716711723925506/t5G0qOS6_normal.jpg" TargetMode="External"/><Relationship Id="rId6328" Type="http://schemas.openxmlformats.org/officeDocument/2006/relationships/hyperlink" Target="https://twitter.com/FoF_EU/status/723113045002719232" TargetMode="External"/><Relationship Id="rId7726" Type="http://schemas.openxmlformats.org/officeDocument/2006/relationships/hyperlink" Target="https://twitter.com/FM_Elektro/status/723428851565494273" TargetMode="External"/><Relationship Id="rId5691" Type="http://schemas.openxmlformats.org/officeDocument/2006/relationships/hyperlink" Target="https://twitter.com/nicfm_usa" TargetMode="External"/><Relationship Id="rId6742" Type="http://schemas.openxmlformats.org/officeDocument/2006/relationships/hyperlink" Target="https://twitter.com/SGE" TargetMode="External"/><Relationship Id="rId9898" Type="http://schemas.openxmlformats.org/officeDocument/2006/relationships/hyperlink" Target="https://twitter.com/Bitkom_I40" TargetMode="External"/><Relationship Id="rId1887" Type="http://schemas.openxmlformats.org/officeDocument/2006/relationships/hyperlink" Target="https://twitter.com/Tiba_Schweiz/status/721607008361832448" TargetMode="External"/><Relationship Id="rId2938" Type="http://schemas.openxmlformats.org/officeDocument/2006/relationships/hyperlink" Target="https://pbs.twimg.com/profile_images/697168375039074305/KKl-ci8l_normal.jpg" TargetMode="External"/><Relationship Id="rId4293" Type="http://schemas.openxmlformats.org/officeDocument/2006/relationships/hyperlink" Target="https://twitter.com/LNI40" TargetMode="External"/><Relationship Id="rId5344" Type="http://schemas.openxmlformats.org/officeDocument/2006/relationships/hyperlink" Target="https://twitter.com/Bitkom" TargetMode="External"/><Relationship Id="rId9965" Type="http://schemas.openxmlformats.org/officeDocument/2006/relationships/hyperlink" Target="https://twitter.com/h_molle/status/724286105240088576" TargetMode="External"/><Relationship Id="rId1954" Type="http://schemas.openxmlformats.org/officeDocument/2006/relationships/hyperlink" Target="https://twitter.com/VDI_News/status/721660103917748224" TargetMode="External"/><Relationship Id="rId4360" Type="http://schemas.openxmlformats.org/officeDocument/2006/relationships/hyperlink" Target="https://twitter.com/AnamariaCorca/status/722679142739808256" TargetMode="External"/><Relationship Id="rId5411" Type="http://schemas.openxmlformats.org/officeDocument/2006/relationships/hyperlink" Target="https://twitter.com/medinfode" TargetMode="External"/><Relationship Id="rId8567" Type="http://schemas.openxmlformats.org/officeDocument/2006/relationships/hyperlink" Target="https://twitter.com/bluecue_de/status/723745129278935040" TargetMode="External"/><Relationship Id="rId8981" Type="http://schemas.openxmlformats.org/officeDocument/2006/relationships/hyperlink" Target="https://twitter.com/AnhaengerCDU/status/723879293110128640" TargetMode="External"/><Relationship Id="rId9618" Type="http://schemas.openxmlformats.org/officeDocument/2006/relationships/hyperlink" Target="https://twitter.com/westerbarkey/status/724219926421098496" TargetMode="External"/><Relationship Id="rId1607" Type="http://schemas.openxmlformats.org/officeDocument/2006/relationships/hyperlink" Target="https://twitter.com/Aurelien_T_K/status/721244305478823936" TargetMode="External"/><Relationship Id="rId4013" Type="http://schemas.openxmlformats.org/officeDocument/2006/relationships/hyperlink" Target="https://twitter.com/docXter_de" TargetMode="External"/><Relationship Id="rId7169" Type="http://schemas.openxmlformats.org/officeDocument/2006/relationships/hyperlink" Target="https://twitter.com/PPanchakIW/status/723333778597371905" TargetMode="External"/><Relationship Id="rId7583" Type="http://schemas.openxmlformats.org/officeDocument/2006/relationships/hyperlink" Target="https://pbs.twimg.com/profile_images/645716711723925506/t5G0qOS6_normal.jpg" TargetMode="External"/><Relationship Id="rId8634" Type="http://schemas.openxmlformats.org/officeDocument/2006/relationships/hyperlink" Target="https://pbs.twimg.com/profile_images/378800000104294821/5a742075b9441c9de8a86c75a712b0c7_normal.png" TargetMode="External"/><Relationship Id="rId3779" Type="http://schemas.openxmlformats.org/officeDocument/2006/relationships/hyperlink" Target="https://twitter.com/ITK_OWL" TargetMode="External"/><Relationship Id="rId6185" Type="http://schemas.openxmlformats.org/officeDocument/2006/relationships/hyperlink" Target="https://pbs.twimg.com/profile_images/615797525040136192/CKF9-v_o_normal.jpg" TargetMode="External"/><Relationship Id="rId7236" Type="http://schemas.openxmlformats.org/officeDocument/2006/relationships/hyperlink" Target="https://pbs.twimg.com/profile_images/645716711723925506/t5G0qOS6_normal.jpg" TargetMode="External"/><Relationship Id="rId7650" Type="http://schemas.openxmlformats.org/officeDocument/2006/relationships/hyperlink" Target="https://twitter.com/CompTIA_DACH" TargetMode="External"/><Relationship Id="rId6252" Type="http://schemas.openxmlformats.org/officeDocument/2006/relationships/hyperlink" Target="https://pbs.twimg.com/profile_images/1906449052/nw_normal.jpg" TargetMode="External"/><Relationship Id="rId7303" Type="http://schemas.openxmlformats.org/officeDocument/2006/relationships/hyperlink" Target="https://twitter.com/Casopis_Automa" TargetMode="External"/><Relationship Id="rId8701" Type="http://schemas.openxmlformats.org/officeDocument/2006/relationships/hyperlink" Target="https://twitter.com/BOLDLYGO_FFM" TargetMode="External"/><Relationship Id="rId10217" Type="http://schemas.openxmlformats.org/officeDocument/2006/relationships/hyperlink" Target="https://twitter.com/Geschnattere/status/724368994506006529" TargetMode="External"/><Relationship Id="rId1397" Type="http://schemas.openxmlformats.org/officeDocument/2006/relationships/hyperlink" Target="https://twitter.com/IT_Connection" TargetMode="External"/><Relationship Id="rId2795" Type="http://schemas.openxmlformats.org/officeDocument/2006/relationships/hyperlink" Target="https://pbs.twimg.com/profile_images/436501817481256960/-oSbocC2_normal.jpeg" TargetMode="External"/><Relationship Id="rId3846" Type="http://schemas.openxmlformats.org/officeDocument/2006/relationships/hyperlink" Target="https://twitter.com/itmeetsindustry/status/722440970915221504" TargetMode="External"/><Relationship Id="rId767" Type="http://schemas.openxmlformats.org/officeDocument/2006/relationships/hyperlink" Target="https://twitter.com/MahsaGivehchi" TargetMode="External"/><Relationship Id="rId2448" Type="http://schemas.openxmlformats.org/officeDocument/2006/relationships/hyperlink" Target="https://pbs.twimg.com/profile_images/645716711723925506/t5G0qOS6_normal.jpg" TargetMode="External"/><Relationship Id="rId2862" Type="http://schemas.openxmlformats.org/officeDocument/2006/relationships/hyperlink" Target="https://twitter.com/ContainersExpo" TargetMode="External"/><Relationship Id="rId3913" Type="http://schemas.openxmlformats.org/officeDocument/2006/relationships/hyperlink" Target="https://pbs.twimg.com/profile_images/653481171414872064/-C8HD5Mf_normal.jpg" TargetMode="External"/><Relationship Id="rId8077" Type="http://schemas.openxmlformats.org/officeDocument/2006/relationships/hyperlink" Target="https://pbs.twimg.com/profile_images/3726440228/9ba49ccb938cf571b195e3e83a4e1327_normal.jpeg" TargetMode="External"/><Relationship Id="rId9475" Type="http://schemas.openxmlformats.org/officeDocument/2006/relationships/hyperlink" Target="https://pbs.twimg.com/profile_images/420844205607362560/p085f4o7_normal.png" TargetMode="External"/><Relationship Id="rId834" Type="http://schemas.openxmlformats.org/officeDocument/2006/relationships/hyperlink" Target="https://twitter.com/joworf" TargetMode="External"/><Relationship Id="rId1464" Type="http://schemas.openxmlformats.org/officeDocument/2006/relationships/hyperlink" Target="https://pbs.twimg.com/profile_images/588981131996966912/55KBnYR7_normal.jpg" TargetMode="External"/><Relationship Id="rId2515" Type="http://schemas.openxmlformats.org/officeDocument/2006/relationships/hyperlink" Target="https://pbs.twimg.com/profile_images/1433733321/35984_458684286354_752236354_6842403_4519162_n-1_normal.jpg" TargetMode="External"/><Relationship Id="rId8491" Type="http://schemas.openxmlformats.org/officeDocument/2006/relationships/hyperlink" Target="https://twitter.com/frankcausa" TargetMode="External"/><Relationship Id="rId9128" Type="http://schemas.openxmlformats.org/officeDocument/2006/relationships/hyperlink" Target="https://twitter.com/Gruendercoaches" TargetMode="External"/><Relationship Id="rId9542" Type="http://schemas.openxmlformats.org/officeDocument/2006/relationships/hyperlink" Target="https://twitter.com/H_IT_D" TargetMode="External"/><Relationship Id="rId901" Type="http://schemas.openxmlformats.org/officeDocument/2006/relationships/hyperlink" Target="https://twitter.com/EnergyPages/status/720862239058632704" TargetMode="External"/><Relationship Id="rId1117" Type="http://schemas.openxmlformats.org/officeDocument/2006/relationships/hyperlink" Target="https://twitter.com/Joerg_Koper" TargetMode="External"/><Relationship Id="rId1531" Type="http://schemas.openxmlformats.org/officeDocument/2006/relationships/hyperlink" Target="https://twitter.com/MindCommerce" TargetMode="External"/><Relationship Id="rId4687" Type="http://schemas.openxmlformats.org/officeDocument/2006/relationships/hyperlink" Target="https://twitter.com/Mobile_Maschine/status/722710976152387585" TargetMode="External"/><Relationship Id="rId5738" Type="http://schemas.openxmlformats.org/officeDocument/2006/relationships/hyperlink" Target="https://pbs.twimg.com/profile_images/624966917669974016/Sl2SOVQ0_normal.jpg" TargetMode="External"/><Relationship Id="rId7093" Type="http://schemas.openxmlformats.org/officeDocument/2006/relationships/hyperlink" Target="https://twitter.com/NorbertKeil" TargetMode="External"/><Relationship Id="rId8144" Type="http://schemas.openxmlformats.org/officeDocument/2006/relationships/hyperlink" Target="https://twitter.com/Dr_RobertFreund" TargetMode="External"/><Relationship Id="rId10074" Type="http://schemas.openxmlformats.org/officeDocument/2006/relationships/hyperlink" Target="https://pbs.twimg.com/profile_images/709385473144328192/mmSYRI82_normal.jpg" TargetMode="External"/><Relationship Id="rId3289" Type="http://schemas.openxmlformats.org/officeDocument/2006/relationships/hyperlink" Target="https://twitter.com/H_IT_D" TargetMode="External"/><Relationship Id="rId4754" Type="http://schemas.openxmlformats.org/officeDocument/2006/relationships/hyperlink" Target="https://pbs.twimg.com/profile_images/3191720682/19efed020ebf3a2098abea8c1436d948_normal.jpeg" TargetMode="External"/><Relationship Id="rId7160" Type="http://schemas.openxmlformats.org/officeDocument/2006/relationships/hyperlink" Target="https://twitter.com/RethinkRobotics/status/723323816101986306" TargetMode="External"/><Relationship Id="rId8211" Type="http://schemas.openxmlformats.org/officeDocument/2006/relationships/hyperlink" Target="https://twitter.com/startupaffairs" TargetMode="External"/><Relationship Id="rId10141" Type="http://schemas.openxmlformats.org/officeDocument/2006/relationships/hyperlink" Target="https://twitter.com/colbytylerford" TargetMode="External"/><Relationship Id="rId3356" Type="http://schemas.openxmlformats.org/officeDocument/2006/relationships/hyperlink" Target="https://twitter.com/atominik/status/722352972823425024" TargetMode="External"/><Relationship Id="rId4407" Type="http://schemas.openxmlformats.org/officeDocument/2006/relationships/hyperlink" Target="https://twitter.com/itsOWL_Cluster" TargetMode="External"/><Relationship Id="rId5805" Type="http://schemas.openxmlformats.org/officeDocument/2006/relationships/hyperlink" Target="https://twitter.com/m_biscarrat" TargetMode="External"/><Relationship Id="rId277" Type="http://schemas.openxmlformats.org/officeDocument/2006/relationships/hyperlink" Target="https://twitter.com/VincentSchwerd" TargetMode="External"/><Relationship Id="rId3009" Type="http://schemas.openxmlformats.org/officeDocument/2006/relationships/hyperlink" Target="http://as-photo-project.de/" TargetMode="External"/><Relationship Id="rId3770" Type="http://schemas.openxmlformats.org/officeDocument/2006/relationships/hyperlink" Target="https://twitter.com/Gruendercoaches" TargetMode="External"/><Relationship Id="rId4821" Type="http://schemas.openxmlformats.org/officeDocument/2006/relationships/hyperlink" Target="https://twitter.com/INDIZbot" TargetMode="External"/><Relationship Id="rId7977" Type="http://schemas.openxmlformats.org/officeDocument/2006/relationships/hyperlink" Target="https://twitter.com/QuickFindsIn/status/723475446222843904" TargetMode="External"/><Relationship Id="rId344" Type="http://schemas.openxmlformats.org/officeDocument/2006/relationships/hyperlink" Target="https://twitter.com/iotsecurity2/status/720555602846564352" TargetMode="External"/><Relationship Id="rId691" Type="http://schemas.openxmlformats.org/officeDocument/2006/relationships/hyperlink" Target="https://pbs.twimg.com/profile_images/692728796336754690/RKiqJiFN_normal.jpg" TargetMode="External"/><Relationship Id="rId2025" Type="http://schemas.openxmlformats.org/officeDocument/2006/relationships/hyperlink" Target="https://twitter.com/GeraldSwarat" TargetMode="External"/><Relationship Id="rId2372" Type="http://schemas.openxmlformats.org/officeDocument/2006/relationships/hyperlink" Target="https://twitter.com/raum21gmbh/status/721999830143381504" TargetMode="External"/><Relationship Id="rId3423" Type="http://schemas.openxmlformats.org/officeDocument/2006/relationships/hyperlink" Target="https://twitter.com/duponpa/status/722358143242649600" TargetMode="External"/><Relationship Id="rId6579" Type="http://schemas.openxmlformats.org/officeDocument/2006/relationships/hyperlink" Target="https://twitter.com/DKEAktuell" TargetMode="External"/><Relationship Id="rId6993" Type="http://schemas.openxmlformats.org/officeDocument/2006/relationships/hyperlink" Target="https://pbs.twimg.com/profile_images/645716711723925506/t5G0qOS6_normal.jpg" TargetMode="External"/><Relationship Id="rId9052" Type="http://schemas.openxmlformats.org/officeDocument/2006/relationships/hyperlink" Target="https://pbs.twimg.com/profile_images/706450550158712832/97d1R5W7_normal.jpg" TargetMode="External"/><Relationship Id="rId5595" Type="http://schemas.openxmlformats.org/officeDocument/2006/relationships/hyperlink" Target="https://twitter.com/kommoptimierer" TargetMode="External"/><Relationship Id="rId6646" Type="http://schemas.openxmlformats.org/officeDocument/2006/relationships/hyperlink" Target="https://twitter.com/bamitav/status/723156224590499846" TargetMode="External"/><Relationship Id="rId411" Type="http://schemas.openxmlformats.org/officeDocument/2006/relationships/hyperlink" Target="https://pbs.twimg.com/profile_images/494599434/ifs_logo_rgb_normal.jpg" TargetMode="External"/><Relationship Id="rId1041" Type="http://schemas.openxmlformats.org/officeDocument/2006/relationships/hyperlink" Target="https://pbs.twimg.com/profile_images/329707557/Skyscraper_normal.jpg" TargetMode="External"/><Relationship Id="rId4197" Type="http://schemas.openxmlformats.org/officeDocument/2006/relationships/hyperlink" Target="https://twitter.com/INDIZbot" TargetMode="External"/><Relationship Id="rId5248" Type="http://schemas.openxmlformats.org/officeDocument/2006/relationships/hyperlink" Target="https://twitter.com/Apandia" TargetMode="External"/><Relationship Id="rId5662" Type="http://schemas.openxmlformats.org/officeDocument/2006/relationships/hyperlink" Target="https://twitter.com/RolandBent/status/722903527140397056" TargetMode="External"/><Relationship Id="rId6713" Type="http://schemas.openxmlformats.org/officeDocument/2006/relationships/hyperlink" Target="https://twitter.com/Gruendercoaches/status/723164562984435713" TargetMode="External"/><Relationship Id="rId9869" Type="http://schemas.openxmlformats.org/officeDocument/2006/relationships/hyperlink" Target="https://twitter.com/fjablonski/status/724274422136356864" TargetMode="External"/><Relationship Id="rId1858" Type="http://schemas.openxmlformats.org/officeDocument/2006/relationships/hyperlink" Target="https://pbs.twimg.com/profile_images/3427840995/be9743841a82fcc743ed45c59638edb6_normal.png" TargetMode="External"/><Relationship Id="rId4264" Type="http://schemas.openxmlformats.org/officeDocument/2006/relationships/hyperlink" Target="https://twitter.com/INDIZbot/status/722636295147757571" TargetMode="External"/><Relationship Id="rId5315" Type="http://schemas.openxmlformats.org/officeDocument/2006/relationships/hyperlink" Target="https://twitter.com/INDIZbot/status/722789787992764416" TargetMode="External"/><Relationship Id="rId8885" Type="http://schemas.openxmlformats.org/officeDocument/2006/relationships/hyperlink" Target="https://twitter.com/ZVEIorg/status/723848652284895232" TargetMode="External"/><Relationship Id="rId2909" Type="http://schemas.openxmlformats.org/officeDocument/2006/relationships/hyperlink" Target="https://twitter.com/thomas_leubner" TargetMode="External"/><Relationship Id="rId3280" Type="http://schemas.openxmlformats.org/officeDocument/2006/relationships/hyperlink" Target="https://twitter.com/aretasGmbH" TargetMode="External"/><Relationship Id="rId4331" Type="http://schemas.openxmlformats.org/officeDocument/2006/relationships/hyperlink" Target="https://pbs.twimg.com/profile_images/668712795677028352/uUXoP0Hd_normal.jpg" TargetMode="External"/><Relationship Id="rId7487" Type="http://schemas.openxmlformats.org/officeDocument/2006/relationships/hyperlink" Target="https://pbs.twimg.com/profile_images/706179725409034240/LeeUleiq_normal.jpg" TargetMode="External"/><Relationship Id="rId8538" Type="http://schemas.openxmlformats.org/officeDocument/2006/relationships/hyperlink" Target="https://pbs.twimg.com/profile_images/645716711723925506/t5G0qOS6_normal.jpg" TargetMode="External"/><Relationship Id="rId9936" Type="http://schemas.openxmlformats.org/officeDocument/2006/relationships/hyperlink" Target="https://pbs.twimg.com/profile_images/479147477975588864/z94n3mRF_normal.jpeg" TargetMode="External"/><Relationship Id="rId1925" Type="http://schemas.openxmlformats.org/officeDocument/2006/relationships/hyperlink" Target="https://twitter.com/batix" TargetMode="External"/><Relationship Id="rId6089" Type="http://schemas.openxmlformats.org/officeDocument/2006/relationships/hyperlink" Target="https://twitter.com/INDIZbot" TargetMode="External"/><Relationship Id="rId8952" Type="http://schemas.openxmlformats.org/officeDocument/2006/relationships/hyperlink" Target="https://pbs.twimg.com/profile_images/470492302394155009/7OebaSwV_normal.png" TargetMode="External"/><Relationship Id="rId6156" Type="http://schemas.openxmlformats.org/officeDocument/2006/relationships/hyperlink" Target="https://twitter.com/hbde_wirtschaft" TargetMode="External"/><Relationship Id="rId7554" Type="http://schemas.openxmlformats.org/officeDocument/2006/relationships/hyperlink" Target="https://twitter.com/tanit" TargetMode="External"/><Relationship Id="rId8605" Type="http://schemas.openxmlformats.org/officeDocument/2006/relationships/hyperlink" Target="https://twitter.com/INDIZbot" TargetMode="External"/><Relationship Id="rId2699" Type="http://schemas.openxmlformats.org/officeDocument/2006/relationships/hyperlink" Target="https://pbs.twimg.com/profile_images/464414275256070145/jE8OVTXo_normal.png" TargetMode="External"/><Relationship Id="rId3000" Type="http://schemas.openxmlformats.org/officeDocument/2006/relationships/hyperlink" Target="https://twitter.com/Evolutivist/status/722274463908241409" TargetMode="External"/><Relationship Id="rId6570" Type="http://schemas.openxmlformats.org/officeDocument/2006/relationships/hyperlink" Target="https://twitter.com/H_IT_D" TargetMode="External"/><Relationship Id="rId7207" Type="http://schemas.openxmlformats.org/officeDocument/2006/relationships/hyperlink" Target="https://twitter.com/VPuksic" TargetMode="External"/><Relationship Id="rId7621" Type="http://schemas.openxmlformats.org/officeDocument/2006/relationships/hyperlink" Target="https://twitter.com/1StepTo/status/723418765728178177" TargetMode="External"/><Relationship Id="rId2766" Type="http://schemas.openxmlformats.org/officeDocument/2006/relationships/hyperlink" Target="https://twitter.com/_DigitalNinja" TargetMode="External"/><Relationship Id="rId3817" Type="http://schemas.openxmlformats.org/officeDocument/2006/relationships/hyperlink" Target="https://pbs.twimg.com/profile_images/554579761817600000/2PbZshfI_normal.jpeg" TargetMode="External"/><Relationship Id="rId5172" Type="http://schemas.openxmlformats.org/officeDocument/2006/relationships/hyperlink" Target="https://pbs.twimg.com/profile_images/567384025568776192/u-T3fEX2_normal.jpeg" TargetMode="External"/><Relationship Id="rId6223" Type="http://schemas.openxmlformats.org/officeDocument/2006/relationships/hyperlink" Target="https://twitter.com/schaefflergroup" TargetMode="External"/><Relationship Id="rId9379" Type="http://schemas.openxmlformats.org/officeDocument/2006/relationships/hyperlink" Target="https://pbs.twimg.com/profile_images/378800000106302626/31311e4d113bdaef750ff4784f301c13_normal.jpeg" TargetMode="External"/><Relationship Id="rId9793" Type="http://schemas.openxmlformats.org/officeDocument/2006/relationships/hyperlink" Target="https://twitter.com/MartinGaedt" TargetMode="External"/><Relationship Id="rId738" Type="http://schemas.openxmlformats.org/officeDocument/2006/relationships/hyperlink" Target="https://twitter.com/mfritz_fhg/status/720691272126709761" TargetMode="External"/><Relationship Id="rId1368" Type="http://schemas.openxmlformats.org/officeDocument/2006/relationships/hyperlink" Target="https://pbs.twimg.com/profile_images/541146126158536704/IYardufS_normal.jpeg" TargetMode="External"/><Relationship Id="rId1782" Type="http://schemas.openxmlformats.org/officeDocument/2006/relationships/hyperlink" Target="https://pbs.twimg.com/profile_images/652277358229979136/ZjpUNUgc_normal.png" TargetMode="External"/><Relationship Id="rId2419" Type="http://schemas.openxmlformats.org/officeDocument/2006/relationships/hyperlink" Target="https://twitter.com/kommoptimierer" TargetMode="External"/><Relationship Id="rId2833" Type="http://schemas.openxmlformats.org/officeDocument/2006/relationships/hyperlink" Target="https://twitter.com/LReehten/status/722134548767764480" TargetMode="External"/><Relationship Id="rId5989" Type="http://schemas.openxmlformats.org/officeDocument/2006/relationships/hyperlink" Target="https://pbs.twimg.com/profile_images/618449316055748612/F_9LrZDf_normal.jpg" TargetMode="External"/><Relationship Id="rId8395" Type="http://schemas.openxmlformats.org/officeDocument/2006/relationships/hyperlink" Target="https://twitter.com/INDIZbot/status/723554746615889920" TargetMode="External"/><Relationship Id="rId9446" Type="http://schemas.openxmlformats.org/officeDocument/2006/relationships/hyperlink" Target="https://twitter.com/markus_boehm_" TargetMode="External"/><Relationship Id="rId9860" Type="http://schemas.openxmlformats.org/officeDocument/2006/relationships/hyperlink" Target="https://twitter.com/TStoeckl/status/724272443074973696" TargetMode="External"/><Relationship Id="rId74" Type="http://schemas.openxmlformats.org/officeDocument/2006/relationships/hyperlink" Target="https://twitter.com/c_best01/status/720507066151018497" TargetMode="External"/><Relationship Id="rId805" Type="http://schemas.openxmlformats.org/officeDocument/2006/relationships/hyperlink" Target="https://twitter.com/RolandKnoor/status/720732289777430528" TargetMode="External"/><Relationship Id="rId1435" Type="http://schemas.openxmlformats.org/officeDocument/2006/relationships/hyperlink" Target="https://twitter.com/INDIZbot/status/720997898276757504" TargetMode="External"/><Relationship Id="rId8048" Type="http://schemas.openxmlformats.org/officeDocument/2006/relationships/hyperlink" Target="https://twitter.com/hartingindia" TargetMode="External"/><Relationship Id="rId8462" Type="http://schemas.openxmlformats.org/officeDocument/2006/relationships/hyperlink" Target="https://twitter.com/H_IT_D/status/723591466749071361" TargetMode="External"/><Relationship Id="rId9513" Type="http://schemas.openxmlformats.org/officeDocument/2006/relationships/hyperlink" Target="https://twitter.com/EmaxSystemsLtd/status/724193532186116097" TargetMode="External"/><Relationship Id="rId2900" Type="http://schemas.openxmlformats.org/officeDocument/2006/relationships/hyperlink" Target="https://twitter.com/kommoptimierer" TargetMode="External"/><Relationship Id="rId7064" Type="http://schemas.openxmlformats.org/officeDocument/2006/relationships/hyperlink" Target="https://twitter.com/hasford_/status/723250070020341760" TargetMode="External"/><Relationship Id="rId8115" Type="http://schemas.openxmlformats.org/officeDocument/2006/relationships/hyperlink" Target="https://twitter.com/INDIZbot/status/723497067516145664" TargetMode="External"/><Relationship Id="rId1502" Type="http://schemas.openxmlformats.org/officeDocument/2006/relationships/hyperlink" Target="https://twitter.com/Cathy_Brennan/status/721037664112128001" TargetMode="External"/><Relationship Id="rId4658" Type="http://schemas.openxmlformats.org/officeDocument/2006/relationships/hyperlink" Target="https://pbs.twimg.com/profile_images/479147167316447232/wjLq1bNw_normal.jpeg" TargetMode="External"/><Relationship Id="rId5709" Type="http://schemas.openxmlformats.org/officeDocument/2006/relationships/hyperlink" Target="https://twitter.com/INDIZbot" TargetMode="External"/><Relationship Id="rId6080" Type="http://schemas.openxmlformats.org/officeDocument/2006/relationships/hyperlink" Target="https://twitter.com/INDIZbot" TargetMode="External"/><Relationship Id="rId7131" Type="http://schemas.openxmlformats.org/officeDocument/2006/relationships/hyperlink" Target="https://pbs.twimg.com/profile_images/378800000827898552/669f90369b095789252ae6f0649bc39a_normal.png" TargetMode="External"/><Relationship Id="rId10045" Type="http://schemas.openxmlformats.org/officeDocument/2006/relationships/hyperlink" Target="https://twitter.com/KevinFaircloth1" TargetMode="External"/><Relationship Id="rId3674" Type="http://schemas.openxmlformats.org/officeDocument/2006/relationships/hyperlink" Target="https://twitter.com/Apandia" TargetMode="External"/><Relationship Id="rId4725" Type="http://schemas.openxmlformats.org/officeDocument/2006/relationships/hyperlink" Target="https://twitter.com/christophsmuell" TargetMode="External"/><Relationship Id="rId10112" Type="http://schemas.openxmlformats.org/officeDocument/2006/relationships/hyperlink" Target="https://twitter.com/INDIZbot/status/724334891408732160" TargetMode="External"/><Relationship Id="rId595" Type="http://schemas.openxmlformats.org/officeDocument/2006/relationships/hyperlink" Target="https://pbs.twimg.com/profile_images/706811232695750657/fVFQauFe_normal.jpg" TargetMode="External"/><Relationship Id="rId2276" Type="http://schemas.openxmlformats.org/officeDocument/2006/relationships/hyperlink" Target="https://pbs.twimg.com/profile_images/662723326096224256/5V4KH9_O_normal.jpg" TargetMode="External"/><Relationship Id="rId2690" Type="http://schemas.openxmlformats.org/officeDocument/2006/relationships/hyperlink" Target="https://pbs.twimg.com/profile_images/662723326096224256/5V4KH9_O_normal.jpg" TargetMode="External"/><Relationship Id="rId3327" Type="http://schemas.openxmlformats.org/officeDocument/2006/relationships/hyperlink" Target="https://pbs.twimg.com/profile_images/458888137326882816/oGjpHLOK_normal.png" TargetMode="External"/><Relationship Id="rId3741" Type="http://schemas.openxmlformats.org/officeDocument/2006/relationships/hyperlink" Target="https://twitter.com/HubertusGrass/status/722415807028936704" TargetMode="External"/><Relationship Id="rId6897" Type="http://schemas.openxmlformats.org/officeDocument/2006/relationships/hyperlink" Target="https://pbs.twimg.com/profile_images/468374493/asteatwitlogo_normal.jpg" TargetMode="External"/><Relationship Id="rId7948" Type="http://schemas.openxmlformats.org/officeDocument/2006/relationships/hyperlink" Target="https://pbs.twimg.com/profile_images/3542998130/5e65449daa56d18e9aab7f6535dc25fc_normal.jpeg" TargetMode="External"/><Relationship Id="rId248" Type="http://schemas.openxmlformats.org/officeDocument/2006/relationships/hyperlink" Target="https://twitter.com/verlinked/status/720537089620639744" TargetMode="External"/><Relationship Id="rId662" Type="http://schemas.openxmlformats.org/officeDocument/2006/relationships/hyperlink" Target="https://twitter.com/MichaeloIoT" TargetMode="External"/><Relationship Id="rId1292" Type="http://schemas.openxmlformats.org/officeDocument/2006/relationships/hyperlink" Target="https://twitter.com/GGS_Heilbronn/status/720947344376782848" TargetMode="External"/><Relationship Id="rId2343" Type="http://schemas.openxmlformats.org/officeDocument/2006/relationships/hyperlink" Target="https://pbs.twimg.com/profile_images/645716711723925506/t5G0qOS6_normal.jpg" TargetMode="External"/><Relationship Id="rId5499" Type="http://schemas.openxmlformats.org/officeDocument/2006/relationships/hyperlink" Target="https://twitter.com/gpodagrosi" TargetMode="External"/><Relationship Id="rId6964" Type="http://schemas.openxmlformats.org/officeDocument/2006/relationships/hyperlink" Target="https://twitter.com/INDIZbot" TargetMode="External"/><Relationship Id="rId9370" Type="http://schemas.openxmlformats.org/officeDocument/2006/relationships/hyperlink" Target="https://pbs.twimg.com/profile_images/681554816389279744/ZcdsVGAl_normal.jpg" TargetMode="External"/><Relationship Id="rId315" Type="http://schemas.openxmlformats.org/officeDocument/2006/relationships/hyperlink" Target="https://pbs.twimg.com/profile_images/709020486072713216/SRvMkEf1_normal.jpg" TargetMode="External"/><Relationship Id="rId2410" Type="http://schemas.openxmlformats.org/officeDocument/2006/relationships/hyperlink" Target="https://twitter.com/INDIZbot" TargetMode="External"/><Relationship Id="rId5566" Type="http://schemas.openxmlformats.org/officeDocument/2006/relationships/hyperlink" Target="https://twitter.com/tcerisier_johan/status/722853271543660544" TargetMode="External"/><Relationship Id="rId6617" Type="http://schemas.openxmlformats.org/officeDocument/2006/relationships/hyperlink" Target="https://pbs.twimg.com/profile_images/471312276767535104/TIanhngf_normal.jpeg" TargetMode="External"/><Relationship Id="rId9023" Type="http://schemas.openxmlformats.org/officeDocument/2006/relationships/hyperlink" Target="https://twitter.com/alamexweb/status/723911423592525824" TargetMode="External"/><Relationship Id="rId1012" Type="http://schemas.openxmlformats.org/officeDocument/2006/relationships/hyperlink" Target="https://twitter.com/Lenze_Gruppe" TargetMode="External"/><Relationship Id="rId4168" Type="http://schemas.openxmlformats.org/officeDocument/2006/relationships/hyperlink" Target="https://twitter.com/LReehten/status/722514507755556868" TargetMode="External"/><Relationship Id="rId5219" Type="http://schemas.openxmlformats.org/officeDocument/2006/relationships/hyperlink" Target="https://pbs.twimg.com/profile_images/1576784595/VISAM_normal.png" TargetMode="External"/><Relationship Id="rId5980" Type="http://schemas.openxmlformats.org/officeDocument/2006/relationships/hyperlink" Target="https://pbs.twimg.com/profile_images/631021673857290240/dsNYkRwd_normal.jpg" TargetMode="External"/><Relationship Id="rId3184" Type="http://schemas.openxmlformats.org/officeDocument/2006/relationships/hyperlink" Target="https://twitter.com/WassenhovenUG" TargetMode="External"/><Relationship Id="rId4235" Type="http://schemas.openxmlformats.org/officeDocument/2006/relationships/hyperlink" Target="https://pbs.twimg.com/profile_images/524295003107885059/1ADGv6Ps_normal.png" TargetMode="External"/><Relationship Id="rId4582" Type="http://schemas.openxmlformats.org/officeDocument/2006/relationships/hyperlink" Target="https://twitter.com/CSC_DE/status/722706438276136961" TargetMode="External"/><Relationship Id="rId5633" Type="http://schemas.openxmlformats.org/officeDocument/2006/relationships/hyperlink" Target="https://pbs.twimg.com/profile_images/645716711723925506/t5G0qOS6_normal.jpg" TargetMode="External"/><Relationship Id="rId8789" Type="http://schemas.openxmlformats.org/officeDocument/2006/relationships/hyperlink" Target="https://twitter.com/DigitalTrans_HS/status/723813130913107968" TargetMode="External"/><Relationship Id="rId1829" Type="http://schemas.openxmlformats.org/officeDocument/2006/relationships/hyperlink" Target="https://twitter.com/hydrogeniousTEC/status/721426760525606913" TargetMode="External"/><Relationship Id="rId5700" Type="http://schemas.openxmlformats.org/officeDocument/2006/relationships/hyperlink" Target="https://twitter.com/INDIZbot" TargetMode="External"/><Relationship Id="rId8856" Type="http://schemas.openxmlformats.org/officeDocument/2006/relationships/hyperlink" Target="https://pbs.twimg.com/profile_images/481006931952160769/bYcb_tLb_normal.jpeg" TargetMode="External"/><Relationship Id="rId9907" Type="http://schemas.openxmlformats.org/officeDocument/2006/relationships/hyperlink" Target="https://twitter.com/INDIZbot" TargetMode="External"/><Relationship Id="rId3251" Type="http://schemas.openxmlformats.org/officeDocument/2006/relationships/hyperlink" Target="https://twitter.com/bamitav/status/722330193730387973" TargetMode="External"/><Relationship Id="rId4302" Type="http://schemas.openxmlformats.org/officeDocument/2006/relationships/hyperlink" Target="https://twitter.com/ROKAutoCHDE" TargetMode="External"/><Relationship Id="rId7458" Type="http://schemas.openxmlformats.org/officeDocument/2006/relationships/hyperlink" Target="https://twitter.com/VDE_Group" TargetMode="External"/><Relationship Id="rId7872" Type="http://schemas.openxmlformats.org/officeDocument/2006/relationships/hyperlink" Target="https://pbs.twimg.com/profile_images/672343322632024064/4z8q3pp4_normal.jpg" TargetMode="External"/><Relationship Id="rId8509" Type="http://schemas.openxmlformats.org/officeDocument/2006/relationships/hyperlink" Target="https://twitter.com/thomasbuerger2" TargetMode="External"/><Relationship Id="rId8923" Type="http://schemas.openxmlformats.org/officeDocument/2006/relationships/hyperlink" Target="https://twitter.com/KUKA_RoboticsDE" TargetMode="External"/><Relationship Id="rId172" Type="http://schemas.openxmlformats.org/officeDocument/2006/relationships/hyperlink" Target="https://twitter.com/VDMAonline" TargetMode="External"/><Relationship Id="rId6474" Type="http://schemas.openxmlformats.org/officeDocument/2006/relationships/hyperlink" Target="https://twitter.com/SocBizEngineer/status/723131185455616000" TargetMode="External"/><Relationship Id="rId7525" Type="http://schemas.openxmlformats.org/officeDocument/2006/relationships/hyperlink" Target="https://twitter.com/PapaVise/status/723412431989415941" TargetMode="External"/><Relationship Id="rId989" Type="http://schemas.openxmlformats.org/officeDocument/2006/relationships/hyperlink" Target="https://twitter.com/catkinEU/status/720880863773208576" TargetMode="External"/><Relationship Id="rId5076" Type="http://schemas.openxmlformats.org/officeDocument/2006/relationships/hyperlink" Target="https://pbs.twimg.com/profile_images/667689986276392960/lHQvEvuO_normal.jpg" TargetMode="External"/><Relationship Id="rId5490" Type="http://schemas.openxmlformats.org/officeDocument/2006/relationships/hyperlink" Target="https://twitter.com/m_biscarrat" TargetMode="External"/><Relationship Id="rId6127" Type="http://schemas.openxmlformats.org/officeDocument/2006/relationships/hyperlink" Target="https://twitter.com/EAutoPionier/status/723076801342246913" TargetMode="External"/><Relationship Id="rId6541" Type="http://schemas.openxmlformats.org/officeDocument/2006/relationships/hyperlink" Target="https://pbs.twimg.com/profile_images/692360292546842624/MNSepg8N_normal.jpg" TargetMode="External"/><Relationship Id="rId9697" Type="http://schemas.openxmlformats.org/officeDocument/2006/relationships/hyperlink" Target="https://pbs.twimg.com/profile_images/635477090016489472/cPsLdWnA_normal.jpg" TargetMode="External"/><Relationship Id="rId1686" Type="http://schemas.openxmlformats.org/officeDocument/2006/relationships/hyperlink" Target="https://pbs.twimg.com/profile_images/708290247164108800/1Uu1Nj4Y_normal.jpg" TargetMode="External"/><Relationship Id="rId4092" Type="http://schemas.openxmlformats.org/officeDocument/2006/relationships/hyperlink" Target="https://twitter.com/INDIZbot" TargetMode="External"/><Relationship Id="rId5143" Type="http://schemas.openxmlformats.org/officeDocument/2006/relationships/hyperlink" Target="https://twitter.com/INDIZbot" TargetMode="External"/><Relationship Id="rId8299" Type="http://schemas.openxmlformats.org/officeDocument/2006/relationships/hyperlink" Target="https://twitter.com/INDIZbot/status/723527336184930304" TargetMode="External"/><Relationship Id="rId1339" Type="http://schemas.openxmlformats.org/officeDocument/2006/relationships/hyperlink" Target="https://twitter.com/PSIPENTA" TargetMode="External"/><Relationship Id="rId2737" Type="http://schemas.openxmlformats.org/officeDocument/2006/relationships/hyperlink" Target="https://twitter.com/H_IT_D/status/722107493178957824" TargetMode="External"/><Relationship Id="rId5210" Type="http://schemas.openxmlformats.org/officeDocument/2006/relationships/hyperlink" Target="https://pbs.twimg.com/profile_images/596283853507010560/rOqlbvhj_normal.jpg" TargetMode="External"/><Relationship Id="rId8366" Type="http://schemas.openxmlformats.org/officeDocument/2006/relationships/hyperlink" Target="https://pbs.twimg.com/profile_images/645716711723925506/t5G0qOS6_normal.jpg" TargetMode="External"/><Relationship Id="rId9764" Type="http://schemas.openxmlformats.org/officeDocument/2006/relationships/hyperlink" Target="https://twitter.com/MartinGaedt/status/724245117855522818" TargetMode="External"/><Relationship Id="rId709" Type="http://schemas.openxmlformats.org/officeDocument/2006/relationships/hyperlink" Target="https://pbs.twimg.com/profile_images/573813498947354624/g3IUfKZ5_normal.jpeg" TargetMode="External"/><Relationship Id="rId1753" Type="http://schemas.openxmlformats.org/officeDocument/2006/relationships/hyperlink" Target="https://twitter.com/SALIM__S" TargetMode="External"/><Relationship Id="rId2804" Type="http://schemas.openxmlformats.org/officeDocument/2006/relationships/hyperlink" Target="https://pbs.twimg.com/profile_images/662723326096224256/5V4KH9_O_normal.jpg" TargetMode="External"/><Relationship Id="rId8019" Type="http://schemas.openxmlformats.org/officeDocument/2006/relationships/hyperlink" Target="https://twitter.com/IT_Connection/status/723479032990453760" TargetMode="External"/><Relationship Id="rId8780" Type="http://schemas.openxmlformats.org/officeDocument/2006/relationships/hyperlink" Target="https://twitter.com/stromab/status/723809367267676160" TargetMode="External"/><Relationship Id="rId9417" Type="http://schemas.openxmlformats.org/officeDocument/2006/relationships/hyperlink" Target="https://twitter.com/slxlearning/status/724173221289955329" TargetMode="External"/><Relationship Id="rId9831" Type="http://schemas.openxmlformats.org/officeDocument/2006/relationships/hyperlink" Target="https://pbs.twimg.com/profile_images/2138019810/525357_10150679656844528_46884944527_9083227_1871050648_n_normal.jpg" TargetMode="External"/><Relationship Id="rId10296" Type="http://schemas.openxmlformats.org/officeDocument/2006/relationships/hyperlink" Target="https://pbs.twimg.com/profile_images/537463766422548481/ZHC2PBM5_normal.jpeg" TargetMode="External"/><Relationship Id="rId45" Type="http://schemas.openxmlformats.org/officeDocument/2006/relationships/hyperlink" Target="https://pbs.twimg.com/profile_images/667689986276392960/lHQvEvuO_normal.jpg" TargetMode="External"/><Relationship Id="rId1406" Type="http://schemas.openxmlformats.org/officeDocument/2006/relationships/hyperlink" Target="https://twitter.com/jkreienbrink" TargetMode="External"/><Relationship Id="rId1820" Type="http://schemas.openxmlformats.org/officeDocument/2006/relationships/hyperlink" Target="https://twitter.com/karinsebelin/status/721420270964187136" TargetMode="External"/><Relationship Id="rId4976" Type="http://schemas.openxmlformats.org/officeDocument/2006/relationships/hyperlink" Target="https://pbs.twimg.com/profile_images/473759721023758338/3CcJL-Vq_normal.jpeg" TargetMode="External"/><Relationship Id="rId7382" Type="http://schemas.openxmlformats.org/officeDocument/2006/relationships/hyperlink" Target="https://twitter.com/SEWEURODRIVE" TargetMode="External"/><Relationship Id="rId8433" Type="http://schemas.openxmlformats.org/officeDocument/2006/relationships/hyperlink" Target="https://pbs.twimg.com/profile_images/502402188295946240/rN3wbNyn_normal.jpeg" TargetMode="External"/><Relationship Id="rId3578" Type="http://schemas.openxmlformats.org/officeDocument/2006/relationships/hyperlink" Target="https://twitter.com/verlinked" TargetMode="External"/><Relationship Id="rId3992" Type="http://schemas.openxmlformats.org/officeDocument/2006/relationships/hyperlink" Target="https://twitter.com/aguittard" TargetMode="External"/><Relationship Id="rId4629" Type="http://schemas.openxmlformats.org/officeDocument/2006/relationships/hyperlink" Target="https://twitter.com/GlobalSign_DE" TargetMode="External"/><Relationship Id="rId7035" Type="http://schemas.openxmlformats.org/officeDocument/2006/relationships/hyperlink" Target="https://pbs.twimg.com/profile_images/645716711723925506/t5G0qOS6_normal.jpg" TargetMode="External"/><Relationship Id="rId8500" Type="http://schemas.openxmlformats.org/officeDocument/2006/relationships/hyperlink" Target="https://twitter.com/ZVEIorg" TargetMode="External"/><Relationship Id="rId10016" Type="http://schemas.openxmlformats.org/officeDocument/2006/relationships/hyperlink" Target="https://twitter.com/INDIZbot/status/724299737390845953" TargetMode="External"/><Relationship Id="rId499" Type="http://schemas.openxmlformats.org/officeDocument/2006/relationships/hyperlink" Target="https://pbs.twimg.com/profile_images/684325175849037824/2vFq058g_normal.jpg" TargetMode="External"/><Relationship Id="rId2594" Type="http://schemas.openxmlformats.org/officeDocument/2006/relationships/hyperlink" Target="https://twitter.com/JETZT_PRde/status/722066685654654977" TargetMode="External"/><Relationship Id="rId3645" Type="http://schemas.openxmlformats.org/officeDocument/2006/relationships/hyperlink" Target="https://twitter.com/opengateitalia/status/722394510584451077" TargetMode="External"/><Relationship Id="rId6051" Type="http://schemas.openxmlformats.org/officeDocument/2006/relationships/hyperlink" Target="https://twitter.com/BMAS_Bund/status/723073217242476544" TargetMode="External"/><Relationship Id="rId7102" Type="http://schemas.openxmlformats.org/officeDocument/2006/relationships/hyperlink" Target="https://twitter.com/sarhapu" TargetMode="External"/><Relationship Id="rId566" Type="http://schemas.openxmlformats.org/officeDocument/2006/relationships/hyperlink" Target="https://twitter.com/Markenartikler" TargetMode="External"/><Relationship Id="rId1196" Type="http://schemas.openxmlformats.org/officeDocument/2006/relationships/hyperlink" Target="https://twitter.com/veronique_abela/status/720921081377370112" TargetMode="External"/><Relationship Id="rId2247" Type="http://schemas.openxmlformats.org/officeDocument/2006/relationships/hyperlink" Target="https://pbs.twimg.com/profile_images/645716711723925506/t5G0qOS6_normal.jpg" TargetMode="External"/><Relationship Id="rId9274" Type="http://schemas.openxmlformats.org/officeDocument/2006/relationships/hyperlink" Target="https://pbs.twimg.com/profile_images/624872193743290368/WmNWpnpN_normal.jpg" TargetMode="External"/><Relationship Id="rId219" Type="http://schemas.openxmlformats.org/officeDocument/2006/relationships/hyperlink" Target="https://pbs.twimg.com/profile_images/631021673857290240/dsNYkRwd_normal.jpg" TargetMode="External"/><Relationship Id="rId633" Type="http://schemas.openxmlformats.org/officeDocument/2006/relationships/hyperlink" Target="https://twitter.com/HolgerPaul66/status/720647509668950016" TargetMode="External"/><Relationship Id="rId980" Type="http://schemas.openxmlformats.org/officeDocument/2006/relationships/hyperlink" Target="https://twitter.com/QBedos/status/720879874651521026" TargetMode="External"/><Relationship Id="rId1263" Type="http://schemas.openxmlformats.org/officeDocument/2006/relationships/hyperlink" Target="https://pbs.twimg.com/profile_images/645716711723925506/t5G0qOS6_normal.jpg" TargetMode="External"/><Relationship Id="rId2314" Type="http://schemas.openxmlformats.org/officeDocument/2006/relationships/hyperlink" Target="https://twitter.com/HoganVerfahren" TargetMode="External"/><Relationship Id="rId2661" Type="http://schemas.openxmlformats.org/officeDocument/2006/relationships/hyperlink" Target="https://twitter.com/haiyendang" TargetMode="External"/><Relationship Id="rId3712" Type="http://schemas.openxmlformats.org/officeDocument/2006/relationships/hyperlink" Target="https://pbs.twimg.com/profile_images/645716711723925506/t5G0qOS6_normal.jpg" TargetMode="External"/><Relationship Id="rId6868" Type="http://schemas.openxmlformats.org/officeDocument/2006/relationships/hyperlink" Target="https://twitter.com/INDIZbot" TargetMode="External"/><Relationship Id="rId7919" Type="http://schemas.openxmlformats.org/officeDocument/2006/relationships/hyperlink" Target="https://twitter.com/H_IT_D/status/723462818784124928" TargetMode="External"/><Relationship Id="rId8290" Type="http://schemas.openxmlformats.org/officeDocument/2006/relationships/hyperlink" Target="https://twitter.com/INDIZbot/status/723527071272734721" TargetMode="External"/><Relationship Id="rId9341" Type="http://schemas.openxmlformats.org/officeDocument/2006/relationships/hyperlink" Target="https://twitter.com/5t0ll1" TargetMode="External"/><Relationship Id="rId5884" Type="http://schemas.openxmlformats.org/officeDocument/2006/relationships/hyperlink" Target="https://pbs.twimg.com/profile_images/378800000821000829/bd0a7e59cc638909a219a082e3383993_normal.png" TargetMode="External"/><Relationship Id="rId6935" Type="http://schemas.openxmlformats.org/officeDocument/2006/relationships/hyperlink" Target="https://twitter.com/Connect_Things/status/723195874617090048" TargetMode="External"/><Relationship Id="rId700" Type="http://schemas.openxmlformats.org/officeDocument/2006/relationships/hyperlink" Target="https://pbs.twimg.com/profile_images/502403624635359232/dhMZDAHI_normal.jpeg" TargetMode="External"/><Relationship Id="rId1330" Type="http://schemas.openxmlformats.org/officeDocument/2006/relationships/hyperlink" Target="https://twitter.com/jmcambot" TargetMode="External"/><Relationship Id="rId3088" Type="http://schemas.openxmlformats.org/officeDocument/2006/relationships/hyperlink" Target="https://twitter.com/ScopeOnline/status/722312580627361792" TargetMode="External"/><Relationship Id="rId4486" Type="http://schemas.openxmlformats.org/officeDocument/2006/relationships/hyperlink" Target="https://twitter.com/Restaurator_Tom" TargetMode="External"/><Relationship Id="rId5537" Type="http://schemas.openxmlformats.org/officeDocument/2006/relationships/hyperlink" Target="https://pbs.twimg.com/profile_images/722786285123977216/jpQ6qPff_normal.jpg" TargetMode="External"/><Relationship Id="rId5951" Type="http://schemas.openxmlformats.org/officeDocument/2006/relationships/hyperlink" Target="https://twitter.com/Bitkom_I40" TargetMode="External"/><Relationship Id="rId4139" Type="http://schemas.openxmlformats.org/officeDocument/2006/relationships/hyperlink" Target="https://pbs.twimg.com/profile_images/623849156159868928/BetFDR_i_normal.jpg" TargetMode="External"/><Relationship Id="rId4553" Type="http://schemas.openxmlformats.org/officeDocument/2006/relationships/hyperlink" Target="https://pbs.twimg.com/profile_images/709648582048157696/BnZ5RzQA_normal.jpg" TargetMode="External"/><Relationship Id="rId5604" Type="http://schemas.openxmlformats.org/officeDocument/2006/relationships/hyperlink" Target="https://twitter.com/SiePing" TargetMode="External"/><Relationship Id="rId8010" Type="http://schemas.openxmlformats.org/officeDocument/2006/relationships/hyperlink" Target="https://twitter.com/LReehten/status/723478425231589376" TargetMode="External"/><Relationship Id="rId3155" Type="http://schemas.openxmlformats.org/officeDocument/2006/relationships/hyperlink" Target="https://pbs.twimg.com/profile_images/591951396217327616/HbcCX2zX_normal.png" TargetMode="External"/><Relationship Id="rId4206" Type="http://schemas.openxmlformats.org/officeDocument/2006/relationships/hyperlink" Target="https://twitter.com/INDIZbot" TargetMode="External"/><Relationship Id="rId4620" Type="http://schemas.openxmlformats.org/officeDocument/2006/relationships/hyperlink" Target="https://twitter.com/INDIZbot" TargetMode="External"/><Relationship Id="rId7776" Type="http://schemas.openxmlformats.org/officeDocument/2006/relationships/hyperlink" Target="https://twitter.com/tcerisier_johan" TargetMode="External"/><Relationship Id="rId8827" Type="http://schemas.openxmlformats.org/officeDocument/2006/relationships/hyperlink" Target="https://twitter.com/verlinked" TargetMode="External"/><Relationship Id="rId490" Type="http://schemas.openxmlformats.org/officeDocument/2006/relationships/hyperlink" Target="https://pbs.twimg.com/profile_images/701807284599595008/bwjAwP-P_normal.jpg" TargetMode="External"/><Relationship Id="rId2171" Type="http://schemas.openxmlformats.org/officeDocument/2006/relationships/hyperlink" Target="https://twitter.com/HDSintGroup/status/721955799203979265" TargetMode="External"/><Relationship Id="rId3222" Type="http://schemas.openxmlformats.org/officeDocument/2006/relationships/hyperlink" Target="https://pbs.twimg.com/profile_images/662589363264626688/szOJwnKv_normal.jpg" TargetMode="External"/><Relationship Id="rId6378" Type="http://schemas.openxmlformats.org/officeDocument/2006/relationships/hyperlink" Target="https://twitter.com/schliin/status/723117267404247040" TargetMode="External"/><Relationship Id="rId7429" Type="http://schemas.openxmlformats.org/officeDocument/2006/relationships/hyperlink" Target="https://twitter.com/innovationbawue" TargetMode="External"/><Relationship Id="rId143" Type="http://schemas.openxmlformats.org/officeDocument/2006/relationships/hyperlink" Target="https://twitter.com/WSWMUC/status/720519212926648320" TargetMode="External"/><Relationship Id="rId5394" Type="http://schemas.openxmlformats.org/officeDocument/2006/relationships/hyperlink" Target="https://twitter.com/rene_ziegler/status/722797693630869505" TargetMode="External"/><Relationship Id="rId6445" Type="http://schemas.openxmlformats.org/officeDocument/2006/relationships/hyperlink" Target="https://pbs.twimg.com/profile_images/1185777206/FS_normal.jpg" TargetMode="External"/><Relationship Id="rId6792" Type="http://schemas.openxmlformats.org/officeDocument/2006/relationships/hyperlink" Target="https://pbs.twimg.com/profile_images/1556232610/IMechE-YM-t_normal.jpg" TargetMode="External"/><Relationship Id="rId7843" Type="http://schemas.openxmlformats.org/officeDocument/2006/relationships/hyperlink" Target="https://twitter.com/LReehten" TargetMode="External"/><Relationship Id="rId9" Type="http://schemas.openxmlformats.org/officeDocument/2006/relationships/hyperlink" Target="https://pbs.twimg.com/profile_images/697448854355050496/WyNrK0BI_normal.jpg" TargetMode="External"/><Relationship Id="rId210" Type="http://schemas.openxmlformats.org/officeDocument/2006/relationships/hyperlink" Target="https://pbs.twimg.com/profile_images/1906449052/nw_normal.jpg" TargetMode="External"/><Relationship Id="rId2988" Type="http://schemas.openxmlformats.org/officeDocument/2006/relationships/hyperlink" Target="https://twitter.com/LokeshPayik/status/722261777317138433" TargetMode="External"/><Relationship Id="rId5047" Type="http://schemas.openxmlformats.org/officeDocument/2006/relationships/hyperlink" Target="https://twitter.com/SHC_GmbH" TargetMode="External"/><Relationship Id="rId7910" Type="http://schemas.openxmlformats.org/officeDocument/2006/relationships/hyperlink" Target="https://twitter.com/LNI40/status/723462007018631168" TargetMode="External"/><Relationship Id="rId5461" Type="http://schemas.openxmlformats.org/officeDocument/2006/relationships/hyperlink" Target="https://twitter.com/predigcorp/status/722812327922376704" TargetMode="External"/><Relationship Id="rId6512" Type="http://schemas.openxmlformats.org/officeDocument/2006/relationships/hyperlink" Target="https://twitter.com/verlinked" TargetMode="External"/><Relationship Id="rId9668" Type="http://schemas.openxmlformats.org/officeDocument/2006/relationships/hyperlink" Target="https://twitter.com/MarksMusing" TargetMode="External"/><Relationship Id="rId1657" Type="http://schemas.openxmlformats.org/officeDocument/2006/relationships/hyperlink" Target="https://twitter.com/LeasingVerband" TargetMode="External"/><Relationship Id="rId2708" Type="http://schemas.openxmlformats.org/officeDocument/2006/relationships/hyperlink" Target="https://pbs.twimg.com/profile_images/378800000095428642/8ef0ce9ca980b41ef8db86c5e546114f_normal.jpeg" TargetMode="External"/><Relationship Id="rId4063" Type="http://schemas.openxmlformats.org/officeDocument/2006/relationships/hyperlink" Target="https://pbs.twimg.com/profile_images/645209372793151490/vUfPHR0E_normal.jpg" TargetMode="External"/><Relationship Id="rId5114" Type="http://schemas.openxmlformats.org/officeDocument/2006/relationships/hyperlink" Target="https://twitter.com/MEArbeitgeber/status/722760534899236866" TargetMode="External"/><Relationship Id="rId8684" Type="http://schemas.openxmlformats.org/officeDocument/2006/relationships/hyperlink" Target="https://twitter.com/acatech_de/status/723784247366963204" TargetMode="External"/><Relationship Id="rId9735" Type="http://schemas.openxmlformats.org/officeDocument/2006/relationships/hyperlink" Target="https://twitter.com/catkinEU" TargetMode="External"/><Relationship Id="rId1724" Type="http://schemas.openxmlformats.org/officeDocument/2006/relationships/hyperlink" Target="https://twitter.com/GSonnengott/status/721331697158090752" TargetMode="External"/><Relationship Id="rId4130" Type="http://schemas.openxmlformats.org/officeDocument/2006/relationships/hyperlink" Target="https://pbs.twimg.com/profile_images/623849156159868928/BetFDR_i_normal.jpg" TargetMode="External"/><Relationship Id="rId7286" Type="http://schemas.openxmlformats.org/officeDocument/2006/relationships/hyperlink" Target="https://twitter.com/leibigtsystems/status/723392065971724290" TargetMode="External"/><Relationship Id="rId8337" Type="http://schemas.openxmlformats.org/officeDocument/2006/relationships/hyperlink" Target="https://twitter.com/Vontobel_FP_DE" TargetMode="External"/><Relationship Id="rId8751" Type="http://schemas.openxmlformats.org/officeDocument/2006/relationships/hyperlink" Target="https://pbs.twimg.com/profile_images/1829521617/Dia1_normal.jpg" TargetMode="External"/><Relationship Id="rId9802" Type="http://schemas.openxmlformats.org/officeDocument/2006/relationships/hyperlink" Target="https://twitter.com/martinruskowski" TargetMode="External"/><Relationship Id="rId10267" Type="http://schemas.openxmlformats.org/officeDocument/2006/relationships/hyperlink" Target="https://twitter.com/H_IT_D" TargetMode="External"/><Relationship Id="rId16" Type="http://schemas.openxmlformats.org/officeDocument/2006/relationships/hyperlink" Target="https://twitter.com/markherten" TargetMode="External"/><Relationship Id="rId3896" Type="http://schemas.openxmlformats.org/officeDocument/2006/relationships/hyperlink" Target="https://twitter.com/thomaswedel" TargetMode="External"/><Relationship Id="rId7353" Type="http://schemas.openxmlformats.org/officeDocument/2006/relationships/hyperlink" Target="https://twitter.com/bechtle_ag/status/723401633787322370" TargetMode="External"/><Relationship Id="rId8404" Type="http://schemas.openxmlformats.org/officeDocument/2006/relationships/hyperlink" Target="https://twitter.com/SarahHashish" TargetMode="External"/><Relationship Id="rId2498" Type="http://schemas.openxmlformats.org/officeDocument/2006/relationships/hyperlink" Target="https://twitter.com/swiertz/status/722048714500673536" TargetMode="External"/><Relationship Id="rId3549" Type="http://schemas.openxmlformats.org/officeDocument/2006/relationships/hyperlink" Target="https://twitter.com/westerbarkey/status/722374722181312514" TargetMode="External"/><Relationship Id="rId4947" Type="http://schemas.openxmlformats.org/officeDocument/2006/relationships/hyperlink" Target="https://twitter.com/EAutoPionier" TargetMode="External"/><Relationship Id="rId7006" Type="http://schemas.openxmlformats.org/officeDocument/2006/relationships/hyperlink" Target="https://twitter.com/40_Nachrichten" TargetMode="External"/><Relationship Id="rId7420" Type="http://schemas.openxmlformats.org/officeDocument/2006/relationships/hyperlink" Target="https://twitter.com/pechardscheck" TargetMode="External"/><Relationship Id="rId10334" Type="http://schemas.openxmlformats.org/officeDocument/2006/relationships/hyperlink" Target="https://twitter.com/DruckWege/status/724468906463768576" TargetMode="External"/><Relationship Id="rId3963" Type="http://schemas.openxmlformats.org/officeDocument/2006/relationships/hyperlink" Target="https://twitter.com/vopbal/status/722462066305589248" TargetMode="External"/><Relationship Id="rId6022" Type="http://schemas.openxmlformats.org/officeDocument/2006/relationships/hyperlink" Target="https://pbs.twimg.com/profile_images/712259533599580160/jLEP38YT_normal.jpg" TargetMode="External"/><Relationship Id="rId9178" Type="http://schemas.openxmlformats.org/officeDocument/2006/relationships/hyperlink" Target="https://pbs.twimg.com/profile_images/541146126158536704/IYardufS_normal.jpeg" TargetMode="External"/><Relationship Id="rId884" Type="http://schemas.openxmlformats.org/officeDocument/2006/relationships/hyperlink" Target="https://pbs.twimg.com/profile_images/458696399211606016/rUZELqAc_normal.jpeg" TargetMode="External"/><Relationship Id="rId2565" Type="http://schemas.openxmlformats.org/officeDocument/2006/relationships/hyperlink" Target="https://twitter.com/Apandia" TargetMode="External"/><Relationship Id="rId3616" Type="http://schemas.openxmlformats.org/officeDocument/2006/relationships/hyperlink" Target="https://pbs.twimg.com/profile_images/645716711723925506/t5G0qOS6_normal.jpg" TargetMode="External"/><Relationship Id="rId8194" Type="http://schemas.openxmlformats.org/officeDocument/2006/relationships/hyperlink" Target="https://twitter.com/croXXing_IBD/status/723510059007881216" TargetMode="External"/><Relationship Id="rId9592" Type="http://schemas.openxmlformats.org/officeDocument/2006/relationships/hyperlink" Target="https://pbs.twimg.com/profile_images/723407487395713024/0hZv7R8S_normal.jpg" TargetMode="External"/><Relationship Id="rId537" Type="http://schemas.openxmlformats.org/officeDocument/2006/relationships/hyperlink" Target="https://twitter.com/beSoLoMo/status/720615339596378112" TargetMode="External"/><Relationship Id="rId951" Type="http://schemas.openxmlformats.org/officeDocument/2006/relationships/hyperlink" Target="https://twitter.com/JuLoewe" TargetMode="External"/><Relationship Id="rId1167" Type="http://schemas.openxmlformats.org/officeDocument/2006/relationships/hyperlink" Target="https://pbs.twimg.com/profile_images/1640880350/SAPMentor2012-512_normal.jpg" TargetMode="External"/><Relationship Id="rId1581" Type="http://schemas.openxmlformats.org/officeDocument/2006/relationships/hyperlink" Target="https://pbs.twimg.com/profile_images/690172121973145601/pudiMkyd_normal.jpg" TargetMode="External"/><Relationship Id="rId2218" Type="http://schemas.openxmlformats.org/officeDocument/2006/relationships/hyperlink" Target="https://twitter.com/INDIZbot" TargetMode="External"/><Relationship Id="rId2632" Type="http://schemas.openxmlformats.org/officeDocument/2006/relationships/hyperlink" Target="https://pbs.twimg.com/profile_images/553544845340311554/4WJwvjGd_normal.png" TargetMode="External"/><Relationship Id="rId5788" Type="http://schemas.openxmlformats.org/officeDocument/2006/relationships/hyperlink" Target="https://twitter.com/viermac/status/723041929156419586" TargetMode="External"/><Relationship Id="rId6839" Type="http://schemas.openxmlformats.org/officeDocument/2006/relationships/hyperlink" Target="https://twitter.com/IoTExperten/status/723179254465323008" TargetMode="External"/><Relationship Id="rId9245" Type="http://schemas.openxmlformats.org/officeDocument/2006/relationships/hyperlink" Target="https://twitter.com/MichaelMelzig" TargetMode="External"/><Relationship Id="rId604" Type="http://schemas.openxmlformats.org/officeDocument/2006/relationships/hyperlink" Target="https://pbs.twimg.com/profile_images/690957065490161664/Nat2upS4_normal.jpg" TargetMode="External"/><Relationship Id="rId1234" Type="http://schemas.openxmlformats.org/officeDocument/2006/relationships/hyperlink" Target="https://twitter.com/HDSintGroup" TargetMode="External"/><Relationship Id="rId5855" Type="http://schemas.openxmlformats.org/officeDocument/2006/relationships/hyperlink" Target="https://twitter.com/reanvent" TargetMode="External"/><Relationship Id="rId6906" Type="http://schemas.openxmlformats.org/officeDocument/2006/relationships/hyperlink" Target="https://pbs.twimg.com/profile_images/613472305570824192/BKw639DG_normal.png" TargetMode="External"/><Relationship Id="rId8261" Type="http://schemas.openxmlformats.org/officeDocument/2006/relationships/hyperlink" Target="https://pbs.twimg.com/profile_images/560461983569305600/DFEfj2pV_normal.jpeg" TargetMode="External"/><Relationship Id="rId9312" Type="http://schemas.openxmlformats.org/officeDocument/2006/relationships/hyperlink" Target="https://twitter.com/derdawoso/status/724135686421536768" TargetMode="External"/><Relationship Id="rId10191" Type="http://schemas.openxmlformats.org/officeDocument/2006/relationships/hyperlink" Target="https://pbs.twimg.com/profile_images/578646264901955584/8ueJh3EI_normal.jpeg" TargetMode="External"/><Relationship Id="rId1301" Type="http://schemas.openxmlformats.org/officeDocument/2006/relationships/hyperlink" Target="https://twitter.com/DelconRelays/status/720947786791919616" TargetMode="External"/><Relationship Id="rId4457" Type="http://schemas.openxmlformats.org/officeDocument/2006/relationships/hyperlink" Target="https://twitter.com/automatisierer/status/722696390024032256" TargetMode="External"/><Relationship Id="rId5508" Type="http://schemas.openxmlformats.org/officeDocument/2006/relationships/hyperlink" Target="https://twitter.com/EpicsBot" TargetMode="External"/><Relationship Id="rId3059" Type="http://schemas.openxmlformats.org/officeDocument/2006/relationships/hyperlink" Target="https://pbs.twimg.com/profile_images/566892914551558144/I5gD850E_normal.jpeg" TargetMode="External"/><Relationship Id="rId3473" Type="http://schemas.openxmlformats.org/officeDocument/2006/relationships/hyperlink" Target="https://twitter.com/FM_Elektro" TargetMode="External"/><Relationship Id="rId4524" Type="http://schemas.openxmlformats.org/officeDocument/2006/relationships/hyperlink" Target="https://twitter.com/acquisa" TargetMode="External"/><Relationship Id="rId4871" Type="http://schemas.openxmlformats.org/officeDocument/2006/relationships/hyperlink" Target="https://pbs.twimg.com/profile_images/687630441893900288/RvOaRxIg_normal.jpg" TargetMode="External"/><Relationship Id="rId5922" Type="http://schemas.openxmlformats.org/officeDocument/2006/relationships/hyperlink" Target="https://twitter.com/INDIZbot/status/723061721259237376" TargetMode="External"/><Relationship Id="rId394" Type="http://schemas.openxmlformats.org/officeDocument/2006/relationships/hyperlink" Target="https://twitter.com/MeinGeldMedien" TargetMode="External"/><Relationship Id="rId2075" Type="http://schemas.openxmlformats.org/officeDocument/2006/relationships/hyperlink" Target="https://pbs.twimg.com/profile_images/3629676660/36f6e8f9de85dccd7d197d4bdafad372_normal.jpeg" TargetMode="External"/><Relationship Id="rId3126" Type="http://schemas.openxmlformats.org/officeDocument/2006/relationships/hyperlink" Target="https://twitter.com/LReehten" TargetMode="External"/><Relationship Id="rId1091" Type="http://schemas.openxmlformats.org/officeDocument/2006/relationships/hyperlink" Target="https://twitter.com/DieLinkeKVKNO/status/720899604313714689" TargetMode="External"/><Relationship Id="rId3540" Type="http://schemas.openxmlformats.org/officeDocument/2006/relationships/hyperlink" Target="https://twitter.com/HEATSoftwareDE/status/722374169921523712" TargetMode="External"/><Relationship Id="rId5298" Type="http://schemas.openxmlformats.org/officeDocument/2006/relationships/hyperlink" Target="https://abs.twimg.com/sticky/default_profile_images/default_profile_2_normal.png" TargetMode="External"/><Relationship Id="rId6696" Type="http://schemas.openxmlformats.org/officeDocument/2006/relationships/hyperlink" Target="https://pbs.twimg.com/profile_images/694165875960717312/CoEHMkw6_normal.png" TargetMode="External"/><Relationship Id="rId7747" Type="http://schemas.openxmlformats.org/officeDocument/2006/relationships/hyperlink" Target="https://twitter.com/konsultwerk/status/723430086188273665" TargetMode="External"/><Relationship Id="rId114" Type="http://schemas.openxmlformats.org/officeDocument/2006/relationships/hyperlink" Target="https://pbs.twimg.com/profile_images/708237012436971520/D10uG94A_normal.jpg" TargetMode="External"/><Relationship Id="rId461" Type="http://schemas.openxmlformats.org/officeDocument/2006/relationships/hyperlink" Target="https://twitter.com/EmreKayadelen2/status/720598356557500416" TargetMode="External"/><Relationship Id="rId2142" Type="http://schemas.openxmlformats.org/officeDocument/2006/relationships/hyperlink" Target="https://pbs.twimg.com/profile_images/645716711723925506/t5G0qOS6_normal.jpg" TargetMode="External"/><Relationship Id="rId6349" Type="http://schemas.openxmlformats.org/officeDocument/2006/relationships/hyperlink" Target="https://twitter.com/ROKAutoCHDE" TargetMode="External"/><Relationship Id="rId6763" Type="http://schemas.openxmlformats.org/officeDocument/2006/relationships/hyperlink" Target="https://twitter.com/Philippa_IMechE" TargetMode="External"/><Relationship Id="rId7814" Type="http://schemas.openxmlformats.org/officeDocument/2006/relationships/hyperlink" Target="https://twitter.com/iObeya/status/723440983703056384" TargetMode="External"/><Relationship Id="rId2959" Type="http://schemas.openxmlformats.org/officeDocument/2006/relationships/hyperlink" Target="https://pbs.twimg.com/profile_images/591951396217327616/HbcCX2zX_normal.png" TargetMode="External"/><Relationship Id="rId5365" Type="http://schemas.openxmlformats.org/officeDocument/2006/relationships/hyperlink" Target="https://pbs.twimg.com/profile_images/1985145006/WidasConceptsLogo_Twitter_normal.png" TargetMode="External"/><Relationship Id="rId6416" Type="http://schemas.openxmlformats.org/officeDocument/2006/relationships/hyperlink" Target="https://twitter.com/fhnw_i4ds" TargetMode="External"/><Relationship Id="rId6830" Type="http://schemas.openxmlformats.org/officeDocument/2006/relationships/hyperlink" Target="https://twitter.com/Bitkom_I40/status/723179014462935040" TargetMode="External"/><Relationship Id="rId9986" Type="http://schemas.openxmlformats.org/officeDocument/2006/relationships/hyperlink" Target="https://twitter.com/INDIZbot/status/724292335673204736" TargetMode="External"/><Relationship Id="rId4381" Type="http://schemas.openxmlformats.org/officeDocument/2006/relationships/hyperlink" Target="https://twitter.com/enormgruen/status/722684566608207872" TargetMode="External"/><Relationship Id="rId5018" Type="http://schemas.openxmlformats.org/officeDocument/2006/relationships/hyperlink" Target="https://twitter.com/smarasek/status/722749354130411521" TargetMode="External"/><Relationship Id="rId5432" Type="http://schemas.openxmlformats.org/officeDocument/2006/relationships/hyperlink" Target="https://twitter.com/IT2Industry" TargetMode="External"/><Relationship Id="rId8588" Type="http://schemas.openxmlformats.org/officeDocument/2006/relationships/hyperlink" Target="https://twitter.com/iotsecurity2/status/723759183628275712" TargetMode="External"/><Relationship Id="rId9639" Type="http://schemas.openxmlformats.org/officeDocument/2006/relationships/hyperlink" Target="https://twitter.com/INDIZbot/status/724224164719144960" TargetMode="External"/><Relationship Id="rId1628" Type="http://schemas.openxmlformats.org/officeDocument/2006/relationships/hyperlink" Target="https://twitter.com/Planer4U/status/721249768710791168" TargetMode="External"/><Relationship Id="rId1975" Type="http://schemas.openxmlformats.org/officeDocument/2006/relationships/hyperlink" Target="https://twitter.com/H_IT_D/status/721686949140897794" TargetMode="External"/><Relationship Id="rId4034" Type="http://schemas.openxmlformats.org/officeDocument/2006/relationships/hyperlink" Target="https://twitter.com/syntecnumerique" TargetMode="External"/><Relationship Id="rId8655" Type="http://schemas.openxmlformats.org/officeDocument/2006/relationships/hyperlink" Target="https://pbs.twimg.com/profile_images/645716711723925506/t5G0qOS6_normal.jpg" TargetMode="External"/><Relationship Id="rId3050" Type="http://schemas.openxmlformats.org/officeDocument/2006/relationships/hyperlink" Target="https://pbs.twimg.com/profile_images/651750095508086786/7EobC7Vn_normal.jpg" TargetMode="External"/><Relationship Id="rId4101" Type="http://schemas.openxmlformats.org/officeDocument/2006/relationships/hyperlink" Target="https://twitter.com/CloarecMark_Tec" TargetMode="External"/><Relationship Id="rId7257" Type="http://schemas.openxmlformats.org/officeDocument/2006/relationships/hyperlink" Target="https://pbs.twimg.com/profile_images/560799766007664640/lsjqv0TW_normal.jpeg" TargetMode="External"/><Relationship Id="rId8308" Type="http://schemas.openxmlformats.org/officeDocument/2006/relationships/hyperlink" Target="https://twitter.com/DullerMarco/status/723529059632877568" TargetMode="External"/><Relationship Id="rId9706" Type="http://schemas.openxmlformats.org/officeDocument/2006/relationships/hyperlink" Target="https://pbs.twimg.com/profile_images/486066079261655040/uyhY_MQH_normal.jpeg" TargetMode="External"/><Relationship Id="rId7671" Type="http://schemas.openxmlformats.org/officeDocument/2006/relationships/hyperlink" Target="https://twitter.com/NRWEuropa" TargetMode="External"/><Relationship Id="rId8722" Type="http://schemas.openxmlformats.org/officeDocument/2006/relationships/hyperlink" Target="https://twitter.com/nowanda1" TargetMode="External"/><Relationship Id="rId10238" Type="http://schemas.openxmlformats.org/officeDocument/2006/relationships/hyperlink" Target="https://twitter.com/INDIZbot/status/724380185508872193" TargetMode="External"/><Relationship Id="rId3867" Type="http://schemas.openxmlformats.org/officeDocument/2006/relationships/hyperlink" Target="https://twitter.com/Perk_ocet21/status/722444291356758016" TargetMode="External"/><Relationship Id="rId4918" Type="http://schemas.openxmlformats.org/officeDocument/2006/relationships/hyperlink" Target="https://twitter.com/MaikPlischke/status/722736142135599104" TargetMode="External"/><Relationship Id="rId6273" Type="http://schemas.openxmlformats.org/officeDocument/2006/relationships/hyperlink" Target="https://twitter.com/SGE/status/723099744285896705" TargetMode="External"/><Relationship Id="rId7324" Type="http://schemas.openxmlformats.org/officeDocument/2006/relationships/hyperlink" Target="https://pbs.twimg.com/profile_images/616871511236997121/YFo9usbN_normal.png" TargetMode="External"/><Relationship Id="rId10305" Type="http://schemas.openxmlformats.org/officeDocument/2006/relationships/hyperlink" Target="https://pbs.twimg.com/profile_images/645716711723925506/t5G0qOS6_normal.jpg" TargetMode="External"/><Relationship Id="rId788" Type="http://schemas.openxmlformats.org/officeDocument/2006/relationships/hyperlink" Target="https://twitter.com/AgnesGrange" TargetMode="External"/><Relationship Id="rId2469" Type="http://schemas.openxmlformats.org/officeDocument/2006/relationships/hyperlink" Target="https://pbs.twimg.com/profile_images/595629691249233920/PnZxF5UO_normal.jpg" TargetMode="External"/><Relationship Id="rId2883" Type="http://schemas.openxmlformats.org/officeDocument/2006/relationships/hyperlink" Target="http://dustcloud.io/" TargetMode="External"/><Relationship Id="rId3934" Type="http://schemas.openxmlformats.org/officeDocument/2006/relationships/hyperlink" Target="https://pbs.twimg.com/profile_images/419443300631064576/z6p0EaBD_normal.jpeg" TargetMode="External"/><Relationship Id="rId6340" Type="http://schemas.openxmlformats.org/officeDocument/2006/relationships/hyperlink" Target="https://twitter.com/INDIZbot" TargetMode="External"/><Relationship Id="rId9496" Type="http://schemas.openxmlformats.org/officeDocument/2006/relationships/hyperlink" Target="https://pbs.twimg.com/profile_images/704353771820859392/r_-n_rEz_normal.jpg" TargetMode="External"/><Relationship Id="rId855" Type="http://schemas.openxmlformats.org/officeDocument/2006/relationships/hyperlink" Target="https://twitter.com/nicolaikr" TargetMode="External"/><Relationship Id="rId1485" Type="http://schemas.openxmlformats.org/officeDocument/2006/relationships/hyperlink" Target="https://pbs.twimg.com/profile_images/662723326096224256/5V4KH9_O_normal.jpg" TargetMode="External"/><Relationship Id="rId2536" Type="http://schemas.openxmlformats.org/officeDocument/2006/relationships/hyperlink" Target="https://twitter.com/Yannick_IoT/status/722054259928408064" TargetMode="External"/><Relationship Id="rId8098" Type="http://schemas.openxmlformats.org/officeDocument/2006/relationships/hyperlink" Target="https://pbs.twimg.com/profile_images/552211771360940032/CmEYO0l3_normal.png" TargetMode="External"/><Relationship Id="rId9149" Type="http://schemas.openxmlformats.org/officeDocument/2006/relationships/hyperlink" Target="https://twitter.com/MarinerLLC" TargetMode="External"/><Relationship Id="rId9563" Type="http://schemas.openxmlformats.org/officeDocument/2006/relationships/hyperlink" Target="https://twitter.com/RolandBent" TargetMode="External"/><Relationship Id="rId508" Type="http://schemas.openxmlformats.org/officeDocument/2006/relationships/hyperlink" Target="https://pbs.twimg.com/profile_images/711209126039146496/EGZvHaKr_normal.jpg" TargetMode="External"/><Relationship Id="rId922" Type="http://schemas.openxmlformats.org/officeDocument/2006/relationships/hyperlink" Target="https://twitter.com/MichaelleSalmon/status/720867466264444928" TargetMode="External"/><Relationship Id="rId1138" Type="http://schemas.openxmlformats.org/officeDocument/2006/relationships/hyperlink" Target="https://twitter.com/blisslogixIT" TargetMode="External"/><Relationship Id="rId1552" Type="http://schemas.openxmlformats.org/officeDocument/2006/relationships/hyperlink" Target="https://twitter.com/INDIZbot" TargetMode="External"/><Relationship Id="rId2603" Type="http://schemas.openxmlformats.org/officeDocument/2006/relationships/hyperlink" Target="https://twitter.com/INDIZbot/status/722067640060141568" TargetMode="External"/><Relationship Id="rId2950" Type="http://schemas.openxmlformats.org/officeDocument/2006/relationships/hyperlink" Target="https://pbs.twimg.com/profile_images/507504284364046336/ptuuw46i_normal.png" TargetMode="External"/><Relationship Id="rId5759" Type="http://schemas.openxmlformats.org/officeDocument/2006/relationships/hyperlink" Target="https://pbs.twimg.com/profile_images/692017435269054464/uFlgRwyV_normal.jpg" TargetMode="External"/><Relationship Id="rId8165" Type="http://schemas.openxmlformats.org/officeDocument/2006/relationships/hyperlink" Target="https://twitter.com/aconext" TargetMode="External"/><Relationship Id="rId9216" Type="http://schemas.openxmlformats.org/officeDocument/2006/relationships/hyperlink" Target="https://twitter.com/s_crazyshin/status/723986443287314432" TargetMode="External"/><Relationship Id="rId9630" Type="http://schemas.openxmlformats.org/officeDocument/2006/relationships/hyperlink" Target="https://twitter.com/pierremdm/status/724221622912208897" TargetMode="External"/><Relationship Id="rId10095" Type="http://schemas.openxmlformats.org/officeDocument/2006/relationships/hyperlink" Target="https://pbs.twimg.com/profile_images/541146126158536704/IYardufS_normal.jpeg" TargetMode="External"/><Relationship Id="rId1205" Type="http://schemas.openxmlformats.org/officeDocument/2006/relationships/hyperlink" Target="https://twitter.com/Celyn_david/status/720921734753480704" TargetMode="External"/><Relationship Id="rId7181" Type="http://schemas.openxmlformats.org/officeDocument/2006/relationships/hyperlink" Target="https://twitter.com/germanbirdy/status/723373197110874112" TargetMode="External"/><Relationship Id="rId8232" Type="http://schemas.openxmlformats.org/officeDocument/2006/relationships/hyperlink" Target="https://twitter.com/Frank_Reinelt" TargetMode="External"/><Relationship Id="rId3377" Type="http://schemas.openxmlformats.org/officeDocument/2006/relationships/hyperlink" Target="https://twitter.com/Frank_Reinelt" TargetMode="External"/><Relationship Id="rId4775" Type="http://schemas.openxmlformats.org/officeDocument/2006/relationships/hyperlink" Target="https://pbs.twimg.com/profile_images/678330336254783490/oGmDYFuf_normal.jpg" TargetMode="External"/><Relationship Id="rId5826" Type="http://schemas.openxmlformats.org/officeDocument/2006/relationships/hyperlink" Target="https://pbs.twimg.com/profile_images/665798535779065856/sbUN3m6Q_normal.jpg" TargetMode="External"/><Relationship Id="rId10162" Type="http://schemas.openxmlformats.org/officeDocument/2006/relationships/hyperlink" Target="https://twitter.com/xtstuttgart" TargetMode="External"/><Relationship Id="rId298" Type="http://schemas.openxmlformats.org/officeDocument/2006/relationships/hyperlink" Target="https://twitter.com/INDIZbot" TargetMode="External"/><Relationship Id="rId3791" Type="http://schemas.openxmlformats.org/officeDocument/2006/relationships/hyperlink" Target="https://twitter.com/kommoptimierer" TargetMode="External"/><Relationship Id="rId4428" Type="http://schemas.openxmlformats.org/officeDocument/2006/relationships/hyperlink" Target="https://twitter.com/IccNewsKultur" TargetMode="External"/><Relationship Id="rId4842" Type="http://schemas.openxmlformats.org/officeDocument/2006/relationships/hyperlink" Target="https://twitter.com/VhUHessen" TargetMode="External"/><Relationship Id="rId7998" Type="http://schemas.openxmlformats.org/officeDocument/2006/relationships/hyperlink" Target="https://twitter.com/INDIZbot/status/723477040385634304" TargetMode="External"/><Relationship Id="rId2393" Type="http://schemas.openxmlformats.org/officeDocument/2006/relationships/hyperlink" Target="https://twitter.com/BetzOliver/status/722010486636720128" TargetMode="External"/><Relationship Id="rId3444" Type="http://schemas.openxmlformats.org/officeDocument/2006/relationships/hyperlink" Target="https://twitter.com/Stella_Vaskoudi/status/722359811938119680" TargetMode="External"/><Relationship Id="rId365" Type="http://schemas.openxmlformats.org/officeDocument/2006/relationships/hyperlink" Target="https://twitter.com/IT_Connection/status/720566974993035264" TargetMode="External"/><Relationship Id="rId2046" Type="http://schemas.openxmlformats.org/officeDocument/2006/relationships/hyperlink" Target="https://twitter.com/kommoptimierer" TargetMode="External"/><Relationship Id="rId2460" Type="http://schemas.openxmlformats.org/officeDocument/2006/relationships/hyperlink" Target="https://pbs.twimg.com/profile_images/3272942436/c3c4e0a9a2b4666270086c4edabb99d2_normal.jpeg" TargetMode="External"/><Relationship Id="rId3511" Type="http://schemas.openxmlformats.org/officeDocument/2006/relationships/hyperlink" Target="https://pbs.twimg.com/profile_images/557581621725908992/S7PfOb5r_normal.png" TargetMode="External"/><Relationship Id="rId6667" Type="http://schemas.openxmlformats.org/officeDocument/2006/relationships/hyperlink" Target="https://twitter.com/JFPlusquellec" TargetMode="External"/><Relationship Id="rId7718" Type="http://schemas.openxmlformats.org/officeDocument/2006/relationships/hyperlink" Target="https://pbs.twimg.com/profile_images/470826247132438529/xf6oFNFR_normal.jpeg" TargetMode="External"/><Relationship Id="rId9073" Type="http://schemas.openxmlformats.org/officeDocument/2006/relationships/hyperlink" Target="https://pbs.twimg.com/profile_images/645716711723925506/t5G0qOS6_normal.jpg" TargetMode="External"/><Relationship Id="rId432" Type="http://schemas.openxmlformats.org/officeDocument/2006/relationships/hyperlink" Target="https://pbs.twimg.com/profile_images/634361054064041984/Aq94Wi5i_normal.jpg" TargetMode="External"/><Relationship Id="rId1062" Type="http://schemas.openxmlformats.org/officeDocument/2006/relationships/hyperlink" Target="https://pbs.twimg.com/profile_images/672343322632024064/4z8q3pp4_normal.jpg" TargetMode="External"/><Relationship Id="rId2113" Type="http://schemas.openxmlformats.org/officeDocument/2006/relationships/hyperlink" Target="https://twitter.com/INDIZbot/status/721931600951250944" TargetMode="External"/><Relationship Id="rId5269" Type="http://schemas.openxmlformats.org/officeDocument/2006/relationships/hyperlink" Target="https://twitter.com/NRWinEU" TargetMode="External"/><Relationship Id="rId5683" Type="http://schemas.openxmlformats.org/officeDocument/2006/relationships/hyperlink" Target="https://twitter.com/INDIZbot/status/722928118890110977" TargetMode="External"/><Relationship Id="rId6734" Type="http://schemas.openxmlformats.org/officeDocument/2006/relationships/hyperlink" Target="https://twitter.com/CreativeConstr/status/723166435497922560" TargetMode="External"/><Relationship Id="rId9140" Type="http://schemas.openxmlformats.org/officeDocument/2006/relationships/hyperlink" Target="https://twitter.com/startupkanal" TargetMode="External"/><Relationship Id="rId4285" Type="http://schemas.openxmlformats.org/officeDocument/2006/relationships/hyperlink" Target="https://twitter.com/mediengerecht/status/722651972252409859" TargetMode="External"/><Relationship Id="rId5336" Type="http://schemas.openxmlformats.org/officeDocument/2006/relationships/hyperlink" Target="https://twitter.com/BoschPresse/status/722791829532446721" TargetMode="External"/><Relationship Id="rId1879" Type="http://schemas.openxmlformats.org/officeDocument/2006/relationships/hyperlink" Target="https://pbs.twimg.com/profile_images/507399803509026816/KdF-WSKm_normal.jpeg" TargetMode="External"/><Relationship Id="rId5750" Type="http://schemas.openxmlformats.org/officeDocument/2006/relationships/hyperlink" Target="https://pbs.twimg.com/profile_images/718079596034449412/I-W1Ldpd_normal.jpg" TargetMode="External"/><Relationship Id="rId6801" Type="http://schemas.openxmlformats.org/officeDocument/2006/relationships/hyperlink" Target="https://pbs.twimg.com/profile_images/576811691255599105/UYnWKLB6_normal.jpeg" TargetMode="External"/><Relationship Id="rId9957" Type="http://schemas.openxmlformats.org/officeDocument/2006/relationships/hyperlink" Target="https://pbs.twimg.com/profile_images/692344591224283136/av-sU8ij_normal.png" TargetMode="External"/><Relationship Id="rId1946" Type="http://schemas.openxmlformats.org/officeDocument/2006/relationships/hyperlink" Target="https://twitter.com/HonMovies" TargetMode="External"/><Relationship Id="rId4005" Type="http://schemas.openxmlformats.org/officeDocument/2006/relationships/hyperlink" Target="https://twitter.com/TUslaender/status/722470175996579840" TargetMode="External"/><Relationship Id="rId4352" Type="http://schemas.openxmlformats.org/officeDocument/2006/relationships/hyperlink" Target="https://pbs.twimg.com/profile_images/548030384030507008/utABqhj9_normal.png" TargetMode="External"/><Relationship Id="rId5403" Type="http://schemas.openxmlformats.org/officeDocument/2006/relationships/hyperlink" Target="https://twitter.com/OasysSW/status/722798057142661120" TargetMode="External"/><Relationship Id="rId8559" Type="http://schemas.openxmlformats.org/officeDocument/2006/relationships/hyperlink" Target="https://pbs.twimg.com/profile_images/645716711723925506/t5G0qOS6_normal.jpg" TargetMode="External"/><Relationship Id="rId8973" Type="http://schemas.openxmlformats.org/officeDocument/2006/relationships/hyperlink" Target="https://pbs.twimg.com/profile_images/645716711723925506/t5G0qOS6_normal.jpg" TargetMode="External"/><Relationship Id="rId7575" Type="http://schemas.openxmlformats.org/officeDocument/2006/relationships/hyperlink" Target="https://twitter.com/verbalis_" TargetMode="External"/><Relationship Id="rId8626" Type="http://schemas.openxmlformats.org/officeDocument/2006/relationships/hyperlink" Target="https://twitter.com/heg72" TargetMode="External"/><Relationship Id="rId3021" Type="http://schemas.openxmlformats.org/officeDocument/2006/relationships/hyperlink" Target="https://twitter.com/catkinEU" TargetMode="External"/><Relationship Id="rId6177" Type="http://schemas.openxmlformats.org/officeDocument/2006/relationships/hyperlink" Target="https://twitter.com/Bridge_imp" TargetMode="External"/><Relationship Id="rId6591" Type="http://schemas.openxmlformats.org/officeDocument/2006/relationships/hyperlink" Target="https://twitter.com/BE_DACH" TargetMode="External"/><Relationship Id="rId7228" Type="http://schemas.openxmlformats.org/officeDocument/2006/relationships/hyperlink" Target="https://twitter.com/OpitzOliver" TargetMode="External"/><Relationship Id="rId7642" Type="http://schemas.openxmlformats.org/officeDocument/2006/relationships/hyperlink" Target="https://twitter.com/LeasingVerband/status/723421666940874752" TargetMode="External"/><Relationship Id="rId10209" Type="http://schemas.openxmlformats.org/officeDocument/2006/relationships/hyperlink" Target="https://pbs.twimg.com/profile_images/604852979888353280/bPLJGs-u_normal.jpg" TargetMode="External"/><Relationship Id="rId2787" Type="http://schemas.openxmlformats.org/officeDocument/2006/relationships/hyperlink" Target="https://twitter.com/CloudExpoWire" TargetMode="External"/><Relationship Id="rId3838" Type="http://schemas.openxmlformats.org/officeDocument/2006/relationships/hyperlink" Target="https://pbs.twimg.com/profile_images/561208179355185153/11KDu7Gt_normal.png" TargetMode="External"/><Relationship Id="rId5193" Type="http://schemas.openxmlformats.org/officeDocument/2006/relationships/hyperlink" Target="https://twitter.com/Bitkom_I40" TargetMode="External"/><Relationship Id="rId6244" Type="http://schemas.openxmlformats.org/officeDocument/2006/relationships/hyperlink" Target="https://twitter.com/AnnaWypior" TargetMode="External"/><Relationship Id="rId759" Type="http://schemas.openxmlformats.org/officeDocument/2006/relationships/hyperlink" Target="https://twitter.com/kommoptimierer/status/720704435404554245" TargetMode="External"/><Relationship Id="rId1389" Type="http://schemas.openxmlformats.org/officeDocument/2006/relationships/hyperlink" Target="https://twitter.com/wilfriedhoge/status/720986033542795264" TargetMode="External"/><Relationship Id="rId5260" Type="http://schemas.openxmlformats.org/officeDocument/2006/relationships/hyperlink" Target="https://twitter.com/SECbuddy_de" TargetMode="External"/><Relationship Id="rId6311" Type="http://schemas.openxmlformats.org/officeDocument/2006/relationships/hyperlink" Target="https://pbs.twimg.com/profile_images/606758558391246848/OeI4jq0j_normal.jpg" TargetMode="External"/><Relationship Id="rId9467" Type="http://schemas.openxmlformats.org/officeDocument/2006/relationships/hyperlink" Target="https://twitter.com/MartinGaedt" TargetMode="External"/><Relationship Id="rId2854" Type="http://schemas.openxmlformats.org/officeDocument/2006/relationships/hyperlink" Target="https://twitter.com/bianalyticsinc/status/722138838211162112" TargetMode="External"/><Relationship Id="rId3905" Type="http://schemas.openxmlformats.org/officeDocument/2006/relationships/hyperlink" Target="https://twitter.com/INDIZbot" TargetMode="External"/><Relationship Id="rId8069" Type="http://schemas.openxmlformats.org/officeDocument/2006/relationships/hyperlink" Target="https://twitter.com/LReehten" TargetMode="External"/><Relationship Id="rId8483" Type="http://schemas.openxmlformats.org/officeDocument/2006/relationships/hyperlink" Target="https://twitter.com/JulijanaRistov/status/723599246226784256" TargetMode="External"/><Relationship Id="rId9881" Type="http://schemas.openxmlformats.org/officeDocument/2006/relationships/hyperlink" Target="https://twitter.com/tuevnordpolitik/status/724274812420501504" TargetMode="External"/><Relationship Id="rId95" Type="http://schemas.openxmlformats.org/officeDocument/2006/relationships/hyperlink" Target="https://twitter.com/natbxltec/status/720511377010532352" TargetMode="External"/><Relationship Id="rId826" Type="http://schemas.openxmlformats.org/officeDocument/2006/relationships/hyperlink" Target="https://twitter.com/bamitav/status/720824880870989825" TargetMode="External"/><Relationship Id="rId1109" Type="http://schemas.openxmlformats.org/officeDocument/2006/relationships/hyperlink" Target="https://twitter.com/Becker_AnnaLisa/status/720901083380453376" TargetMode="External"/><Relationship Id="rId1456" Type="http://schemas.openxmlformats.org/officeDocument/2006/relationships/hyperlink" Target="https://twitter.com/deviceWISEM2M" TargetMode="External"/><Relationship Id="rId1870" Type="http://schemas.openxmlformats.org/officeDocument/2006/relationships/hyperlink" Target="https://pbs.twimg.com/profile_images/645716711723925506/t5G0qOS6_normal.jpg" TargetMode="External"/><Relationship Id="rId2507" Type="http://schemas.openxmlformats.org/officeDocument/2006/relationships/hyperlink" Target="https://twitter.com/cccsoftwaregmbh/status/722049801190252544" TargetMode="External"/><Relationship Id="rId2921" Type="http://schemas.openxmlformats.org/officeDocument/2006/relationships/hyperlink" Target="https://twitter.com/BigDataTweetBot" TargetMode="External"/><Relationship Id="rId7085" Type="http://schemas.openxmlformats.org/officeDocument/2006/relationships/hyperlink" Target="https://twitter.com/LOSTnFOUNDAG/status/723250865063247872" TargetMode="External"/><Relationship Id="rId8136" Type="http://schemas.openxmlformats.org/officeDocument/2006/relationships/hyperlink" Target="https://twitter.com/CapgeminiDE/status/723499277113282560" TargetMode="External"/><Relationship Id="rId9534" Type="http://schemas.openxmlformats.org/officeDocument/2006/relationships/hyperlink" Target="https://twitter.com/FERCHAU/status/724194986607161344" TargetMode="External"/><Relationship Id="rId1523" Type="http://schemas.openxmlformats.org/officeDocument/2006/relationships/hyperlink" Target="https://twitter.com/PMiekautsch/status/721057234113929216" TargetMode="External"/><Relationship Id="rId4679" Type="http://schemas.openxmlformats.org/officeDocument/2006/relationships/hyperlink" Target="https://pbs.twimg.com/profile_images/378800000730169702/55f82a9488f9b8b9ad44de17e41286d4_normal.jpeg" TargetMode="External"/><Relationship Id="rId8550" Type="http://schemas.openxmlformats.org/officeDocument/2006/relationships/hyperlink" Target="https://pbs.twimg.com/profile_images/692017435269054464/uFlgRwyV_normal.jpg" TargetMode="External"/><Relationship Id="rId9601" Type="http://schemas.openxmlformats.org/officeDocument/2006/relationships/hyperlink" Target="https://pbs.twimg.com/profile_images/723407487395713024/0hZv7R8S_normal.jpg" TargetMode="External"/><Relationship Id="rId10066" Type="http://schemas.openxmlformats.org/officeDocument/2006/relationships/hyperlink" Target="https://twitter.com/INDIZbot" TargetMode="External"/><Relationship Id="rId3695" Type="http://schemas.openxmlformats.org/officeDocument/2006/relationships/hyperlink" Target="https://twitter.com/DIN_Norm" TargetMode="External"/><Relationship Id="rId4746" Type="http://schemas.openxmlformats.org/officeDocument/2006/relationships/hyperlink" Target="https://twitter.com/1ironbark1" TargetMode="External"/><Relationship Id="rId7152" Type="http://schemas.openxmlformats.org/officeDocument/2006/relationships/hyperlink" Target="https://pbs.twimg.com/profile_images/616793252524650496/bQbxJqmz_normal.jpg" TargetMode="External"/><Relationship Id="rId8203" Type="http://schemas.openxmlformats.org/officeDocument/2006/relationships/hyperlink" Target="https://twitter.com/ITK_OWL/status/723511066278375424" TargetMode="External"/><Relationship Id="rId10133" Type="http://schemas.openxmlformats.org/officeDocument/2006/relationships/hyperlink" Target="https://twitter.com/sallyafrank/status/724344134803292161" TargetMode="External"/><Relationship Id="rId2297" Type="http://schemas.openxmlformats.org/officeDocument/2006/relationships/hyperlink" Target="https://pbs.twimg.com/profile_images/616793252524650496/bQbxJqmz_normal.jpg" TargetMode="External"/><Relationship Id="rId3348" Type="http://schemas.openxmlformats.org/officeDocument/2006/relationships/hyperlink" Target="https://pbs.twimg.com/profile_images/669853588152283137/mqKB9aP__normal.jpg" TargetMode="External"/><Relationship Id="rId3762" Type="http://schemas.openxmlformats.org/officeDocument/2006/relationships/hyperlink" Target="https://twitter.com/INDIZbot/status/722417576404496385" TargetMode="External"/><Relationship Id="rId4813" Type="http://schemas.openxmlformats.org/officeDocument/2006/relationships/hyperlink" Target="https://twitter.com/FabianMeisinger/status/722721882970177536" TargetMode="External"/><Relationship Id="rId7969" Type="http://schemas.openxmlformats.org/officeDocument/2006/relationships/hyperlink" Target="https://pbs.twimg.com/profile_images/3726440228/9ba49ccb938cf571b195e3e83a4e1327_normal.jpeg" TargetMode="External"/><Relationship Id="rId10200" Type="http://schemas.openxmlformats.org/officeDocument/2006/relationships/hyperlink" Target="https://pbs.twimg.com/profile_images/518189608098869249/udoveSaH_normal.jpeg" TargetMode="External"/><Relationship Id="rId269" Type="http://schemas.openxmlformats.org/officeDocument/2006/relationships/hyperlink" Target="https://twitter.com/TizianoLenoci/status/720541307026980864" TargetMode="External"/><Relationship Id="rId683" Type="http://schemas.openxmlformats.org/officeDocument/2006/relationships/hyperlink" Target="https://twitter.com/sanjaydhumieres" TargetMode="External"/><Relationship Id="rId2364" Type="http://schemas.openxmlformats.org/officeDocument/2006/relationships/hyperlink" Target="https://pbs.twimg.com/profile_images/539742807791902723/3lL_4fo2_normal.png" TargetMode="External"/><Relationship Id="rId3415" Type="http://schemas.openxmlformats.org/officeDocument/2006/relationships/hyperlink" Target="https://pbs.twimg.com/profile_images/495214827963297793/ZW7qWnoK_normal.jpeg" TargetMode="External"/><Relationship Id="rId9391" Type="http://schemas.openxmlformats.org/officeDocument/2006/relationships/hyperlink" Target="https://pbs.twimg.com/profile_images/378800000250647928/75cc085472c8fd6d2d0ba41fbcffe479_normal.jpeg" TargetMode="External"/><Relationship Id="rId336" Type="http://schemas.openxmlformats.org/officeDocument/2006/relationships/hyperlink" Target="https://pbs.twimg.com/profile_images/604027091823284224/YZAx05HJ_normal.jpg" TargetMode="External"/><Relationship Id="rId1380" Type="http://schemas.openxmlformats.org/officeDocument/2006/relationships/hyperlink" Target="https://twitter.com/QuickFindsIn/status/720984025175691265" TargetMode="External"/><Relationship Id="rId2017" Type="http://schemas.openxmlformats.org/officeDocument/2006/relationships/hyperlink" Target="https://twitter.com/bamitav/status/721734553501499394" TargetMode="External"/><Relationship Id="rId5587" Type="http://schemas.openxmlformats.org/officeDocument/2006/relationships/hyperlink" Target="https://twitter.com/INDIZbot/status/722863068842192896" TargetMode="External"/><Relationship Id="rId6985" Type="http://schemas.openxmlformats.org/officeDocument/2006/relationships/hyperlink" Target="https://twitter.com/kommoptimierer" TargetMode="External"/><Relationship Id="rId9044" Type="http://schemas.openxmlformats.org/officeDocument/2006/relationships/hyperlink" Target="https://twitter.com/PauldeAndrade" TargetMode="External"/><Relationship Id="rId403" Type="http://schemas.openxmlformats.org/officeDocument/2006/relationships/hyperlink" Target="https://twitter.com/Ralf_Kuder" TargetMode="External"/><Relationship Id="rId750" Type="http://schemas.openxmlformats.org/officeDocument/2006/relationships/hyperlink" Target="https://twitter.com/kommoptimierer/status/720695626187542528" TargetMode="External"/><Relationship Id="rId1033" Type="http://schemas.openxmlformats.org/officeDocument/2006/relationships/hyperlink" Target="https://twitter.com/StipoNad" TargetMode="External"/><Relationship Id="rId2431" Type="http://schemas.openxmlformats.org/officeDocument/2006/relationships/hyperlink" Target="https://twitter.com/MarioReinsch" TargetMode="External"/><Relationship Id="rId4189" Type="http://schemas.openxmlformats.org/officeDocument/2006/relationships/hyperlink" Target="https://twitter.com/LReehten/status/722516497801879552" TargetMode="External"/><Relationship Id="rId6638" Type="http://schemas.openxmlformats.org/officeDocument/2006/relationships/hyperlink" Target="https://pbs.twimg.com/profile_images/671763467632697344/q2J-kn9k_normal.png" TargetMode="External"/><Relationship Id="rId8060" Type="http://schemas.openxmlformats.org/officeDocument/2006/relationships/hyperlink" Target="https://twitter.com/AliceTimm1" TargetMode="External"/><Relationship Id="rId9111" Type="http://schemas.openxmlformats.org/officeDocument/2006/relationships/hyperlink" Target="https://twitter.com/INDIZbot/status/723947485157298177" TargetMode="External"/><Relationship Id="rId5654" Type="http://schemas.openxmlformats.org/officeDocument/2006/relationships/hyperlink" Target="https://pbs.twimg.com/profile_images/594934750122536960/nG4kmfDF_normal.jpg" TargetMode="External"/><Relationship Id="rId6705" Type="http://schemas.openxmlformats.org/officeDocument/2006/relationships/hyperlink" Target="https://pbs.twimg.com/profile_images/438307550828560384/ayCoNB0D_normal.jpeg" TargetMode="External"/><Relationship Id="rId1100" Type="http://schemas.openxmlformats.org/officeDocument/2006/relationships/hyperlink" Target="https://twitter.com/INDIZbot/status/720899854545862656" TargetMode="External"/><Relationship Id="rId4256" Type="http://schemas.openxmlformats.org/officeDocument/2006/relationships/hyperlink" Target="https://pbs.twimg.com/profile_images/645716711723925506/t5G0qOS6_normal.jpg" TargetMode="External"/><Relationship Id="rId4670" Type="http://schemas.openxmlformats.org/officeDocument/2006/relationships/hyperlink" Target="https://pbs.twimg.com/profile_images/723407487395713024/0hZv7R8S_normal.jpg" TargetMode="External"/><Relationship Id="rId5307" Type="http://schemas.openxmlformats.org/officeDocument/2006/relationships/hyperlink" Target="https://pbs.twimg.com/profile_images/2619086509/ld3z97zhhdbs2essw7s9_normal.jpeg" TargetMode="External"/><Relationship Id="rId5721" Type="http://schemas.openxmlformats.org/officeDocument/2006/relationships/hyperlink" Target="https://twitter.com/AgustiPandora" TargetMode="External"/><Relationship Id="rId8877" Type="http://schemas.openxmlformats.org/officeDocument/2006/relationships/hyperlink" Target="https://pbs.twimg.com/profile_images/702049280098443264/NIaxL0xT_normal.png" TargetMode="External"/><Relationship Id="rId9928" Type="http://schemas.openxmlformats.org/officeDocument/2006/relationships/hyperlink" Target="https://twitter.com/SaREUSS" TargetMode="External"/><Relationship Id="rId1917" Type="http://schemas.openxmlformats.org/officeDocument/2006/relationships/hyperlink" Target="https://twitter.com/INDIZbot/status/721627043776110592" TargetMode="External"/><Relationship Id="rId3272" Type="http://schemas.openxmlformats.org/officeDocument/2006/relationships/hyperlink" Target="https://twitter.com/FraunhoferAISEC/status/722336616526835712" TargetMode="External"/><Relationship Id="rId4323" Type="http://schemas.openxmlformats.org/officeDocument/2006/relationships/hyperlink" Target="https://twitter.com/MarioReinsch" TargetMode="External"/><Relationship Id="rId7479" Type="http://schemas.openxmlformats.org/officeDocument/2006/relationships/hyperlink" Target="https://twitter.com/it_rebellen" TargetMode="External"/><Relationship Id="rId7893" Type="http://schemas.openxmlformats.org/officeDocument/2006/relationships/hyperlink" Target="https://pbs.twimg.com/profile_images/646231223623385088/PZtVaztS_normal.jpg" TargetMode="External"/><Relationship Id="rId8944" Type="http://schemas.openxmlformats.org/officeDocument/2006/relationships/hyperlink" Target="https://twitter.com/cwittrich" TargetMode="External"/><Relationship Id="rId193" Type="http://schemas.openxmlformats.org/officeDocument/2006/relationships/hyperlink" Target="https://twitter.com/QuickFindsIn" TargetMode="External"/><Relationship Id="rId6495" Type="http://schemas.openxmlformats.org/officeDocument/2006/relationships/hyperlink" Target="https://twitter.com/tomov_eu/status/723133680860831745" TargetMode="External"/><Relationship Id="rId7546" Type="http://schemas.openxmlformats.org/officeDocument/2006/relationships/hyperlink" Target="https://twitter.com/INDIZbot/status/723413909617545216" TargetMode="External"/><Relationship Id="rId260" Type="http://schemas.openxmlformats.org/officeDocument/2006/relationships/hyperlink" Target="https://twitter.com/PeterMWald/status/720537517129351168" TargetMode="External"/><Relationship Id="rId5097" Type="http://schemas.openxmlformats.org/officeDocument/2006/relationships/hyperlink" Target="https://pbs.twimg.com/profile_images/2240680734/pj-logo1_normal.png" TargetMode="External"/><Relationship Id="rId6148" Type="http://schemas.openxmlformats.org/officeDocument/2006/relationships/hyperlink" Target="https://twitter.com/Apandia/status/723081117771939840" TargetMode="External"/><Relationship Id="rId7960" Type="http://schemas.openxmlformats.org/officeDocument/2006/relationships/hyperlink" Target="https://pbs.twimg.com/profile_images/619439854275952640/NO5busxw_normal.jpg" TargetMode="External"/><Relationship Id="rId5164" Type="http://schemas.openxmlformats.org/officeDocument/2006/relationships/hyperlink" Target="https://twitter.com/aristaflow" TargetMode="External"/><Relationship Id="rId6215" Type="http://schemas.openxmlformats.org/officeDocument/2006/relationships/hyperlink" Target="https://twitter.com/JETZT_PRde/status/723088298659344386" TargetMode="External"/><Relationship Id="rId6562" Type="http://schemas.openxmlformats.org/officeDocument/2006/relationships/hyperlink" Target="https://pbs.twimg.com/profile_images/645716711723925506/t5G0qOS6_normal.jpg" TargetMode="External"/><Relationship Id="rId7613" Type="http://schemas.openxmlformats.org/officeDocument/2006/relationships/hyperlink" Target="https://pbs.twimg.com/profile_images/2994151206/72e14517d19cb49aa35fe3019df8b048_normal.jpeg" TargetMode="External"/><Relationship Id="rId2758" Type="http://schemas.openxmlformats.org/officeDocument/2006/relationships/hyperlink" Target="https://twitter.com/WebRTCSummit/status/722113617836032000" TargetMode="External"/><Relationship Id="rId3809" Type="http://schemas.openxmlformats.org/officeDocument/2006/relationships/hyperlink" Target="https://twitter.com/SPDEuropa" TargetMode="External"/><Relationship Id="rId9785" Type="http://schemas.openxmlformats.org/officeDocument/2006/relationships/hyperlink" Target="https://twitter.com/catkinEU/status/724254673125793793" TargetMode="External"/><Relationship Id="rId1774" Type="http://schemas.openxmlformats.org/officeDocument/2006/relationships/hyperlink" Target="https://twitter.com/tobias_goers" TargetMode="External"/><Relationship Id="rId2825" Type="http://schemas.openxmlformats.org/officeDocument/2006/relationships/hyperlink" Target="https://pbs.twimg.com/profile_images/623849156159868928/BetFDR_i_normal.jpg" TargetMode="External"/><Relationship Id="rId4180" Type="http://schemas.openxmlformats.org/officeDocument/2006/relationships/hyperlink" Target="https://twitter.com/kommoptimierer/status/722516371846914049" TargetMode="External"/><Relationship Id="rId5231" Type="http://schemas.openxmlformats.org/officeDocument/2006/relationships/hyperlink" Target="https://pbs.twimg.com/profile_images/684297499461423104/URLCw8tn_normal.jpg" TargetMode="External"/><Relationship Id="rId8387" Type="http://schemas.openxmlformats.org/officeDocument/2006/relationships/hyperlink" Target="https://pbs.twimg.com/profile_images/1234499388/n367104918594_7014_normal.jpg" TargetMode="External"/><Relationship Id="rId9438" Type="http://schemas.openxmlformats.org/officeDocument/2006/relationships/hyperlink" Target="https://twitter.com/BOLDLYGO_FFM/status/724175035313848320" TargetMode="External"/><Relationship Id="rId9852" Type="http://schemas.openxmlformats.org/officeDocument/2006/relationships/hyperlink" Target="https://pbs.twimg.com/profile_images/491236810560114688/qHaoNgg2_normal.jpeg" TargetMode="External"/><Relationship Id="rId66" Type="http://schemas.openxmlformats.org/officeDocument/2006/relationships/hyperlink" Target="https://pbs.twimg.com/profile_images/527910533388050432/m_mD0yTa_normal.jpeg" TargetMode="External"/><Relationship Id="rId1427" Type="http://schemas.openxmlformats.org/officeDocument/2006/relationships/hyperlink" Target="https://twitter.com/YonicohenYoni" TargetMode="External"/><Relationship Id="rId1841" Type="http://schemas.openxmlformats.org/officeDocument/2006/relationships/hyperlink" Target="https://twitter.com/ClemensLink/status/721449160206065665" TargetMode="External"/><Relationship Id="rId4997" Type="http://schemas.openxmlformats.org/officeDocument/2006/relationships/hyperlink" Target="https://twitter.com/StaplerPaul/status/722747781069283329" TargetMode="External"/><Relationship Id="rId8454" Type="http://schemas.openxmlformats.org/officeDocument/2006/relationships/hyperlink" Target="https://pbs.twimg.com/profile_images/418806399347331072/4JQnPeBG_normal.jpeg" TargetMode="External"/><Relationship Id="rId9505" Type="http://schemas.openxmlformats.org/officeDocument/2006/relationships/hyperlink" Target="https://pbs.twimg.com/profile_images/603901794952081408/RIhnPuaN_normal.jpg" TargetMode="External"/><Relationship Id="rId3599" Type="http://schemas.openxmlformats.org/officeDocument/2006/relationships/hyperlink" Target="https://twitter.com/INDIZbot" TargetMode="External"/><Relationship Id="rId7056" Type="http://schemas.openxmlformats.org/officeDocument/2006/relationships/hyperlink" Target="https://pbs.twimg.com/profile_images/709490937043492865/GYoQPOCZ_normal.jpg" TargetMode="External"/><Relationship Id="rId7470" Type="http://schemas.openxmlformats.org/officeDocument/2006/relationships/hyperlink" Target="https://twitter.com/GTAI_com" TargetMode="External"/><Relationship Id="rId8107" Type="http://schemas.openxmlformats.org/officeDocument/2006/relationships/hyperlink" Target="https://pbs.twimg.com/profile_images/594236137876525057/MDbVEVr-_normal.jpg" TargetMode="External"/><Relationship Id="rId8521" Type="http://schemas.openxmlformats.org/officeDocument/2006/relationships/hyperlink" Target="https://twitter.com/afigueiredo" TargetMode="External"/><Relationship Id="rId10037" Type="http://schemas.openxmlformats.org/officeDocument/2006/relationships/hyperlink" Target="https://twitter.com/INDIZbot/status/724307382218686464" TargetMode="External"/><Relationship Id="rId3666" Type="http://schemas.openxmlformats.org/officeDocument/2006/relationships/hyperlink" Target="https://twitter.com/Bitkom_Service/status/722397572493615104" TargetMode="External"/><Relationship Id="rId6072" Type="http://schemas.openxmlformats.org/officeDocument/2006/relationships/hyperlink" Target="https://twitter.com/koernerpark/status/723073999308115968" TargetMode="External"/><Relationship Id="rId7123" Type="http://schemas.openxmlformats.org/officeDocument/2006/relationships/hyperlink" Target="https://twitter.com/INDIZbot" TargetMode="External"/><Relationship Id="rId587" Type="http://schemas.openxmlformats.org/officeDocument/2006/relationships/hyperlink" Target="https://twitter.com/INDIZbot" TargetMode="External"/><Relationship Id="rId2268" Type="http://schemas.openxmlformats.org/officeDocument/2006/relationships/hyperlink" Target="https://twitter.com/SEWEURODRIVE" TargetMode="External"/><Relationship Id="rId3319" Type="http://schemas.openxmlformats.org/officeDocument/2006/relationships/hyperlink" Target="https://twitter.com/INDIZbot" TargetMode="External"/><Relationship Id="rId4717" Type="http://schemas.openxmlformats.org/officeDocument/2006/relationships/hyperlink" Target="https://twitter.com/christianzeller/status/722713019806007296" TargetMode="External"/><Relationship Id="rId9295" Type="http://schemas.openxmlformats.org/officeDocument/2006/relationships/hyperlink" Target="https://pbs.twimg.com/profile_images/715293247459966976/SBJUyfDj_normal.jpg" TargetMode="External"/><Relationship Id="rId10104" Type="http://schemas.openxmlformats.org/officeDocument/2006/relationships/hyperlink" Target="https://pbs.twimg.com/profile_images/431136671829336065/ijooYAzU_normal.jpeg" TargetMode="External"/><Relationship Id="rId2682" Type="http://schemas.openxmlformats.org/officeDocument/2006/relationships/hyperlink" Target="https://twitter.com/VDMAonline" TargetMode="External"/><Relationship Id="rId3733" Type="http://schemas.openxmlformats.org/officeDocument/2006/relationships/hyperlink" Target="https://pbs.twimg.com/profile_images/593011135428882432/BGMPkrwp_normal.jpg" TargetMode="External"/><Relationship Id="rId6889" Type="http://schemas.openxmlformats.org/officeDocument/2006/relationships/hyperlink" Target="https://twitter.com/IMechE" TargetMode="External"/><Relationship Id="rId654" Type="http://schemas.openxmlformats.org/officeDocument/2006/relationships/hyperlink" Target="https://twitter.com/bengolder/status/720652419911303170" TargetMode="External"/><Relationship Id="rId1284" Type="http://schemas.openxmlformats.org/officeDocument/2006/relationships/hyperlink" Target="https://pbs.twimg.com/profile_images/570155338691670016/l3TwS87m_normal.jpeg" TargetMode="External"/><Relationship Id="rId2335" Type="http://schemas.openxmlformats.org/officeDocument/2006/relationships/hyperlink" Target="https://twitter.com/INDIZbot" TargetMode="External"/><Relationship Id="rId3800" Type="http://schemas.openxmlformats.org/officeDocument/2006/relationships/hyperlink" Target="https://twitter.com/adelhardtchris" TargetMode="External"/><Relationship Id="rId6956" Type="http://schemas.openxmlformats.org/officeDocument/2006/relationships/hyperlink" Target="https://twitter.com/BoschSI/status/723204048413966337" TargetMode="External"/><Relationship Id="rId9362" Type="http://schemas.openxmlformats.org/officeDocument/2006/relationships/hyperlink" Target="https://twitter.com/induux_de" TargetMode="External"/><Relationship Id="rId307" Type="http://schemas.openxmlformats.org/officeDocument/2006/relationships/hyperlink" Target="https://twitter.com/mbrilhault" TargetMode="External"/><Relationship Id="rId721" Type="http://schemas.openxmlformats.org/officeDocument/2006/relationships/hyperlink" Target="https://pbs.twimg.com/profile_images/713459590608855041/fYp1lxGW_normal.jpg" TargetMode="External"/><Relationship Id="rId1351" Type="http://schemas.openxmlformats.org/officeDocument/2006/relationships/hyperlink" Target="https://twitter.com/i40zentrum" TargetMode="External"/><Relationship Id="rId2402" Type="http://schemas.openxmlformats.org/officeDocument/2006/relationships/hyperlink" Target="https://twitter.com/foresight_lab/status/722016667971272704" TargetMode="External"/><Relationship Id="rId5558" Type="http://schemas.openxmlformats.org/officeDocument/2006/relationships/hyperlink" Target="https://pbs.twimg.com/profile_images/477353857727492096/0AUf0UI-_normal.jpeg" TargetMode="External"/><Relationship Id="rId5972" Type="http://schemas.openxmlformats.org/officeDocument/2006/relationships/hyperlink" Target="https://twitter.com/EugenieNicoud" TargetMode="External"/><Relationship Id="rId6609" Type="http://schemas.openxmlformats.org/officeDocument/2006/relationships/hyperlink" Target="https://twitter.com/kommoptimierer" TargetMode="External"/><Relationship Id="rId9015" Type="http://schemas.openxmlformats.org/officeDocument/2006/relationships/hyperlink" Target="https://pbs.twimg.com/profile_images/804402480/3571__002_klein_normal.jpg" TargetMode="External"/><Relationship Id="rId1004" Type="http://schemas.openxmlformats.org/officeDocument/2006/relationships/hyperlink" Target="https://twitter.com/Gesamtmetall/status/720883126155673600" TargetMode="External"/><Relationship Id="rId4574" Type="http://schemas.openxmlformats.org/officeDocument/2006/relationships/hyperlink" Target="https://pbs.twimg.com/profile_images/701004613206433792/o4DJfA8-_normal.jpg" TargetMode="External"/><Relationship Id="rId5625" Type="http://schemas.openxmlformats.org/officeDocument/2006/relationships/hyperlink" Target="https://twitter.com/vemdiearbeitgeb" TargetMode="External"/><Relationship Id="rId8031" Type="http://schemas.openxmlformats.org/officeDocument/2006/relationships/hyperlink" Target="https://twitter.com/cybus_io/status/723484129455566848" TargetMode="External"/><Relationship Id="rId3176" Type="http://schemas.openxmlformats.org/officeDocument/2006/relationships/hyperlink" Target="https://pbs.twimg.com/profile_images/645716711723925506/t5G0qOS6_normal.jpg" TargetMode="External"/><Relationship Id="rId3590" Type="http://schemas.openxmlformats.org/officeDocument/2006/relationships/hyperlink" Target="https://twitter.com/Round_Solutions" TargetMode="External"/><Relationship Id="rId4227" Type="http://schemas.openxmlformats.org/officeDocument/2006/relationships/hyperlink" Target="https://twitter.com/SASCHAKAUS1" TargetMode="External"/><Relationship Id="rId7797" Type="http://schemas.openxmlformats.org/officeDocument/2006/relationships/hyperlink" Target="https://pbs.twimg.com/profile_images/722385992343285760/ww8YLZ2q_normal.jpg" TargetMode="External"/><Relationship Id="rId2192" Type="http://schemas.openxmlformats.org/officeDocument/2006/relationships/hyperlink" Target="https://twitter.com/OXID_eSales/status/721957434122760192" TargetMode="External"/><Relationship Id="rId3243" Type="http://schemas.openxmlformats.org/officeDocument/2006/relationships/hyperlink" Target="https://pbs.twimg.com/profile_images/3365928668/0be3c948c467aa211bb97ca74eb11472_normal.jpeg" TargetMode="External"/><Relationship Id="rId4641" Type="http://schemas.openxmlformats.org/officeDocument/2006/relationships/hyperlink" Target="https://twitter.com/INDIZbot" TargetMode="External"/><Relationship Id="rId6399" Type="http://schemas.openxmlformats.org/officeDocument/2006/relationships/hyperlink" Target="https://twitter.com/SEWEURODRIVE/status/723119326354509826" TargetMode="External"/><Relationship Id="rId8848" Type="http://schemas.openxmlformats.org/officeDocument/2006/relationships/hyperlink" Target="https://twitter.com/adoverdevest" TargetMode="External"/><Relationship Id="rId164" Type="http://schemas.openxmlformats.org/officeDocument/2006/relationships/hyperlink" Target="https://twitter.com/zettel_kasten/status/720521664908406784" TargetMode="External"/><Relationship Id="rId7864" Type="http://schemas.openxmlformats.org/officeDocument/2006/relationships/hyperlink" Target="https://twitter.com/kpohnke" TargetMode="External"/><Relationship Id="rId8915" Type="http://schemas.openxmlformats.org/officeDocument/2006/relationships/hyperlink" Target="https://twitter.com/hannover_messe/status/723863196805808128" TargetMode="External"/><Relationship Id="rId3310" Type="http://schemas.openxmlformats.org/officeDocument/2006/relationships/hyperlink" Target="https://twitter.com/mbaukarriere" TargetMode="External"/><Relationship Id="rId5068" Type="http://schemas.openxmlformats.org/officeDocument/2006/relationships/hyperlink" Target="https://twitter.com/konsultwerk" TargetMode="External"/><Relationship Id="rId6466" Type="http://schemas.openxmlformats.org/officeDocument/2006/relationships/hyperlink" Target="https://pbs.twimg.com/profile_images/2619086509/ld3z97zhhdbs2essw7s9_normal.jpeg" TargetMode="External"/><Relationship Id="rId6880" Type="http://schemas.openxmlformats.org/officeDocument/2006/relationships/hyperlink" Target="https://twitter.com/ITK_OWL" TargetMode="External"/><Relationship Id="rId7517" Type="http://schemas.openxmlformats.org/officeDocument/2006/relationships/hyperlink" Target="https://pbs.twimg.com/profile_images/645716711723925506/t5G0qOS6_normal.jpg" TargetMode="External"/><Relationship Id="rId7931" Type="http://schemas.openxmlformats.org/officeDocument/2006/relationships/hyperlink" Target="https://twitter.com/kommoptimierer/status/723467642741358592" TargetMode="External"/><Relationship Id="rId231" Type="http://schemas.openxmlformats.org/officeDocument/2006/relationships/hyperlink" Target="https://pbs.twimg.com/profile_images/685327213/Apandia_normal.gif" TargetMode="External"/><Relationship Id="rId5482" Type="http://schemas.openxmlformats.org/officeDocument/2006/relationships/hyperlink" Target="https://twitter.com/Global_Fairs/status/722816359822786560" TargetMode="External"/><Relationship Id="rId6119" Type="http://schemas.openxmlformats.org/officeDocument/2006/relationships/hyperlink" Target="https://abs.twimg.com/sticky/default_profile_images/default_profile_2_normal.png" TargetMode="External"/><Relationship Id="rId6533" Type="http://schemas.openxmlformats.org/officeDocument/2006/relationships/hyperlink" Target="https://twitter.com/frankcausa" TargetMode="External"/><Relationship Id="rId9689" Type="http://schemas.openxmlformats.org/officeDocument/2006/relationships/hyperlink" Target="https://twitter.com/neerajdeuskar79" TargetMode="External"/><Relationship Id="rId1678" Type="http://schemas.openxmlformats.org/officeDocument/2006/relationships/hyperlink" Target="https://twitter.com/CapgeminiDE" TargetMode="External"/><Relationship Id="rId2729" Type="http://schemas.openxmlformats.org/officeDocument/2006/relationships/hyperlink" Target="https://pbs.twimg.com/profile_images/713325797600280577/RkFuAs4X_normal.jpg" TargetMode="External"/><Relationship Id="rId4084" Type="http://schemas.openxmlformats.org/officeDocument/2006/relationships/hyperlink" Target="https://twitter.com/pfisterer_ralf/status/722499320658923520" TargetMode="External"/><Relationship Id="rId5135" Type="http://schemas.openxmlformats.org/officeDocument/2006/relationships/hyperlink" Target="https://twitter.com/INDIZbot/status/722762025122852864" TargetMode="External"/><Relationship Id="rId6600" Type="http://schemas.openxmlformats.org/officeDocument/2006/relationships/hyperlink" Target="https://twitter.com/INDIZbot" TargetMode="External"/><Relationship Id="rId9756" Type="http://schemas.openxmlformats.org/officeDocument/2006/relationships/hyperlink" Target="https://pbs.twimg.com/profile_images/507446718355759104/Hjza08vg_normal.jpeg" TargetMode="External"/><Relationship Id="rId4151" Type="http://schemas.openxmlformats.org/officeDocument/2006/relationships/hyperlink" Target="https://pbs.twimg.com/profile_images/645716711723925506/t5G0qOS6_normal.jpg" TargetMode="External"/><Relationship Id="rId5202" Type="http://schemas.openxmlformats.org/officeDocument/2006/relationships/hyperlink" Target="https://twitter.com/rfidimblick" TargetMode="External"/><Relationship Id="rId8358" Type="http://schemas.openxmlformats.org/officeDocument/2006/relationships/hyperlink" Target="https://twitter.com/hall_idostories" TargetMode="External"/><Relationship Id="rId9409" Type="http://schemas.openxmlformats.org/officeDocument/2006/relationships/hyperlink" Target="https://pbs.twimg.com/profile_images/676499592674975745/Z-ThYeOX_normal.jpg" TargetMode="External"/><Relationship Id="rId10288" Type="http://schemas.openxmlformats.org/officeDocument/2006/relationships/hyperlink" Target="https://twitter.com/PwC_France" TargetMode="External"/><Relationship Id="rId1745" Type="http://schemas.openxmlformats.org/officeDocument/2006/relationships/hyperlink" Target="https://twitter.com/Tiba_Schweiz/status/721346326332641280" TargetMode="External"/><Relationship Id="rId7374" Type="http://schemas.openxmlformats.org/officeDocument/2006/relationships/hyperlink" Target="https://twitter.com/INDIZbot/status/723403896261988352" TargetMode="External"/><Relationship Id="rId8425" Type="http://schemas.openxmlformats.org/officeDocument/2006/relationships/hyperlink" Target="https://twitter.com/DohmeyerK" TargetMode="External"/><Relationship Id="rId8772" Type="http://schemas.openxmlformats.org/officeDocument/2006/relationships/hyperlink" Target="https://pbs.twimg.com/profile_images/2619086509/ld3z97zhhdbs2essw7s9_normal.jpeg" TargetMode="External"/><Relationship Id="rId9823" Type="http://schemas.openxmlformats.org/officeDocument/2006/relationships/hyperlink" Target="https://twitter.com/rafael_sobek" TargetMode="External"/><Relationship Id="rId37" Type="http://schemas.openxmlformats.org/officeDocument/2006/relationships/hyperlink" Target="https://twitter.com/INDIZbot" TargetMode="External"/><Relationship Id="rId1812" Type="http://schemas.openxmlformats.org/officeDocument/2006/relationships/hyperlink" Target="https://pbs.twimg.com/profile_images/697158646841610240/jndBu0u2_normal.jpg" TargetMode="External"/><Relationship Id="rId4968" Type="http://schemas.openxmlformats.org/officeDocument/2006/relationships/hyperlink" Target="https://twitter.com/MindCommerce" TargetMode="External"/><Relationship Id="rId7027" Type="http://schemas.openxmlformats.org/officeDocument/2006/relationships/hyperlink" Target="https://twitter.com/kommoptimierer" TargetMode="External"/><Relationship Id="rId3984" Type="http://schemas.openxmlformats.org/officeDocument/2006/relationships/hyperlink" Target="https://twitter.com/MartinaWernerEU/status/722465704763637761" TargetMode="External"/><Relationship Id="rId6390" Type="http://schemas.openxmlformats.org/officeDocument/2006/relationships/hyperlink" Target="https://twitter.com/SEWEURODRIVE/status/723118602128257025" TargetMode="External"/><Relationship Id="rId7441" Type="http://schemas.openxmlformats.org/officeDocument/2006/relationships/hyperlink" Target="https://twitter.com/innovationbawue/status/723406238629826560" TargetMode="External"/><Relationship Id="rId9199" Type="http://schemas.openxmlformats.org/officeDocument/2006/relationships/hyperlink" Target="https://pbs.twimg.com/profile_images/611187721080602625/r5O9HUl__normal.jpg" TargetMode="External"/><Relationship Id="rId10008" Type="http://schemas.openxmlformats.org/officeDocument/2006/relationships/hyperlink" Target="https://pbs.twimg.com/profile_images/378989830/Reinhard-Portrait_normal.jpg" TargetMode="External"/><Relationship Id="rId2586" Type="http://schemas.openxmlformats.org/officeDocument/2006/relationships/hyperlink" Target="https://pbs.twimg.com/profile_images/541146126158536704/IYardufS_normal.jpeg" TargetMode="External"/><Relationship Id="rId3637" Type="http://schemas.openxmlformats.org/officeDocument/2006/relationships/hyperlink" Target="https://pbs.twimg.com/profile_images/662723326096224256/5V4KH9_O_normal.jpg" TargetMode="External"/><Relationship Id="rId6043" Type="http://schemas.openxmlformats.org/officeDocument/2006/relationships/hyperlink" Target="https://pbs.twimg.com/profile_images/563252945509036033/3wwTevl0_normal.jpeg" TargetMode="External"/><Relationship Id="rId558" Type="http://schemas.openxmlformats.org/officeDocument/2006/relationships/hyperlink" Target="https://twitter.com/EEIPEnMg/status/720620651552378882" TargetMode="External"/><Relationship Id="rId972" Type="http://schemas.openxmlformats.org/officeDocument/2006/relationships/hyperlink" Target="https://pbs.twimg.com/profile_images/701004613206433792/o4DJfA8-_normal.jpg" TargetMode="External"/><Relationship Id="rId1188" Type="http://schemas.openxmlformats.org/officeDocument/2006/relationships/hyperlink" Target="https://pbs.twimg.com/profile_images/511887094579343360/p8leXtYW_normal.jpeg" TargetMode="External"/><Relationship Id="rId2239" Type="http://schemas.openxmlformats.org/officeDocument/2006/relationships/hyperlink" Target="https://twitter.com/Frank_Reinelt" TargetMode="External"/><Relationship Id="rId2653" Type="http://schemas.openxmlformats.org/officeDocument/2006/relationships/hyperlink" Target="https://twitter.com/GeRosenthal/status/722080914684166144" TargetMode="External"/><Relationship Id="rId3704" Type="http://schemas.openxmlformats.org/officeDocument/2006/relationships/hyperlink" Target="https://twitter.com/verlinked" TargetMode="External"/><Relationship Id="rId6110" Type="http://schemas.openxmlformats.org/officeDocument/2006/relationships/hyperlink" Target="https://twitter.com/OuestValo" TargetMode="External"/><Relationship Id="rId9266" Type="http://schemas.openxmlformats.org/officeDocument/2006/relationships/hyperlink" Target="https://twitter.com/INDIZbot" TargetMode="External"/><Relationship Id="rId9680" Type="http://schemas.openxmlformats.org/officeDocument/2006/relationships/hyperlink" Target="https://twitter.com/WinfriedFelser" TargetMode="External"/><Relationship Id="rId625" Type="http://schemas.openxmlformats.org/officeDocument/2006/relationships/hyperlink" Target="https://pbs.twimg.com/profile_images/564519770763300865/LzdRUs8v_normal.jpeg" TargetMode="External"/><Relationship Id="rId1255" Type="http://schemas.openxmlformats.org/officeDocument/2006/relationships/hyperlink" Target="https://twitter.com/Jo_H123" TargetMode="External"/><Relationship Id="rId2306" Type="http://schemas.openxmlformats.org/officeDocument/2006/relationships/hyperlink" Target="https://pbs.twimg.com/profile_images/645716711723925506/t5G0qOS6_normal.jpg" TargetMode="External"/><Relationship Id="rId5876" Type="http://schemas.openxmlformats.org/officeDocument/2006/relationships/hyperlink" Target="https://twitter.com/aengelhorn" TargetMode="External"/><Relationship Id="rId8282" Type="http://schemas.openxmlformats.org/officeDocument/2006/relationships/hyperlink" Target="https://pbs.twimg.com/profile_images/690169797661835264/zQ3IJMKb_normal.png" TargetMode="External"/><Relationship Id="rId9333" Type="http://schemas.openxmlformats.org/officeDocument/2006/relationships/hyperlink" Target="https://twitter.com/KUKA_RoboticsDE/status/724146054044758016" TargetMode="External"/><Relationship Id="rId1322" Type="http://schemas.openxmlformats.org/officeDocument/2006/relationships/hyperlink" Target="https://twitter.com/TellMePlus/status/720959176026009600" TargetMode="External"/><Relationship Id="rId2720" Type="http://schemas.openxmlformats.org/officeDocument/2006/relationships/hyperlink" Target="https://pbs.twimg.com/profile_images/633603281168695296/UhK5NdQY_normal.jpg" TargetMode="External"/><Relationship Id="rId4478" Type="http://schemas.openxmlformats.org/officeDocument/2006/relationships/hyperlink" Target="https://twitter.com/Tiba_Schweiz/status/722697758713507841" TargetMode="External"/><Relationship Id="rId5529" Type="http://schemas.openxmlformats.org/officeDocument/2006/relationships/hyperlink" Target="https://twitter.com/andre_mundo" TargetMode="External"/><Relationship Id="rId6927" Type="http://schemas.openxmlformats.org/officeDocument/2006/relationships/hyperlink" Target="https://pbs.twimg.com/profile_images/703129684733591552/SLOopLNe_normal.jpg" TargetMode="External"/><Relationship Id="rId9400" Type="http://schemas.openxmlformats.org/officeDocument/2006/relationships/hyperlink" Target="https://pbs.twimg.com/profile_images/710688028063358977/d6NX_uKt_normal.jpg" TargetMode="External"/><Relationship Id="rId4892" Type="http://schemas.openxmlformats.org/officeDocument/2006/relationships/hyperlink" Target="https://pbs.twimg.com/profile_images/645716711723925506/t5G0qOS6_normal.jpg" TargetMode="External"/><Relationship Id="rId5943" Type="http://schemas.openxmlformats.org/officeDocument/2006/relationships/hyperlink" Target="https://twitter.com/JoergNbr/status/723064154614059008" TargetMode="External"/><Relationship Id="rId8002" Type="http://schemas.openxmlformats.org/officeDocument/2006/relationships/hyperlink" Target="https://pbs.twimg.com/profile_images/669633347249942530/PT0C-2n5_normal.jpg" TargetMode="External"/><Relationship Id="rId2096" Type="http://schemas.openxmlformats.org/officeDocument/2006/relationships/hyperlink" Target="https://pbs.twimg.com/profile_images/541146126158536704/IYardufS_normal.jpeg" TargetMode="External"/><Relationship Id="rId3494" Type="http://schemas.openxmlformats.org/officeDocument/2006/relationships/hyperlink" Target="https://twitter.com/ROKAutomationDE" TargetMode="External"/><Relationship Id="rId4545" Type="http://schemas.openxmlformats.org/officeDocument/2006/relationships/hyperlink" Target="https://twitter.com/INDIZbot" TargetMode="External"/><Relationship Id="rId3147" Type="http://schemas.openxmlformats.org/officeDocument/2006/relationships/hyperlink" Target="https://twitter.com/nextDBI" TargetMode="External"/><Relationship Id="rId3561" Type="http://schemas.openxmlformats.org/officeDocument/2006/relationships/hyperlink" Target="https://twitter.com/ahk_balt/status/722376843408621569" TargetMode="External"/><Relationship Id="rId4612" Type="http://schemas.openxmlformats.org/officeDocument/2006/relationships/hyperlink" Target="https://twitter.com/ROKAutomationDE/status/722709015940198401" TargetMode="External"/><Relationship Id="rId7768" Type="http://schemas.openxmlformats.org/officeDocument/2006/relationships/hyperlink" Target="https://twitter.com/GustavoPonce67/status/723431875490906112" TargetMode="External"/><Relationship Id="rId8819" Type="http://schemas.openxmlformats.org/officeDocument/2006/relationships/hyperlink" Target="https://twitter.com/THINK_ING/status/723825484996456452" TargetMode="External"/><Relationship Id="rId482" Type="http://schemas.openxmlformats.org/officeDocument/2006/relationships/hyperlink" Target="https://twitter.com/hjvsch" TargetMode="External"/><Relationship Id="rId2163" Type="http://schemas.openxmlformats.org/officeDocument/2006/relationships/hyperlink" Target="https://pbs.twimg.com/profile_images/535925502330941440/eWFvAEji_normal.jpeg" TargetMode="External"/><Relationship Id="rId3214" Type="http://schemas.openxmlformats.org/officeDocument/2006/relationships/hyperlink" Target="https://twitter.com/JordanOlivero1" TargetMode="External"/><Relationship Id="rId6784" Type="http://schemas.openxmlformats.org/officeDocument/2006/relationships/hyperlink" Target="https://twitter.com/ITOrakel" TargetMode="External"/><Relationship Id="rId7835" Type="http://schemas.openxmlformats.org/officeDocument/2006/relationships/hyperlink" Target="https://twitter.com/manutencaopt/status/723445990431191041" TargetMode="External"/><Relationship Id="rId9190" Type="http://schemas.openxmlformats.org/officeDocument/2006/relationships/hyperlink" Target="https://pbs.twimg.com/profile_images/644884377462272000/eEWsazpF_normal.jpg" TargetMode="External"/><Relationship Id="rId135" Type="http://schemas.openxmlformats.org/officeDocument/2006/relationships/hyperlink" Target="https://pbs.twimg.com/profile_images/553426987516051456/qL3FF1mU_normal.jpeg" TargetMode="External"/><Relationship Id="rId2230" Type="http://schemas.openxmlformats.org/officeDocument/2006/relationships/hyperlink" Target="https://twitter.com/sensorplustest" TargetMode="External"/><Relationship Id="rId5386" Type="http://schemas.openxmlformats.org/officeDocument/2006/relationships/hyperlink" Target="https://pbs.twimg.com/profile_images/645716711723925506/t5G0qOS6_normal.jpg" TargetMode="External"/><Relationship Id="rId6437" Type="http://schemas.openxmlformats.org/officeDocument/2006/relationships/hyperlink" Target="https://twitter.com/H_IT_D" TargetMode="External"/><Relationship Id="rId202" Type="http://schemas.openxmlformats.org/officeDocument/2006/relationships/hyperlink" Target="https://twitter.com/ITK_OWL" TargetMode="External"/><Relationship Id="rId5039" Type="http://schemas.openxmlformats.org/officeDocument/2006/relationships/hyperlink" Target="https://twitter.com/UweKubach/status/722750753102827520" TargetMode="External"/><Relationship Id="rId5453" Type="http://schemas.openxmlformats.org/officeDocument/2006/relationships/hyperlink" Target="https://pbs.twimg.com/profile_images/470826247132438529/xf6oFNFR_normal.jpeg" TargetMode="External"/><Relationship Id="rId6504" Type="http://schemas.openxmlformats.org/officeDocument/2006/relationships/hyperlink" Target="https://twitter.com/rene_ziegler/status/723133845533503488" TargetMode="External"/><Relationship Id="rId6851" Type="http://schemas.openxmlformats.org/officeDocument/2006/relationships/hyperlink" Target="https://twitter.com/ROKAutomationUK/status/723179553732976640" TargetMode="External"/><Relationship Id="rId7902" Type="http://schemas.openxmlformats.org/officeDocument/2006/relationships/hyperlink" Target="https://pbs.twimg.com/profile_images/614378514989629440/hsR4Wlja_normal.jpg" TargetMode="External"/><Relationship Id="rId1996" Type="http://schemas.openxmlformats.org/officeDocument/2006/relationships/hyperlink" Target="https://twitter.com/CWRoehl/status/721709487594323968" TargetMode="External"/><Relationship Id="rId4055" Type="http://schemas.openxmlformats.org/officeDocument/2006/relationships/hyperlink" Target="https://twitter.com/BrittaHavemann" TargetMode="External"/><Relationship Id="rId5106" Type="http://schemas.openxmlformats.org/officeDocument/2006/relationships/hyperlink" Target="https://pbs.twimg.com/profile_images/634064433971625984/Nk5HNqCE_normal.jpg" TargetMode="External"/><Relationship Id="rId1649" Type="http://schemas.openxmlformats.org/officeDocument/2006/relationships/hyperlink" Target="https://twitter.com/InternetofBiz/status/721262016208453632" TargetMode="External"/><Relationship Id="rId3071" Type="http://schemas.openxmlformats.org/officeDocument/2006/relationships/hyperlink" Target="https://pbs.twimg.com/profile_images/423816397320241152/83rRQZmm_normal.jpeg" TargetMode="External"/><Relationship Id="rId5520" Type="http://schemas.openxmlformats.org/officeDocument/2006/relationships/hyperlink" Target="https://twitter.com/bamitav" TargetMode="External"/><Relationship Id="rId7278" Type="http://schemas.openxmlformats.org/officeDocument/2006/relationships/hyperlink" Target="https://pbs.twimg.com/profile_images/695859284605870080/gMhdK-dT_normal.jpg" TargetMode="External"/><Relationship Id="rId8676" Type="http://schemas.openxmlformats.org/officeDocument/2006/relationships/hyperlink" Target="https://pbs.twimg.com/profile_images/645716711723925506/t5G0qOS6_normal.jpg" TargetMode="External"/><Relationship Id="rId9727" Type="http://schemas.openxmlformats.org/officeDocument/2006/relationships/hyperlink" Target="https://pbs.twimg.com/profile_images/665798535779065856/sbUN3m6Q_normal.jpg" TargetMode="External"/><Relationship Id="rId1716" Type="http://schemas.openxmlformats.org/officeDocument/2006/relationships/hyperlink" Target="https://pbs.twimg.com/profile_images/645716711723925506/t5G0qOS6_normal.jpg" TargetMode="External"/><Relationship Id="rId4122" Type="http://schemas.openxmlformats.org/officeDocument/2006/relationships/hyperlink" Target="https://twitter.com/dbizien" TargetMode="External"/><Relationship Id="rId7692" Type="http://schemas.openxmlformats.org/officeDocument/2006/relationships/hyperlink" Target="https://twitter.com/JETZT_PRde" TargetMode="External"/><Relationship Id="rId8329" Type="http://schemas.openxmlformats.org/officeDocument/2006/relationships/hyperlink" Target="https://twitter.com/DanielKueng/status/723536156755943424" TargetMode="External"/><Relationship Id="rId8743" Type="http://schemas.openxmlformats.org/officeDocument/2006/relationships/hyperlink" Target="https://twitter.com/mirko_ross" TargetMode="External"/><Relationship Id="rId10259" Type="http://schemas.openxmlformats.org/officeDocument/2006/relationships/hyperlink" Target="https://twitter.com/AlbertoMunoz/status/724420971021488128" TargetMode="External"/><Relationship Id="rId3888" Type="http://schemas.openxmlformats.org/officeDocument/2006/relationships/hyperlink" Target="https://twitter.com/werliefertwas/status/722451607242280960" TargetMode="External"/><Relationship Id="rId4939" Type="http://schemas.openxmlformats.org/officeDocument/2006/relationships/hyperlink" Target="https://twitter.com/Bitkom/status/722740335093366784" TargetMode="External"/><Relationship Id="rId6294" Type="http://schemas.openxmlformats.org/officeDocument/2006/relationships/hyperlink" Target="https://twitter.com/MartinaWeidmann/status/723104990491877376" TargetMode="External"/><Relationship Id="rId7345" Type="http://schemas.openxmlformats.org/officeDocument/2006/relationships/hyperlink" Target="https://pbs.twimg.com/profile_images/541146126158536704/IYardufS_normal.jpeg" TargetMode="External"/><Relationship Id="rId8810" Type="http://schemas.openxmlformats.org/officeDocument/2006/relationships/hyperlink" Target="https://twitter.com/IngVersteher/status/723820743008628736" TargetMode="External"/><Relationship Id="rId10326" Type="http://schemas.openxmlformats.org/officeDocument/2006/relationships/hyperlink" Target="https://pbs.twimg.com/profile_images/563972137573441536/oLvWhcKJ_normal.jpeg" TargetMode="External"/><Relationship Id="rId6361" Type="http://schemas.openxmlformats.org/officeDocument/2006/relationships/hyperlink" Target="https://twitter.com/innovationbawue" TargetMode="External"/><Relationship Id="rId7412" Type="http://schemas.openxmlformats.org/officeDocument/2006/relationships/hyperlink" Target="https://pbs.twimg.com/profile_images/719538951988592641/7lKnB2dG_normal.jpg" TargetMode="External"/><Relationship Id="rId876" Type="http://schemas.openxmlformats.org/officeDocument/2006/relationships/hyperlink" Target="https://twitter.com/catkinEU" TargetMode="External"/><Relationship Id="rId2557" Type="http://schemas.openxmlformats.org/officeDocument/2006/relationships/hyperlink" Target="https://twitter.com/prxagentur/status/722059058694524928" TargetMode="External"/><Relationship Id="rId3608" Type="http://schemas.openxmlformats.org/officeDocument/2006/relationships/hyperlink" Target="https://twitter.com/dianemievis" TargetMode="External"/><Relationship Id="rId3955" Type="http://schemas.openxmlformats.org/officeDocument/2006/relationships/hyperlink" Target="https://pbs.twimg.com/profile_images/653481171414872064/-C8HD5Mf_normal.jpg" TargetMode="External"/><Relationship Id="rId6014" Type="http://schemas.openxmlformats.org/officeDocument/2006/relationships/hyperlink" Target="https://twitter.com/ZVEIorg" TargetMode="External"/><Relationship Id="rId9584" Type="http://schemas.openxmlformats.org/officeDocument/2006/relationships/hyperlink" Target="https://twitter.com/MarkusWoehl" TargetMode="External"/><Relationship Id="rId529" Type="http://schemas.openxmlformats.org/officeDocument/2006/relationships/hyperlink" Target="https://pbs.twimg.com/profile_images/695659196495212544/gFtjiHfg_normal.jpg" TargetMode="External"/><Relationship Id="rId1159" Type="http://schemas.openxmlformats.org/officeDocument/2006/relationships/hyperlink" Target="https://twitter.com/Gruendercoaches" TargetMode="External"/><Relationship Id="rId2971" Type="http://schemas.openxmlformats.org/officeDocument/2006/relationships/hyperlink" Target="https://pbs.twimg.com/profile_images/480533400743182336/w7vvPFUY_normal.png" TargetMode="External"/><Relationship Id="rId5030" Type="http://schemas.openxmlformats.org/officeDocument/2006/relationships/hyperlink" Target="https://twitter.com/Becker_AnnaLisa/status/722749626135273474" TargetMode="External"/><Relationship Id="rId8186" Type="http://schemas.openxmlformats.org/officeDocument/2006/relationships/hyperlink" Target="https://twitter.com/Leader_LR" TargetMode="External"/><Relationship Id="rId9237" Type="http://schemas.openxmlformats.org/officeDocument/2006/relationships/hyperlink" Target="https://twitter.com/RealJoeGuy/status/724028984745402369" TargetMode="External"/><Relationship Id="rId943" Type="http://schemas.openxmlformats.org/officeDocument/2006/relationships/hyperlink" Target="https://twitter.com/INDIZbot/status/720872305459499008" TargetMode="External"/><Relationship Id="rId1573" Type="http://schemas.openxmlformats.org/officeDocument/2006/relationships/hyperlink" Target="https://twitter.com/QuickFindsIn" TargetMode="External"/><Relationship Id="rId2624" Type="http://schemas.openxmlformats.org/officeDocument/2006/relationships/hyperlink" Target="https://twitter.com/DBPitch" TargetMode="External"/><Relationship Id="rId9651" Type="http://schemas.openxmlformats.org/officeDocument/2006/relationships/hyperlink" Target="https://twitter.com/gaadvancement/status/724225809955713025" TargetMode="External"/><Relationship Id="rId1226" Type="http://schemas.openxmlformats.org/officeDocument/2006/relationships/hyperlink" Target="https://twitter.com/AllforOneSteeb/status/720928936985784320" TargetMode="External"/><Relationship Id="rId1640" Type="http://schemas.openxmlformats.org/officeDocument/2006/relationships/hyperlink" Target="https://twitter.com/INDIZbot/status/721252078899884032" TargetMode="External"/><Relationship Id="rId4796" Type="http://schemas.openxmlformats.org/officeDocument/2006/relationships/hyperlink" Target="https://pbs.twimg.com/profile_images/714857598701465602/iKKrC3O9_normal.jpg" TargetMode="External"/><Relationship Id="rId5847" Type="http://schemas.openxmlformats.org/officeDocument/2006/relationships/hyperlink" Target="https://twitter.com/bigdata_insider/status/723053521851961344" TargetMode="External"/><Relationship Id="rId8253" Type="http://schemas.openxmlformats.org/officeDocument/2006/relationships/hyperlink" Target="https://twitter.com/ITK_OWL" TargetMode="External"/><Relationship Id="rId9304" Type="http://schemas.openxmlformats.org/officeDocument/2006/relationships/hyperlink" Target="https://pbs.twimg.com/profile_images/541146126158536704/IYardufS_normal.jpeg" TargetMode="External"/><Relationship Id="rId10183" Type="http://schemas.openxmlformats.org/officeDocument/2006/relationships/hyperlink" Target="https://twitter.com/nlp_stories" TargetMode="External"/><Relationship Id="rId3398" Type="http://schemas.openxmlformats.org/officeDocument/2006/relationships/hyperlink" Target="https://twitter.com/INDIZbot" TargetMode="External"/><Relationship Id="rId4449" Type="http://schemas.openxmlformats.org/officeDocument/2006/relationships/hyperlink" Target="https://pbs.twimg.com/profile_images/653152998374383616/eoBtv3l7_normal.jpg" TargetMode="External"/><Relationship Id="rId4863" Type="http://schemas.openxmlformats.org/officeDocument/2006/relationships/hyperlink" Target="https://twitter.com/AGiesenNRW" TargetMode="External"/><Relationship Id="rId5914" Type="http://schemas.openxmlformats.org/officeDocument/2006/relationships/hyperlink" Target="https://pbs.twimg.com/profile_images/3083763260/1ea674655cb6144191e83d3ee23b16b6_normal.jpeg" TargetMode="External"/><Relationship Id="rId8320" Type="http://schemas.openxmlformats.org/officeDocument/2006/relationships/hyperlink" Target="https://twitter.com/swabr/status/723534889245659136" TargetMode="External"/><Relationship Id="rId10250" Type="http://schemas.openxmlformats.org/officeDocument/2006/relationships/hyperlink" Target="https://twitter.com/senbaravi/status/724400162798448640" TargetMode="External"/><Relationship Id="rId3465" Type="http://schemas.openxmlformats.org/officeDocument/2006/relationships/hyperlink" Target="https://twitter.com/astreim/status/722363157835096064" TargetMode="External"/><Relationship Id="rId4516" Type="http://schemas.openxmlformats.org/officeDocument/2006/relationships/hyperlink" Target="https://twitter.com/onlinebynature/status/722701148193480704" TargetMode="External"/><Relationship Id="rId386" Type="http://schemas.openxmlformats.org/officeDocument/2006/relationships/hyperlink" Target="https://twitter.com/LutzVA/status/720570338698993664" TargetMode="External"/><Relationship Id="rId2067" Type="http://schemas.openxmlformats.org/officeDocument/2006/relationships/hyperlink" Target="https://twitter.com/kommoptimierer" TargetMode="External"/><Relationship Id="rId2481" Type="http://schemas.openxmlformats.org/officeDocument/2006/relationships/hyperlink" Target="https://pbs.twimg.com/profile_images/593011135428882432/BGMPkrwp_normal.jpg" TargetMode="External"/><Relationship Id="rId3118" Type="http://schemas.openxmlformats.org/officeDocument/2006/relationships/hyperlink" Target="https://twitter.com/steffi_kow/status/722314480122769408" TargetMode="External"/><Relationship Id="rId3532" Type="http://schemas.openxmlformats.org/officeDocument/2006/relationships/hyperlink" Target="https://pbs.twimg.com/profile_images/685327213/Apandia_normal.gif" TargetMode="External"/><Relationship Id="rId4930" Type="http://schemas.openxmlformats.org/officeDocument/2006/relationships/hyperlink" Target="https://twitter.com/stefan_denz/status/722739593435549696" TargetMode="External"/><Relationship Id="rId6688" Type="http://schemas.openxmlformats.org/officeDocument/2006/relationships/hyperlink" Target="https://twitter.com/JBause" TargetMode="External"/><Relationship Id="rId7739" Type="http://schemas.openxmlformats.org/officeDocument/2006/relationships/hyperlink" Target="https://pbs.twimg.com/profile_images/683927095706292225/xNVAEpIh_normal.jpg" TargetMode="External"/><Relationship Id="rId9094" Type="http://schemas.openxmlformats.org/officeDocument/2006/relationships/hyperlink" Target="https://pbs.twimg.com/profile_images/615797525040136192/CKF9-v_o_normal.jpg" TargetMode="External"/><Relationship Id="rId453" Type="http://schemas.openxmlformats.org/officeDocument/2006/relationships/hyperlink" Target="https://pbs.twimg.com/profile_images/591951396217327616/HbcCX2zX_normal.png" TargetMode="External"/><Relationship Id="rId1083" Type="http://schemas.openxmlformats.org/officeDocument/2006/relationships/hyperlink" Target="https://pbs.twimg.com/profile_images/707877685721231360/0WBLwHQ-_normal.jpg" TargetMode="External"/><Relationship Id="rId2134" Type="http://schemas.openxmlformats.org/officeDocument/2006/relationships/hyperlink" Target="https://twitter.com/ULdialogue" TargetMode="External"/><Relationship Id="rId9161" Type="http://schemas.openxmlformats.org/officeDocument/2006/relationships/hyperlink" Target="https://twitter.com/kat2812" TargetMode="External"/><Relationship Id="rId106" Type="http://schemas.openxmlformats.org/officeDocument/2006/relationships/hyperlink" Target="https://twitter.com/StipoNad" TargetMode="External"/><Relationship Id="rId1150" Type="http://schemas.openxmlformats.org/officeDocument/2006/relationships/hyperlink" Target="https://twitter.com/INDIZbot" TargetMode="External"/><Relationship Id="rId5357" Type="http://schemas.openxmlformats.org/officeDocument/2006/relationships/hyperlink" Target="https://twitter.com/INDIZbot" TargetMode="External"/><Relationship Id="rId6755" Type="http://schemas.openxmlformats.org/officeDocument/2006/relationships/hyperlink" Target="https://twitter.com/mark_asbach/status/723168151270264832" TargetMode="External"/><Relationship Id="rId7806" Type="http://schemas.openxmlformats.org/officeDocument/2006/relationships/hyperlink" Target="https://pbs.twimg.com/profile_images/601673968551075840/MnulnKkj_normal.png" TargetMode="External"/><Relationship Id="rId520" Type="http://schemas.openxmlformats.org/officeDocument/2006/relationships/hyperlink" Target="https://pbs.twimg.com/profile_images/704341480748535809/zvvtFziI_normal.jpg" TargetMode="External"/><Relationship Id="rId2201" Type="http://schemas.openxmlformats.org/officeDocument/2006/relationships/hyperlink" Target="https://twitter.com/H_IT_D/status/721961438479134720" TargetMode="External"/><Relationship Id="rId5771" Type="http://schemas.openxmlformats.org/officeDocument/2006/relationships/hyperlink" Target="https://pbs.twimg.com/profile_images/620239829855563777/w-0wO7mb_normal.jpg" TargetMode="External"/><Relationship Id="rId6408" Type="http://schemas.openxmlformats.org/officeDocument/2006/relationships/hyperlink" Target="https://twitter.com/SGE/status/723120061326700544" TargetMode="External"/><Relationship Id="rId6822" Type="http://schemas.openxmlformats.org/officeDocument/2006/relationships/hyperlink" Target="https://pbs.twimg.com/profile_images/666911961599315968/aP7ID_qm_normal.png" TargetMode="External"/><Relationship Id="rId9978" Type="http://schemas.openxmlformats.org/officeDocument/2006/relationships/hyperlink" Target="https://pbs.twimg.com/profile_images/2479347690/photo2_normal.jpeg" TargetMode="External"/><Relationship Id="rId1967" Type="http://schemas.openxmlformats.org/officeDocument/2006/relationships/hyperlink" Target="https://pbs.twimg.com/profile_images/645716711723925506/t5G0qOS6_normal.jpg" TargetMode="External"/><Relationship Id="rId4373" Type="http://schemas.openxmlformats.org/officeDocument/2006/relationships/hyperlink" Target="https://pbs.twimg.com/profile_images/502402188295946240/rN3wbNyn_normal.jpeg" TargetMode="External"/><Relationship Id="rId5424" Type="http://schemas.openxmlformats.org/officeDocument/2006/relationships/hyperlink" Target="https://twitter.com/ChRothe/status/722799940120907776" TargetMode="External"/><Relationship Id="rId8994" Type="http://schemas.openxmlformats.org/officeDocument/2006/relationships/hyperlink" Target="https://pbs.twimg.com/profile_images/645716711723925506/t5G0qOS6_normal.jpg" TargetMode="External"/><Relationship Id="rId4026" Type="http://schemas.openxmlformats.org/officeDocument/2006/relationships/hyperlink" Target="https://twitter.com/industrie_futur/status/722475961757929473" TargetMode="External"/><Relationship Id="rId4440" Type="http://schemas.openxmlformats.org/officeDocument/2006/relationships/hyperlink" Target="https://twitter.com/HTxAlive" TargetMode="External"/><Relationship Id="rId7596" Type="http://schemas.openxmlformats.org/officeDocument/2006/relationships/hyperlink" Target="https://twitter.com/sentsoftwarede" TargetMode="External"/><Relationship Id="rId8647" Type="http://schemas.openxmlformats.org/officeDocument/2006/relationships/hyperlink" Target="https://twitter.com/GregRodehueser" TargetMode="External"/><Relationship Id="rId3042" Type="http://schemas.openxmlformats.org/officeDocument/2006/relationships/hyperlink" Target="https://twitter.com/Geschnattere" TargetMode="External"/><Relationship Id="rId6198" Type="http://schemas.openxmlformats.org/officeDocument/2006/relationships/hyperlink" Target="https://twitter.com/joachimjoachim" TargetMode="External"/><Relationship Id="rId7249" Type="http://schemas.openxmlformats.org/officeDocument/2006/relationships/hyperlink" Target="https://twitter.com/AxHoepner" TargetMode="External"/><Relationship Id="rId7663" Type="http://schemas.openxmlformats.org/officeDocument/2006/relationships/hyperlink" Target="https://twitter.com/INDIZbot/status/723423890790178816" TargetMode="External"/><Relationship Id="rId8714" Type="http://schemas.openxmlformats.org/officeDocument/2006/relationships/hyperlink" Target="https://twitter.com/NeleReimers/status/723794742719438848" TargetMode="External"/><Relationship Id="rId6265" Type="http://schemas.openxmlformats.org/officeDocument/2006/relationships/hyperlink" Target="https://twitter.com/snetworkingde" TargetMode="External"/><Relationship Id="rId7316" Type="http://schemas.openxmlformats.org/officeDocument/2006/relationships/hyperlink" Target="https://twitter.com/H_IT_D" TargetMode="External"/><Relationship Id="rId3859" Type="http://schemas.openxmlformats.org/officeDocument/2006/relationships/hyperlink" Target="https://pbs.twimg.com/profile_images/719855439022678017/ywr6leIV_normal.jpg" TargetMode="External"/><Relationship Id="rId5281" Type="http://schemas.openxmlformats.org/officeDocument/2006/relationships/hyperlink" Target="https://twitter.com/lotsizeone" TargetMode="External"/><Relationship Id="rId7730" Type="http://schemas.openxmlformats.org/officeDocument/2006/relationships/hyperlink" Target="https://pbs.twimg.com/profile_images/1609201658/Photo_PM_normal.jpg" TargetMode="External"/><Relationship Id="rId9488" Type="http://schemas.openxmlformats.org/officeDocument/2006/relationships/hyperlink" Target="https://twitter.com/Gruendercoaches" TargetMode="External"/><Relationship Id="rId2875" Type="http://schemas.openxmlformats.org/officeDocument/2006/relationships/hyperlink" Target="https://twitter.com/MicroservicesE" TargetMode="External"/><Relationship Id="rId3926" Type="http://schemas.openxmlformats.org/officeDocument/2006/relationships/hyperlink" Target="https://twitter.com/GOettingerEU" TargetMode="External"/><Relationship Id="rId6332" Type="http://schemas.openxmlformats.org/officeDocument/2006/relationships/hyperlink" Target="http://some.io/" TargetMode="External"/><Relationship Id="rId847" Type="http://schemas.openxmlformats.org/officeDocument/2006/relationships/hyperlink" Target="https://twitter.com/INDIZbot/status/720844386670481409" TargetMode="External"/><Relationship Id="rId1477" Type="http://schemas.openxmlformats.org/officeDocument/2006/relationships/hyperlink" Target="https://twitter.com/wiesel2008" TargetMode="External"/><Relationship Id="rId1891" Type="http://schemas.openxmlformats.org/officeDocument/2006/relationships/hyperlink" Target="https://pbs.twimg.com/profile_images/645716711723925506/t5G0qOS6_normal.jpg" TargetMode="External"/><Relationship Id="rId2528" Type="http://schemas.openxmlformats.org/officeDocument/2006/relationships/hyperlink" Target="https://pbs.twimg.com/profile_images/651849467046588418/Vn4rwmih_normal.png" TargetMode="External"/><Relationship Id="rId2942" Type="http://schemas.openxmlformats.org/officeDocument/2006/relationships/hyperlink" Target="https://twitter.com/Print3DExpo" TargetMode="External"/><Relationship Id="rId9555" Type="http://schemas.openxmlformats.org/officeDocument/2006/relationships/hyperlink" Target="https://twitter.com/DCAI4online/status/724203975214567424" TargetMode="External"/><Relationship Id="rId914" Type="http://schemas.openxmlformats.org/officeDocument/2006/relationships/hyperlink" Target="https://pbs.twimg.com/profile_images/606758558391246848/OeI4jq0j_normal.jpg" TargetMode="External"/><Relationship Id="rId1544" Type="http://schemas.openxmlformats.org/officeDocument/2006/relationships/hyperlink" Target="https://twitter.com/H_IT_D/status/721076386350280704" TargetMode="External"/><Relationship Id="rId5001" Type="http://schemas.openxmlformats.org/officeDocument/2006/relationships/hyperlink" Target="https://pbs.twimg.com/profile_images/704970625748697089/GQl2pOlK_normal.jpg" TargetMode="External"/><Relationship Id="rId8157" Type="http://schemas.openxmlformats.org/officeDocument/2006/relationships/hyperlink" Target="https://twitter.com/SilkeSt/status/723501386969833472" TargetMode="External"/><Relationship Id="rId8571" Type="http://schemas.openxmlformats.org/officeDocument/2006/relationships/hyperlink" Target="https://abs.twimg.com/sticky/default_profile_images/default_profile_2_normal.png" TargetMode="External"/><Relationship Id="rId9208" Type="http://schemas.openxmlformats.org/officeDocument/2006/relationships/hyperlink" Target="https://abs.twimg.com/sticky/default_profile_images/default_profile_4_normal.png" TargetMode="External"/><Relationship Id="rId9622" Type="http://schemas.openxmlformats.org/officeDocument/2006/relationships/hyperlink" Target="https://pbs.twimg.com/profile_images/710998412557213696/35ck8XjS_normal.jpg" TargetMode="External"/><Relationship Id="rId10087" Type="http://schemas.openxmlformats.org/officeDocument/2006/relationships/hyperlink" Target="https://twitter.com/kingzulu82" TargetMode="External"/><Relationship Id="rId1611" Type="http://schemas.openxmlformats.org/officeDocument/2006/relationships/hyperlink" Target="https://pbs.twimg.com/profile_images/711460495795097600/GjVvY72S_normal.jpg" TargetMode="External"/><Relationship Id="rId4767" Type="http://schemas.openxmlformats.org/officeDocument/2006/relationships/hyperlink" Target="https://twitter.com/Gesamtmetall" TargetMode="External"/><Relationship Id="rId5818" Type="http://schemas.openxmlformats.org/officeDocument/2006/relationships/hyperlink" Target="https://twitter.com/DegosSandrine" TargetMode="External"/><Relationship Id="rId7173" Type="http://schemas.openxmlformats.org/officeDocument/2006/relationships/hyperlink" Target="https://pbs.twimg.com/profile_images/662723326096224256/5V4KH9_O_normal.jpg" TargetMode="External"/><Relationship Id="rId8224" Type="http://schemas.openxmlformats.org/officeDocument/2006/relationships/hyperlink" Target="https://twitter.com/joworf/status/723513545187557376" TargetMode="External"/><Relationship Id="rId10154" Type="http://schemas.openxmlformats.org/officeDocument/2006/relationships/hyperlink" Target="https://twitter.com/INDIZbot/status/724349994015285248" TargetMode="External"/><Relationship Id="rId3369" Type="http://schemas.openxmlformats.org/officeDocument/2006/relationships/hyperlink" Target="http://paper.li/" TargetMode="External"/><Relationship Id="rId7240" Type="http://schemas.openxmlformats.org/officeDocument/2006/relationships/hyperlink" Target="https://twitter.com/INDIZbot" TargetMode="External"/><Relationship Id="rId2385" Type="http://schemas.openxmlformats.org/officeDocument/2006/relationships/hyperlink" Target="https://pbs.twimg.com/profile_images/603699032804859904/lb5IMG5x_normal.jpg" TargetMode="External"/><Relationship Id="rId3783" Type="http://schemas.openxmlformats.org/officeDocument/2006/relationships/hyperlink" Target="https://twitter.com/INDIZbot/status/722424932387438592" TargetMode="External"/><Relationship Id="rId4834" Type="http://schemas.openxmlformats.org/officeDocument/2006/relationships/hyperlink" Target="https://twitter.com/HESSENMETALL/status/722722866215694337" TargetMode="External"/><Relationship Id="rId10221" Type="http://schemas.openxmlformats.org/officeDocument/2006/relationships/hyperlink" Target="https://pbs.twimg.com/profile_images/723056722634371072/L0JFDAVN_normal.jpg" TargetMode="External"/><Relationship Id="rId357" Type="http://schemas.openxmlformats.org/officeDocument/2006/relationships/hyperlink" Target="https://pbs.twimg.com/profile_images/663668561366245376/2ovYiiJf_normal.jpg" TargetMode="External"/><Relationship Id="rId2038" Type="http://schemas.openxmlformats.org/officeDocument/2006/relationships/hyperlink" Target="https://twitter.com/_MBauer_/status/721758455741169664" TargetMode="External"/><Relationship Id="rId3436" Type="http://schemas.openxmlformats.org/officeDocument/2006/relationships/hyperlink" Target="https://pbs.twimg.com/profile_images/2619086509/ld3z97zhhdbs2essw7s9_normal.jpeg" TargetMode="External"/><Relationship Id="rId3850" Type="http://schemas.openxmlformats.org/officeDocument/2006/relationships/hyperlink" Target="https://pbs.twimg.com/profile_images/641558874294628356/0gpa7sTF_normal.jpg" TargetMode="External"/><Relationship Id="rId4901" Type="http://schemas.openxmlformats.org/officeDocument/2006/relationships/hyperlink" Target="https://pbs.twimg.com/profile_images/448356594233774080/9hP-J2os_normal.jpeg" TargetMode="External"/><Relationship Id="rId9065" Type="http://schemas.openxmlformats.org/officeDocument/2006/relationships/hyperlink" Target="https://twitter.com/prxpragma" TargetMode="External"/><Relationship Id="rId771" Type="http://schemas.openxmlformats.org/officeDocument/2006/relationships/hyperlink" Target="https://twitter.com/LeanKnowledge/status/720714306241826818" TargetMode="External"/><Relationship Id="rId2452" Type="http://schemas.openxmlformats.org/officeDocument/2006/relationships/hyperlink" Target="https://twitter.com/ZVEIorg" TargetMode="External"/><Relationship Id="rId3503" Type="http://schemas.openxmlformats.org/officeDocument/2006/relationships/hyperlink" Target="https://twitter.com/AltenaTCS" TargetMode="External"/><Relationship Id="rId6659" Type="http://schemas.openxmlformats.org/officeDocument/2006/relationships/hyperlink" Target="https://twitter.com/kommunikationsm/status/723156959571005440" TargetMode="External"/><Relationship Id="rId424" Type="http://schemas.openxmlformats.org/officeDocument/2006/relationships/hyperlink" Target="https://twitter.com/acad_sup" TargetMode="External"/><Relationship Id="rId1054" Type="http://schemas.openxmlformats.org/officeDocument/2006/relationships/hyperlink" Target="https://twitter.com/Stefan_Schaus" TargetMode="External"/><Relationship Id="rId2105" Type="http://schemas.openxmlformats.org/officeDocument/2006/relationships/hyperlink" Target="https://pbs.twimg.com/profile_images/645716711723925506/t5G0qOS6_normal.jpg" TargetMode="External"/><Relationship Id="rId5675" Type="http://schemas.openxmlformats.org/officeDocument/2006/relationships/hyperlink" Target="https://pbs.twimg.com/profile_images/645716711723925506/t5G0qOS6_normal.jpg" TargetMode="External"/><Relationship Id="rId6726" Type="http://schemas.openxmlformats.org/officeDocument/2006/relationships/hyperlink" Target="https://pbs.twimg.com/profile_images/471312276767535104/TIanhngf_normal.jpeg" TargetMode="External"/><Relationship Id="rId8081" Type="http://schemas.openxmlformats.org/officeDocument/2006/relationships/hyperlink" Target="https://twitter.com/dictaJet" TargetMode="External"/><Relationship Id="rId9132" Type="http://schemas.openxmlformats.org/officeDocument/2006/relationships/hyperlink" Target="https://twitter.com/INDIZbot/status/723952366970646528" TargetMode="External"/><Relationship Id="rId1121" Type="http://schemas.openxmlformats.org/officeDocument/2006/relationships/hyperlink" Target="https://twitter.com/INDIZbot/status/720902397342703616" TargetMode="External"/><Relationship Id="rId4277" Type="http://schemas.openxmlformats.org/officeDocument/2006/relationships/hyperlink" Target="https://pbs.twimg.com/profile_images/680696942163300352/dT4ULAXJ_normal.jpg" TargetMode="External"/><Relationship Id="rId4691" Type="http://schemas.openxmlformats.org/officeDocument/2006/relationships/hyperlink" Target="https://pbs.twimg.com/profile_images/416624713788452864/4sW9fFDD_normal.jpeg" TargetMode="External"/><Relationship Id="rId5328" Type="http://schemas.openxmlformats.org/officeDocument/2006/relationships/hyperlink" Target="https://pbs.twimg.com/profile_images/676325832600743936/gCXpokOx_normal.jpg" TargetMode="External"/><Relationship Id="rId5742" Type="http://schemas.openxmlformats.org/officeDocument/2006/relationships/hyperlink" Target="https://twitter.com/NicolaPeschke" TargetMode="External"/><Relationship Id="rId8898" Type="http://schemas.openxmlformats.org/officeDocument/2006/relationships/hyperlink" Target="https://pbs.twimg.com/profile_images/541146126158536704/IYardufS_normal.jpeg" TargetMode="External"/><Relationship Id="rId9949" Type="http://schemas.openxmlformats.org/officeDocument/2006/relationships/hyperlink" Target="https://twitter.com/AmChamGermany" TargetMode="External"/><Relationship Id="rId3293" Type="http://schemas.openxmlformats.org/officeDocument/2006/relationships/hyperlink" Target="https://twitter.com/PortalAlemania/status/722343910987718656" TargetMode="External"/><Relationship Id="rId4344" Type="http://schemas.openxmlformats.org/officeDocument/2006/relationships/hyperlink" Target="https://twitter.com/LReehten" TargetMode="External"/><Relationship Id="rId1938" Type="http://schemas.openxmlformats.org/officeDocument/2006/relationships/hyperlink" Target="https://twitter.com/verlinked/status/721654448011935745" TargetMode="External"/><Relationship Id="rId3360" Type="http://schemas.openxmlformats.org/officeDocument/2006/relationships/hyperlink" Target="https://pbs.twimg.com/profile_images/448785978165968896/SQOcI8cJ_normal.png" TargetMode="External"/><Relationship Id="rId7567" Type="http://schemas.openxmlformats.org/officeDocument/2006/relationships/hyperlink" Target="https://twitter.com/BentNiklas/status/723414315789766656" TargetMode="External"/><Relationship Id="rId8965" Type="http://schemas.openxmlformats.org/officeDocument/2006/relationships/hyperlink" Target="https://twitter.com/davidromero_mex" TargetMode="External"/><Relationship Id="rId281" Type="http://schemas.openxmlformats.org/officeDocument/2006/relationships/hyperlink" Target="https://twitter.com/Apandia/status/720543126721421312" TargetMode="External"/><Relationship Id="rId3013" Type="http://schemas.openxmlformats.org/officeDocument/2006/relationships/hyperlink" Target="https://twitter.com/pinetco/status/722288623400415232" TargetMode="External"/><Relationship Id="rId4411" Type="http://schemas.openxmlformats.org/officeDocument/2006/relationships/hyperlink" Target="https://twitter.com/laszloetesi/status/722688532314243072" TargetMode="External"/><Relationship Id="rId6169" Type="http://schemas.openxmlformats.org/officeDocument/2006/relationships/hyperlink" Target="https://twitter.com/LReehten/status/723083312072261632" TargetMode="External"/><Relationship Id="rId7981" Type="http://schemas.openxmlformats.org/officeDocument/2006/relationships/hyperlink" Target="https://pbs.twimg.com/profile_images/594934750122536960/nG4kmfDF_normal.jpg" TargetMode="External"/><Relationship Id="rId8618" Type="http://schemas.openxmlformats.org/officeDocument/2006/relationships/hyperlink" Target="https://twitter.com/CapgeminiDE/status/723768638365417472" TargetMode="External"/><Relationship Id="rId6583" Type="http://schemas.openxmlformats.org/officeDocument/2006/relationships/hyperlink" Target="https://twitter.com/laszloetesi/status/723146313676763136" TargetMode="External"/><Relationship Id="rId7634" Type="http://schemas.openxmlformats.org/officeDocument/2006/relationships/hyperlink" Target="https://pbs.twimg.com/profile_images/677781149037514752/TcTK8Bpv_normal.png" TargetMode="External"/><Relationship Id="rId2779" Type="http://schemas.openxmlformats.org/officeDocument/2006/relationships/hyperlink" Target="https://twitter.com/S_Koebernick/status/722116944099471360" TargetMode="External"/><Relationship Id="rId5185" Type="http://schemas.openxmlformats.org/officeDocument/2006/relationships/hyperlink" Target="https://twitter.com/startupradioDE" TargetMode="External"/><Relationship Id="rId6236" Type="http://schemas.openxmlformats.org/officeDocument/2006/relationships/hyperlink" Target="https://twitter.com/Val_D_R/status/723091084100820992" TargetMode="External"/><Relationship Id="rId6650" Type="http://schemas.openxmlformats.org/officeDocument/2006/relationships/hyperlink" Target="https://pbs.twimg.com/profile_images/615797525040136192/CKF9-v_o_normal.jpg" TargetMode="External"/><Relationship Id="rId7701" Type="http://schemas.openxmlformats.org/officeDocument/2006/relationships/hyperlink" Target="https://twitter.com/JETZT_PRde" TargetMode="External"/><Relationship Id="rId1795" Type="http://schemas.openxmlformats.org/officeDocument/2006/relationships/hyperlink" Target="https://twitter.com/EmrahEker_" TargetMode="External"/><Relationship Id="rId2846" Type="http://schemas.openxmlformats.org/officeDocument/2006/relationships/hyperlink" Target="https://pbs.twimg.com/profile_images/510721015945498624/1UpjmZMi_normal.jpeg" TargetMode="External"/><Relationship Id="rId5252" Type="http://schemas.openxmlformats.org/officeDocument/2006/relationships/hyperlink" Target="https://twitter.com/faktenkontor/status/722774709012549632" TargetMode="External"/><Relationship Id="rId6303" Type="http://schemas.openxmlformats.org/officeDocument/2006/relationships/hyperlink" Target="https://twitter.com/M_Exchange_AG" TargetMode="External"/><Relationship Id="rId9459" Type="http://schemas.openxmlformats.org/officeDocument/2006/relationships/hyperlink" Target="https://twitter.com/MartinGaedt/status/724177655881412609" TargetMode="External"/><Relationship Id="rId9873" Type="http://schemas.openxmlformats.org/officeDocument/2006/relationships/hyperlink" Target="https://pbs.twimg.com/profile_images/645716711723925506/t5G0qOS6_normal.jpg" TargetMode="External"/><Relationship Id="rId87" Type="http://schemas.openxmlformats.org/officeDocument/2006/relationships/hyperlink" Target="https://pbs.twimg.com/profile_images/667689986276392960/lHQvEvuO_normal.jpg" TargetMode="External"/><Relationship Id="rId818" Type="http://schemas.openxmlformats.org/officeDocument/2006/relationships/hyperlink" Target="https://pbs.twimg.com/profile_images/591951396217327616/HbcCX2zX_normal.png" TargetMode="External"/><Relationship Id="rId1448" Type="http://schemas.openxmlformats.org/officeDocument/2006/relationships/hyperlink" Target="https://twitter.com/KathaWeber/status/721005845623021568" TargetMode="External"/><Relationship Id="rId8475" Type="http://schemas.openxmlformats.org/officeDocument/2006/relationships/hyperlink" Target="https://pbs.twimg.com/profile_images/645716711723925506/t5G0qOS6_normal.jpg" TargetMode="External"/><Relationship Id="rId9526" Type="http://schemas.openxmlformats.org/officeDocument/2006/relationships/hyperlink" Target="https://pbs.twimg.com/profile_images/717312614456500224/5vZuHX_n_normal.jpg" TargetMode="External"/><Relationship Id="rId1862" Type="http://schemas.openxmlformats.org/officeDocument/2006/relationships/hyperlink" Target="https://twitter.com/INDIZbot" TargetMode="External"/><Relationship Id="rId2913" Type="http://schemas.openxmlformats.org/officeDocument/2006/relationships/hyperlink" Target="https://twitter.com/tomschaepper/status/722165747213037568" TargetMode="External"/><Relationship Id="rId7077" Type="http://schemas.openxmlformats.org/officeDocument/2006/relationships/hyperlink" Target="https://pbs.twimg.com/profile_images/645716711723925506/t5G0qOS6_normal.jpg" TargetMode="External"/><Relationship Id="rId7491" Type="http://schemas.openxmlformats.org/officeDocument/2006/relationships/hyperlink" Target="https://twitter.com/DerKonstrukteu" TargetMode="External"/><Relationship Id="rId8128" Type="http://schemas.openxmlformats.org/officeDocument/2006/relationships/hyperlink" Target="https://pbs.twimg.com/profile_images/469841276188098560/7H13R02s_normal.jpeg" TargetMode="External"/><Relationship Id="rId9940" Type="http://schemas.openxmlformats.org/officeDocument/2006/relationships/hyperlink" Target="https://twitter.com/RiemenspergerF" TargetMode="External"/><Relationship Id="rId10058" Type="http://schemas.openxmlformats.org/officeDocument/2006/relationships/hyperlink" Target="https://twitter.com/INDIZbot/status/724315032096505856" TargetMode="External"/><Relationship Id="rId1515" Type="http://schemas.openxmlformats.org/officeDocument/2006/relationships/hyperlink" Target="https://pbs.twimg.com/profile_images/591951396217327616/HbcCX2zX_normal.png" TargetMode="External"/><Relationship Id="rId6093" Type="http://schemas.openxmlformats.org/officeDocument/2006/relationships/hyperlink" Target="https://twitter.com/Balluff_Service/status/723074229202083842" TargetMode="External"/><Relationship Id="rId7144" Type="http://schemas.openxmlformats.org/officeDocument/2006/relationships/hyperlink" Target="https://twitter.com/TLinn_Visionico" TargetMode="External"/><Relationship Id="rId8542" Type="http://schemas.openxmlformats.org/officeDocument/2006/relationships/hyperlink" Target="https://twitter.com/INDIZbot" TargetMode="External"/><Relationship Id="rId3687" Type="http://schemas.openxmlformats.org/officeDocument/2006/relationships/hyperlink" Target="https://twitter.com/wmaxx_consultig/status/722406431891304448" TargetMode="External"/><Relationship Id="rId4738" Type="http://schemas.openxmlformats.org/officeDocument/2006/relationships/hyperlink" Target="https://twitter.com/TACookDE/status/722716129689518081" TargetMode="External"/><Relationship Id="rId10125" Type="http://schemas.openxmlformats.org/officeDocument/2006/relationships/hyperlink" Target="https://pbs.twimg.com/profile_images/2994151206/72e14517d19cb49aa35fe3019df8b048_normal.jpeg" TargetMode="External"/><Relationship Id="rId2289" Type="http://schemas.openxmlformats.org/officeDocument/2006/relationships/hyperlink" Target="https://twitter.com/markherten" TargetMode="External"/><Relationship Id="rId3754" Type="http://schemas.openxmlformats.org/officeDocument/2006/relationships/hyperlink" Target="https://pbs.twimg.com/profile_images/645716711723925506/t5G0qOS6_normal.jpg" TargetMode="External"/><Relationship Id="rId4805" Type="http://schemas.openxmlformats.org/officeDocument/2006/relationships/hyperlink" Target="https://pbs.twimg.com/profile_images/500197613988102144/YT-InrbJ_normal.jpeg" TargetMode="External"/><Relationship Id="rId6160" Type="http://schemas.openxmlformats.org/officeDocument/2006/relationships/hyperlink" Target="https://twitter.com/IT_Connection/status/723082660311097344" TargetMode="External"/><Relationship Id="rId7211" Type="http://schemas.openxmlformats.org/officeDocument/2006/relationships/hyperlink" Target="https://twitter.com/osanten/status/723384417440276480" TargetMode="External"/><Relationship Id="rId675" Type="http://schemas.openxmlformats.org/officeDocument/2006/relationships/hyperlink" Target="https://twitter.com/AndeGregson/status/720663181660721152" TargetMode="External"/><Relationship Id="rId2356" Type="http://schemas.openxmlformats.org/officeDocument/2006/relationships/hyperlink" Target="https://twitter.com/hannover_messe" TargetMode="External"/><Relationship Id="rId2770" Type="http://schemas.openxmlformats.org/officeDocument/2006/relationships/hyperlink" Target="https://twitter.com/CloudExpo/status/722115638261596160" TargetMode="External"/><Relationship Id="rId3407" Type="http://schemas.openxmlformats.org/officeDocument/2006/relationships/hyperlink" Target="https://twitter.com/GOettingerEU" TargetMode="External"/><Relationship Id="rId3821" Type="http://schemas.openxmlformats.org/officeDocument/2006/relationships/hyperlink" Target="https://twitter.com/IoTMinded" TargetMode="External"/><Relationship Id="rId6977" Type="http://schemas.openxmlformats.org/officeDocument/2006/relationships/hyperlink" Target="https://twitter.com/deviceWISEM2M/status/723222029948837888" TargetMode="External"/><Relationship Id="rId9383" Type="http://schemas.openxmlformats.org/officeDocument/2006/relationships/hyperlink" Target="https://twitter.com/HGelis" TargetMode="External"/><Relationship Id="rId328" Type="http://schemas.openxmlformats.org/officeDocument/2006/relationships/hyperlink" Target="https://twitter.com/SICOS_BW" TargetMode="External"/><Relationship Id="rId742" Type="http://schemas.openxmlformats.org/officeDocument/2006/relationships/hyperlink" Target="https://pbs.twimg.com/profile_images/504569405494161410/4CpoyfPM_normal.jpeg" TargetMode="External"/><Relationship Id="rId1372" Type="http://schemas.openxmlformats.org/officeDocument/2006/relationships/hyperlink" Target="https://pbs.twimg.com/profile_images/489403559394304001/8SQlWWA1_normal.jpeg" TargetMode="External"/><Relationship Id="rId2009" Type="http://schemas.openxmlformats.org/officeDocument/2006/relationships/hyperlink" Target="https://pbs.twimg.com/profile_images/645716711723925506/t5G0qOS6_normal.jpg" TargetMode="External"/><Relationship Id="rId2423" Type="http://schemas.openxmlformats.org/officeDocument/2006/relationships/hyperlink" Target="https://twitter.com/PW_InCub/status/722018131233935362" TargetMode="External"/><Relationship Id="rId5579" Type="http://schemas.openxmlformats.org/officeDocument/2006/relationships/hyperlink" Target="https://pbs.twimg.com/profile_images/662723326096224256/5V4KH9_O_normal.jpg" TargetMode="External"/><Relationship Id="rId9036" Type="http://schemas.openxmlformats.org/officeDocument/2006/relationships/hyperlink" Target="https://twitter.com/Lenze_FR/status/723914719011180546" TargetMode="External"/><Relationship Id="rId9450" Type="http://schemas.openxmlformats.org/officeDocument/2006/relationships/hyperlink" Target="https://twitter.com/INDIZbot/status/724176497993482240" TargetMode="External"/><Relationship Id="rId1025" Type="http://schemas.openxmlformats.org/officeDocument/2006/relationships/hyperlink" Target="https://twitter.com/dirste/status/720885933982097409" TargetMode="External"/><Relationship Id="rId4595" Type="http://schemas.openxmlformats.org/officeDocument/2006/relationships/hyperlink" Target="https://pbs.twimg.com/profile_images/637652033793851392/sK5pDpLB_normal.png" TargetMode="External"/><Relationship Id="rId5646" Type="http://schemas.openxmlformats.org/officeDocument/2006/relationships/hyperlink" Target="https://twitter.com/DosOz42" TargetMode="External"/><Relationship Id="rId5993" Type="http://schemas.openxmlformats.org/officeDocument/2006/relationships/hyperlink" Target="https://twitter.com/QuickFindsIn" TargetMode="External"/><Relationship Id="rId8052" Type="http://schemas.openxmlformats.org/officeDocument/2006/relationships/hyperlink" Target="https://twitter.com/siemensindustry/status/723487267680083970" TargetMode="External"/><Relationship Id="rId9103" Type="http://schemas.openxmlformats.org/officeDocument/2006/relationships/hyperlink" Target="https://pbs.twimg.com/profile_images/600279861282869249/IpIJ3MKX_normal.png" TargetMode="External"/><Relationship Id="rId3197" Type="http://schemas.openxmlformats.org/officeDocument/2006/relationships/hyperlink" Target="https://twitter.com/IPEV_Markus/status/722321666127360000" TargetMode="External"/><Relationship Id="rId4248" Type="http://schemas.openxmlformats.org/officeDocument/2006/relationships/hyperlink" Target="https://twitter.com/INDIZbot" TargetMode="External"/><Relationship Id="rId4662" Type="http://schemas.openxmlformats.org/officeDocument/2006/relationships/hyperlink" Target="https://twitter.com/cemanews" TargetMode="External"/><Relationship Id="rId5713" Type="http://schemas.openxmlformats.org/officeDocument/2006/relationships/hyperlink" Target="https://twitter.com/PierreKusz/status/722966449132806144" TargetMode="External"/><Relationship Id="rId8869" Type="http://schemas.openxmlformats.org/officeDocument/2006/relationships/hyperlink" Target="https://twitter.com/INDIZbot" TargetMode="External"/><Relationship Id="rId185" Type="http://schemas.openxmlformats.org/officeDocument/2006/relationships/hyperlink" Target="https://twitter.com/SHC_GmbH/status/720525824106098688" TargetMode="External"/><Relationship Id="rId1909" Type="http://schemas.openxmlformats.org/officeDocument/2006/relationships/hyperlink" Target="https://pbs.twimg.com/profile_images/667622351345950720/HAHOiaMn_normal.jpg" TargetMode="External"/><Relationship Id="rId3264" Type="http://schemas.openxmlformats.org/officeDocument/2006/relationships/hyperlink" Target="https://pbs.twimg.com/profile_images/651660160600010752/YYTKwl-M_normal.jpg" TargetMode="External"/><Relationship Id="rId4315" Type="http://schemas.openxmlformats.org/officeDocument/2006/relationships/hyperlink" Target="https://twitter.com/MarioReinsch/status/722664207683084288" TargetMode="External"/><Relationship Id="rId7885" Type="http://schemas.openxmlformats.org/officeDocument/2006/relationships/hyperlink" Target="https://twitter.com/sarakarnthi" TargetMode="External"/><Relationship Id="rId8936" Type="http://schemas.openxmlformats.org/officeDocument/2006/relationships/hyperlink" Target="https://twitter.com/ITK_OWL/status/723867435573633025" TargetMode="External"/><Relationship Id="rId2280" Type="http://schemas.openxmlformats.org/officeDocument/2006/relationships/hyperlink" Target="https://twitter.com/UweKubach" TargetMode="External"/><Relationship Id="rId3331" Type="http://schemas.openxmlformats.org/officeDocument/2006/relationships/hyperlink" Target="https://twitter.com/INDIZbot" TargetMode="External"/><Relationship Id="rId6487" Type="http://schemas.openxmlformats.org/officeDocument/2006/relationships/hyperlink" Target="https://pbs.twimg.com/profile_images/568671099278606336/tELKp5D5_normal.jpeg" TargetMode="External"/><Relationship Id="rId7538" Type="http://schemas.openxmlformats.org/officeDocument/2006/relationships/hyperlink" Target="https://pbs.twimg.com/profile_images/649126352726171648/YL98rCL3_normal.png" TargetMode="External"/><Relationship Id="rId7952" Type="http://schemas.openxmlformats.org/officeDocument/2006/relationships/hyperlink" Target="https://twitter.com/IoTMinded" TargetMode="External"/><Relationship Id="rId252" Type="http://schemas.openxmlformats.org/officeDocument/2006/relationships/hyperlink" Target="https://pbs.twimg.com/profile_images/644160034352459776/BdkZFdz5_normal.jpg" TargetMode="External"/><Relationship Id="rId5089" Type="http://schemas.openxmlformats.org/officeDocument/2006/relationships/hyperlink" Target="https://twitter.com/ke_NEXT" TargetMode="External"/><Relationship Id="rId6554" Type="http://schemas.openxmlformats.org/officeDocument/2006/relationships/hyperlink" Target="https://twitter.com/INDIZbot" TargetMode="External"/><Relationship Id="rId7605" Type="http://schemas.openxmlformats.org/officeDocument/2006/relationships/hyperlink" Target="https://twitter.com/kat2812" TargetMode="External"/><Relationship Id="rId1699" Type="http://schemas.openxmlformats.org/officeDocument/2006/relationships/hyperlink" Target="https://twitter.com/INDIZbot" TargetMode="External"/><Relationship Id="rId2000" Type="http://schemas.openxmlformats.org/officeDocument/2006/relationships/hyperlink" Target="https://pbs.twimg.com/profile_images/645716711723925506/t5G0qOS6_normal.jpg" TargetMode="External"/><Relationship Id="rId5156" Type="http://schemas.openxmlformats.org/officeDocument/2006/relationships/hyperlink" Target="https://twitter.com/Der_BDI/status/722763114299523072" TargetMode="External"/><Relationship Id="rId5570" Type="http://schemas.openxmlformats.org/officeDocument/2006/relationships/hyperlink" Target="https://abs.twimg.com/sticky/default_profile_images/default_profile_1_normal.png" TargetMode="External"/><Relationship Id="rId6207" Type="http://schemas.openxmlformats.org/officeDocument/2006/relationships/hyperlink" Target="https://twitter.com/IBM_Insider" TargetMode="External"/><Relationship Id="rId9777" Type="http://schemas.openxmlformats.org/officeDocument/2006/relationships/hyperlink" Target="https://pbs.twimg.com/profile_images/556507839561084928/0NQjY3j6_normal.jpeg" TargetMode="External"/><Relationship Id="rId4172" Type="http://schemas.openxmlformats.org/officeDocument/2006/relationships/hyperlink" Target="https://pbs.twimg.com/profile_images/623849156159868928/BetFDR_i_normal.jpg" TargetMode="External"/><Relationship Id="rId5223" Type="http://schemas.openxmlformats.org/officeDocument/2006/relationships/hyperlink" Target="https://twitter.com/FACTS4WORKERS" TargetMode="External"/><Relationship Id="rId6621" Type="http://schemas.openxmlformats.org/officeDocument/2006/relationships/hyperlink" Target="https://twitter.com/SGE" TargetMode="External"/><Relationship Id="rId8379" Type="http://schemas.openxmlformats.org/officeDocument/2006/relationships/hyperlink" Target="https://twitter.com/MindCommerce" TargetMode="External"/><Relationship Id="rId1766" Type="http://schemas.openxmlformats.org/officeDocument/2006/relationships/hyperlink" Target="https://twitter.com/BIGJTHEO/status/721360566120542209" TargetMode="External"/><Relationship Id="rId2817" Type="http://schemas.openxmlformats.org/officeDocument/2006/relationships/hyperlink" Target="https://twitter.com/LReehten" TargetMode="External"/><Relationship Id="rId8793" Type="http://schemas.openxmlformats.org/officeDocument/2006/relationships/hyperlink" Target="https://pbs.twimg.com/profile_images/641947928584712192/ipWeRmfs_normal.png" TargetMode="External"/><Relationship Id="rId9844" Type="http://schemas.openxmlformats.org/officeDocument/2006/relationships/hyperlink" Target="https://twitter.com/MarianKoeller" TargetMode="External"/><Relationship Id="rId58" Type="http://schemas.openxmlformats.org/officeDocument/2006/relationships/hyperlink" Target="https://twitter.com/NeleReimers" TargetMode="External"/><Relationship Id="rId1419" Type="http://schemas.openxmlformats.org/officeDocument/2006/relationships/hyperlink" Target="https://twitter.com/INDIZbot/status/720993307858493440" TargetMode="External"/><Relationship Id="rId1833" Type="http://schemas.openxmlformats.org/officeDocument/2006/relationships/hyperlink" Target="https://pbs.twimg.com/profile_images/645716711723925506/t5G0qOS6_normal.jpg" TargetMode="External"/><Relationship Id="rId4989" Type="http://schemas.openxmlformats.org/officeDocument/2006/relationships/hyperlink" Target="https://pbs.twimg.com/profile_images/645716711723925506/t5G0qOS6_normal.jpg" TargetMode="External"/><Relationship Id="rId7048" Type="http://schemas.openxmlformats.org/officeDocument/2006/relationships/hyperlink" Target="https://twitter.com/DanielKueng" TargetMode="External"/><Relationship Id="rId7395" Type="http://schemas.openxmlformats.org/officeDocument/2006/relationships/hyperlink" Target="https://twitter.com/AndreHD20/status/723404406562025472" TargetMode="External"/><Relationship Id="rId8446" Type="http://schemas.openxmlformats.org/officeDocument/2006/relationships/hyperlink" Target="https://twitter.com/tomweisz" TargetMode="External"/><Relationship Id="rId8860" Type="http://schemas.openxmlformats.org/officeDocument/2006/relationships/hyperlink" Target="https://twitter.com/siluad" TargetMode="External"/><Relationship Id="rId9911" Type="http://schemas.openxmlformats.org/officeDocument/2006/relationships/hyperlink" Target="https://twitter.com/INDIZbot/status/724277160740028417" TargetMode="External"/><Relationship Id="rId1900" Type="http://schemas.openxmlformats.org/officeDocument/2006/relationships/hyperlink" Target="https://pbs.twimg.com/profile_images/541146126158536704/IYardufS_normal.jpeg" TargetMode="External"/><Relationship Id="rId7462" Type="http://schemas.openxmlformats.org/officeDocument/2006/relationships/hyperlink" Target="https://twitter.com/WSattlberger/status/723407589334118400" TargetMode="External"/><Relationship Id="rId8513" Type="http://schemas.openxmlformats.org/officeDocument/2006/relationships/hyperlink" Target="https://twitter.com/BMAS_Bund/status/723612582716813312" TargetMode="External"/><Relationship Id="rId10029" Type="http://schemas.openxmlformats.org/officeDocument/2006/relationships/hyperlink" Target="https://pbs.twimg.com/profile_images/692017435269054464/uFlgRwyV_normal.jpg" TargetMode="External"/><Relationship Id="rId3658" Type="http://schemas.openxmlformats.org/officeDocument/2006/relationships/hyperlink" Target="https://pbs.twimg.com/profile_images/548030384030507008/utABqhj9_normal.png" TargetMode="External"/><Relationship Id="rId4709" Type="http://schemas.openxmlformats.org/officeDocument/2006/relationships/hyperlink" Target="https://pbs.twimg.com/profile_images/645716711723925506/t5G0qOS6_normal.jpg" TargetMode="External"/><Relationship Id="rId6064" Type="http://schemas.openxmlformats.org/officeDocument/2006/relationships/hyperlink" Target="https://pbs.twimg.com/profile_images/722385992343285760/ww8YLZ2q_normal.jpg" TargetMode="External"/><Relationship Id="rId7115" Type="http://schemas.openxmlformats.org/officeDocument/2006/relationships/hyperlink" Target="https://twitter.com/INDIZbot/status/723262965160484865" TargetMode="External"/><Relationship Id="rId579" Type="http://schemas.openxmlformats.org/officeDocument/2006/relationships/hyperlink" Target="https://twitter.com/ScheerKarriere/status/720631633590804480" TargetMode="External"/><Relationship Id="rId993" Type="http://schemas.openxmlformats.org/officeDocument/2006/relationships/hyperlink" Target="https://pbs.twimg.com/profile_images/659313711710994432/MhoVyL8j_normal.jpg" TargetMode="External"/><Relationship Id="rId2674" Type="http://schemas.openxmlformats.org/officeDocument/2006/relationships/hyperlink" Target="https://twitter.com/INDIZbot/status/722082758886060034" TargetMode="External"/><Relationship Id="rId5080" Type="http://schemas.openxmlformats.org/officeDocument/2006/relationships/hyperlink" Target="https://twitter.com/PMBG_biz" TargetMode="External"/><Relationship Id="rId6131" Type="http://schemas.openxmlformats.org/officeDocument/2006/relationships/hyperlink" Target="https://pbs.twimg.com/profile_images/686924088154140672/1_ZIe3FE_normal.png" TargetMode="External"/><Relationship Id="rId9287" Type="http://schemas.openxmlformats.org/officeDocument/2006/relationships/hyperlink" Target="https://twitter.com/kosubk" TargetMode="External"/><Relationship Id="rId646" Type="http://schemas.openxmlformats.org/officeDocument/2006/relationships/hyperlink" Target="https://pbs.twimg.com/profile_images/2736953018/767c4769e70af7d38ca77d15108e500e_normal.png" TargetMode="External"/><Relationship Id="rId1276" Type="http://schemas.openxmlformats.org/officeDocument/2006/relationships/hyperlink" Target="https://twitter.com/H_IT_D" TargetMode="External"/><Relationship Id="rId2327" Type="http://schemas.openxmlformats.org/officeDocument/2006/relationships/hyperlink" Target="https://twitter.com/Slyleg/status/721986407322009600" TargetMode="External"/><Relationship Id="rId3725" Type="http://schemas.openxmlformats.org/officeDocument/2006/relationships/hyperlink" Target="https://twitter.com/CapgeminiDE" TargetMode="External"/><Relationship Id="rId9354" Type="http://schemas.openxmlformats.org/officeDocument/2006/relationships/hyperlink" Target="https://twitter.com/cybus_io/status/724154423073738752" TargetMode="External"/><Relationship Id="rId1690" Type="http://schemas.openxmlformats.org/officeDocument/2006/relationships/hyperlink" Target="https://twitter.com/QuickFindsIn" TargetMode="External"/><Relationship Id="rId2741" Type="http://schemas.openxmlformats.org/officeDocument/2006/relationships/hyperlink" Target="https://pbs.twimg.com/profile_images/706237713700298754/yOEMWn0A_normal.jpg" TargetMode="External"/><Relationship Id="rId5897" Type="http://schemas.openxmlformats.org/officeDocument/2006/relationships/hyperlink" Target="https://twitter.com/Bitkom" TargetMode="External"/><Relationship Id="rId6948" Type="http://schemas.openxmlformats.org/officeDocument/2006/relationships/hyperlink" Target="https://pbs.twimg.com/profile_images/645716711723925506/t5G0qOS6_normal.jpg" TargetMode="External"/><Relationship Id="rId9007" Type="http://schemas.openxmlformats.org/officeDocument/2006/relationships/hyperlink" Target="https://twitter.com/BDWiese" TargetMode="External"/><Relationship Id="rId713" Type="http://schemas.openxmlformats.org/officeDocument/2006/relationships/hyperlink" Target="https://twitter.com/INDIZbot" TargetMode="External"/><Relationship Id="rId1343" Type="http://schemas.openxmlformats.org/officeDocument/2006/relationships/hyperlink" Target="https://twitter.com/Bitkom_Service/status/720966140374212608" TargetMode="External"/><Relationship Id="rId4499" Type="http://schemas.openxmlformats.org/officeDocument/2006/relationships/hyperlink" Target="https://pbs.twimg.com/profile_images/662965789750784001/iRHsNe6D_normal.png" TargetMode="External"/><Relationship Id="rId5964" Type="http://schemas.openxmlformats.org/officeDocument/2006/relationships/hyperlink" Target="https://twitter.com/EugenieNicoud/status/723065833165987840" TargetMode="External"/><Relationship Id="rId8370" Type="http://schemas.openxmlformats.org/officeDocument/2006/relationships/hyperlink" Target="https://twitter.com/boerni_w" TargetMode="External"/><Relationship Id="rId9421" Type="http://schemas.openxmlformats.org/officeDocument/2006/relationships/hyperlink" Target="https://pbs.twimg.com/profile_images/703543205543997440/qXoxbiY7_normal.jpg" TargetMode="External"/><Relationship Id="rId1410" Type="http://schemas.openxmlformats.org/officeDocument/2006/relationships/hyperlink" Target="https://twitter.com/hannover_messe/status/720990531116011520" TargetMode="External"/><Relationship Id="rId4566" Type="http://schemas.openxmlformats.org/officeDocument/2006/relationships/hyperlink" Target="https://twitter.com/JoernDettmer83" TargetMode="External"/><Relationship Id="rId4980" Type="http://schemas.openxmlformats.org/officeDocument/2006/relationships/hyperlink" Target="https://pbs.twimg.com/profile_images/699724829713428484/rUT0r7Dq_normal.jpg" TargetMode="External"/><Relationship Id="rId5617" Type="http://schemas.openxmlformats.org/officeDocument/2006/relationships/hyperlink" Target="https://twitter.com/INDIZbot/status/722890377909276672" TargetMode="External"/><Relationship Id="rId8023" Type="http://schemas.openxmlformats.org/officeDocument/2006/relationships/hyperlink" Target="https://pbs.twimg.com/profile_images/469026236916715520/DY-tlJ0c_normal.jpeg" TargetMode="External"/><Relationship Id="rId3168" Type="http://schemas.openxmlformats.org/officeDocument/2006/relationships/hyperlink" Target="https://twitter.com/wirtschaftsrat" TargetMode="External"/><Relationship Id="rId3582" Type="http://schemas.openxmlformats.org/officeDocument/2006/relationships/hyperlink" Target="https://twitter.com/MeinGeldMedien/status/722379596197445632" TargetMode="External"/><Relationship Id="rId4219" Type="http://schemas.openxmlformats.org/officeDocument/2006/relationships/hyperlink" Target="https://twitter.com/fannyfromSWE/status/722528609647337473" TargetMode="External"/><Relationship Id="rId4633" Type="http://schemas.openxmlformats.org/officeDocument/2006/relationships/hyperlink" Target="https://twitter.com/KPMG_DE/status/722709360913289219" TargetMode="External"/><Relationship Id="rId7789" Type="http://schemas.openxmlformats.org/officeDocument/2006/relationships/hyperlink" Target="https://twitter.com/FM_Elektro" TargetMode="External"/><Relationship Id="rId10020" Type="http://schemas.openxmlformats.org/officeDocument/2006/relationships/hyperlink" Target="https://pbs.twimg.com/profile_images/659313711710994432/MhoVyL8j_normal.jpg" TargetMode="External"/><Relationship Id="rId2184" Type="http://schemas.openxmlformats.org/officeDocument/2006/relationships/hyperlink" Target="https://pbs.twimg.com/profile_images/645716711723925506/t5G0qOS6_normal.jpg" TargetMode="External"/><Relationship Id="rId3235" Type="http://schemas.openxmlformats.org/officeDocument/2006/relationships/hyperlink" Target="https://twitter.com/MarcLuegger" TargetMode="External"/><Relationship Id="rId7856" Type="http://schemas.openxmlformats.org/officeDocument/2006/relationships/hyperlink" Target="https://twitter.com/FelixGerg/status/723450046012751875" TargetMode="External"/><Relationship Id="rId156" Type="http://schemas.openxmlformats.org/officeDocument/2006/relationships/hyperlink" Target="https://pbs.twimg.com/profile_images/672382311950901248/ZFhxdGcS_normal.png" TargetMode="External"/><Relationship Id="rId570" Type="http://schemas.openxmlformats.org/officeDocument/2006/relationships/hyperlink" Target="https://twitter.com/GSqueri/status/720626669585833985" TargetMode="External"/><Relationship Id="rId2251" Type="http://schemas.openxmlformats.org/officeDocument/2006/relationships/hyperlink" Target="https://twitter.com/FranBlanSAP" TargetMode="External"/><Relationship Id="rId3302" Type="http://schemas.openxmlformats.org/officeDocument/2006/relationships/hyperlink" Target="https://twitter.com/MarioReinsch/status/722346282250080256" TargetMode="External"/><Relationship Id="rId4700" Type="http://schemas.openxmlformats.org/officeDocument/2006/relationships/hyperlink" Target="https://pbs.twimg.com/profile_images/702515686623600640/uy75x3mT_normal.jpg" TargetMode="External"/><Relationship Id="rId6458" Type="http://schemas.openxmlformats.org/officeDocument/2006/relationships/hyperlink" Target="https://twitter.com/BeniSeiler" TargetMode="External"/><Relationship Id="rId7509" Type="http://schemas.openxmlformats.org/officeDocument/2006/relationships/hyperlink" Target="https://twitter.com/FortisPR" TargetMode="External"/><Relationship Id="rId8907" Type="http://schemas.openxmlformats.org/officeDocument/2006/relationships/hyperlink" Target="https://pbs.twimg.com/profile_images/722385992343285760/ww8YLZ2q_normal.jpg" TargetMode="External"/><Relationship Id="rId223" Type="http://schemas.openxmlformats.org/officeDocument/2006/relationships/hyperlink" Target="https://twitter.com/Aurelien_T_K" TargetMode="External"/><Relationship Id="rId6872" Type="http://schemas.openxmlformats.org/officeDocument/2006/relationships/hyperlink" Target="https://twitter.com/MichaelKemme/status/723180129447456768" TargetMode="External"/><Relationship Id="rId7923" Type="http://schemas.openxmlformats.org/officeDocument/2006/relationships/hyperlink" Target="https://pbs.twimg.com/profile_images/481333142238679040/ErykRvBG_normal.png" TargetMode="External"/><Relationship Id="rId4076" Type="http://schemas.openxmlformats.org/officeDocument/2006/relationships/hyperlink" Target="https://pbs.twimg.com/profile_images/719988824055681025/C6ovZ7ZR_normal.jpg" TargetMode="External"/><Relationship Id="rId5474" Type="http://schemas.openxmlformats.org/officeDocument/2006/relationships/hyperlink" Target="https://pbs.twimg.com/profile_images/639545317889822720/PXoKiaJf_normal.jpg" TargetMode="External"/><Relationship Id="rId6525" Type="http://schemas.openxmlformats.org/officeDocument/2006/relationships/hyperlink" Target="https://twitter.com/INDIZbot/status/723134809078423556" TargetMode="External"/><Relationship Id="rId4490" Type="http://schemas.openxmlformats.org/officeDocument/2006/relationships/hyperlink" Target="https://twitter.com/thilodotzel" TargetMode="External"/><Relationship Id="rId5127" Type="http://schemas.openxmlformats.org/officeDocument/2006/relationships/hyperlink" Target="https://pbs.twimg.com/profile_images/690125049806884864/ET63bOiY_normal.jpg" TargetMode="External"/><Relationship Id="rId5541" Type="http://schemas.openxmlformats.org/officeDocument/2006/relationships/hyperlink" Target="https://twitter.com/SiemensSensors" TargetMode="External"/><Relationship Id="rId8697" Type="http://schemas.openxmlformats.org/officeDocument/2006/relationships/hyperlink" Target="https://pbs.twimg.com/profile_images/627720848200347648/Zn_B8fGh_normal.png" TargetMode="External"/><Relationship Id="rId9748" Type="http://schemas.openxmlformats.org/officeDocument/2006/relationships/hyperlink" Target="https://twitter.com/IlkkaNiemela/status/724241456987254784" TargetMode="External"/><Relationship Id="rId1737" Type="http://schemas.openxmlformats.org/officeDocument/2006/relationships/hyperlink" Target="https://pbs.twimg.com/profile_images/705270537073852416/CZoAp0su_normal.jpg" TargetMode="External"/><Relationship Id="rId3092" Type="http://schemas.openxmlformats.org/officeDocument/2006/relationships/hyperlink" Target="https://pbs.twimg.com/profile_images/591951396217327616/HbcCX2zX_normal.png" TargetMode="External"/><Relationship Id="rId4143" Type="http://schemas.openxmlformats.org/officeDocument/2006/relationships/hyperlink" Target="https://twitter.com/LReehten" TargetMode="External"/><Relationship Id="rId7299" Type="http://schemas.openxmlformats.org/officeDocument/2006/relationships/hyperlink" Target="https://pbs.twimg.com/profile_images/645716711723925506/t5G0qOS6_normal.jpg" TargetMode="External"/><Relationship Id="rId8764" Type="http://schemas.openxmlformats.org/officeDocument/2006/relationships/hyperlink" Target="https://twitter.com/edmundkomar" TargetMode="External"/><Relationship Id="rId9815" Type="http://schemas.openxmlformats.org/officeDocument/2006/relationships/hyperlink" Target="https://twitter.com/mitunsdigital/status/724263305007751168" TargetMode="External"/><Relationship Id="rId29" Type="http://schemas.openxmlformats.org/officeDocument/2006/relationships/hyperlink" Target="https://twitter.com/jeangui/status/720500820278648836" TargetMode="External"/><Relationship Id="rId4210" Type="http://schemas.openxmlformats.org/officeDocument/2006/relationships/hyperlink" Target="https://twitter.com/INDIZbot/status/722518321661349890" TargetMode="External"/><Relationship Id="rId7366" Type="http://schemas.openxmlformats.org/officeDocument/2006/relationships/hyperlink" Target="https://pbs.twimg.com/profile_images/663734674653622272/h2JzQVyL_normal.jpg" TargetMode="External"/><Relationship Id="rId7780" Type="http://schemas.openxmlformats.org/officeDocument/2006/relationships/hyperlink" Target="https://twitter.com/akquinet_Ind40/status/723434421106307072" TargetMode="External"/><Relationship Id="rId8417" Type="http://schemas.openxmlformats.org/officeDocument/2006/relationships/hyperlink" Target="https://twitter.com/colbytylerford/status/723562473098469377" TargetMode="External"/><Relationship Id="rId10347" Type="http://schemas.openxmlformats.org/officeDocument/2006/relationships/hyperlink" Target="https://pbs.twimg.com/profile_images/623849156159868928/BetFDR_i_normal.jpg" TargetMode="External"/><Relationship Id="rId1804" Type="http://schemas.openxmlformats.org/officeDocument/2006/relationships/hyperlink" Target="https://twitter.com/_lfactory" TargetMode="External"/><Relationship Id="rId6382" Type="http://schemas.openxmlformats.org/officeDocument/2006/relationships/hyperlink" Target="https://pbs.twimg.com/profile_images/448785978165968896/SQOcI8cJ_normal.png" TargetMode="External"/><Relationship Id="rId7019" Type="http://schemas.openxmlformats.org/officeDocument/2006/relationships/hyperlink" Target="https://twitter.com/MTuchelmann/status/723234364499345408" TargetMode="External"/><Relationship Id="rId7433" Type="http://schemas.openxmlformats.org/officeDocument/2006/relationships/hyperlink" Target="https://twitter.com/VDMAonline" TargetMode="External"/><Relationship Id="rId8831" Type="http://schemas.openxmlformats.org/officeDocument/2006/relationships/hyperlink" Target="https://twitter.com/MeinGeldMedien/status/723828998351011840" TargetMode="External"/><Relationship Id="rId3976" Type="http://schemas.openxmlformats.org/officeDocument/2006/relationships/hyperlink" Target="https://pbs.twimg.com/profile_images/601673968551075840/MnulnKkj_normal.png" TargetMode="External"/><Relationship Id="rId6035" Type="http://schemas.openxmlformats.org/officeDocument/2006/relationships/hyperlink" Target="https://twitter.com/EKlingenburg" TargetMode="External"/><Relationship Id="rId897" Type="http://schemas.openxmlformats.org/officeDocument/2006/relationships/hyperlink" Target="https://twitter.com/TopsRP" TargetMode="External"/><Relationship Id="rId2578" Type="http://schemas.openxmlformats.org/officeDocument/2006/relationships/hyperlink" Target="https://twitter.com/INDIZbot" TargetMode="External"/><Relationship Id="rId2992" Type="http://schemas.openxmlformats.org/officeDocument/2006/relationships/hyperlink" Target="https://pbs.twimg.com/profile_images/686962695573270528/8bCV99Yq_normal.jpg" TargetMode="External"/><Relationship Id="rId3629" Type="http://schemas.openxmlformats.org/officeDocument/2006/relationships/hyperlink" Target="https://twitter.com/itsOWL_Cluster" TargetMode="External"/><Relationship Id="rId5051" Type="http://schemas.openxmlformats.org/officeDocument/2006/relationships/hyperlink" Target="https://twitter.com/catkinEU/status/722752187445555205" TargetMode="External"/><Relationship Id="rId7500" Type="http://schemas.openxmlformats.org/officeDocument/2006/relationships/hyperlink" Target="https://twitter.com/Fraunhofer_IPA" TargetMode="External"/><Relationship Id="rId9258" Type="http://schemas.openxmlformats.org/officeDocument/2006/relationships/hyperlink" Target="https://twitter.com/QuickFindsIn/status/724091501748211713" TargetMode="External"/><Relationship Id="rId964" Type="http://schemas.openxmlformats.org/officeDocument/2006/relationships/hyperlink" Target="https://twitter.com/VDI_Tagungen" TargetMode="External"/><Relationship Id="rId1594" Type="http://schemas.openxmlformats.org/officeDocument/2006/relationships/hyperlink" Target="https://twitter.com/INDIZbot" TargetMode="External"/><Relationship Id="rId2645" Type="http://schemas.openxmlformats.org/officeDocument/2006/relationships/hyperlink" Target="https://twitter.com/innovationbawue" TargetMode="External"/><Relationship Id="rId6102" Type="http://schemas.openxmlformats.org/officeDocument/2006/relationships/hyperlink" Target="https://twitter.com/INDIZbot/status/723074342305861632" TargetMode="External"/><Relationship Id="rId9672" Type="http://schemas.openxmlformats.org/officeDocument/2006/relationships/hyperlink" Target="https://twitter.com/ewhitmore/status/724229431099691010" TargetMode="External"/><Relationship Id="rId617" Type="http://schemas.openxmlformats.org/officeDocument/2006/relationships/hyperlink" Target="https://twitter.com/neoAddons" TargetMode="External"/><Relationship Id="rId1247" Type="http://schemas.openxmlformats.org/officeDocument/2006/relationships/hyperlink" Target="https://twitter.com/INDIZbot/status/720932469952901120" TargetMode="External"/><Relationship Id="rId1661" Type="http://schemas.openxmlformats.org/officeDocument/2006/relationships/hyperlink" Target="https://twitter.com/MindCommerce/status/721267682406961153" TargetMode="External"/><Relationship Id="rId2712" Type="http://schemas.openxmlformats.org/officeDocument/2006/relationships/hyperlink" Target="https://twitter.com/INDIZbot" TargetMode="External"/><Relationship Id="rId5868" Type="http://schemas.openxmlformats.org/officeDocument/2006/relationships/hyperlink" Target="https://twitter.com/itsOWL_Cluster/status/723056768725590016" TargetMode="External"/><Relationship Id="rId6919" Type="http://schemas.openxmlformats.org/officeDocument/2006/relationships/hyperlink" Target="https://twitter.com/FERCHAU" TargetMode="External"/><Relationship Id="rId8274" Type="http://schemas.openxmlformats.org/officeDocument/2006/relationships/hyperlink" Target="https://twitter.com/WSWMUC" TargetMode="External"/><Relationship Id="rId9325" Type="http://schemas.openxmlformats.org/officeDocument/2006/relationships/hyperlink" Target="https://pbs.twimg.com/profile_images/647154695891496960/SRHGbk0s_normal.jpg" TargetMode="External"/><Relationship Id="rId1314" Type="http://schemas.openxmlformats.org/officeDocument/2006/relationships/hyperlink" Target="https://pbs.twimg.com/profile_images/3112599272/7446ab70cbab1cf15ac54e9b795d2849_normal.jpeg" TargetMode="External"/><Relationship Id="rId4884" Type="http://schemas.openxmlformats.org/officeDocument/2006/relationships/hyperlink" Target="https://twitter.com/kybernesis" TargetMode="External"/><Relationship Id="rId5935" Type="http://schemas.openxmlformats.org/officeDocument/2006/relationships/hyperlink" Target="https://pbs.twimg.com/profile_images/718175389890310145/GX8DLe_h_normal.jpg" TargetMode="External"/><Relationship Id="rId7290" Type="http://schemas.openxmlformats.org/officeDocument/2006/relationships/hyperlink" Target="https://pbs.twimg.com/profile_images/722098538604281856/CcBxk1_M_normal.jpg" TargetMode="External"/><Relationship Id="rId8341" Type="http://schemas.openxmlformats.org/officeDocument/2006/relationships/hyperlink" Target="https://twitter.com/INDIZbot/status/723537413314863104" TargetMode="External"/><Relationship Id="rId10271" Type="http://schemas.openxmlformats.org/officeDocument/2006/relationships/hyperlink" Target="https://twitter.com/INDIZbot/status/724443101067153409" TargetMode="External"/><Relationship Id="rId3486" Type="http://schemas.openxmlformats.org/officeDocument/2006/relationships/hyperlink" Target="https://twitter.com/openscienceeu/status/722364999491063812" TargetMode="External"/><Relationship Id="rId4537" Type="http://schemas.openxmlformats.org/officeDocument/2006/relationships/hyperlink" Target="https://twitter.com/tuevnord/status/722703028122468352" TargetMode="External"/><Relationship Id="rId20" Type="http://schemas.openxmlformats.org/officeDocument/2006/relationships/hyperlink" Target="https://twitter.com/demade_anajerem/status/720499831874134017" TargetMode="External"/><Relationship Id="rId2088" Type="http://schemas.openxmlformats.org/officeDocument/2006/relationships/hyperlink" Target="https://twitter.com/QuickFindsIn" TargetMode="External"/><Relationship Id="rId3139" Type="http://schemas.openxmlformats.org/officeDocument/2006/relationships/hyperlink" Target="https://twitter.com/LReehten/status/722314880045445120" TargetMode="External"/><Relationship Id="rId4951" Type="http://schemas.openxmlformats.org/officeDocument/2006/relationships/hyperlink" Target="https://twitter.com/christophwitte/status/722743454862860288" TargetMode="External"/><Relationship Id="rId7010" Type="http://schemas.openxmlformats.org/officeDocument/2006/relationships/hyperlink" Target="https://twitter.com/vzvManaBear24/status/723231219412926465" TargetMode="External"/><Relationship Id="rId474" Type="http://schemas.openxmlformats.org/officeDocument/2006/relationships/hyperlink" Target="https://twitter.com/INDIZbot/status/720600673780416513" TargetMode="External"/><Relationship Id="rId2155" Type="http://schemas.openxmlformats.org/officeDocument/2006/relationships/hyperlink" Target="https://twitter.com/kommoptimierer" TargetMode="External"/><Relationship Id="rId3553" Type="http://schemas.openxmlformats.org/officeDocument/2006/relationships/hyperlink" Target="https://pbs.twimg.com/profile_images/662723326096224256/5V4KH9_O_normal.jpg" TargetMode="External"/><Relationship Id="rId4604" Type="http://schemas.openxmlformats.org/officeDocument/2006/relationships/hyperlink" Target="https://pbs.twimg.com/profile_images/465817969902092288/sEIgw9Gb_normal.jpeg" TargetMode="External"/><Relationship Id="rId9182" Type="http://schemas.openxmlformats.org/officeDocument/2006/relationships/hyperlink" Target="https://twitter.com/changetokaizen" TargetMode="External"/><Relationship Id="rId127" Type="http://schemas.openxmlformats.org/officeDocument/2006/relationships/hyperlink" Target="https://twitter.com/iotsecurity2" TargetMode="External"/><Relationship Id="rId3206" Type="http://schemas.openxmlformats.org/officeDocument/2006/relationships/hyperlink" Target="https://twitter.com/Weidmueller/status/722323508420849664" TargetMode="External"/><Relationship Id="rId3620" Type="http://schemas.openxmlformats.org/officeDocument/2006/relationships/hyperlink" Target="https://twitter.com/turenne1611" TargetMode="External"/><Relationship Id="rId6776" Type="http://schemas.openxmlformats.org/officeDocument/2006/relationships/hyperlink" Target="https://twitter.com/BDOManufacture/status/723169062176563200" TargetMode="External"/><Relationship Id="rId7827" Type="http://schemas.openxmlformats.org/officeDocument/2006/relationships/hyperlink" Target="https://pbs.twimg.com/profile_images/562601523750776832/JbD5LIbz_normal.jpeg" TargetMode="External"/><Relationship Id="rId541" Type="http://schemas.openxmlformats.org/officeDocument/2006/relationships/hyperlink" Target="https://pbs.twimg.com/profile_images/645716711723925506/t5G0qOS6_normal.jpg" TargetMode="External"/><Relationship Id="rId1171" Type="http://schemas.openxmlformats.org/officeDocument/2006/relationships/hyperlink" Target="https://twitter.com/HeikeFiedlerPhe" TargetMode="External"/><Relationship Id="rId2222" Type="http://schemas.openxmlformats.org/officeDocument/2006/relationships/hyperlink" Target="https://twitter.com/OJaeger/status/721965146051125248" TargetMode="External"/><Relationship Id="rId5378" Type="http://schemas.openxmlformats.org/officeDocument/2006/relationships/hyperlink" Target="https://twitter.com/INDIZbot" TargetMode="External"/><Relationship Id="rId5792" Type="http://schemas.openxmlformats.org/officeDocument/2006/relationships/hyperlink" Target="https://pbs.twimg.com/profile_images/698088548205989888/DZKE5qbX_normal.jpg" TargetMode="External"/><Relationship Id="rId6429" Type="http://schemas.openxmlformats.org/officeDocument/2006/relationships/hyperlink" Target="https://twitter.com/INDIZbot/status/723124608082317313" TargetMode="External"/><Relationship Id="rId6843" Type="http://schemas.openxmlformats.org/officeDocument/2006/relationships/hyperlink" Target="https://pbs.twimg.com/profile_images/557221316101545984/HeOsH32Y_normal.jpeg" TargetMode="External"/><Relationship Id="rId9999" Type="http://schemas.openxmlformats.org/officeDocument/2006/relationships/hyperlink" Target="https://pbs.twimg.com/profile_images/588196149665865728/jmm9bQ6G_normal.jpg" TargetMode="External"/><Relationship Id="rId1988" Type="http://schemas.openxmlformats.org/officeDocument/2006/relationships/hyperlink" Target="https://pbs.twimg.com/profile_images/378800000369621923/8d32a81bad5abda3a93519fc049253f3_normal.jpeg" TargetMode="External"/><Relationship Id="rId4394" Type="http://schemas.openxmlformats.org/officeDocument/2006/relationships/hyperlink" Target="https://pbs.twimg.com/profile_images/645716711723925506/t5G0qOS6_normal.jpg" TargetMode="External"/><Relationship Id="rId5445" Type="http://schemas.openxmlformats.org/officeDocument/2006/relationships/hyperlink" Target="https://twitter.com/QuickFindsIn" TargetMode="External"/><Relationship Id="rId4047" Type="http://schemas.openxmlformats.org/officeDocument/2006/relationships/hyperlink" Target="https://twitter.com/INDIZbot/status/722485368872951809" TargetMode="External"/><Relationship Id="rId4461" Type="http://schemas.openxmlformats.org/officeDocument/2006/relationships/hyperlink" Target="https://pbs.twimg.com/profile_images/2576159086/x3og0hhz2d60d9embrsg_normal.jpeg" TargetMode="External"/><Relationship Id="rId5512" Type="http://schemas.openxmlformats.org/officeDocument/2006/relationships/hyperlink" Target="https://twitter.com/INDIZbot/status/722830344500723717" TargetMode="External"/><Relationship Id="rId6910" Type="http://schemas.openxmlformats.org/officeDocument/2006/relationships/hyperlink" Target="https://twitter.com/DIGITUSmagazin" TargetMode="External"/><Relationship Id="rId8668" Type="http://schemas.openxmlformats.org/officeDocument/2006/relationships/hyperlink" Target="https://twitter.com/markus_boehm_" TargetMode="External"/><Relationship Id="rId9719" Type="http://schemas.openxmlformats.org/officeDocument/2006/relationships/hyperlink" Target="https://twitter.com/CarstenDierig" TargetMode="External"/><Relationship Id="rId3063" Type="http://schemas.openxmlformats.org/officeDocument/2006/relationships/hyperlink" Target="https://twitter.com/EelcoKaper" TargetMode="External"/><Relationship Id="rId4114" Type="http://schemas.openxmlformats.org/officeDocument/2006/relationships/hyperlink" Target="https://twitter.com/INDIZbot/status/722507848220024833" TargetMode="External"/><Relationship Id="rId1708" Type="http://schemas.openxmlformats.org/officeDocument/2006/relationships/hyperlink" Target="https://twitter.com/CompTIA_DACH" TargetMode="External"/><Relationship Id="rId3130" Type="http://schemas.openxmlformats.org/officeDocument/2006/relationships/hyperlink" Target="https://twitter.com/LReehten/status/722314648918364160" TargetMode="External"/><Relationship Id="rId6286" Type="http://schemas.openxmlformats.org/officeDocument/2006/relationships/hyperlink" Target="https://pbs.twimg.com/profile_images/458972132387479552/TasOImER_normal.png" TargetMode="External"/><Relationship Id="rId7337" Type="http://schemas.openxmlformats.org/officeDocument/2006/relationships/hyperlink" Target="https://twitter.com/sandimschuh" TargetMode="External"/><Relationship Id="rId7684" Type="http://schemas.openxmlformats.org/officeDocument/2006/relationships/hyperlink" Target="https://twitter.com/Samarelli75/status/723426234818916352" TargetMode="External"/><Relationship Id="rId8735" Type="http://schemas.openxmlformats.org/officeDocument/2006/relationships/hyperlink" Target="https://twitter.com/mirko_ross/status/723799420987400192" TargetMode="External"/><Relationship Id="rId7751" Type="http://schemas.openxmlformats.org/officeDocument/2006/relationships/hyperlink" Target="https://pbs.twimg.com/profile_images/459441279181398016/MmGzaeIu_normal.jpeg" TargetMode="External"/><Relationship Id="rId8802" Type="http://schemas.openxmlformats.org/officeDocument/2006/relationships/hyperlink" Target="https://pbs.twimg.com/profile_images/581820655919894528/dFT2Qrci_normal.jpg" TargetMode="External"/><Relationship Id="rId10318" Type="http://schemas.openxmlformats.org/officeDocument/2006/relationships/hyperlink" Target="https://twitter.com/hjvsch" TargetMode="External"/><Relationship Id="rId2896" Type="http://schemas.openxmlformats.org/officeDocument/2006/relationships/hyperlink" Target="https://pbs.twimg.com/profile_images/645716711723925506/t5G0qOS6_normal.jpg" TargetMode="External"/><Relationship Id="rId3947" Type="http://schemas.openxmlformats.org/officeDocument/2006/relationships/hyperlink" Target="https://twitter.com/LudovicDruelle" TargetMode="External"/><Relationship Id="rId6353" Type="http://schemas.openxmlformats.org/officeDocument/2006/relationships/hyperlink" Target="https://twitter.com/FHNWTechnik/status/723115441636302848" TargetMode="External"/><Relationship Id="rId7404" Type="http://schemas.openxmlformats.org/officeDocument/2006/relationships/hyperlink" Target="https://twitter.com/MartinGaedt/status/723405068007936001" TargetMode="External"/><Relationship Id="rId868" Type="http://schemas.openxmlformats.org/officeDocument/2006/relationships/hyperlink" Target="https://twitter.com/stefan_hagen/status/720853574452793344" TargetMode="External"/><Relationship Id="rId1498" Type="http://schemas.openxmlformats.org/officeDocument/2006/relationships/hyperlink" Target="https://twitter.com/tomov_eu" TargetMode="External"/><Relationship Id="rId2549" Type="http://schemas.openxmlformats.org/officeDocument/2006/relationships/hyperlink" Target="https://pbs.twimg.com/profile_images/2619086509/ld3z97zhhdbs2essw7s9_normal.jpeg" TargetMode="External"/><Relationship Id="rId2963" Type="http://schemas.openxmlformats.org/officeDocument/2006/relationships/hyperlink" Target="https://twitter.com/INDIZbot" TargetMode="External"/><Relationship Id="rId6006" Type="http://schemas.openxmlformats.org/officeDocument/2006/relationships/hyperlink" Target="https://twitter.com/SGE/status/723070869552025600" TargetMode="External"/><Relationship Id="rId6420" Type="http://schemas.openxmlformats.org/officeDocument/2006/relationships/hyperlink" Target="https://twitter.com/Balluff/status/723120854213619713" TargetMode="External"/><Relationship Id="rId9576" Type="http://schemas.openxmlformats.org/officeDocument/2006/relationships/hyperlink" Target="https://twitter.com/SimonDueckert/status/724209080382967808" TargetMode="External"/><Relationship Id="rId9990" Type="http://schemas.openxmlformats.org/officeDocument/2006/relationships/hyperlink" Target="https://pbs.twimg.com/profile_images/564009971202150401/EjqdJlUz_normal.jpeg" TargetMode="External"/><Relationship Id="rId935" Type="http://schemas.openxmlformats.org/officeDocument/2006/relationships/hyperlink" Target="https://pbs.twimg.com/profile_images/621343128902107136/CU4aO3wi_normal.jpg" TargetMode="External"/><Relationship Id="rId1565" Type="http://schemas.openxmlformats.org/officeDocument/2006/relationships/hyperlink" Target="https://twitter.com/carolin_schroer/status/721095189075505152" TargetMode="External"/><Relationship Id="rId2616" Type="http://schemas.openxmlformats.org/officeDocument/2006/relationships/hyperlink" Target="https://pbs.twimg.com/profile_images/1648827386/image_normal.jpg" TargetMode="External"/><Relationship Id="rId5022" Type="http://schemas.openxmlformats.org/officeDocument/2006/relationships/hyperlink" Target="https://pbs.twimg.com/profile_images/571413718787080192/1XVW6exK_normal.jpeg" TargetMode="External"/><Relationship Id="rId8178" Type="http://schemas.openxmlformats.org/officeDocument/2006/relationships/hyperlink" Target="https://twitter.com/BubalPresidente/status/723509142665744384" TargetMode="External"/><Relationship Id="rId8592" Type="http://schemas.openxmlformats.org/officeDocument/2006/relationships/hyperlink" Target="https://pbs.twimg.com/profile_images/700956332443234304/-gSSeFB2_normal.jpg" TargetMode="External"/><Relationship Id="rId9229" Type="http://schemas.openxmlformats.org/officeDocument/2006/relationships/hyperlink" Target="https://pbs.twimg.com/profile_images/602304216468738049/_0sb-3oB_normal.jpg" TargetMode="External"/><Relationship Id="rId9643" Type="http://schemas.openxmlformats.org/officeDocument/2006/relationships/hyperlink" Target="https://pbs.twimg.com/profile_images/706237713700298754/yOEMWn0A_normal.jpg" TargetMode="External"/><Relationship Id="rId1218" Type="http://schemas.openxmlformats.org/officeDocument/2006/relationships/hyperlink" Target="https://pbs.twimg.com/profile_images/538362637386403840/A-4Av9_s_normal.jpeg" TargetMode="External"/><Relationship Id="rId7194" Type="http://schemas.openxmlformats.org/officeDocument/2006/relationships/hyperlink" Target="https://pbs.twimg.com/profile_images/645716711723925506/t5G0qOS6_normal.jpg" TargetMode="External"/><Relationship Id="rId8245" Type="http://schemas.openxmlformats.org/officeDocument/2006/relationships/hyperlink" Target="https://twitter.com/AguilarCharlott/status/723519937336205313" TargetMode="External"/><Relationship Id="rId10175" Type="http://schemas.openxmlformats.org/officeDocument/2006/relationships/hyperlink" Target="https://twitter.com/induux_de/status/724353802359459840" TargetMode="External"/><Relationship Id="rId1632" Type="http://schemas.openxmlformats.org/officeDocument/2006/relationships/hyperlink" Target="https://pbs.twimg.com/profile_images/2162445220/wagnertwitter_normal.jpg" TargetMode="External"/><Relationship Id="rId4788" Type="http://schemas.openxmlformats.org/officeDocument/2006/relationships/hyperlink" Target="https://twitter.com/NeleReimers" TargetMode="External"/><Relationship Id="rId5839" Type="http://schemas.openxmlformats.org/officeDocument/2006/relationships/hyperlink" Target="https://pbs.twimg.com/profile_images/211406395/FH_logobox_4c_normal.jpg" TargetMode="External"/><Relationship Id="rId7261" Type="http://schemas.openxmlformats.org/officeDocument/2006/relationships/hyperlink" Target="https://twitter.com/INDIZbot" TargetMode="External"/><Relationship Id="rId9710" Type="http://schemas.openxmlformats.org/officeDocument/2006/relationships/hyperlink" Target="https://twitter.com/OOgbukagu" TargetMode="External"/><Relationship Id="rId4855" Type="http://schemas.openxmlformats.org/officeDocument/2006/relationships/hyperlink" Target="https://twitter.com/Senfberg/status/722725964032176128" TargetMode="External"/><Relationship Id="rId5906" Type="http://schemas.openxmlformats.org/officeDocument/2006/relationships/hyperlink" Target="https://twitter.com/BakerMcGER" TargetMode="External"/><Relationship Id="rId8312" Type="http://schemas.openxmlformats.org/officeDocument/2006/relationships/hyperlink" Target="https://pbs.twimg.com/profile_images/645716711723925506/t5G0qOS6_normal.jpg" TargetMode="External"/><Relationship Id="rId10242" Type="http://schemas.openxmlformats.org/officeDocument/2006/relationships/hyperlink" Target="https://pbs.twimg.com/profile_images/1827233338/Pat_P._no_glass.twitter_normal.jpg" TargetMode="External"/><Relationship Id="rId3457" Type="http://schemas.openxmlformats.org/officeDocument/2006/relationships/hyperlink" Target="https://pbs.twimg.com/profile_images/2424564033/photo_normal.JPG" TargetMode="External"/><Relationship Id="rId3871" Type="http://schemas.openxmlformats.org/officeDocument/2006/relationships/hyperlink" Target="https://pbs.twimg.com/profile_images/525998513264410624/ZHDocuJo_normal.jpeg" TargetMode="External"/><Relationship Id="rId4508" Type="http://schemas.openxmlformats.org/officeDocument/2006/relationships/hyperlink" Target="https://pbs.twimg.com/profile_images/702049280098443264/NIaxL0xT_normal.png" TargetMode="External"/><Relationship Id="rId4922" Type="http://schemas.openxmlformats.org/officeDocument/2006/relationships/hyperlink" Target="https://pbs.twimg.com/profile_images/699226610428420096/jjvfJFvl_normal.png" TargetMode="External"/><Relationship Id="rId378" Type="http://schemas.openxmlformats.org/officeDocument/2006/relationships/hyperlink" Target="https://pbs.twimg.com/profile_images/604242232300982273/waw_nkJr_normal.jpg" TargetMode="External"/><Relationship Id="rId792" Type="http://schemas.openxmlformats.org/officeDocument/2006/relationships/hyperlink" Target="https://twitter.com/willempoterman/status/720720390004326400" TargetMode="External"/><Relationship Id="rId2059" Type="http://schemas.openxmlformats.org/officeDocument/2006/relationships/hyperlink" Target="https://twitter.com/SpielbergHolger/status/721789694447632384" TargetMode="External"/><Relationship Id="rId2473" Type="http://schemas.openxmlformats.org/officeDocument/2006/relationships/hyperlink" Target="https://twitter.com/mediengerecht" TargetMode="External"/><Relationship Id="rId3524" Type="http://schemas.openxmlformats.org/officeDocument/2006/relationships/hyperlink" Target="https://twitter.com/DEZblog" TargetMode="External"/><Relationship Id="rId9086" Type="http://schemas.openxmlformats.org/officeDocument/2006/relationships/hyperlink" Target="https://twitter.com/RolandBent" TargetMode="External"/><Relationship Id="rId445" Type="http://schemas.openxmlformats.org/officeDocument/2006/relationships/hyperlink" Target="https://twitter.com/H_IT_D" TargetMode="External"/><Relationship Id="rId1075" Type="http://schemas.openxmlformats.org/officeDocument/2006/relationships/hyperlink" Target="https://twitter.com/KunststoffeDE" TargetMode="External"/><Relationship Id="rId2126" Type="http://schemas.openxmlformats.org/officeDocument/2006/relationships/hyperlink" Target="https://twitter.com/innovationbawue/status/721937575284449280" TargetMode="External"/><Relationship Id="rId2540" Type="http://schemas.openxmlformats.org/officeDocument/2006/relationships/hyperlink" Target="https://pbs.twimg.com/profile_images/711927354118041601/TcQdN_kN_normal.jpg" TargetMode="External"/><Relationship Id="rId5696" Type="http://schemas.openxmlformats.org/officeDocument/2006/relationships/hyperlink" Target="https://pbs.twimg.com/profile_images/645716711723925506/t5G0qOS6_normal.jpg" TargetMode="External"/><Relationship Id="rId6747" Type="http://schemas.openxmlformats.org/officeDocument/2006/relationships/hyperlink" Target="https://pbs.twimg.com/profile_images/568671099278606336/tELKp5D5_normal.jpeg" TargetMode="External"/><Relationship Id="rId9153" Type="http://schemas.openxmlformats.org/officeDocument/2006/relationships/hyperlink" Target="https://twitter.com/colbytylerford/status/723956317614948354" TargetMode="External"/><Relationship Id="rId512" Type="http://schemas.openxmlformats.org/officeDocument/2006/relationships/hyperlink" Target="https://twitter.com/Tim_Caesar" TargetMode="External"/><Relationship Id="rId1142" Type="http://schemas.openxmlformats.org/officeDocument/2006/relationships/hyperlink" Target="https://twitter.com/christophwitte/status/720907161359032320" TargetMode="External"/><Relationship Id="rId4298" Type="http://schemas.openxmlformats.org/officeDocument/2006/relationships/hyperlink" Target="https://pbs.twimg.com/profile_images/494911375034945537/txB_J-VC_normal.jpeg" TargetMode="External"/><Relationship Id="rId5349" Type="http://schemas.openxmlformats.org/officeDocument/2006/relationships/hyperlink" Target="https://pbs.twimg.com/profile_images/723407487395713024/0hZv7R8S_normal.jpg" TargetMode="External"/><Relationship Id="rId9220" Type="http://schemas.openxmlformats.org/officeDocument/2006/relationships/hyperlink" Target="https://pbs.twimg.com/profile_images/1655244498/Lenze_RGB_400x400px_normal.jpg" TargetMode="External"/><Relationship Id="rId4365" Type="http://schemas.openxmlformats.org/officeDocument/2006/relationships/hyperlink" Target="https://twitter.com/VDMAonline" TargetMode="External"/><Relationship Id="rId5763" Type="http://schemas.openxmlformats.org/officeDocument/2006/relationships/hyperlink" Target="https://twitter.com/UL_Commercial" TargetMode="External"/><Relationship Id="rId6814" Type="http://schemas.openxmlformats.org/officeDocument/2006/relationships/hyperlink" Target="https://twitter.com/stefan_junge" TargetMode="External"/><Relationship Id="rId1959" Type="http://schemas.openxmlformats.org/officeDocument/2006/relationships/hyperlink" Target="https://twitter.com/Apandia" TargetMode="External"/><Relationship Id="rId4018" Type="http://schemas.openxmlformats.org/officeDocument/2006/relationships/hyperlink" Target="https://pbs.twimg.com/profile_images/504569405494161410/4CpoyfPM_normal.jpeg" TargetMode="External"/><Relationship Id="rId5416" Type="http://schemas.openxmlformats.org/officeDocument/2006/relationships/hyperlink" Target="https://pbs.twimg.com/profile_images/2619086509/ld3z97zhhdbs2essw7s9_normal.jpeg" TargetMode="External"/><Relationship Id="rId5830" Type="http://schemas.openxmlformats.org/officeDocument/2006/relationships/hyperlink" Target="https://twitter.com/ChrStebler" TargetMode="External"/><Relationship Id="rId8986" Type="http://schemas.openxmlformats.org/officeDocument/2006/relationships/hyperlink" Target="https://twitter.com/WalesBuzz" TargetMode="External"/><Relationship Id="rId3381" Type="http://schemas.openxmlformats.org/officeDocument/2006/relationships/hyperlink" Target="https://twitter.com/Der_Betriebslei/status/722355132348919808" TargetMode="External"/><Relationship Id="rId4432" Type="http://schemas.openxmlformats.org/officeDocument/2006/relationships/hyperlink" Target="https://twitter.com/tresmo360/status/722690181648752640" TargetMode="External"/><Relationship Id="rId7588" Type="http://schemas.openxmlformats.org/officeDocument/2006/relationships/hyperlink" Target="https://twitter.com/DKEAktuell/status/723416809169293312" TargetMode="External"/><Relationship Id="rId8639" Type="http://schemas.openxmlformats.org/officeDocument/2006/relationships/hyperlink" Target="https://twitter.com/INDIZbot/status/723773821199769600" TargetMode="External"/><Relationship Id="rId3034" Type="http://schemas.openxmlformats.org/officeDocument/2006/relationships/hyperlink" Target="https://twitter.com/INDIZbot/status/722304211900362753" TargetMode="External"/><Relationship Id="rId7655" Type="http://schemas.openxmlformats.org/officeDocument/2006/relationships/hyperlink" Target="https://pbs.twimg.com/profile_images/710982607606038528/t8IYX_cK_normal.jpg" TargetMode="External"/><Relationship Id="rId8706" Type="http://schemas.openxmlformats.org/officeDocument/2006/relationships/hyperlink" Target="https://pbs.twimg.com/profile_images/657573293776609282/MBKrme0h_normal.jpg" TargetMode="External"/><Relationship Id="rId2050" Type="http://schemas.openxmlformats.org/officeDocument/2006/relationships/hyperlink" Target="https://twitter.com/INDIZbot/status/721785680834215937" TargetMode="External"/><Relationship Id="rId3101" Type="http://schemas.openxmlformats.org/officeDocument/2006/relationships/hyperlink" Target="https://pbs.twimg.com/profile_images/645716711723925506/t5G0qOS6_normal.jpg" TargetMode="External"/><Relationship Id="rId6257" Type="http://schemas.openxmlformats.org/officeDocument/2006/relationships/hyperlink" Target="https://twitter.com/prxagentur/status/723093721479303169" TargetMode="External"/><Relationship Id="rId6671" Type="http://schemas.openxmlformats.org/officeDocument/2006/relationships/hyperlink" Target="https://twitter.com/RudiKennes/status/723158321423888385" TargetMode="External"/><Relationship Id="rId7308" Type="http://schemas.openxmlformats.org/officeDocument/2006/relationships/hyperlink" Target="https://pbs.twimg.com/profile_images/645716711723925506/t5G0qOS6_normal.jpg" TargetMode="External"/><Relationship Id="rId7722" Type="http://schemas.openxmlformats.org/officeDocument/2006/relationships/hyperlink" Target="https://twitter.com/induux_de" TargetMode="External"/><Relationship Id="rId5273" Type="http://schemas.openxmlformats.org/officeDocument/2006/relationships/hyperlink" Target="https://twitter.com/WirtschaftNRW/status/722779245437657088" TargetMode="External"/><Relationship Id="rId6324" Type="http://schemas.openxmlformats.org/officeDocument/2006/relationships/hyperlink" Target="https://twitter.com/CEP_Jurabernois" TargetMode="External"/><Relationship Id="rId839" Type="http://schemas.openxmlformats.org/officeDocument/2006/relationships/hyperlink" Target="https://pbs.twimg.com/profile_images/378800000177102465/9fe3601a963678befe4f668ccae2773f_normal.png" TargetMode="External"/><Relationship Id="rId1469" Type="http://schemas.openxmlformats.org/officeDocument/2006/relationships/hyperlink" Target="https://twitter.com/INDIZbot/status/721020615629647873" TargetMode="External"/><Relationship Id="rId2867" Type="http://schemas.openxmlformats.org/officeDocument/2006/relationships/hyperlink" Target="https://twitter.com/Ulitzer/status/722144327275790337" TargetMode="External"/><Relationship Id="rId3918" Type="http://schemas.openxmlformats.org/officeDocument/2006/relationships/hyperlink" Target="https://twitter.com/vopbal/status/722457939768946689" TargetMode="External"/><Relationship Id="rId5340" Type="http://schemas.openxmlformats.org/officeDocument/2006/relationships/hyperlink" Target="https://pbs.twimg.com/profile_images/647699835118817280/Em18Kfoc_normal.jpg" TargetMode="External"/><Relationship Id="rId8496" Type="http://schemas.openxmlformats.org/officeDocument/2006/relationships/hyperlink" Target="https://pbs.twimg.com/profile_images/706510515703521284/ajsG565v_normal.jpg" TargetMode="External"/><Relationship Id="rId9547" Type="http://schemas.openxmlformats.org/officeDocument/2006/relationships/hyperlink" Target="https://pbs.twimg.com/profile_images/714784847986823168/CGqBEzx2_normal.jpg" TargetMode="External"/><Relationship Id="rId9894" Type="http://schemas.openxmlformats.org/officeDocument/2006/relationships/hyperlink" Target="https://pbs.twimg.com/profile_images/701004613206433792/o4DJfA8-_normal.jpg" TargetMode="External"/><Relationship Id="rId1883" Type="http://schemas.openxmlformats.org/officeDocument/2006/relationships/hyperlink" Target="https://twitter.com/QuickFindsIn" TargetMode="External"/><Relationship Id="rId2934" Type="http://schemas.openxmlformats.org/officeDocument/2006/relationships/hyperlink" Target="https://twitter.com/DevOpsSummit/status/722185213363818496" TargetMode="External"/><Relationship Id="rId7098" Type="http://schemas.openxmlformats.org/officeDocument/2006/relationships/hyperlink" Target="https://pbs.twimg.com/profile_images/663734674653622272/h2JzQVyL_normal.jpg" TargetMode="External"/><Relationship Id="rId8149" Type="http://schemas.openxmlformats.org/officeDocument/2006/relationships/hyperlink" Target="https://pbs.twimg.com/profile_images/645716711723925506/t5G0qOS6_normal.jpg" TargetMode="External"/><Relationship Id="rId9961" Type="http://schemas.openxmlformats.org/officeDocument/2006/relationships/hyperlink" Target="https://twitter.com/ZeljkoP" TargetMode="External"/><Relationship Id="rId906" Type="http://schemas.openxmlformats.org/officeDocument/2006/relationships/hyperlink" Target="https://twitter.com/kommoptimierer" TargetMode="External"/><Relationship Id="rId1536" Type="http://schemas.openxmlformats.org/officeDocument/2006/relationships/hyperlink" Target="https://pbs.twimg.com/profile_images/701539571977289728/ulvjpEZ4_normal.jpg" TargetMode="External"/><Relationship Id="rId1950" Type="http://schemas.openxmlformats.org/officeDocument/2006/relationships/hyperlink" Target="https://twitter.com/INDIZbot" TargetMode="External"/><Relationship Id="rId8563" Type="http://schemas.openxmlformats.org/officeDocument/2006/relationships/hyperlink" Target="https://twitter.com/AchatzR" TargetMode="External"/><Relationship Id="rId9614" Type="http://schemas.openxmlformats.org/officeDocument/2006/relationships/hyperlink" Target="https://twitter.com/WinfriedFelser" TargetMode="External"/><Relationship Id="rId10079" Type="http://schemas.openxmlformats.org/officeDocument/2006/relationships/hyperlink" Target="https://twitter.com/apachi5223/status/724323498164801536" TargetMode="External"/><Relationship Id="rId1603" Type="http://schemas.openxmlformats.org/officeDocument/2006/relationships/hyperlink" Target="https://twitter.com/sytaylor" TargetMode="External"/><Relationship Id="rId4759" Type="http://schemas.openxmlformats.org/officeDocument/2006/relationships/hyperlink" Target="https://twitter.com/Industrie_40/status/722717006856916993" TargetMode="External"/><Relationship Id="rId7165" Type="http://schemas.openxmlformats.org/officeDocument/2006/relationships/hyperlink" Target="https://twitter.com/tim_reichardt" TargetMode="External"/><Relationship Id="rId8216" Type="http://schemas.openxmlformats.org/officeDocument/2006/relationships/hyperlink" Target="https://pbs.twimg.com/profile_images/541146126158536704/IYardufS_normal.jpeg" TargetMode="External"/><Relationship Id="rId8630" Type="http://schemas.openxmlformats.org/officeDocument/2006/relationships/hyperlink" Target="https://twitter.com/ITOrakel/status/723770684934094848" TargetMode="External"/><Relationship Id="rId10146" Type="http://schemas.openxmlformats.org/officeDocument/2006/relationships/hyperlink" Target="https://pbs.twimg.com/profile_images/1684373225/Joe_Guy_normal.jpg" TargetMode="External"/><Relationship Id="rId3775" Type="http://schemas.openxmlformats.org/officeDocument/2006/relationships/hyperlink" Target="https://pbs.twimg.com/profile_images/657444681853198336/u2cJqzo7_normal.jpg" TargetMode="External"/><Relationship Id="rId4826" Type="http://schemas.openxmlformats.org/officeDocument/2006/relationships/hyperlink" Target="https://pbs.twimg.com/profile_images/514736619115384832/edvgJxyt_normal.png" TargetMode="External"/><Relationship Id="rId6181" Type="http://schemas.openxmlformats.org/officeDocument/2006/relationships/hyperlink" Target="https://twitter.com/LReehten/status/723085233818468352" TargetMode="External"/><Relationship Id="rId7232" Type="http://schemas.openxmlformats.org/officeDocument/2006/relationships/hyperlink" Target="https://twitter.com/AndreHD20/status/723385718626652161" TargetMode="External"/><Relationship Id="rId10213" Type="http://schemas.openxmlformats.org/officeDocument/2006/relationships/hyperlink" Target="https://twitter.com/gaadvancement" TargetMode="External"/><Relationship Id="rId696" Type="http://schemas.openxmlformats.org/officeDocument/2006/relationships/hyperlink" Target="https://twitter.com/BWSAGROUP/status/720680644737675269" TargetMode="External"/><Relationship Id="rId2377" Type="http://schemas.openxmlformats.org/officeDocument/2006/relationships/hyperlink" Target="https://twitter.com/Tiba_Schweiz" TargetMode="External"/><Relationship Id="rId2791" Type="http://schemas.openxmlformats.org/officeDocument/2006/relationships/hyperlink" Target="https://twitter.com/ThingsExpo/status/722122611170373632" TargetMode="External"/><Relationship Id="rId3428" Type="http://schemas.openxmlformats.org/officeDocument/2006/relationships/hyperlink" Target="https://twitter.com/PLSDE" TargetMode="External"/><Relationship Id="rId349" Type="http://schemas.openxmlformats.org/officeDocument/2006/relationships/hyperlink" Target="https://twitter.com/induux_de" TargetMode="External"/><Relationship Id="rId763" Type="http://schemas.openxmlformats.org/officeDocument/2006/relationships/hyperlink" Target="https://pbs.twimg.com/profile_images/523906834000650242/-PpDUEnV_normal.jpeg" TargetMode="External"/><Relationship Id="rId1393" Type="http://schemas.openxmlformats.org/officeDocument/2006/relationships/hyperlink" Target="https://pbs.twimg.com/profile_images/720567006307753984/nmZd1Tyt_normal.jpg" TargetMode="External"/><Relationship Id="rId2444" Type="http://schemas.openxmlformats.org/officeDocument/2006/relationships/hyperlink" Target="https://twitter.com/INDIZbot/status/722027257494179840" TargetMode="External"/><Relationship Id="rId3842" Type="http://schemas.openxmlformats.org/officeDocument/2006/relationships/hyperlink" Target="https://twitter.com/GSonnengott" TargetMode="External"/><Relationship Id="rId6998" Type="http://schemas.openxmlformats.org/officeDocument/2006/relationships/hyperlink" Target="https://twitter.com/TorbenFred/status/723226025899995137" TargetMode="External"/><Relationship Id="rId9057" Type="http://schemas.openxmlformats.org/officeDocument/2006/relationships/hyperlink" Target="https://twitter.com/ggaugler/status/723924547490189313" TargetMode="External"/><Relationship Id="rId9471" Type="http://schemas.openxmlformats.org/officeDocument/2006/relationships/hyperlink" Target="https://twitter.com/tuevnordpolitik/status/724185781540163584" TargetMode="External"/><Relationship Id="rId416" Type="http://schemas.openxmlformats.org/officeDocument/2006/relationships/hyperlink" Target="https://twitter.com/ROKAutomationUK/status/720587255006371841" TargetMode="External"/><Relationship Id="rId1046" Type="http://schemas.openxmlformats.org/officeDocument/2006/relationships/hyperlink" Target="https://twitter.com/markherten/status/720889350733578240" TargetMode="External"/><Relationship Id="rId8073" Type="http://schemas.openxmlformats.org/officeDocument/2006/relationships/hyperlink" Target="https://twitter.com/acatech_de/status/723489562194890752" TargetMode="External"/><Relationship Id="rId9124" Type="http://schemas.openxmlformats.org/officeDocument/2006/relationships/hyperlink" Target="https://pbs.twimg.com/profile_images/574517024556089345/fuK3tcde_normal.jpeg" TargetMode="External"/><Relationship Id="rId830" Type="http://schemas.openxmlformats.org/officeDocument/2006/relationships/hyperlink" Target="https://pbs.twimg.com/profile_images/509268388779020288/SUPeF7yO_normal.png" TargetMode="External"/><Relationship Id="rId1460" Type="http://schemas.openxmlformats.org/officeDocument/2006/relationships/hyperlink" Target="https://twitter.com/IT_Evaluator/status/721017708423311360" TargetMode="External"/><Relationship Id="rId2511" Type="http://schemas.openxmlformats.org/officeDocument/2006/relationships/hyperlink" Target="https://twitter.com/Red_Schmidt/status/722050454503428096" TargetMode="External"/><Relationship Id="rId5667" Type="http://schemas.openxmlformats.org/officeDocument/2006/relationships/hyperlink" Target="https://twitter.com/watumudeveku" TargetMode="External"/><Relationship Id="rId6718" Type="http://schemas.openxmlformats.org/officeDocument/2006/relationships/hyperlink" Target="https://twitter.com/Gruendercoaches" TargetMode="External"/><Relationship Id="rId1113" Type="http://schemas.openxmlformats.org/officeDocument/2006/relationships/hyperlink" Target="https://pbs.twimg.com/profile_images/550954917972561921/vgRfRw0F_normal.jpeg" TargetMode="External"/><Relationship Id="rId4269" Type="http://schemas.openxmlformats.org/officeDocument/2006/relationships/hyperlink" Target="https://twitter.com/INDIZbot" TargetMode="External"/><Relationship Id="rId4683" Type="http://schemas.openxmlformats.org/officeDocument/2006/relationships/hyperlink" Target="https://twitter.com/OP_Magazin" TargetMode="External"/><Relationship Id="rId5734" Type="http://schemas.openxmlformats.org/officeDocument/2006/relationships/hyperlink" Target="https://twitter.com/INDIZbot/status/723013680015794176" TargetMode="External"/><Relationship Id="rId8140" Type="http://schemas.openxmlformats.org/officeDocument/2006/relationships/hyperlink" Target="https://pbs.twimg.com/profile_images/666911961599315968/aP7ID_qm_normal.png" TargetMode="External"/><Relationship Id="rId10070" Type="http://schemas.openxmlformats.org/officeDocument/2006/relationships/hyperlink" Target="https://twitter.com/aaronbrickman/status/724321931877556229" TargetMode="External"/><Relationship Id="rId3285" Type="http://schemas.openxmlformats.org/officeDocument/2006/relationships/hyperlink" Target="https://pbs.twimg.com/profile_images/574932942327144450/RsjsUSUd_normal.jpeg" TargetMode="External"/><Relationship Id="rId4336" Type="http://schemas.openxmlformats.org/officeDocument/2006/relationships/hyperlink" Target="https://twitter.com/INDIZbot/status/722676460864016384" TargetMode="External"/><Relationship Id="rId4750" Type="http://schemas.openxmlformats.org/officeDocument/2006/relationships/hyperlink" Target="https://twitter.com/INDIZbot/status/722716729563070466" TargetMode="External"/><Relationship Id="rId5801" Type="http://schemas.openxmlformats.org/officeDocument/2006/relationships/hyperlink" Target="https://pbs.twimg.com/profile_images/645716711723925506/t5G0qOS6_normal.jpg" TargetMode="External"/><Relationship Id="rId8957" Type="http://schemas.openxmlformats.org/officeDocument/2006/relationships/hyperlink" Target="https://twitter.com/JuergenGietl/status/723873882919342080" TargetMode="External"/><Relationship Id="rId3352" Type="http://schemas.openxmlformats.org/officeDocument/2006/relationships/hyperlink" Target="https://twitter.com/MarianKoeller" TargetMode="External"/><Relationship Id="rId4403" Type="http://schemas.openxmlformats.org/officeDocument/2006/relationships/hyperlink" Target="https://pbs.twimg.com/profile_images/552048904053600256/eiO-AN6c_normal.jpeg" TargetMode="External"/><Relationship Id="rId7559" Type="http://schemas.openxmlformats.org/officeDocument/2006/relationships/hyperlink" Target="https://pbs.twimg.com/profile_images/645716711723925506/t5G0qOS6_normal.jpg" TargetMode="External"/><Relationship Id="rId273" Type="http://schemas.openxmlformats.org/officeDocument/2006/relationships/hyperlink" Target="https://pbs.twimg.com/profile_images/685327213/Apandia_normal.gif" TargetMode="External"/><Relationship Id="rId3005" Type="http://schemas.openxmlformats.org/officeDocument/2006/relationships/hyperlink" Target="https://twitter.com/INDIZbot" TargetMode="External"/><Relationship Id="rId6575" Type="http://schemas.openxmlformats.org/officeDocument/2006/relationships/hyperlink" Target="https://pbs.twimg.com/profile_images/723407487395713024/0hZv7R8S_normal.jpg" TargetMode="External"/><Relationship Id="rId7626" Type="http://schemas.openxmlformats.org/officeDocument/2006/relationships/hyperlink" Target="https://twitter.com/VDI_News" TargetMode="External"/><Relationship Id="rId7973" Type="http://schemas.openxmlformats.org/officeDocument/2006/relationships/hyperlink" Target="https://twitter.com/WinfriedFelser" TargetMode="External"/><Relationship Id="rId340" Type="http://schemas.openxmlformats.org/officeDocument/2006/relationships/hyperlink" Target="https://twitter.com/bamitav" TargetMode="External"/><Relationship Id="rId2021" Type="http://schemas.openxmlformats.org/officeDocument/2006/relationships/hyperlink" Target="https://pbs.twimg.com/profile_images/662723326096224256/5V4KH9_O_normal.jpg" TargetMode="External"/><Relationship Id="rId5177" Type="http://schemas.openxmlformats.org/officeDocument/2006/relationships/hyperlink" Target="https://twitter.com/Rossmanith_QM/status/722765787719725056" TargetMode="External"/><Relationship Id="rId6228" Type="http://schemas.openxmlformats.org/officeDocument/2006/relationships/hyperlink" Target="https://pbs.twimg.com/profile_images/3698248361/9b2b51aa54a0947dae3c180f5e6570c0_normal.jpeg" TargetMode="External"/><Relationship Id="rId4193" Type="http://schemas.openxmlformats.org/officeDocument/2006/relationships/hyperlink" Target="https://pbs.twimg.com/profile_images/623849156159868928/BetFDR_i_normal.jpg" TargetMode="External"/><Relationship Id="rId5591" Type="http://schemas.openxmlformats.org/officeDocument/2006/relationships/hyperlink" Target="https://pbs.twimg.com/profile_images/645716711723925506/t5G0qOS6_normal.jpg" TargetMode="External"/><Relationship Id="rId6642" Type="http://schemas.openxmlformats.org/officeDocument/2006/relationships/hyperlink" Target="https://twitter.com/GTAI_com" TargetMode="External"/><Relationship Id="rId9798" Type="http://schemas.openxmlformats.org/officeDocument/2006/relationships/hyperlink" Target="https://pbs.twimg.com/profile_images/604338428227010560/6jzSa8us_normal.png" TargetMode="External"/><Relationship Id="rId1787" Type="http://schemas.openxmlformats.org/officeDocument/2006/relationships/hyperlink" Target="https://twitter.com/Dr_RobertFreund/status/721401852013711360" TargetMode="External"/><Relationship Id="rId2838" Type="http://schemas.openxmlformats.org/officeDocument/2006/relationships/hyperlink" Target="https://twitter.com/LReehten" TargetMode="External"/><Relationship Id="rId5244" Type="http://schemas.openxmlformats.org/officeDocument/2006/relationships/hyperlink" Target="https://twitter.com/inqaaudit" TargetMode="External"/><Relationship Id="rId9865" Type="http://schemas.openxmlformats.org/officeDocument/2006/relationships/hyperlink" Target="https://twitter.com/Bitkom_I40" TargetMode="External"/><Relationship Id="rId79" Type="http://schemas.openxmlformats.org/officeDocument/2006/relationships/hyperlink" Target="https://twitter.com/tresmo360" TargetMode="External"/><Relationship Id="rId1854" Type="http://schemas.openxmlformats.org/officeDocument/2006/relationships/hyperlink" Target="https://pbs.twimg.com/profile_images/667622351345950720/HAHOiaMn_normal.jpg" TargetMode="External"/><Relationship Id="rId2905" Type="http://schemas.openxmlformats.org/officeDocument/2006/relationships/hyperlink" Target="https://pbs.twimg.com/profile_images/650211443112050688/Q-KC340L_normal.jpg" TargetMode="External"/><Relationship Id="rId4260" Type="http://schemas.openxmlformats.org/officeDocument/2006/relationships/hyperlink" Target="https://twitter.com/H_IT_D" TargetMode="External"/><Relationship Id="rId5311" Type="http://schemas.openxmlformats.org/officeDocument/2006/relationships/hyperlink" Target="https://twitter.com/INDIZbot" TargetMode="External"/><Relationship Id="rId8467" Type="http://schemas.openxmlformats.org/officeDocument/2006/relationships/hyperlink" Target="https://twitter.com/kommoptimierer" TargetMode="External"/><Relationship Id="rId8881" Type="http://schemas.openxmlformats.org/officeDocument/2006/relationships/hyperlink" Target="https://twitter.com/CSGermany" TargetMode="External"/><Relationship Id="rId9518" Type="http://schemas.openxmlformats.org/officeDocument/2006/relationships/hyperlink" Target="https://twitter.com/PASSnews" TargetMode="External"/><Relationship Id="rId9932" Type="http://schemas.openxmlformats.org/officeDocument/2006/relationships/hyperlink" Target="https://twitter.com/DohmeyerK/status/724281893844336641" TargetMode="External"/><Relationship Id="rId1507" Type="http://schemas.openxmlformats.org/officeDocument/2006/relationships/hyperlink" Target="https://twitter.com/tomweisz" TargetMode="External"/><Relationship Id="rId7069" Type="http://schemas.openxmlformats.org/officeDocument/2006/relationships/hyperlink" Target="https://twitter.com/INDIZbot" TargetMode="External"/><Relationship Id="rId7483" Type="http://schemas.openxmlformats.org/officeDocument/2006/relationships/hyperlink" Target="https://twitter.com/CIOVoice/status/723409063791349760" TargetMode="External"/><Relationship Id="rId8534" Type="http://schemas.openxmlformats.org/officeDocument/2006/relationships/hyperlink" Target="https://twitter.com/oliverdhm/status/723645622256078853" TargetMode="External"/><Relationship Id="rId1921" Type="http://schemas.openxmlformats.org/officeDocument/2006/relationships/hyperlink" Target="https://pbs.twimg.com/profile_images/645716711723925506/t5G0qOS6_normal.jpg" TargetMode="External"/><Relationship Id="rId3679" Type="http://schemas.openxmlformats.org/officeDocument/2006/relationships/hyperlink" Target="https://pbs.twimg.com/profile_images/703148147543920640/eaxyCVcC_normal.jpg" TargetMode="External"/><Relationship Id="rId6085" Type="http://schemas.openxmlformats.org/officeDocument/2006/relationships/hyperlink" Target="https://pbs.twimg.com/profile_images/645716711723925506/t5G0qOS6_normal.jpg" TargetMode="External"/><Relationship Id="rId7136" Type="http://schemas.openxmlformats.org/officeDocument/2006/relationships/hyperlink" Target="https://twitter.com/Frank_Reinelt/status/723278655561060352" TargetMode="External"/><Relationship Id="rId7550" Type="http://schemas.openxmlformats.org/officeDocument/2006/relationships/hyperlink" Target="https://pbs.twimg.com/profile_images/604338428227010560/6jzSa8us_normal.png" TargetMode="External"/><Relationship Id="rId10117" Type="http://schemas.openxmlformats.org/officeDocument/2006/relationships/hyperlink" Target="https://twitter.com/DirkSchaar" TargetMode="External"/><Relationship Id="rId6152" Type="http://schemas.openxmlformats.org/officeDocument/2006/relationships/hyperlink" Target="https://abs.twimg.com/sticky/default_profile_images/default_profile_1_normal.png" TargetMode="External"/><Relationship Id="rId7203" Type="http://schemas.openxmlformats.org/officeDocument/2006/relationships/hyperlink" Target="https://pbs.twimg.com/profile_images/648870164297965568/7muw2QvW_normal.jpg" TargetMode="External"/><Relationship Id="rId8601" Type="http://schemas.openxmlformats.org/officeDocument/2006/relationships/hyperlink" Target="https://pbs.twimg.com/profile_images/498942077325963264/l5q550Kh_normal.jpeg" TargetMode="External"/><Relationship Id="rId1297" Type="http://schemas.openxmlformats.org/officeDocument/2006/relationships/hyperlink" Target="https://twitter.com/INDIZbot" TargetMode="External"/><Relationship Id="rId2695" Type="http://schemas.openxmlformats.org/officeDocument/2006/relationships/hyperlink" Target="https://twitter.com/Jautomatise/status/722091510121029632" TargetMode="External"/><Relationship Id="rId3746" Type="http://schemas.openxmlformats.org/officeDocument/2006/relationships/hyperlink" Target="https://twitter.com/JETZT_PRde" TargetMode="External"/><Relationship Id="rId667" Type="http://schemas.openxmlformats.org/officeDocument/2006/relationships/hyperlink" Target="https://pbs.twimg.com/profile_images/566986293888835584/_uYTcau__normal.png" TargetMode="External"/><Relationship Id="rId2348" Type="http://schemas.openxmlformats.org/officeDocument/2006/relationships/hyperlink" Target="https://twitter.com/HTxA/status/721989455893131264" TargetMode="External"/><Relationship Id="rId2762" Type="http://schemas.openxmlformats.org/officeDocument/2006/relationships/hyperlink" Target="https://pbs.twimg.com/profile_images/378800000095428642/8ef0ce9ca980b41ef8db86c5e546114f_normal.jpeg" TargetMode="External"/><Relationship Id="rId3813" Type="http://schemas.openxmlformats.org/officeDocument/2006/relationships/hyperlink" Target="https://twitter.com/INDIZbot/status/722430154895659009" TargetMode="External"/><Relationship Id="rId6969" Type="http://schemas.openxmlformats.org/officeDocument/2006/relationships/hyperlink" Target="https://pbs.twimg.com/profile_images/660034078662664192/fW_fR4oj_normal.jpg" TargetMode="External"/><Relationship Id="rId9028" Type="http://schemas.openxmlformats.org/officeDocument/2006/relationships/hyperlink" Target="https://twitter.com/IT2Industry" TargetMode="External"/><Relationship Id="rId9375" Type="http://schemas.openxmlformats.org/officeDocument/2006/relationships/hyperlink" Target="https://twitter.com/karelcrombach/status/724161058148106240" TargetMode="External"/><Relationship Id="rId734" Type="http://schemas.openxmlformats.org/officeDocument/2006/relationships/hyperlink" Target="https://twitter.com/INDIZbot" TargetMode="External"/><Relationship Id="rId1364" Type="http://schemas.openxmlformats.org/officeDocument/2006/relationships/hyperlink" Target="https://twitter.com/heidelbergmobil/status/720975630603587585" TargetMode="External"/><Relationship Id="rId2415" Type="http://schemas.openxmlformats.org/officeDocument/2006/relationships/hyperlink" Target="https://pbs.twimg.com/profile_images/645716711723925506/t5G0qOS6_normal.jpg" TargetMode="External"/><Relationship Id="rId5985" Type="http://schemas.openxmlformats.org/officeDocument/2006/relationships/hyperlink" Target="https://twitter.com/it_rebellen/status/723067408269889536" TargetMode="External"/><Relationship Id="rId8391" Type="http://schemas.openxmlformats.org/officeDocument/2006/relationships/hyperlink" Target="https://twitter.com/deviceWISEM2M" TargetMode="External"/><Relationship Id="rId9442" Type="http://schemas.openxmlformats.org/officeDocument/2006/relationships/hyperlink" Target="https://abs.twimg.com/sticky/default_profile_images/default_profile_3_normal.png" TargetMode="External"/><Relationship Id="rId70" Type="http://schemas.openxmlformats.org/officeDocument/2006/relationships/hyperlink" Target="https://twitter.com/JuliaSeverins" TargetMode="External"/><Relationship Id="rId801" Type="http://schemas.openxmlformats.org/officeDocument/2006/relationships/hyperlink" Target="https://twitter.com/m_biscarrat" TargetMode="External"/><Relationship Id="rId1017" Type="http://schemas.openxmlformats.org/officeDocument/2006/relationships/hyperlink" Target="https://pbs.twimg.com/profile_images/378800000664327316/6a5c3a2d43525a9b5044906960528925_normal.jpeg" TargetMode="External"/><Relationship Id="rId1431" Type="http://schemas.openxmlformats.org/officeDocument/2006/relationships/hyperlink" Target="http://ideenwerkbw.de/" TargetMode="External"/><Relationship Id="rId4587" Type="http://schemas.openxmlformats.org/officeDocument/2006/relationships/hyperlink" Target="https://twitter.com/DKEAktuell" TargetMode="External"/><Relationship Id="rId5638" Type="http://schemas.openxmlformats.org/officeDocument/2006/relationships/hyperlink" Target="https://twitter.com/Cathy_Brennan/status/722893330573471745" TargetMode="External"/><Relationship Id="rId8044" Type="http://schemas.openxmlformats.org/officeDocument/2006/relationships/hyperlink" Target="https://pbs.twimg.com/profile_images/616176072204382208/UYYnn7XY_normal.jpg" TargetMode="External"/><Relationship Id="rId3189" Type="http://schemas.openxmlformats.org/officeDocument/2006/relationships/hyperlink" Target="https://pbs.twimg.com/profile_images/1751941421/TW_Profilbild_025_normal.jpg" TargetMode="External"/><Relationship Id="rId4654" Type="http://schemas.openxmlformats.org/officeDocument/2006/relationships/hyperlink" Target="https://twitter.com/IEBook/status/722710099463159809" TargetMode="External"/><Relationship Id="rId7060" Type="http://schemas.openxmlformats.org/officeDocument/2006/relationships/hyperlink" Target="https://twitter.com/MickLangdale" TargetMode="External"/><Relationship Id="rId8111" Type="http://schemas.openxmlformats.org/officeDocument/2006/relationships/hyperlink" Target="https://twitter.com/INDIZbot" TargetMode="External"/><Relationship Id="rId10041" Type="http://schemas.openxmlformats.org/officeDocument/2006/relationships/hyperlink" Target="https://pbs.twimg.com/profile_images/645716711723925506/t5G0qOS6_normal.jpg" TargetMode="External"/><Relationship Id="rId3256" Type="http://schemas.openxmlformats.org/officeDocument/2006/relationships/hyperlink" Target="https://twitter.com/INDIZbot" TargetMode="External"/><Relationship Id="rId4307" Type="http://schemas.openxmlformats.org/officeDocument/2006/relationships/hyperlink" Target="https://pbs.twimg.com/profile_images/645716711723925506/t5G0qOS6_normal.jpg" TargetMode="External"/><Relationship Id="rId5705" Type="http://schemas.openxmlformats.org/officeDocument/2006/relationships/hyperlink" Target="https://pbs.twimg.com/profile_images/662723326096224256/5V4KH9_O_normal.jpg" TargetMode="External"/><Relationship Id="rId177" Type="http://schemas.openxmlformats.org/officeDocument/2006/relationships/hyperlink" Target="https://pbs.twimg.com/profile_images/686928810646867969/Ixv7AKdN_normal.png" TargetMode="External"/><Relationship Id="rId591" Type="http://schemas.openxmlformats.org/officeDocument/2006/relationships/hyperlink" Target="https://twitter.com/S_Koebernick/status/720633909080408065" TargetMode="External"/><Relationship Id="rId2272" Type="http://schemas.openxmlformats.org/officeDocument/2006/relationships/hyperlink" Target="https://twitter.com/Alex_Sattler/status/721976465395421184" TargetMode="External"/><Relationship Id="rId3670" Type="http://schemas.openxmlformats.org/officeDocument/2006/relationships/hyperlink" Target="https://pbs.twimg.com/profile_images/639888719827345408/SG0dDbF8_normal.jpg" TargetMode="External"/><Relationship Id="rId4721" Type="http://schemas.openxmlformats.org/officeDocument/2006/relationships/hyperlink" Target="https://pbs.twimg.com/profile_images/689489673270509572/SdYuHEEE_normal.jpg" TargetMode="External"/><Relationship Id="rId7877" Type="http://schemas.openxmlformats.org/officeDocument/2006/relationships/hyperlink" Target="https://twitter.com/FullSpeedSystem/status/723451891175284736" TargetMode="External"/><Relationship Id="rId8928" Type="http://schemas.openxmlformats.org/officeDocument/2006/relationships/hyperlink" Target="https://pbs.twimg.com/profile_images/711495439430893568/IBnIHYGK_normal.jpg" TargetMode="External"/><Relationship Id="rId244" Type="http://schemas.openxmlformats.org/officeDocument/2006/relationships/hyperlink" Target="https://twitter.com/PASSnews" TargetMode="External"/><Relationship Id="rId3323" Type="http://schemas.openxmlformats.org/officeDocument/2006/relationships/hyperlink" Target="https://twitter.com/MarianKoeller/status/722349373116559360" TargetMode="External"/><Relationship Id="rId6479" Type="http://schemas.openxmlformats.org/officeDocument/2006/relationships/hyperlink" Target="https://twitter.com/iotfablab" TargetMode="External"/><Relationship Id="rId6893" Type="http://schemas.openxmlformats.org/officeDocument/2006/relationships/hyperlink" Target="https://twitter.com/WalesBuzz/status/723181332059283456" TargetMode="External"/><Relationship Id="rId7944" Type="http://schemas.openxmlformats.org/officeDocument/2006/relationships/hyperlink" Target="https://twitter.com/aeaktuell/status/723470985932996608" TargetMode="External"/><Relationship Id="rId5495" Type="http://schemas.openxmlformats.org/officeDocument/2006/relationships/hyperlink" Target="https://pbs.twimg.com/profile_images/699724829713428484/rUT0r7Dq_normal.jpg" TargetMode="External"/><Relationship Id="rId6546" Type="http://schemas.openxmlformats.org/officeDocument/2006/relationships/hyperlink" Target="https://twitter.com/mkkrueg/status/723136860743049216" TargetMode="External"/><Relationship Id="rId6960" Type="http://schemas.openxmlformats.org/officeDocument/2006/relationships/hyperlink" Target="https://pbs.twimg.com/profile_images/662723326096224256/5V4KH9_O_normal.jpg" TargetMode="External"/><Relationship Id="rId311" Type="http://schemas.openxmlformats.org/officeDocument/2006/relationships/hyperlink" Target="https://twitter.com/mitunsdigital/status/720547276477886464" TargetMode="External"/><Relationship Id="rId4097" Type="http://schemas.openxmlformats.org/officeDocument/2006/relationships/hyperlink" Target="https://pbs.twimg.com/profile_images/645716711723925506/t5G0qOS6_normal.jpg" TargetMode="External"/><Relationship Id="rId5148" Type="http://schemas.openxmlformats.org/officeDocument/2006/relationships/hyperlink" Target="https://pbs.twimg.com/profile_images/687630441893900288/RvOaRxIg_normal.jpg" TargetMode="External"/><Relationship Id="rId5562" Type="http://schemas.openxmlformats.org/officeDocument/2006/relationships/hyperlink" Target="https://twitter.com/AMETRAInge" TargetMode="External"/><Relationship Id="rId6613" Type="http://schemas.openxmlformats.org/officeDocument/2006/relationships/hyperlink" Target="https://twitter.com/marketingBOERSE/status/723150608904015872" TargetMode="External"/><Relationship Id="rId9769" Type="http://schemas.openxmlformats.org/officeDocument/2006/relationships/hyperlink" Target="https://twitter.com/i_k_sudhoff" TargetMode="External"/><Relationship Id="rId1758" Type="http://schemas.openxmlformats.org/officeDocument/2006/relationships/hyperlink" Target="https://pbs.twimg.com/profile_images/707651451284287488/OJug5o2o_normal.jpg" TargetMode="External"/><Relationship Id="rId2809" Type="http://schemas.openxmlformats.org/officeDocument/2006/relationships/hyperlink" Target="https://twitter.com/JoansHere/status/722130093552836609" TargetMode="External"/><Relationship Id="rId4164" Type="http://schemas.openxmlformats.org/officeDocument/2006/relationships/hyperlink" Target="https://twitter.com/LReehten" TargetMode="External"/><Relationship Id="rId5215" Type="http://schemas.openxmlformats.org/officeDocument/2006/relationships/hyperlink" Target="https://twitter.com/LuisB/status/722769524232220673" TargetMode="External"/><Relationship Id="rId8785" Type="http://schemas.openxmlformats.org/officeDocument/2006/relationships/hyperlink" Target="https://twitter.com/DanielKueng" TargetMode="External"/><Relationship Id="rId9836" Type="http://schemas.openxmlformats.org/officeDocument/2006/relationships/hyperlink" Target="https://twitter.com/alternacomm/status/724269931827748864" TargetMode="External"/><Relationship Id="rId3180" Type="http://schemas.openxmlformats.org/officeDocument/2006/relationships/hyperlink" Target="https://twitter.com/recruitingtag" TargetMode="External"/><Relationship Id="rId4231" Type="http://schemas.openxmlformats.org/officeDocument/2006/relationships/hyperlink" Target="https://twitter.com/wmaxx_consultig/status/722533914217201664" TargetMode="External"/><Relationship Id="rId7387" Type="http://schemas.openxmlformats.org/officeDocument/2006/relationships/hyperlink" Target="https://pbs.twimg.com/profile_images/366014169/twitapuz_normal.jpg" TargetMode="External"/><Relationship Id="rId8438" Type="http://schemas.openxmlformats.org/officeDocument/2006/relationships/hyperlink" Target="https://twitter.com/h_scoshield/status/723565329327226880" TargetMode="External"/><Relationship Id="rId1825" Type="http://schemas.openxmlformats.org/officeDocument/2006/relationships/hyperlink" Target="https://twitter.com/INDIZbot" TargetMode="External"/><Relationship Id="rId8852" Type="http://schemas.openxmlformats.org/officeDocument/2006/relationships/hyperlink" Target="https://twitter.com/INDIZbot/status/723842127835348992" TargetMode="External"/><Relationship Id="rId9903" Type="http://schemas.openxmlformats.org/officeDocument/2006/relationships/hyperlink" Target="https://pbs.twimg.com/profile_images/619439854275952640/NO5busxw_normal.jpg" TargetMode="External"/><Relationship Id="rId3997" Type="http://schemas.openxmlformats.org/officeDocument/2006/relationships/hyperlink" Target="https://pbs.twimg.com/profile_images/419443300631064576/z6p0EaBD_normal.jpeg" TargetMode="External"/><Relationship Id="rId6056" Type="http://schemas.openxmlformats.org/officeDocument/2006/relationships/hyperlink" Target="https://twitter.com/LWalendy" TargetMode="External"/><Relationship Id="rId7454" Type="http://schemas.openxmlformats.org/officeDocument/2006/relationships/hyperlink" Target="https://pbs.twimg.com/profile_images/645716711723925506/t5G0qOS6_normal.jpg" TargetMode="External"/><Relationship Id="rId8505" Type="http://schemas.openxmlformats.org/officeDocument/2006/relationships/hyperlink" Target="https://pbs.twimg.com/profile_images/541146126158536704/IYardufS_normal.jpeg" TargetMode="External"/><Relationship Id="rId2599" Type="http://schemas.openxmlformats.org/officeDocument/2006/relationships/hyperlink" Target="https://twitter.com/INDIZbot" TargetMode="External"/><Relationship Id="rId6470" Type="http://schemas.openxmlformats.org/officeDocument/2006/relationships/hyperlink" Target="https://twitter.com/Waaiema" TargetMode="External"/><Relationship Id="rId7107" Type="http://schemas.openxmlformats.org/officeDocument/2006/relationships/hyperlink" Target="https://pbs.twimg.com/profile_images/663734674653622272/h2JzQVyL_normal.jpg" TargetMode="External"/><Relationship Id="rId7521" Type="http://schemas.openxmlformats.org/officeDocument/2006/relationships/hyperlink" Target="https://twitter.com/PapaVise" TargetMode="External"/><Relationship Id="rId985" Type="http://schemas.openxmlformats.org/officeDocument/2006/relationships/hyperlink" Target="https://twitter.com/TheAuditCompany" TargetMode="External"/><Relationship Id="rId2666" Type="http://schemas.openxmlformats.org/officeDocument/2006/relationships/hyperlink" Target="https://pbs.twimg.com/profile_images/562236665897291777/ArzSiANk_normal.png" TargetMode="External"/><Relationship Id="rId3717" Type="http://schemas.openxmlformats.org/officeDocument/2006/relationships/hyperlink" Target="https://twitter.com/Angela_Josephs/status/722410923105861632" TargetMode="External"/><Relationship Id="rId5072" Type="http://schemas.openxmlformats.org/officeDocument/2006/relationships/hyperlink" Target="https://twitter.com/AGiesenNRW/status/722754637133008896" TargetMode="External"/><Relationship Id="rId6123" Type="http://schemas.openxmlformats.org/officeDocument/2006/relationships/hyperlink" Target="https://twitter.com/INDIZbot" TargetMode="External"/><Relationship Id="rId9279" Type="http://schemas.openxmlformats.org/officeDocument/2006/relationships/hyperlink" Target="https://twitter.com/David__DaSilva/status/724123394132840448" TargetMode="External"/><Relationship Id="rId9693" Type="http://schemas.openxmlformats.org/officeDocument/2006/relationships/hyperlink" Target="https://twitter.com/INDIZbot/status/724232012010283009" TargetMode="External"/><Relationship Id="rId638" Type="http://schemas.openxmlformats.org/officeDocument/2006/relationships/hyperlink" Target="https://twitter.com/FranBlanSAP" TargetMode="External"/><Relationship Id="rId1268" Type="http://schemas.openxmlformats.org/officeDocument/2006/relationships/hyperlink" Target="https://twitter.com/Apandia/status/720935328928919554" TargetMode="External"/><Relationship Id="rId1682" Type="http://schemas.openxmlformats.org/officeDocument/2006/relationships/hyperlink" Target="https://twitter.com/EconTypes/status/721277483098636288" TargetMode="External"/><Relationship Id="rId2319" Type="http://schemas.openxmlformats.org/officeDocument/2006/relationships/hyperlink" Target="https://pbs.twimg.com/profile_images/459441279181398016/MmGzaeIu_normal.jpeg" TargetMode="External"/><Relationship Id="rId2733" Type="http://schemas.openxmlformats.org/officeDocument/2006/relationships/hyperlink" Target="https://twitter.com/jcb_tweet" TargetMode="External"/><Relationship Id="rId5889" Type="http://schemas.openxmlformats.org/officeDocument/2006/relationships/hyperlink" Target="https://twitter.com/markherten/status/723058974140993537" TargetMode="External"/><Relationship Id="rId8295" Type="http://schemas.openxmlformats.org/officeDocument/2006/relationships/hyperlink" Target="https://twitter.com/H_IT_D" TargetMode="External"/><Relationship Id="rId9346" Type="http://schemas.openxmlformats.org/officeDocument/2006/relationships/hyperlink" Target="https://pbs.twimg.com/profile_images/645716711723925506/t5G0qOS6_normal.jpg" TargetMode="External"/><Relationship Id="rId9760" Type="http://schemas.openxmlformats.org/officeDocument/2006/relationships/hyperlink" Target="https://twitter.com/INDIZbot" TargetMode="External"/><Relationship Id="rId705" Type="http://schemas.openxmlformats.org/officeDocument/2006/relationships/hyperlink" Target="https://twitter.com/JOUAILLECM/status/720683078667083777" TargetMode="External"/><Relationship Id="rId1335" Type="http://schemas.openxmlformats.org/officeDocument/2006/relationships/hyperlink" Target="https://pbs.twimg.com/profile_images/713021101106995200/w4EIzjMN_normal.jpg" TargetMode="External"/><Relationship Id="rId8362" Type="http://schemas.openxmlformats.org/officeDocument/2006/relationships/hyperlink" Target="https://twitter.com/H_IT_D/status/723543227467329536" TargetMode="External"/><Relationship Id="rId9413" Type="http://schemas.openxmlformats.org/officeDocument/2006/relationships/hyperlink" Target="https://twitter.com/Vuillermoz_P" TargetMode="External"/><Relationship Id="rId2800" Type="http://schemas.openxmlformats.org/officeDocument/2006/relationships/hyperlink" Target="https://twitter.com/HaileyMcK/status/722127444128346113" TargetMode="External"/><Relationship Id="rId5956" Type="http://schemas.openxmlformats.org/officeDocument/2006/relationships/hyperlink" Target="https://pbs.twimg.com/profile_images/714710040301666304/f92qxjPD_normal.jpg" TargetMode="External"/><Relationship Id="rId8015" Type="http://schemas.openxmlformats.org/officeDocument/2006/relationships/hyperlink" Target="https://twitter.com/H_IT_D" TargetMode="External"/><Relationship Id="rId10292" Type="http://schemas.openxmlformats.org/officeDocument/2006/relationships/hyperlink" Target="https://twitter.com/ProdMgrNet/status/724455966511607808" TargetMode="External"/><Relationship Id="rId41" Type="http://schemas.openxmlformats.org/officeDocument/2006/relationships/hyperlink" Target="https://twitter.com/VINCENTRICHET/status/720503325251223553" TargetMode="External"/><Relationship Id="rId1402" Type="http://schemas.openxmlformats.org/officeDocument/2006/relationships/hyperlink" Target="https://pbs.twimg.com/profile_images/645716711723925506/t5G0qOS6_normal.jpg" TargetMode="External"/><Relationship Id="rId4558" Type="http://schemas.openxmlformats.org/officeDocument/2006/relationships/hyperlink" Target="https://twitter.com/MEArbeitgeber/status/722705135252729857" TargetMode="External"/><Relationship Id="rId4972" Type="http://schemas.openxmlformats.org/officeDocument/2006/relationships/hyperlink" Target="https://twitter.com/IfKom_eV/status/722745121494597632" TargetMode="External"/><Relationship Id="rId5609" Type="http://schemas.openxmlformats.org/officeDocument/2006/relationships/hyperlink" Target="https://pbs.twimg.com/profile_images/1281327600/VEM_LOGO_1101_4c_o_Twitter_normal.jpg" TargetMode="External"/><Relationship Id="rId7031" Type="http://schemas.openxmlformats.org/officeDocument/2006/relationships/hyperlink" Target="https://twitter.com/gpodagrosi/status/723241575254528001" TargetMode="External"/><Relationship Id="rId3574" Type="http://schemas.openxmlformats.org/officeDocument/2006/relationships/hyperlink" Target="https://pbs.twimg.com/profile_images/646183947790090240/ugvUdxSy_normal.jpg" TargetMode="External"/><Relationship Id="rId4625" Type="http://schemas.openxmlformats.org/officeDocument/2006/relationships/hyperlink" Target="https://pbs.twimg.com/profile_images/628961922659024897/KgqlciRo_normal.jpg" TargetMode="External"/><Relationship Id="rId10012" Type="http://schemas.openxmlformats.org/officeDocument/2006/relationships/hyperlink" Target="https://twitter.com/automatisierer" TargetMode="External"/><Relationship Id="rId495" Type="http://schemas.openxmlformats.org/officeDocument/2006/relationships/hyperlink" Target="https://twitter.com/HudsonFasteners/status/720607205586767873" TargetMode="External"/><Relationship Id="rId2176" Type="http://schemas.openxmlformats.org/officeDocument/2006/relationships/hyperlink" Target="https://twitter.com/mbesch" TargetMode="External"/><Relationship Id="rId2590" Type="http://schemas.openxmlformats.org/officeDocument/2006/relationships/hyperlink" Target="https://twitter.com/JETZT_PRde" TargetMode="External"/><Relationship Id="rId3227" Type="http://schemas.openxmlformats.org/officeDocument/2006/relationships/hyperlink" Target="https://twitter.com/IT_Connection/status/722326536075014144" TargetMode="External"/><Relationship Id="rId3641" Type="http://schemas.openxmlformats.org/officeDocument/2006/relationships/hyperlink" Target="https://twitter.com/Balluff" TargetMode="External"/><Relationship Id="rId6797" Type="http://schemas.openxmlformats.org/officeDocument/2006/relationships/hyperlink" Target="https://twitter.com/A_Ostertag/status/723171876546056192" TargetMode="External"/><Relationship Id="rId7848" Type="http://schemas.openxmlformats.org/officeDocument/2006/relationships/hyperlink" Target="https://pbs.twimg.com/profile_images/2240680734/pj-logo1_normal.png" TargetMode="External"/><Relationship Id="rId148" Type="http://schemas.openxmlformats.org/officeDocument/2006/relationships/hyperlink" Target="https://twitter.com/3D_Genuity" TargetMode="External"/><Relationship Id="rId562" Type="http://schemas.openxmlformats.org/officeDocument/2006/relationships/hyperlink" Target="https://pbs.twimg.com/profile_images/624496248704270336/obg6_pOk_normal.png" TargetMode="External"/><Relationship Id="rId1192" Type="http://schemas.openxmlformats.org/officeDocument/2006/relationships/hyperlink" Target="https://twitter.com/ASUG_BI" TargetMode="External"/><Relationship Id="rId2243" Type="http://schemas.openxmlformats.org/officeDocument/2006/relationships/hyperlink" Target="https://twitter.com/IoTClan/status/721969097894924289" TargetMode="External"/><Relationship Id="rId5399" Type="http://schemas.openxmlformats.org/officeDocument/2006/relationships/hyperlink" Target="https://twitter.com/OasysSW" TargetMode="External"/><Relationship Id="rId6864" Type="http://schemas.openxmlformats.org/officeDocument/2006/relationships/hyperlink" Target="https://pbs.twimg.com/profile_images/645716711723925506/t5G0qOS6_normal.jpg" TargetMode="External"/><Relationship Id="rId7915" Type="http://schemas.openxmlformats.org/officeDocument/2006/relationships/hyperlink" Target="https://twitter.com/osanten" TargetMode="External"/><Relationship Id="rId9270" Type="http://schemas.openxmlformats.org/officeDocument/2006/relationships/hyperlink" Target="https://twitter.com/Balluff/status/724116726326153216" TargetMode="External"/><Relationship Id="rId215" Type="http://schemas.openxmlformats.org/officeDocument/2006/relationships/hyperlink" Target="https://twitter.com/Kiesi23/status/720534292108075008" TargetMode="External"/><Relationship Id="rId2310" Type="http://schemas.openxmlformats.org/officeDocument/2006/relationships/hyperlink" Target="https://twitter.com/ingenieur_de" TargetMode="External"/><Relationship Id="rId5466" Type="http://schemas.openxmlformats.org/officeDocument/2006/relationships/hyperlink" Target="https://twitter.com/H_IT_D" TargetMode="External"/><Relationship Id="rId6517" Type="http://schemas.openxmlformats.org/officeDocument/2006/relationships/hyperlink" Target="https://pbs.twimg.com/profile_images/645716711723925506/t5G0qOS6_normal.jpg" TargetMode="External"/><Relationship Id="rId4068" Type="http://schemas.openxmlformats.org/officeDocument/2006/relationships/hyperlink" Target="https://twitter.com/H_IT_D/status/722495180817899522" TargetMode="External"/><Relationship Id="rId4482" Type="http://schemas.openxmlformats.org/officeDocument/2006/relationships/hyperlink" Target="https://pbs.twimg.com/profile_images/705270537073852416/CZoAp0su_normal.jpg" TargetMode="External"/><Relationship Id="rId5119" Type="http://schemas.openxmlformats.org/officeDocument/2006/relationships/hyperlink" Target="https://twitter.com/RolandBent" TargetMode="External"/><Relationship Id="rId5880" Type="http://schemas.openxmlformats.org/officeDocument/2006/relationships/hyperlink" Target="https://twitter.com/DerKonstrukteu/status/723058107039911936" TargetMode="External"/><Relationship Id="rId6931" Type="http://schemas.openxmlformats.org/officeDocument/2006/relationships/hyperlink" Target="https://twitter.com/INDIZbot" TargetMode="External"/><Relationship Id="rId3084" Type="http://schemas.openxmlformats.org/officeDocument/2006/relationships/hyperlink" Target="https://twitter.com/StipoNad" TargetMode="External"/><Relationship Id="rId4135" Type="http://schemas.openxmlformats.org/officeDocument/2006/relationships/hyperlink" Target="https://twitter.com/LReehten/status/722512703198216195" TargetMode="External"/><Relationship Id="rId5533" Type="http://schemas.openxmlformats.org/officeDocument/2006/relationships/hyperlink" Target="https://twitter.com/UCoester/status/722840219427295233" TargetMode="External"/><Relationship Id="rId8689" Type="http://schemas.openxmlformats.org/officeDocument/2006/relationships/hyperlink" Target="https://twitter.com/Bitkom_I40" TargetMode="External"/><Relationship Id="rId1729" Type="http://schemas.openxmlformats.org/officeDocument/2006/relationships/hyperlink" Target="https://twitter.com/catkinEU" TargetMode="External"/><Relationship Id="rId5600" Type="http://schemas.openxmlformats.org/officeDocument/2006/relationships/hyperlink" Target="https://pbs.twimg.com/profile_images/510721015945498624/1UpjmZMi_normal.jpeg" TargetMode="External"/><Relationship Id="rId8756" Type="http://schemas.openxmlformats.org/officeDocument/2006/relationships/hyperlink" Target="https://twitter.com/ines_oppermann/status/723804817546719233" TargetMode="External"/><Relationship Id="rId9807" Type="http://schemas.openxmlformats.org/officeDocument/2006/relationships/hyperlink" Target="https://pbs.twimg.com/profile_images/625595391568908288/AeEkCkPt_normal.jpg" TargetMode="External"/><Relationship Id="rId3151" Type="http://schemas.openxmlformats.org/officeDocument/2006/relationships/hyperlink" Target="https://twitter.com/BTU_News/status/722315377896792065" TargetMode="External"/><Relationship Id="rId4202" Type="http://schemas.openxmlformats.org/officeDocument/2006/relationships/hyperlink" Target="https://pbs.twimg.com/profile_images/722098538604281856/CcBxk1_M_normal.jpg" TargetMode="External"/><Relationship Id="rId7358" Type="http://schemas.openxmlformats.org/officeDocument/2006/relationships/hyperlink" Target="https://twitter.com/IT2Industry" TargetMode="External"/><Relationship Id="rId7772" Type="http://schemas.openxmlformats.org/officeDocument/2006/relationships/hyperlink" Target="https://pbs.twimg.com/profile_images/685327213/Apandia_normal.gif" TargetMode="External"/><Relationship Id="rId8409" Type="http://schemas.openxmlformats.org/officeDocument/2006/relationships/hyperlink" Target="https://pbs.twimg.com/profile_images/543161217645178880/JQuBT7KS_normal.png" TargetMode="External"/><Relationship Id="rId8823" Type="http://schemas.openxmlformats.org/officeDocument/2006/relationships/hyperlink" Target="https://pbs.twimg.com/profile_images/2763363533/49b4e33373dcb680d42bb592875c3684_normal.png" TargetMode="External"/><Relationship Id="rId10339" Type="http://schemas.openxmlformats.org/officeDocument/2006/relationships/hyperlink" Target="https://twitter.com/3D_Genuity" TargetMode="External"/><Relationship Id="rId3968" Type="http://schemas.openxmlformats.org/officeDocument/2006/relationships/hyperlink" Target="https://twitter.com/VR_Nachrichten" TargetMode="External"/><Relationship Id="rId6374" Type="http://schemas.openxmlformats.org/officeDocument/2006/relationships/hyperlink" Target="https://twitter.com/TechXB" TargetMode="External"/><Relationship Id="rId7425" Type="http://schemas.openxmlformats.org/officeDocument/2006/relationships/hyperlink" Target="https://pbs.twimg.com/profile_images/656031368640598016/s_6nLAlN_normal.jpg" TargetMode="External"/><Relationship Id="rId5" Type="http://schemas.openxmlformats.org/officeDocument/2006/relationships/hyperlink" Target="https://twitter.com/LGLPpressPaca/status/720495478014611456" TargetMode="External"/><Relationship Id="rId889" Type="http://schemas.openxmlformats.org/officeDocument/2006/relationships/hyperlink" Target="https://twitter.com/INDIZbot/status/720857023231832066" TargetMode="External"/><Relationship Id="rId5390" Type="http://schemas.openxmlformats.org/officeDocument/2006/relationships/hyperlink" Target="https://twitter.com/ITK_OWL" TargetMode="External"/><Relationship Id="rId6027" Type="http://schemas.openxmlformats.org/officeDocument/2006/relationships/hyperlink" Target="https://twitter.com/Balluff_Service/status/723072518202904577" TargetMode="External"/><Relationship Id="rId6441" Type="http://schemas.openxmlformats.org/officeDocument/2006/relationships/hyperlink" Target="https://twitter.com/acatech_de/status/723126905701060608" TargetMode="External"/><Relationship Id="rId9597" Type="http://schemas.openxmlformats.org/officeDocument/2006/relationships/hyperlink" Target="https://twitter.com/NiinaHaasola/status/724216972808953857" TargetMode="External"/><Relationship Id="rId1586" Type="http://schemas.openxmlformats.org/officeDocument/2006/relationships/hyperlink" Target="https://twitter.com/CapgeminiDE/status/721232964617637890" TargetMode="External"/><Relationship Id="rId2984" Type="http://schemas.openxmlformats.org/officeDocument/2006/relationships/hyperlink" Target="https://twitter.com/davidgreeny1" TargetMode="External"/><Relationship Id="rId5043" Type="http://schemas.openxmlformats.org/officeDocument/2006/relationships/hyperlink" Target="https://pbs.twimg.com/profile_images/2144085015/sick_de_icon_normal.jpg" TargetMode="External"/><Relationship Id="rId8199" Type="http://schemas.openxmlformats.org/officeDocument/2006/relationships/hyperlink" Target="https://twitter.com/H_IT_D" TargetMode="External"/><Relationship Id="rId609" Type="http://schemas.openxmlformats.org/officeDocument/2006/relationships/hyperlink" Target="https://twitter.com/TForwardingGmbH/status/720635353325969408" TargetMode="External"/><Relationship Id="rId956" Type="http://schemas.openxmlformats.org/officeDocument/2006/relationships/hyperlink" Target="https://twitter.com/LightingnLife/status/720874168065986561" TargetMode="External"/><Relationship Id="rId1239" Type="http://schemas.openxmlformats.org/officeDocument/2006/relationships/hyperlink" Target="https://pbs.twimg.com/profile_images/541146126158536704/IYardufS_normal.jpeg" TargetMode="External"/><Relationship Id="rId2637" Type="http://schemas.openxmlformats.org/officeDocument/2006/relationships/hyperlink" Target="https://twitter.com/inform_software/status/722073199551344640" TargetMode="External"/><Relationship Id="rId5110" Type="http://schemas.openxmlformats.org/officeDocument/2006/relationships/hyperlink" Target="https://twitter.com/IoTMinded" TargetMode="External"/><Relationship Id="rId8266" Type="http://schemas.openxmlformats.org/officeDocument/2006/relationships/hyperlink" Target="https://twitter.com/Frank_Reinelt/status/723524074895474689" TargetMode="External"/><Relationship Id="rId9317" Type="http://schemas.openxmlformats.org/officeDocument/2006/relationships/hyperlink" Target="https://twitter.com/sas_d" TargetMode="External"/><Relationship Id="rId9664" Type="http://schemas.openxmlformats.org/officeDocument/2006/relationships/hyperlink" Target="https://pbs.twimg.com/profile_images/682941586313998340/UigLU__D_normal.jpg" TargetMode="External"/><Relationship Id="rId1653" Type="http://schemas.openxmlformats.org/officeDocument/2006/relationships/hyperlink" Target="https://pbs.twimg.com/profile_images/645716711723925506/t5G0qOS6_normal.jpg" TargetMode="External"/><Relationship Id="rId2704" Type="http://schemas.openxmlformats.org/officeDocument/2006/relationships/hyperlink" Target="https://twitter.com/DanielDomigall/status/722095865318502400" TargetMode="External"/><Relationship Id="rId8680" Type="http://schemas.openxmlformats.org/officeDocument/2006/relationships/hyperlink" Target="https://twitter.com/INDIZbot" TargetMode="External"/><Relationship Id="rId9731" Type="http://schemas.openxmlformats.org/officeDocument/2006/relationships/hyperlink" Target="https://pbs.twimg.com/profile_images/489403559394304001/8SQlWWA1_normal.jpeg" TargetMode="External"/><Relationship Id="rId10196" Type="http://schemas.openxmlformats.org/officeDocument/2006/relationships/hyperlink" Target="https://twitter.com/CSGermany/status/724364100516589568" TargetMode="External"/><Relationship Id="rId1306" Type="http://schemas.openxmlformats.org/officeDocument/2006/relationships/hyperlink" Target="https://twitter.com/ROKAutoCHIT" TargetMode="External"/><Relationship Id="rId1720" Type="http://schemas.openxmlformats.org/officeDocument/2006/relationships/hyperlink" Target="https://twitter.com/INDIZbot" TargetMode="External"/><Relationship Id="rId4876" Type="http://schemas.openxmlformats.org/officeDocument/2006/relationships/hyperlink" Target="https://twitter.com/degenpa/status/722729850008694784" TargetMode="External"/><Relationship Id="rId5927" Type="http://schemas.openxmlformats.org/officeDocument/2006/relationships/hyperlink" Target="https://twitter.com/H_IT_D" TargetMode="External"/><Relationship Id="rId7282" Type="http://schemas.openxmlformats.org/officeDocument/2006/relationships/hyperlink" Target="https://twitter.com/LNI40" TargetMode="External"/><Relationship Id="rId8333" Type="http://schemas.openxmlformats.org/officeDocument/2006/relationships/hyperlink" Target="https://pbs.twimg.com/profile_images/645716711723925506/t5G0qOS6_normal.jpg" TargetMode="External"/><Relationship Id="rId10263" Type="http://schemas.openxmlformats.org/officeDocument/2006/relationships/hyperlink" Target="https://pbs.twimg.com/profile_images/721548926843682816/wzEcHhcn_normal.jpg" TargetMode="External"/><Relationship Id="rId12" Type="http://schemas.openxmlformats.org/officeDocument/2006/relationships/hyperlink" Target="https://pbs.twimg.com/profile_images/524489483488854016/ENzhGsUX_normal.jpeg" TargetMode="External"/><Relationship Id="rId3478" Type="http://schemas.openxmlformats.org/officeDocument/2006/relationships/hyperlink" Target="https://pbs.twimg.com/profile_images/1540018567/Foto_-_Simon__normal.jpg" TargetMode="External"/><Relationship Id="rId3892" Type="http://schemas.openxmlformats.org/officeDocument/2006/relationships/hyperlink" Target="https://pbs.twimg.com/profile_images/456007427129765888/tePNd5vB_normal.png" TargetMode="External"/><Relationship Id="rId4529" Type="http://schemas.openxmlformats.org/officeDocument/2006/relationships/hyperlink" Target="https://pbs.twimg.com/profile_images/674519613540028416/q2O0J-Hi_normal.jpg" TargetMode="External"/><Relationship Id="rId4943" Type="http://schemas.openxmlformats.org/officeDocument/2006/relationships/hyperlink" Target="https://pbs.twimg.com/profile_images/3726440228/9ba49ccb938cf571b195e3e83a4e1327_normal.jpeg" TargetMode="External"/><Relationship Id="rId8400" Type="http://schemas.openxmlformats.org/officeDocument/2006/relationships/hyperlink" Target="https://twitter.com/TelematikMarkt" TargetMode="External"/><Relationship Id="rId10330" Type="http://schemas.openxmlformats.org/officeDocument/2006/relationships/hyperlink" Target="https://twitter.com/3dindustries" TargetMode="External"/><Relationship Id="rId399" Type="http://schemas.openxmlformats.org/officeDocument/2006/relationships/hyperlink" Target="https://pbs.twimg.com/profile_images/645716711723925506/t5G0qOS6_normal.jpg" TargetMode="External"/><Relationship Id="rId2494" Type="http://schemas.openxmlformats.org/officeDocument/2006/relationships/hyperlink" Target="https://twitter.com/verlinked" TargetMode="External"/><Relationship Id="rId3545" Type="http://schemas.openxmlformats.org/officeDocument/2006/relationships/hyperlink" Target="https://twitter.com/INDIZbot" TargetMode="External"/><Relationship Id="rId7002" Type="http://schemas.openxmlformats.org/officeDocument/2006/relationships/hyperlink" Target="https://abs.twimg.com/sticky/default_profile_images/default_profile_5_normal.png" TargetMode="External"/><Relationship Id="rId466" Type="http://schemas.openxmlformats.org/officeDocument/2006/relationships/hyperlink" Target="https://pbs.twimg.com/profile_images/1689149413/PP24_Twittervogel_normal.jpg" TargetMode="External"/><Relationship Id="rId880" Type="http://schemas.openxmlformats.org/officeDocument/2006/relationships/hyperlink" Target="https://twitter.com/UL_Commercial/status/720856183439908865" TargetMode="External"/><Relationship Id="rId1096" Type="http://schemas.openxmlformats.org/officeDocument/2006/relationships/hyperlink" Target="https://twitter.com/INDIZbot" TargetMode="External"/><Relationship Id="rId2147" Type="http://schemas.openxmlformats.org/officeDocument/2006/relationships/hyperlink" Target="https://twitter.com/AnnaWypior/status/721946821325647872" TargetMode="External"/><Relationship Id="rId2561" Type="http://schemas.openxmlformats.org/officeDocument/2006/relationships/hyperlink" Target="https://pbs.twimg.com/profile_images/2619086509/ld3z97zhhdbs2essw7s9_normal.jpeg" TargetMode="External"/><Relationship Id="rId9174" Type="http://schemas.openxmlformats.org/officeDocument/2006/relationships/hyperlink" Target="https://twitter.com/clemgraf/status/723961086525976577" TargetMode="External"/><Relationship Id="rId119" Type="http://schemas.openxmlformats.org/officeDocument/2006/relationships/hyperlink" Target="https://twitter.com/FlorianWoh/status/720514910862581761" TargetMode="External"/><Relationship Id="rId533" Type="http://schemas.openxmlformats.org/officeDocument/2006/relationships/hyperlink" Target="https://twitter.com/jsbond" TargetMode="External"/><Relationship Id="rId1163" Type="http://schemas.openxmlformats.org/officeDocument/2006/relationships/hyperlink" Target="https://twitter.com/blisslogixIT/status/720910821279338497" TargetMode="External"/><Relationship Id="rId2214" Type="http://schemas.openxmlformats.org/officeDocument/2006/relationships/hyperlink" Target="https://pbs.twimg.com/profile_images/2747377011/98d4136fa24a3cef4d4a650c705edd5d_normal.jpeg" TargetMode="External"/><Relationship Id="rId3612" Type="http://schemas.openxmlformats.org/officeDocument/2006/relationships/hyperlink" Target="https://twitter.com/RebelinAluminio/status/722384205456535553" TargetMode="External"/><Relationship Id="rId6768" Type="http://schemas.openxmlformats.org/officeDocument/2006/relationships/hyperlink" Target="https://pbs.twimg.com/profile_images/600279861282869249/IpIJ3MKX_normal.png" TargetMode="External"/><Relationship Id="rId7819" Type="http://schemas.openxmlformats.org/officeDocument/2006/relationships/hyperlink" Target="https://twitter.com/KUKA_RoboticsDE" TargetMode="External"/><Relationship Id="rId8190" Type="http://schemas.openxmlformats.org/officeDocument/2006/relationships/hyperlink" Target="https://twitter.com/INDIZbot" TargetMode="External"/><Relationship Id="rId9241" Type="http://schemas.openxmlformats.org/officeDocument/2006/relationships/hyperlink" Target="https://pbs.twimg.com/profile_images/688093545148723201/hCPglEEy_normal.jpg" TargetMode="External"/><Relationship Id="rId5784" Type="http://schemas.openxmlformats.org/officeDocument/2006/relationships/hyperlink" Target="https://twitter.com/VDI_News" TargetMode="External"/><Relationship Id="rId6835" Type="http://schemas.openxmlformats.org/officeDocument/2006/relationships/hyperlink" Target="https://twitter.com/DCExperten" TargetMode="External"/><Relationship Id="rId600" Type="http://schemas.openxmlformats.org/officeDocument/2006/relationships/hyperlink" Target="https://twitter.com/Geschnattere/status/720634083127201792" TargetMode="External"/><Relationship Id="rId1230" Type="http://schemas.openxmlformats.org/officeDocument/2006/relationships/hyperlink" Target="https://pbs.twimg.com/profile_images/704029343115300866/yUARofpi_normal.jpg" TargetMode="External"/><Relationship Id="rId4386" Type="http://schemas.openxmlformats.org/officeDocument/2006/relationships/hyperlink" Target="https://twitter.com/LesolSA" TargetMode="External"/><Relationship Id="rId5437" Type="http://schemas.openxmlformats.org/officeDocument/2006/relationships/hyperlink" Target="https://twitter.com/texdatacom/status/722803045218848768" TargetMode="External"/><Relationship Id="rId5851" Type="http://schemas.openxmlformats.org/officeDocument/2006/relationships/hyperlink" Target="https://pbs.twimg.com/profile_images/685327213/Apandia_normal.gif" TargetMode="External"/><Relationship Id="rId6902" Type="http://schemas.openxmlformats.org/officeDocument/2006/relationships/hyperlink" Target="https://twitter.com/ant0inet/status/723185966194790401" TargetMode="External"/><Relationship Id="rId4039" Type="http://schemas.openxmlformats.org/officeDocument/2006/relationships/hyperlink" Target="https://pbs.twimg.com/profile_images/610474142270390272/Tl1xeC-a_normal.jpg" TargetMode="External"/><Relationship Id="rId4453" Type="http://schemas.openxmlformats.org/officeDocument/2006/relationships/hyperlink" Target="https://twitter.com/hjvsch" TargetMode="External"/><Relationship Id="rId5504" Type="http://schemas.openxmlformats.org/officeDocument/2006/relationships/hyperlink" Target="https://pbs.twimg.com/profile_images/716977461079179268/JVN5NZO8_normal.jpg" TargetMode="External"/><Relationship Id="rId3055" Type="http://schemas.openxmlformats.org/officeDocument/2006/relationships/hyperlink" Target="https://twitter.com/plmitbusiness/status/722308643056709632" TargetMode="External"/><Relationship Id="rId4106" Type="http://schemas.openxmlformats.org/officeDocument/2006/relationships/hyperlink" Target="https://pbs.twimg.com/profile_images/1336102736/AR69190_normal.jpg" TargetMode="External"/><Relationship Id="rId4520" Type="http://schemas.openxmlformats.org/officeDocument/2006/relationships/hyperlink" Target="https://pbs.twimg.com/profile_images/561208179355185153/11KDu7Gt_normal.png" TargetMode="External"/><Relationship Id="rId7676" Type="http://schemas.openxmlformats.org/officeDocument/2006/relationships/hyperlink" Target="https://pbs.twimg.com/profile_images/712257666094075904/QGnaygAl_normal.jpg" TargetMode="External"/><Relationship Id="rId8727" Type="http://schemas.openxmlformats.org/officeDocument/2006/relationships/hyperlink" Target="https://pbs.twimg.com/profile_images/720569233697017856/YKCnSitZ_normal.jpg" TargetMode="External"/><Relationship Id="rId390" Type="http://schemas.openxmlformats.org/officeDocument/2006/relationships/hyperlink" Target="https://pbs.twimg.com/profile_images/715422612478894080/xCNNzr6__normal.jpg" TargetMode="External"/><Relationship Id="rId2071" Type="http://schemas.openxmlformats.org/officeDocument/2006/relationships/hyperlink" Target="https://twitter.com/APPI37510/status/721802781510746112" TargetMode="External"/><Relationship Id="rId3122" Type="http://schemas.openxmlformats.org/officeDocument/2006/relationships/hyperlink" Target="https://pbs.twimg.com/profile_images/623849156159868928/BetFDR_i_normal.jpg" TargetMode="External"/><Relationship Id="rId6278" Type="http://schemas.openxmlformats.org/officeDocument/2006/relationships/hyperlink" Target="https://twitter.com/prxpragma" TargetMode="External"/><Relationship Id="rId6692" Type="http://schemas.openxmlformats.org/officeDocument/2006/relationships/hyperlink" Target="https://twitter.com/tsystemsde/status/723162203478757377" TargetMode="External"/><Relationship Id="rId7329" Type="http://schemas.openxmlformats.org/officeDocument/2006/relationships/hyperlink" Target="https://twitter.com/VladaCZE/status/723400389635112964" TargetMode="External"/><Relationship Id="rId5294" Type="http://schemas.openxmlformats.org/officeDocument/2006/relationships/hyperlink" Target="https://twitter.com/ITK_OWL/status/722783918064300037" TargetMode="External"/><Relationship Id="rId6345" Type="http://schemas.openxmlformats.org/officeDocument/2006/relationships/hyperlink" Target="https://pbs.twimg.com/profile_images/495214827963297793/ZW7qWnoK_normal.jpeg" TargetMode="External"/><Relationship Id="rId7743" Type="http://schemas.openxmlformats.org/officeDocument/2006/relationships/hyperlink" Target="https://twitter.com/WakeUpMob" TargetMode="External"/><Relationship Id="rId110" Type="http://schemas.openxmlformats.org/officeDocument/2006/relationships/hyperlink" Target="https://twitter.com/KPMG_DE/status/720513337918943232" TargetMode="External"/><Relationship Id="rId2888" Type="http://schemas.openxmlformats.org/officeDocument/2006/relationships/hyperlink" Target="https://twitter.com/mfritz_fhg" TargetMode="External"/><Relationship Id="rId3939" Type="http://schemas.openxmlformats.org/officeDocument/2006/relationships/hyperlink" Target="https://twitter.com/H_IT_D/status/722460120068673536" TargetMode="External"/><Relationship Id="rId7810" Type="http://schemas.openxmlformats.org/officeDocument/2006/relationships/hyperlink" Target="https://twitter.com/viermac" TargetMode="External"/><Relationship Id="rId2955" Type="http://schemas.openxmlformats.org/officeDocument/2006/relationships/hyperlink" Target="https://twitter.com/INDIZbot/status/722200830712143872" TargetMode="External"/><Relationship Id="rId5361" Type="http://schemas.openxmlformats.org/officeDocument/2006/relationships/hyperlink" Target="https://twitter.com/INDIZbot/status/722794920151486464" TargetMode="External"/><Relationship Id="rId6412" Type="http://schemas.openxmlformats.org/officeDocument/2006/relationships/hyperlink" Target="https://pbs.twimg.com/profile_images/566986293888835584/_uYTcau__normal.png" TargetMode="External"/><Relationship Id="rId9568" Type="http://schemas.openxmlformats.org/officeDocument/2006/relationships/hyperlink" Target="https://pbs.twimg.com/profile_images/692403173802274816/HYrFPo6f_normal.jpg" TargetMode="External"/><Relationship Id="rId9982" Type="http://schemas.openxmlformats.org/officeDocument/2006/relationships/hyperlink" Target="https://twitter.com/INDIZbot" TargetMode="External"/><Relationship Id="rId927" Type="http://schemas.openxmlformats.org/officeDocument/2006/relationships/hyperlink" Target="https://twitter.com/VDMAonline" TargetMode="External"/><Relationship Id="rId1557" Type="http://schemas.openxmlformats.org/officeDocument/2006/relationships/hyperlink" Target="https://pbs.twimg.com/profile_images/417735376585773057/t4NCtA5o_normal.jpeg" TargetMode="External"/><Relationship Id="rId1971" Type="http://schemas.openxmlformats.org/officeDocument/2006/relationships/hyperlink" Target="https://twitter.com/verlinked" TargetMode="External"/><Relationship Id="rId2608" Type="http://schemas.openxmlformats.org/officeDocument/2006/relationships/hyperlink" Target="https://twitter.com/INDIZbot" TargetMode="External"/><Relationship Id="rId5014" Type="http://schemas.openxmlformats.org/officeDocument/2006/relationships/hyperlink" Target="https://twitter.com/UweKubach" TargetMode="External"/><Relationship Id="rId8584" Type="http://schemas.openxmlformats.org/officeDocument/2006/relationships/hyperlink" Target="https://twitter.com/ProdMgrNet" TargetMode="External"/><Relationship Id="rId9635" Type="http://schemas.openxmlformats.org/officeDocument/2006/relationships/hyperlink" Target="https://twitter.com/Paderbornersj" TargetMode="External"/><Relationship Id="rId1624" Type="http://schemas.openxmlformats.org/officeDocument/2006/relationships/hyperlink" Target="https://twitter.com/virtualgarry" TargetMode="External"/><Relationship Id="rId4030" Type="http://schemas.openxmlformats.org/officeDocument/2006/relationships/hyperlink" Target="https://pbs.twimg.com/profile_images/662723326096224256/5V4KH9_O_normal.jpg" TargetMode="External"/><Relationship Id="rId7186" Type="http://schemas.openxmlformats.org/officeDocument/2006/relationships/hyperlink" Target="https://twitter.com/Evolutivist" TargetMode="External"/><Relationship Id="rId8237" Type="http://schemas.openxmlformats.org/officeDocument/2006/relationships/hyperlink" Target="https://pbs.twimg.com/profile_images/2958604689/0e3c99570c90174442403167dbf9b5c5_normal.jpeg" TargetMode="External"/><Relationship Id="rId8651" Type="http://schemas.openxmlformats.org/officeDocument/2006/relationships/hyperlink" Target="https://twitter.com/ITMredaktion/status/723778195753975808" TargetMode="External"/><Relationship Id="rId9702" Type="http://schemas.openxmlformats.org/officeDocument/2006/relationships/hyperlink" Target="https://twitter.com/BoschPresse/status/724232759066152960" TargetMode="External"/><Relationship Id="rId10167" Type="http://schemas.openxmlformats.org/officeDocument/2006/relationships/hyperlink" Target="https://pbs.twimg.com/profile_images/455629070454116352/ujZ3h7Ww_normal.png" TargetMode="External"/><Relationship Id="rId3796" Type="http://schemas.openxmlformats.org/officeDocument/2006/relationships/hyperlink" Target="https://pbs.twimg.com/profile_images/645716711723925506/t5G0qOS6_normal.jpg" TargetMode="External"/><Relationship Id="rId7253" Type="http://schemas.openxmlformats.org/officeDocument/2006/relationships/hyperlink" Target="https://twitter.com/catkinEU/status/723387593409187840" TargetMode="External"/><Relationship Id="rId8304" Type="http://schemas.openxmlformats.org/officeDocument/2006/relationships/hyperlink" Target="https://twitter.com/WSWMUC" TargetMode="External"/><Relationship Id="rId10234" Type="http://schemas.openxmlformats.org/officeDocument/2006/relationships/hyperlink" Target="https://twitter.com/H_IT_D" TargetMode="External"/><Relationship Id="rId2398" Type="http://schemas.openxmlformats.org/officeDocument/2006/relationships/hyperlink" Target="https://twitter.com/H_IT_D" TargetMode="External"/><Relationship Id="rId3449" Type="http://schemas.openxmlformats.org/officeDocument/2006/relationships/hyperlink" Target="https://twitter.com/Der_Betriebslei" TargetMode="External"/><Relationship Id="rId4847" Type="http://schemas.openxmlformats.org/officeDocument/2006/relationships/hyperlink" Target="https://pbs.twimg.com/profile_images/1824550858/suschemlogo_twitter_normal.jpg" TargetMode="External"/><Relationship Id="rId7320" Type="http://schemas.openxmlformats.org/officeDocument/2006/relationships/hyperlink" Target="https://twitter.com/INDIZbot/status/723398923138650112" TargetMode="External"/><Relationship Id="rId3863" Type="http://schemas.openxmlformats.org/officeDocument/2006/relationships/hyperlink" Target="https://twitter.com/HolgerPaul66" TargetMode="External"/><Relationship Id="rId4914" Type="http://schemas.openxmlformats.org/officeDocument/2006/relationships/hyperlink" Target="https://twitter.com/Industrie2025" TargetMode="External"/><Relationship Id="rId9078" Type="http://schemas.openxmlformats.org/officeDocument/2006/relationships/hyperlink" Target="https://twitter.com/ITDredaktion/status/723932247645106177" TargetMode="External"/><Relationship Id="rId10301" Type="http://schemas.openxmlformats.org/officeDocument/2006/relationships/hyperlink" Target="https://twitter.com/H_IT_D/status/724458115295383553" TargetMode="External"/><Relationship Id="rId784" Type="http://schemas.openxmlformats.org/officeDocument/2006/relationships/hyperlink" Target="https://pbs.twimg.com/profile_images/591951396217327616/HbcCX2zX_normal.png" TargetMode="External"/><Relationship Id="rId1067" Type="http://schemas.openxmlformats.org/officeDocument/2006/relationships/hyperlink" Target="https://twitter.com/MFakholy/status/720893452125388800" TargetMode="External"/><Relationship Id="rId2465" Type="http://schemas.openxmlformats.org/officeDocument/2006/relationships/hyperlink" Target="https://twitter.com/Apandia/status/722036762885910529" TargetMode="External"/><Relationship Id="rId3516" Type="http://schemas.openxmlformats.org/officeDocument/2006/relationships/hyperlink" Target="https://twitter.com/prxpragma/status/722369529691709440" TargetMode="External"/><Relationship Id="rId3930" Type="http://schemas.openxmlformats.org/officeDocument/2006/relationships/hyperlink" Target="https://twitter.com/aguittard/status/722459757672599552" TargetMode="External"/><Relationship Id="rId8094" Type="http://schemas.openxmlformats.org/officeDocument/2006/relationships/hyperlink" Target="https://twitter.com/LeanKnowledge/status/723493998892081152" TargetMode="External"/><Relationship Id="rId9492" Type="http://schemas.openxmlformats.org/officeDocument/2006/relationships/hyperlink" Target="https://twitter.com/bastihollmann/status/724190338974388224" TargetMode="External"/><Relationship Id="rId437" Type="http://schemas.openxmlformats.org/officeDocument/2006/relationships/hyperlink" Target="https://twitter.com/corischindlbeck/status/720592400025051137" TargetMode="External"/><Relationship Id="rId851" Type="http://schemas.openxmlformats.org/officeDocument/2006/relationships/hyperlink" Target="https://pbs.twimg.com/profile_images/645716711723925506/t5G0qOS6_normal.jpg" TargetMode="External"/><Relationship Id="rId1481" Type="http://schemas.openxmlformats.org/officeDocument/2006/relationships/hyperlink" Target="https://twitter.com/Dr_RobertFreund/status/721024167785664512" TargetMode="External"/><Relationship Id="rId2118" Type="http://schemas.openxmlformats.org/officeDocument/2006/relationships/hyperlink" Target="https://twitter.com/ScopeOnline" TargetMode="External"/><Relationship Id="rId2532" Type="http://schemas.openxmlformats.org/officeDocument/2006/relationships/hyperlink" Target="https://twitter.com/derPaddy" TargetMode="External"/><Relationship Id="rId5688" Type="http://schemas.openxmlformats.org/officeDocument/2006/relationships/hyperlink" Target="https://twitter.com/H_IT_D" TargetMode="External"/><Relationship Id="rId6739" Type="http://schemas.openxmlformats.org/officeDocument/2006/relationships/hyperlink" Target="https://twitter.com/SGE" TargetMode="External"/><Relationship Id="rId9145" Type="http://schemas.openxmlformats.org/officeDocument/2006/relationships/hyperlink" Target="https://abs.twimg.com/sticky/default_profile_images/default_profile_3_normal.png" TargetMode="External"/><Relationship Id="rId504" Type="http://schemas.openxmlformats.org/officeDocument/2006/relationships/hyperlink" Target="https://twitter.com/prxpragma/status/720608246487232512" TargetMode="External"/><Relationship Id="rId1134" Type="http://schemas.openxmlformats.org/officeDocument/2006/relationships/hyperlink" Target="https://pbs.twimg.com/profile_images/647052308170297344/Q29AIuZ__normal.jpg" TargetMode="External"/><Relationship Id="rId5755" Type="http://schemas.openxmlformats.org/officeDocument/2006/relationships/hyperlink" Target="https://twitter.com/PW_InCub/status/723026029246308353" TargetMode="External"/><Relationship Id="rId6806" Type="http://schemas.openxmlformats.org/officeDocument/2006/relationships/hyperlink" Target="https://twitter.com/brigittezypries/status/723174343761641472" TargetMode="External"/><Relationship Id="rId8161" Type="http://schemas.openxmlformats.org/officeDocument/2006/relationships/hyperlink" Target="https://pbs.twimg.com/profile_images/645716711723925506/t5G0qOS6_normal.jpg" TargetMode="External"/><Relationship Id="rId9212" Type="http://schemas.openxmlformats.org/officeDocument/2006/relationships/hyperlink" Target="https://twitter.com/db_theblizz" TargetMode="External"/><Relationship Id="rId10091" Type="http://schemas.openxmlformats.org/officeDocument/2006/relationships/hyperlink" Target="https://twitter.com/kingzulu82/status/724326439894560770" TargetMode="External"/><Relationship Id="rId1201" Type="http://schemas.openxmlformats.org/officeDocument/2006/relationships/hyperlink" Target="https://twitter.com/FACTS4WORKERS" TargetMode="External"/><Relationship Id="rId4357" Type="http://schemas.openxmlformats.org/officeDocument/2006/relationships/hyperlink" Target="https://twitter.com/SMWA_SN/status/722678508934311938" TargetMode="External"/><Relationship Id="rId4771" Type="http://schemas.openxmlformats.org/officeDocument/2006/relationships/hyperlink" Target="https://twitter.com/MEArbeitgeber/status/722717721335578625" TargetMode="External"/><Relationship Id="rId5408" Type="http://schemas.openxmlformats.org/officeDocument/2006/relationships/hyperlink" Target="https://twitter.com/JanFirsching" TargetMode="External"/><Relationship Id="rId3373" Type="http://schemas.openxmlformats.org/officeDocument/2006/relationships/hyperlink" Target="https://pbs.twimg.com/profile_images/645716711723925506/t5G0qOS6_normal.jpg" TargetMode="External"/><Relationship Id="rId4424" Type="http://schemas.openxmlformats.org/officeDocument/2006/relationships/hyperlink" Target="https://pbs.twimg.com/profile_images/484964124443807744/0CuOxx2p_normal.jpeg" TargetMode="External"/><Relationship Id="rId5822" Type="http://schemas.openxmlformats.org/officeDocument/2006/relationships/hyperlink" Target="https://twitter.com/HilgerVoss/status/723047590762147840" TargetMode="External"/><Relationship Id="rId8978" Type="http://schemas.openxmlformats.org/officeDocument/2006/relationships/hyperlink" Target="https://twitter.com/CableTechnology/status/723878722856689664" TargetMode="External"/><Relationship Id="rId294" Type="http://schemas.openxmlformats.org/officeDocument/2006/relationships/hyperlink" Target="https://pbs.twimg.com/profile_images/636436164719833088/w9xzGNpd_normal.png" TargetMode="External"/><Relationship Id="rId3026" Type="http://schemas.openxmlformats.org/officeDocument/2006/relationships/hyperlink" Target="https://pbs.twimg.com/profile_images/699587498058588160/bU3XuBo9_normal.jpg" TargetMode="External"/><Relationship Id="rId7994" Type="http://schemas.openxmlformats.org/officeDocument/2006/relationships/hyperlink" Target="https://twitter.com/davidphotiade" TargetMode="External"/><Relationship Id="rId361" Type="http://schemas.openxmlformats.org/officeDocument/2006/relationships/hyperlink" Target="https://twitter.com/LeenenNils" TargetMode="External"/><Relationship Id="rId2042" Type="http://schemas.openxmlformats.org/officeDocument/2006/relationships/hyperlink" Target="https://pbs.twimg.com/profile_images/645716711723925506/t5G0qOS6_normal.jpg" TargetMode="External"/><Relationship Id="rId3440" Type="http://schemas.openxmlformats.org/officeDocument/2006/relationships/hyperlink" Target="https://twitter.com/IoTMinded" TargetMode="External"/><Relationship Id="rId5198" Type="http://schemas.openxmlformats.org/officeDocument/2006/relationships/hyperlink" Target="https://pbs.twimg.com/profile_images/378800000415342801/f9783795af2852561980e8bedb284896_normal.jpeg" TargetMode="External"/><Relationship Id="rId6596" Type="http://schemas.openxmlformats.org/officeDocument/2006/relationships/hyperlink" Target="https://pbs.twimg.com/profile_images/438307550828560384/ayCoNB0D_normal.jpeg" TargetMode="External"/><Relationship Id="rId7647" Type="http://schemas.openxmlformats.org/officeDocument/2006/relationships/hyperlink" Target="https://twitter.com/INDIZbot" TargetMode="External"/><Relationship Id="rId6249" Type="http://schemas.openxmlformats.org/officeDocument/2006/relationships/hyperlink" Target="https://pbs.twimg.com/profile_images/1281327600/VEM_LOGO_1101_4c_o_Twitter_normal.jpg" TargetMode="External"/><Relationship Id="rId6663" Type="http://schemas.openxmlformats.org/officeDocument/2006/relationships/hyperlink" Target="https://pbs.twimg.com/profile_images/672817485134045185/q-VTXmOg_normal.jpg" TargetMode="External"/><Relationship Id="rId7714" Type="http://schemas.openxmlformats.org/officeDocument/2006/relationships/hyperlink" Target="https://twitter.com/s_w_weyer/status/723427605249024001" TargetMode="External"/><Relationship Id="rId2859" Type="http://schemas.openxmlformats.org/officeDocument/2006/relationships/hyperlink" Target="https://twitter.com/CapgeminiDE" TargetMode="External"/><Relationship Id="rId5265" Type="http://schemas.openxmlformats.org/officeDocument/2006/relationships/hyperlink" Target="https://pbs.twimg.com/profile_images/3664039115/b3a9108e679badd26a706db043fb4866_normal.jpeg" TargetMode="External"/><Relationship Id="rId6316" Type="http://schemas.openxmlformats.org/officeDocument/2006/relationships/hyperlink" Target="https://twitter.com/HESSENMETALL/status/723111134321106944" TargetMode="External"/><Relationship Id="rId6730" Type="http://schemas.openxmlformats.org/officeDocument/2006/relationships/hyperlink" Target="https://twitter.com/SGE" TargetMode="External"/><Relationship Id="rId9886" Type="http://schemas.openxmlformats.org/officeDocument/2006/relationships/hyperlink" Target="https://twitter.com/tuevnordpolitik" TargetMode="External"/><Relationship Id="rId1875" Type="http://schemas.openxmlformats.org/officeDocument/2006/relationships/hyperlink" Target="https://twitter.com/Thomas_Michl/status/721600155149926400" TargetMode="External"/><Relationship Id="rId4281" Type="http://schemas.openxmlformats.org/officeDocument/2006/relationships/hyperlink" Target="https://twitter.com/ptrs_stein" TargetMode="External"/><Relationship Id="rId5332" Type="http://schemas.openxmlformats.org/officeDocument/2006/relationships/hyperlink" Target="https://twitter.com/AfD_Fraktion_HH" TargetMode="External"/><Relationship Id="rId8488" Type="http://schemas.openxmlformats.org/officeDocument/2006/relationships/hyperlink" Target="https://twitter.com/INDIZbot" TargetMode="External"/><Relationship Id="rId9539" Type="http://schemas.openxmlformats.org/officeDocument/2006/relationships/hyperlink" Target="https://twitter.com/Dzianis_Yf" TargetMode="External"/><Relationship Id="rId1528" Type="http://schemas.openxmlformats.org/officeDocument/2006/relationships/hyperlink" Target="https://twitter.com/MauMatt" TargetMode="External"/><Relationship Id="rId2926" Type="http://schemas.openxmlformats.org/officeDocument/2006/relationships/hyperlink" Target="https://pbs.twimg.com/profile_images/645716711723925506/t5G0qOS6_normal.jpg" TargetMode="External"/><Relationship Id="rId8555" Type="http://schemas.openxmlformats.org/officeDocument/2006/relationships/hyperlink" Target="https://twitter.com/TLinn_Visionico/status/723728166842408961" TargetMode="External"/><Relationship Id="rId9606" Type="http://schemas.openxmlformats.org/officeDocument/2006/relationships/hyperlink" Target="https://twitter.com/CSGermany/status/724218491671318528" TargetMode="External"/><Relationship Id="rId9953" Type="http://schemas.openxmlformats.org/officeDocument/2006/relationships/hyperlink" Target="https://twitter.com/claus_hammer/status/724284248664973314" TargetMode="External"/><Relationship Id="rId1942" Type="http://schemas.openxmlformats.org/officeDocument/2006/relationships/hyperlink" Target="https://pbs.twimg.com/profile_images/455629070454116352/ujZ3h7Ww_normal.png" TargetMode="External"/><Relationship Id="rId4001" Type="http://schemas.openxmlformats.org/officeDocument/2006/relationships/hyperlink" Target="https://twitter.com/sinanick1" TargetMode="External"/><Relationship Id="rId7157" Type="http://schemas.openxmlformats.org/officeDocument/2006/relationships/hyperlink" Target="https://twitter.com/INDIZbot/status/723288085069475841" TargetMode="External"/><Relationship Id="rId8208" Type="http://schemas.openxmlformats.org/officeDocument/2006/relationships/hyperlink" Target="https://twitter.com/bgebot" TargetMode="External"/><Relationship Id="rId6173" Type="http://schemas.openxmlformats.org/officeDocument/2006/relationships/hyperlink" Target="https://pbs.twimg.com/profile_images/666911961599315968/aP7ID_qm_normal.png" TargetMode="External"/><Relationship Id="rId7571" Type="http://schemas.openxmlformats.org/officeDocument/2006/relationships/hyperlink" Target="https://pbs.twimg.com/profile_images/690172121973145601/pudiMkyd_normal.jpg" TargetMode="External"/><Relationship Id="rId8622" Type="http://schemas.openxmlformats.org/officeDocument/2006/relationships/hyperlink" Target="https://pbs.twimg.com/profile_images/645716711723925506/t5G0qOS6_normal.jpg" TargetMode="External"/><Relationship Id="rId10138" Type="http://schemas.openxmlformats.org/officeDocument/2006/relationships/hyperlink" Target="https://twitter.com/max_streibl" TargetMode="External"/><Relationship Id="rId3767" Type="http://schemas.openxmlformats.org/officeDocument/2006/relationships/hyperlink" Target="https://twitter.com/croXXing_IBD" TargetMode="External"/><Relationship Id="rId4818" Type="http://schemas.openxmlformats.org/officeDocument/2006/relationships/hyperlink" Target="https://twitter.com/Bosch_BCDS" TargetMode="External"/><Relationship Id="rId7224" Type="http://schemas.openxmlformats.org/officeDocument/2006/relationships/hyperlink" Target="https://pbs.twimg.com/profile_images/699587498058588160/bU3XuBo9_normal.jpg" TargetMode="External"/><Relationship Id="rId10205" Type="http://schemas.openxmlformats.org/officeDocument/2006/relationships/hyperlink" Target="https://twitter.com/gaadvancement/status/724368518225915906" TargetMode="External"/><Relationship Id="rId688" Type="http://schemas.openxmlformats.org/officeDocument/2006/relationships/hyperlink" Target="https://pbs.twimg.com/profile_images/598166829174005760/M39Pe098_normal.jpg" TargetMode="External"/><Relationship Id="rId2369" Type="http://schemas.openxmlformats.org/officeDocument/2006/relationships/hyperlink" Target="https://twitter.com/matthiaslechner/status/721999829359009792" TargetMode="External"/><Relationship Id="rId2783" Type="http://schemas.openxmlformats.org/officeDocument/2006/relationships/hyperlink" Target="https://pbs.twimg.com/profile_images/645716711723925506/t5G0qOS6_normal.jpg" TargetMode="External"/><Relationship Id="rId3834" Type="http://schemas.openxmlformats.org/officeDocument/2006/relationships/hyperlink" Target="https://twitter.com/INDIZbot/status/722437473406689281" TargetMode="External"/><Relationship Id="rId6240" Type="http://schemas.openxmlformats.org/officeDocument/2006/relationships/hyperlink" Target="https://pbs.twimg.com/profile_images/378800000832540984/08f85f5a644d0edf1fc387140334494b_normal.jpeg" TargetMode="External"/><Relationship Id="rId9396" Type="http://schemas.openxmlformats.org/officeDocument/2006/relationships/hyperlink" Target="https://twitter.com/INDIZbot/status/724171666230751232" TargetMode="External"/><Relationship Id="rId755" Type="http://schemas.openxmlformats.org/officeDocument/2006/relationships/hyperlink" Target="https://twitter.com/PTMAkademie" TargetMode="External"/><Relationship Id="rId1385" Type="http://schemas.openxmlformats.org/officeDocument/2006/relationships/hyperlink" Target="https://twitter.com/INDIZbot" TargetMode="External"/><Relationship Id="rId2436" Type="http://schemas.openxmlformats.org/officeDocument/2006/relationships/hyperlink" Target="https://pbs.twimg.com/profile_images/588981131996966912/55KBnYR7_normal.jpg" TargetMode="External"/><Relationship Id="rId2850" Type="http://schemas.openxmlformats.org/officeDocument/2006/relationships/hyperlink" Target="https://twitter.com/Law_Bolthausen" TargetMode="External"/><Relationship Id="rId9049" Type="http://schemas.openxmlformats.org/officeDocument/2006/relationships/hyperlink" Target="https://pbs.twimg.com/profile_images/628794642553810944/vZ1Nw-Bi_normal.jpg" TargetMode="External"/><Relationship Id="rId9463" Type="http://schemas.openxmlformats.org/officeDocument/2006/relationships/hyperlink" Target="https://pbs.twimg.com/profile_images/718892133357330432/9mvpJR26_normal.jpg" TargetMode="External"/><Relationship Id="rId91" Type="http://schemas.openxmlformats.org/officeDocument/2006/relationships/hyperlink" Target="https://twitter.com/MarioReinsch" TargetMode="External"/><Relationship Id="rId408" Type="http://schemas.openxmlformats.org/officeDocument/2006/relationships/hyperlink" Target="https://pbs.twimg.com/profile_images/530334369559625730/-6TCL4Zc_normal.jpeg" TargetMode="External"/><Relationship Id="rId822" Type="http://schemas.openxmlformats.org/officeDocument/2006/relationships/hyperlink" Target="https://twitter.com/condet020274" TargetMode="External"/><Relationship Id="rId1038" Type="http://schemas.openxmlformats.org/officeDocument/2006/relationships/hyperlink" Target="https://pbs.twimg.com/profile_images/1142225593/IMG_0061_normal.JPG" TargetMode="External"/><Relationship Id="rId1452" Type="http://schemas.openxmlformats.org/officeDocument/2006/relationships/hyperlink" Target="https://pbs.twimg.com/profile_images/565783312728215552/VwNqFg6U_normal.jpeg" TargetMode="External"/><Relationship Id="rId2503" Type="http://schemas.openxmlformats.org/officeDocument/2006/relationships/hyperlink" Target="https://twitter.com/MTaege" TargetMode="External"/><Relationship Id="rId3901" Type="http://schemas.openxmlformats.org/officeDocument/2006/relationships/hyperlink" Target="https://pbs.twimg.com/profile_images/419443300631064576/z6p0EaBD_normal.jpeg" TargetMode="External"/><Relationship Id="rId5659" Type="http://schemas.openxmlformats.org/officeDocument/2006/relationships/hyperlink" Target="https://twitter.com/Stormchild3/status/722903309015654400" TargetMode="External"/><Relationship Id="rId8065" Type="http://schemas.openxmlformats.org/officeDocument/2006/relationships/hyperlink" Target="https://pbs.twimg.com/profile_images/712401306082795521/Y0gvhjUD_normal.jpg" TargetMode="External"/><Relationship Id="rId9116" Type="http://schemas.openxmlformats.org/officeDocument/2006/relationships/hyperlink" Target="https://twitter.com/hasford_" TargetMode="External"/><Relationship Id="rId9530" Type="http://schemas.openxmlformats.org/officeDocument/2006/relationships/hyperlink" Target="https://twitter.com/herg4711" TargetMode="External"/><Relationship Id="rId1105" Type="http://schemas.openxmlformats.org/officeDocument/2006/relationships/hyperlink" Target="https://twitter.com/een_at" TargetMode="External"/><Relationship Id="rId7081" Type="http://schemas.openxmlformats.org/officeDocument/2006/relationships/hyperlink" Target="https://twitter.com/INDIZbot" TargetMode="External"/><Relationship Id="rId8132" Type="http://schemas.openxmlformats.org/officeDocument/2006/relationships/hyperlink" Target="https://twitter.com/BoschPresse" TargetMode="External"/><Relationship Id="rId3277" Type="http://schemas.openxmlformats.org/officeDocument/2006/relationships/hyperlink" Target="https://twitter.com/CONSILIOGmbH" TargetMode="External"/><Relationship Id="rId4675" Type="http://schemas.openxmlformats.org/officeDocument/2006/relationships/hyperlink" Target="https://twitter.com/HESSENMETALL/status/722710556126396416" TargetMode="External"/><Relationship Id="rId5726" Type="http://schemas.openxmlformats.org/officeDocument/2006/relationships/hyperlink" Target="https://pbs.twimg.com/profile_images/598166829174005760/M39Pe098_normal.jpg" TargetMode="External"/><Relationship Id="rId10062" Type="http://schemas.openxmlformats.org/officeDocument/2006/relationships/hyperlink" Target="https://pbs.twimg.com/profile_images/704029343115300866/yUARofpi_normal.jpg" TargetMode="External"/><Relationship Id="rId198" Type="http://schemas.openxmlformats.org/officeDocument/2006/relationships/hyperlink" Target="https://pbs.twimg.com/profile_images/722057395141230593/99DLhj35_normal.jpg" TargetMode="External"/><Relationship Id="rId3691" Type="http://schemas.openxmlformats.org/officeDocument/2006/relationships/hyperlink" Target="https://pbs.twimg.com/profile_images/717836135171493888/9Z1Fhzij_normal.jpg" TargetMode="External"/><Relationship Id="rId4328" Type="http://schemas.openxmlformats.org/officeDocument/2006/relationships/hyperlink" Target="https://pbs.twimg.com/profile_images/603699032804859904/lb5IMG5x_normal.jpg" TargetMode="External"/><Relationship Id="rId4742" Type="http://schemas.openxmlformats.org/officeDocument/2006/relationships/hyperlink" Target="https://pbs.twimg.com/profile_images/3187517551/d49d77b3273cb499285ee666e06418f8_normal.jpeg" TargetMode="External"/><Relationship Id="rId7898" Type="http://schemas.openxmlformats.org/officeDocument/2006/relationships/hyperlink" Target="https://twitter.com/Ronald_Heinze/status/723459897283739649" TargetMode="External"/><Relationship Id="rId8949" Type="http://schemas.openxmlformats.org/officeDocument/2006/relationships/hyperlink" Target="https://pbs.twimg.com/profile_images/600279861282869249/IpIJ3MKX_normal.png" TargetMode="External"/><Relationship Id="rId2293" Type="http://schemas.openxmlformats.org/officeDocument/2006/relationships/hyperlink" Target="https://twitter.com/AdrianWeiler/status/721979226665140225" TargetMode="External"/><Relationship Id="rId3344" Type="http://schemas.openxmlformats.org/officeDocument/2006/relationships/hyperlink" Target="https://twitter.com/Der_Betriebslei/status/722352047299932160" TargetMode="External"/><Relationship Id="rId7965" Type="http://schemas.openxmlformats.org/officeDocument/2006/relationships/hyperlink" Target="https://twitter.com/Robert_Weber_/status/723474111293448193" TargetMode="External"/><Relationship Id="rId265" Type="http://schemas.openxmlformats.org/officeDocument/2006/relationships/hyperlink" Target="https://twitter.com/CapgeminiDE" TargetMode="External"/><Relationship Id="rId2360" Type="http://schemas.openxmlformats.org/officeDocument/2006/relationships/hyperlink" Target="https://twitter.com/Jo_H123/status/721998091885408256" TargetMode="External"/><Relationship Id="rId3411" Type="http://schemas.openxmlformats.org/officeDocument/2006/relationships/hyperlink" Target="https://twitter.com/ROKAutomationAT/status/722357852979863552" TargetMode="External"/><Relationship Id="rId6567" Type="http://schemas.openxmlformats.org/officeDocument/2006/relationships/hyperlink" Target="https://twitter.com/IT2Industry/status/723142014863331329" TargetMode="External"/><Relationship Id="rId6981" Type="http://schemas.openxmlformats.org/officeDocument/2006/relationships/hyperlink" Target="https://pbs.twimg.com/profile_images/704029343115300866/yUARofpi_normal.jpg" TargetMode="External"/><Relationship Id="rId7618" Type="http://schemas.openxmlformats.org/officeDocument/2006/relationships/hyperlink" Target="https://twitter.com/BakerMcGER/status/723418359748919296" TargetMode="External"/><Relationship Id="rId332" Type="http://schemas.openxmlformats.org/officeDocument/2006/relationships/hyperlink" Target="https://twitter.com/DIN_Innovation/status/720552511384526848" TargetMode="External"/><Relationship Id="rId2013" Type="http://schemas.openxmlformats.org/officeDocument/2006/relationships/hyperlink" Target="https://twitter.com/Lenze_FR" TargetMode="External"/><Relationship Id="rId5169" Type="http://schemas.openxmlformats.org/officeDocument/2006/relationships/hyperlink" Target="https://pbs.twimg.com/profile_images/649119218064035840/KG3FwC7K_normal.jpg" TargetMode="External"/><Relationship Id="rId5583" Type="http://schemas.openxmlformats.org/officeDocument/2006/relationships/hyperlink" Target="https://twitter.com/kommoptimierer" TargetMode="External"/><Relationship Id="rId6634" Type="http://schemas.openxmlformats.org/officeDocument/2006/relationships/hyperlink" Target="https://twitter.com/BitkomResearch/status/723154509459906563" TargetMode="External"/><Relationship Id="rId9040" Type="http://schemas.openxmlformats.org/officeDocument/2006/relationships/hyperlink" Target="https://pbs.twimg.com/profile_images/723407487395713024/0hZv7R8S_normal.jpg" TargetMode="External"/><Relationship Id="rId4185" Type="http://schemas.openxmlformats.org/officeDocument/2006/relationships/hyperlink" Target="https://twitter.com/LReehten" TargetMode="External"/><Relationship Id="rId5236" Type="http://schemas.openxmlformats.org/officeDocument/2006/relationships/hyperlink" Target="https://twitter.com/kid_magdeburg/status/722771721271390208" TargetMode="External"/><Relationship Id="rId1779" Type="http://schemas.openxmlformats.org/officeDocument/2006/relationships/hyperlink" Target="https://pbs.twimg.com/profile_images/591951396217327616/HbcCX2zX_normal.png" TargetMode="External"/><Relationship Id="rId4252" Type="http://schemas.openxmlformats.org/officeDocument/2006/relationships/hyperlink" Target="https://twitter.com/H_IT_D/status/722562170156781569" TargetMode="External"/><Relationship Id="rId5650" Type="http://schemas.openxmlformats.org/officeDocument/2006/relationships/hyperlink" Target="https://twitter.com/prxagentur/status/722899072282009600" TargetMode="External"/><Relationship Id="rId6701" Type="http://schemas.openxmlformats.org/officeDocument/2006/relationships/hyperlink" Target="https://twitter.com/Bitkom/status/723163115228028932" TargetMode="External"/><Relationship Id="rId9857" Type="http://schemas.openxmlformats.org/officeDocument/2006/relationships/hyperlink" Target="https://twitter.com/mitunsdigital/status/724272404755832833" TargetMode="External"/><Relationship Id="rId1846" Type="http://schemas.openxmlformats.org/officeDocument/2006/relationships/hyperlink" Target="https://twitter.com/IPI_SUP" TargetMode="External"/><Relationship Id="rId5303" Type="http://schemas.openxmlformats.org/officeDocument/2006/relationships/hyperlink" Target="https://twitter.com/kommoptimierer/status/722788166479048704" TargetMode="External"/><Relationship Id="rId8459" Type="http://schemas.openxmlformats.org/officeDocument/2006/relationships/hyperlink" Target="https://twitter.com/PSchleinitz/status/723586863890608128" TargetMode="External"/><Relationship Id="rId8873" Type="http://schemas.openxmlformats.org/officeDocument/2006/relationships/hyperlink" Target="https://twitter.com/CSGermany/status/723846093205807104" TargetMode="External"/><Relationship Id="rId9924" Type="http://schemas.openxmlformats.org/officeDocument/2006/relationships/hyperlink" Target="https://pbs.twimg.com/profile_images/588981131996966912/55KBnYR7_normal.jpg" TargetMode="External"/><Relationship Id="rId1913" Type="http://schemas.openxmlformats.org/officeDocument/2006/relationships/hyperlink" Target="https://twitter.com/Lean_john" TargetMode="External"/><Relationship Id="rId7475" Type="http://schemas.openxmlformats.org/officeDocument/2006/relationships/hyperlink" Target="https://pbs.twimg.com/profile_images/591951396217327616/HbcCX2zX_normal.png" TargetMode="External"/><Relationship Id="rId8526" Type="http://schemas.openxmlformats.org/officeDocument/2006/relationships/hyperlink" Target="https://pbs.twimg.com/profile_images/631872006645022720/C3D_WfIt_normal.jpg" TargetMode="External"/><Relationship Id="rId8940" Type="http://schemas.openxmlformats.org/officeDocument/2006/relationships/hyperlink" Target="https://pbs.twimg.com/profile_images/723407487395713024/0hZv7R8S_normal.jpg" TargetMode="External"/><Relationship Id="rId6077" Type="http://schemas.openxmlformats.org/officeDocument/2006/relationships/hyperlink" Target="https://twitter.com/IDKOMPASS" TargetMode="External"/><Relationship Id="rId6491" Type="http://schemas.openxmlformats.org/officeDocument/2006/relationships/hyperlink" Target="https://twitter.com/SBH_Germany" TargetMode="External"/><Relationship Id="rId7128" Type="http://schemas.openxmlformats.org/officeDocument/2006/relationships/hyperlink" Target="https://pbs.twimg.com/profile_images/645716711723925506/t5G0qOS6_normal.jpg" TargetMode="External"/><Relationship Id="rId7542" Type="http://schemas.openxmlformats.org/officeDocument/2006/relationships/hyperlink" Target="https://twitter.com/PapaVise" TargetMode="External"/><Relationship Id="rId10109" Type="http://schemas.openxmlformats.org/officeDocument/2006/relationships/hyperlink" Target="https://twitter.com/StaplerPaul/status/724334225806249984" TargetMode="External"/><Relationship Id="rId2687" Type="http://schemas.openxmlformats.org/officeDocument/2006/relationships/hyperlink" Target="https://pbs.twimg.com/profile_images/645716711723925506/t5G0qOS6_normal.jpg" TargetMode="External"/><Relationship Id="rId3738" Type="http://schemas.openxmlformats.org/officeDocument/2006/relationships/hyperlink" Target="https://twitter.com/INDIZbot/status/722414861523791876" TargetMode="External"/><Relationship Id="rId5093" Type="http://schemas.openxmlformats.org/officeDocument/2006/relationships/hyperlink" Target="https://twitter.com/Global_Fairs/status/722757923701698560" TargetMode="External"/><Relationship Id="rId6144" Type="http://schemas.openxmlformats.org/officeDocument/2006/relationships/hyperlink" Target="https://twitter.com/catkinEU" TargetMode="External"/><Relationship Id="rId659" Type="http://schemas.openxmlformats.org/officeDocument/2006/relationships/hyperlink" Target="https://twitter.com/GiselePrevost" TargetMode="External"/><Relationship Id="rId1289" Type="http://schemas.openxmlformats.org/officeDocument/2006/relationships/hyperlink" Target="https://twitter.com/Round_Solutions/status/720947183105753089" TargetMode="External"/><Relationship Id="rId5160" Type="http://schemas.openxmlformats.org/officeDocument/2006/relationships/hyperlink" Target="https://pbs.twimg.com/profile_images/672343322632024064/4z8q3pp4_normal.jpg" TargetMode="External"/><Relationship Id="rId6211" Type="http://schemas.openxmlformats.org/officeDocument/2006/relationships/hyperlink" Target="https://twitter.com/APRIOR24" TargetMode="External"/><Relationship Id="rId9367" Type="http://schemas.openxmlformats.org/officeDocument/2006/relationships/hyperlink" Target="https://pbs.twimg.com/profile_images/444069537869094912/Oh8ZB7sl_normal.jpeg" TargetMode="External"/><Relationship Id="rId1356" Type="http://schemas.openxmlformats.org/officeDocument/2006/relationships/hyperlink" Target="https://pbs.twimg.com/profile_images/598047133485400064/sz5k5LB4_normal.jpg" TargetMode="External"/><Relationship Id="rId2754" Type="http://schemas.openxmlformats.org/officeDocument/2006/relationships/hyperlink" Target="https://twitter.com/katekor11" TargetMode="External"/><Relationship Id="rId3805" Type="http://schemas.openxmlformats.org/officeDocument/2006/relationships/hyperlink" Target="https://pbs.twimg.com/profile_images/608724283615920129/8g0LAQwl_normal.jpg" TargetMode="External"/><Relationship Id="rId8383" Type="http://schemas.openxmlformats.org/officeDocument/2006/relationships/hyperlink" Target="https://twitter.com/PROJECTCONSULT_/status/723552066497556480" TargetMode="External"/><Relationship Id="rId9781" Type="http://schemas.openxmlformats.org/officeDocument/2006/relationships/hyperlink" Target="https://twitter.com/verlinked" TargetMode="External"/><Relationship Id="rId726" Type="http://schemas.openxmlformats.org/officeDocument/2006/relationships/hyperlink" Target="https://twitter.com/bgebot/status/720688138394472449" TargetMode="External"/><Relationship Id="rId1009" Type="http://schemas.openxmlformats.org/officeDocument/2006/relationships/hyperlink" Target="https://twitter.com/markherten" TargetMode="External"/><Relationship Id="rId1770" Type="http://schemas.openxmlformats.org/officeDocument/2006/relationships/hyperlink" Target="https://pbs.twimg.com/profile_images/672794348442877952/m6Is-Nrc_normal.jpg" TargetMode="External"/><Relationship Id="rId2407" Type="http://schemas.openxmlformats.org/officeDocument/2006/relationships/hyperlink" Target="https://twitter.com/MeinGeldMedien" TargetMode="External"/><Relationship Id="rId2821" Type="http://schemas.openxmlformats.org/officeDocument/2006/relationships/hyperlink" Target="https://twitter.com/LReehten/status/722133535415517184" TargetMode="External"/><Relationship Id="rId5977" Type="http://schemas.openxmlformats.org/officeDocument/2006/relationships/hyperlink" Target="https://pbs.twimg.com/profile_images/463608454624448512/0DV5XX08_normal.jpeg" TargetMode="External"/><Relationship Id="rId8036" Type="http://schemas.openxmlformats.org/officeDocument/2006/relationships/hyperlink" Target="https://twitter.com/observaitress" TargetMode="External"/><Relationship Id="rId9434" Type="http://schemas.openxmlformats.org/officeDocument/2006/relationships/hyperlink" Target="https://twitter.com/kommunikationsm" TargetMode="External"/><Relationship Id="rId62" Type="http://schemas.openxmlformats.org/officeDocument/2006/relationships/hyperlink" Target="https://twitter.com/JuVid/status/720506255572410369" TargetMode="External"/><Relationship Id="rId1423" Type="http://schemas.openxmlformats.org/officeDocument/2006/relationships/hyperlink" Target="https://pbs.twimg.com/profile_images/1654309791/P1090797_normal.JPG" TargetMode="External"/><Relationship Id="rId4579" Type="http://schemas.openxmlformats.org/officeDocument/2006/relationships/hyperlink" Target="https://twitter.com/schroederluegde/status/722706357917478913" TargetMode="External"/><Relationship Id="rId4993" Type="http://schemas.openxmlformats.org/officeDocument/2006/relationships/hyperlink" Target="https://twitter.com/INDIZbot" TargetMode="External"/><Relationship Id="rId8450" Type="http://schemas.openxmlformats.org/officeDocument/2006/relationships/hyperlink" Target="https://twitter.com/INDIZbot/status/723584948062543873" TargetMode="External"/><Relationship Id="rId9501" Type="http://schemas.openxmlformats.org/officeDocument/2006/relationships/hyperlink" Target="https://twitter.com/PortalAlemania/status/724191292541009920" TargetMode="External"/><Relationship Id="rId3595" Type="http://schemas.openxmlformats.org/officeDocument/2006/relationships/hyperlink" Target="https://pbs.twimg.com/profile_images/541146126158536704/IYardufS_normal.jpeg" TargetMode="External"/><Relationship Id="rId4646" Type="http://schemas.openxmlformats.org/officeDocument/2006/relationships/hyperlink" Target="https://pbs.twimg.com/profile_images/465817969902092288/sEIgw9Gb_normal.jpeg" TargetMode="External"/><Relationship Id="rId7052" Type="http://schemas.openxmlformats.org/officeDocument/2006/relationships/hyperlink" Target="https://twitter.com/DanielKueng/status/723249237627154432" TargetMode="External"/><Relationship Id="rId8103" Type="http://schemas.openxmlformats.org/officeDocument/2006/relationships/hyperlink" Target="https://twitter.com/Lean_john/status/723496008156585984" TargetMode="External"/><Relationship Id="rId10033" Type="http://schemas.openxmlformats.org/officeDocument/2006/relationships/hyperlink" Target="https://twitter.com/RahmanNow" TargetMode="External"/><Relationship Id="rId2197" Type="http://schemas.openxmlformats.org/officeDocument/2006/relationships/hyperlink" Target="https://twitter.com/nextDBI" TargetMode="External"/><Relationship Id="rId3248" Type="http://schemas.openxmlformats.org/officeDocument/2006/relationships/hyperlink" Target="https://twitter.com/bamitav/status/722330098712625152" TargetMode="External"/><Relationship Id="rId3662" Type="http://schemas.openxmlformats.org/officeDocument/2006/relationships/hyperlink" Target="https://twitter.com/IoTMinded" TargetMode="External"/><Relationship Id="rId4713" Type="http://schemas.openxmlformats.org/officeDocument/2006/relationships/hyperlink" Target="https://twitter.com/INDIZbot" TargetMode="External"/><Relationship Id="rId7869" Type="http://schemas.openxmlformats.org/officeDocument/2006/relationships/hyperlink" Target="https://pbs.twimg.com/profile_images/616871511236997121/YFo9usbN_normal.png" TargetMode="External"/><Relationship Id="rId10100" Type="http://schemas.openxmlformats.org/officeDocument/2006/relationships/hyperlink" Target="https://twitter.com/fnaujoks/status/724329229614231553" TargetMode="External"/><Relationship Id="rId169" Type="http://schemas.openxmlformats.org/officeDocument/2006/relationships/hyperlink" Target="https://twitter.com/CDechoux" TargetMode="External"/><Relationship Id="rId583" Type="http://schemas.openxmlformats.org/officeDocument/2006/relationships/hyperlink" Target="https://pbs.twimg.com/profile_images/645716711723925506/t5G0qOS6_normal.jpg" TargetMode="External"/><Relationship Id="rId2264" Type="http://schemas.openxmlformats.org/officeDocument/2006/relationships/hyperlink" Target="https://pbs.twimg.com/profile_images/438259348062494720/vqPgBxrb_normal.jpeg" TargetMode="External"/><Relationship Id="rId3315" Type="http://schemas.openxmlformats.org/officeDocument/2006/relationships/hyperlink" Target="https://pbs.twimg.com/profile_images/548030384030507008/utABqhj9_normal.png" TargetMode="External"/><Relationship Id="rId9291" Type="http://schemas.openxmlformats.org/officeDocument/2006/relationships/hyperlink" Target="https://twitter.com/INDIZbot/status/724128691186442240" TargetMode="External"/><Relationship Id="rId236" Type="http://schemas.openxmlformats.org/officeDocument/2006/relationships/hyperlink" Target="https://twitter.com/croXXing_IBD/status/720535986179084288" TargetMode="External"/><Relationship Id="rId650" Type="http://schemas.openxmlformats.org/officeDocument/2006/relationships/hyperlink" Target="https://twitter.com/francoisdex" TargetMode="External"/><Relationship Id="rId1280" Type="http://schemas.openxmlformats.org/officeDocument/2006/relationships/hyperlink" Target="https://twitter.com/AlexRaiHa/status/720942059583102976" TargetMode="External"/><Relationship Id="rId2331" Type="http://schemas.openxmlformats.org/officeDocument/2006/relationships/hyperlink" Target="https://pbs.twimg.com/profile_images/541146126158536704/IYardufS_normal.jpeg" TargetMode="External"/><Relationship Id="rId5487" Type="http://schemas.openxmlformats.org/officeDocument/2006/relationships/hyperlink" Target="https://twitter.com/bamitav" TargetMode="External"/><Relationship Id="rId6885" Type="http://schemas.openxmlformats.org/officeDocument/2006/relationships/hyperlink" Target="https://pbs.twimg.com/profile_images/3318983479/26bb3ff9fb38e9a62894437a643d95bd_normal.png" TargetMode="External"/><Relationship Id="rId7936" Type="http://schemas.openxmlformats.org/officeDocument/2006/relationships/hyperlink" Target="https://twitter.com/Nirak71" TargetMode="External"/><Relationship Id="rId303" Type="http://schemas.openxmlformats.org/officeDocument/2006/relationships/hyperlink" Target="https://pbs.twimg.com/profile_images/645716711723925506/t5G0qOS6_normal.jpg" TargetMode="External"/><Relationship Id="rId4089" Type="http://schemas.openxmlformats.org/officeDocument/2006/relationships/hyperlink" Target="https://twitter.com/INDIZbot" TargetMode="External"/><Relationship Id="rId6538" Type="http://schemas.openxmlformats.org/officeDocument/2006/relationships/hyperlink" Target="https://pbs.twimg.com/profile_images/666911961599315968/aP7ID_qm_normal.png" TargetMode="External"/><Relationship Id="rId6952" Type="http://schemas.openxmlformats.org/officeDocument/2006/relationships/hyperlink" Target="https://twitter.com/GiebelRalph" TargetMode="External"/><Relationship Id="rId9011" Type="http://schemas.openxmlformats.org/officeDocument/2006/relationships/hyperlink" Target="https://twitter.com/KUKA_RoboticsDE/status/723904636411850752" TargetMode="External"/><Relationship Id="rId5554" Type="http://schemas.openxmlformats.org/officeDocument/2006/relationships/hyperlink" Target="https://twitter.com/KesslerEllis/status/722850486009737216" TargetMode="External"/><Relationship Id="rId6605" Type="http://schemas.openxmlformats.org/officeDocument/2006/relationships/hyperlink" Target="https://pbs.twimg.com/profile_images/662199310969360384/A66r-VNa_normal.jpg" TargetMode="External"/><Relationship Id="rId1000" Type="http://schemas.openxmlformats.org/officeDocument/2006/relationships/hyperlink" Target="https://twitter.com/MEArbeitgeber" TargetMode="External"/><Relationship Id="rId4156" Type="http://schemas.openxmlformats.org/officeDocument/2006/relationships/hyperlink" Target="https://twitter.com/LReehten/status/722513584207564801" TargetMode="External"/><Relationship Id="rId4570" Type="http://schemas.openxmlformats.org/officeDocument/2006/relationships/hyperlink" Target="https://twitter.com/Bitkom/status/722705695712407552" TargetMode="External"/><Relationship Id="rId5207" Type="http://schemas.openxmlformats.org/officeDocument/2006/relationships/hyperlink" Target="https://pbs.twimg.com/profile_images/593011135428882432/BGMPkrwp_normal.jpg" TargetMode="External"/><Relationship Id="rId5621" Type="http://schemas.openxmlformats.org/officeDocument/2006/relationships/hyperlink" Target="https://pbs.twimg.com/profile_images/665654555267461120/j3FKW-UG_normal.jpg" TargetMode="External"/><Relationship Id="rId8777" Type="http://schemas.openxmlformats.org/officeDocument/2006/relationships/hyperlink" Target="https://twitter.com/INDIZbot/status/723809233389625344" TargetMode="External"/><Relationship Id="rId9828" Type="http://schemas.openxmlformats.org/officeDocument/2006/relationships/hyperlink" Target="https://pbs.twimg.com/profile_images/3673497206/85ee8240b2449d1748b6e4c0747fb409_normal.jpeg" TargetMode="External"/><Relationship Id="rId1817" Type="http://schemas.openxmlformats.org/officeDocument/2006/relationships/hyperlink" Target="https://twitter.com/julienramauge/status/721417713600634880" TargetMode="External"/><Relationship Id="rId3172" Type="http://schemas.openxmlformats.org/officeDocument/2006/relationships/hyperlink" Target="https://twitter.com/HeikeDiebler/status/722319336921309184" TargetMode="External"/><Relationship Id="rId4223" Type="http://schemas.openxmlformats.org/officeDocument/2006/relationships/hyperlink" Target="https://pbs.twimg.com/profile_images/578646264901955584/8ueJh3EI_normal.jpeg" TargetMode="External"/><Relationship Id="rId7379" Type="http://schemas.openxmlformats.org/officeDocument/2006/relationships/hyperlink" Target="https://twitter.com/SBH_Germany" TargetMode="External"/><Relationship Id="rId7793" Type="http://schemas.openxmlformats.org/officeDocument/2006/relationships/hyperlink" Target="https://twitter.com/kommoptimierer/status/723436241589403649" TargetMode="External"/><Relationship Id="rId8844" Type="http://schemas.openxmlformats.org/officeDocument/2006/relationships/hyperlink" Target="https://pbs.twimg.com/profile_images/750105032/SQUARE_KIT-Logo_f_r_Web_SQUARE__normal.png" TargetMode="External"/><Relationship Id="rId6395" Type="http://schemas.openxmlformats.org/officeDocument/2006/relationships/hyperlink" Target="https://twitter.com/MetalEcoCity" TargetMode="External"/><Relationship Id="rId7446" Type="http://schemas.openxmlformats.org/officeDocument/2006/relationships/hyperlink" Target="https://twitter.com/INDIZbot" TargetMode="External"/><Relationship Id="rId160" Type="http://schemas.openxmlformats.org/officeDocument/2006/relationships/hyperlink" Target="https://twitter.com/scnews_de" TargetMode="External"/><Relationship Id="rId3989" Type="http://schemas.openxmlformats.org/officeDocument/2006/relationships/hyperlink" Target="https://twitter.com/Rhenatic" TargetMode="External"/><Relationship Id="rId6048" Type="http://schemas.openxmlformats.org/officeDocument/2006/relationships/hyperlink" Target="https://twitter.com/tobias_goers/status/723073168924008448" TargetMode="External"/><Relationship Id="rId6462" Type="http://schemas.openxmlformats.org/officeDocument/2006/relationships/hyperlink" Target="https://twitter.com/SGE/status/723130447832723456" TargetMode="External"/><Relationship Id="rId7860" Type="http://schemas.openxmlformats.org/officeDocument/2006/relationships/hyperlink" Target="https://pbs.twimg.com/profile_images/502066779590385665/YElxw-eg_normal.jpeg" TargetMode="External"/><Relationship Id="rId8911" Type="http://schemas.openxmlformats.org/officeDocument/2006/relationships/hyperlink" Target="https://twitter.com/deviceWISEM2M" TargetMode="External"/><Relationship Id="rId5064" Type="http://schemas.openxmlformats.org/officeDocument/2006/relationships/hyperlink" Target="https://pbs.twimg.com/profile_images/525998513264410624/ZHDocuJo_normal.jpeg" TargetMode="External"/><Relationship Id="rId6115" Type="http://schemas.openxmlformats.org/officeDocument/2006/relationships/hyperlink" Target="https://twitter.com/FOMforscht/status/723075030435958784" TargetMode="External"/><Relationship Id="rId7513" Type="http://schemas.openxmlformats.org/officeDocument/2006/relationships/hyperlink" Target="https://twitter.com/catkinEU/status/723411538569129984" TargetMode="External"/><Relationship Id="rId977" Type="http://schemas.openxmlformats.org/officeDocument/2006/relationships/hyperlink" Target="https://twitter.com/INDIZbot/status/720879619365142528" TargetMode="External"/><Relationship Id="rId2658" Type="http://schemas.openxmlformats.org/officeDocument/2006/relationships/hyperlink" Target="https://twitter.com/BoschGlobal" TargetMode="External"/><Relationship Id="rId3709" Type="http://schemas.openxmlformats.org/officeDocument/2006/relationships/hyperlink" Target="https://pbs.twimg.com/profile_images/645716711723925506/t5G0qOS6_normal.jpg" TargetMode="External"/><Relationship Id="rId4080" Type="http://schemas.openxmlformats.org/officeDocument/2006/relationships/hyperlink" Target="https://twitter.com/CapgeminiDE" TargetMode="External"/><Relationship Id="rId9685" Type="http://schemas.openxmlformats.org/officeDocument/2006/relationships/hyperlink" Target="https://pbs.twimg.com/profile_images/648870164297965568/7muw2QvW_normal.jpg" TargetMode="External"/><Relationship Id="rId1674" Type="http://schemas.openxmlformats.org/officeDocument/2006/relationships/hyperlink" Target="https://pbs.twimg.com/profile_images/705178939954745344/RYlYwOfN_normal.jpg" TargetMode="External"/><Relationship Id="rId2725" Type="http://schemas.openxmlformats.org/officeDocument/2006/relationships/hyperlink" Target="https://twitter.com/Bitkom_aero/status/722101588349886464" TargetMode="External"/><Relationship Id="rId5131" Type="http://schemas.openxmlformats.org/officeDocument/2006/relationships/hyperlink" Target="https://twitter.com/ATstandards" TargetMode="External"/><Relationship Id="rId8287" Type="http://schemas.openxmlformats.org/officeDocument/2006/relationships/hyperlink" Target="https://twitter.com/HPE_DE/status/723526788786360322" TargetMode="External"/><Relationship Id="rId9338" Type="http://schemas.openxmlformats.org/officeDocument/2006/relationships/hyperlink" Target="https://twitter.com/TUslaender" TargetMode="External"/><Relationship Id="rId9752" Type="http://schemas.openxmlformats.org/officeDocument/2006/relationships/hyperlink" Target="http://www.hfsresearch.com/" TargetMode="External"/><Relationship Id="rId1327" Type="http://schemas.openxmlformats.org/officeDocument/2006/relationships/hyperlink" Target="https://twitter.com/OJaeger" TargetMode="External"/><Relationship Id="rId1741" Type="http://schemas.openxmlformats.org/officeDocument/2006/relationships/hyperlink" Target="https://twitter.com/Tiba_Schweiz" TargetMode="External"/><Relationship Id="rId4897" Type="http://schemas.openxmlformats.org/officeDocument/2006/relationships/hyperlink" Target="https://twitter.com/ThomasSchulzGE/status/722733622839623681" TargetMode="External"/><Relationship Id="rId5948" Type="http://schemas.openxmlformats.org/officeDocument/2006/relationships/hyperlink" Target="https://twitter.com/BoschPresse" TargetMode="External"/><Relationship Id="rId8354" Type="http://schemas.openxmlformats.org/officeDocument/2006/relationships/hyperlink" Target="https://pbs.twimg.com/profile_images/645716711723925506/t5G0qOS6_normal.jpg" TargetMode="External"/><Relationship Id="rId9405" Type="http://schemas.openxmlformats.org/officeDocument/2006/relationships/hyperlink" Target="https://twitter.com/akwyz/status/724172725242224640" TargetMode="External"/><Relationship Id="rId10284" Type="http://schemas.openxmlformats.org/officeDocument/2006/relationships/hyperlink" Target="https://pbs.twimg.com/profile_images/709444980553740288/Xds-Aan6_normal.jpg" TargetMode="External"/><Relationship Id="rId33" Type="http://schemas.openxmlformats.org/officeDocument/2006/relationships/hyperlink" Target="https://pbs.twimg.com/profile_images/557807513484025856/qgHPBrKr_normal.jpeg" TargetMode="External"/><Relationship Id="rId3499" Type="http://schemas.openxmlformats.org/officeDocument/2006/relationships/hyperlink" Target="https://pbs.twimg.com/profile_images/535431236810854401/Aw5jj4R4_normal.jpeg" TargetMode="External"/><Relationship Id="rId7370" Type="http://schemas.openxmlformats.org/officeDocument/2006/relationships/hyperlink" Target="https://twitter.com/INDIZbot" TargetMode="External"/><Relationship Id="rId8007" Type="http://schemas.openxmlformats.org/officeDocument/2006/relationships/hyperlink" Target="https://twitter.com/MoellerHorcher/status/723477755271217152" TargetMode="External"/><Relationship Id="rId8421" Type="http://schemas.openxmlformats.org/officeDocument/2006/relationships/hyperlink" Target="https://pbs.twimg.com/profile_images/645716711723925506/t5G0qOS6_normal.jpg" TargetMode="External"/><Relationship Id="rId3566" Type="http://schemas.openxmlformats.org/officeDocument/2006/relationships/hyperlink" Target="https://twitter.com/INDIZbot" TargetMode="External"/><Relationship Id="rId4964" Type="http://schemas.openxmlformats.org/officeDocument/2006/relationships/hyperlink" Target="https://pbs.twimg.com/profile_images/481000476872175616/HSvfIApp_normal.jpeg" TargetMode="External"/><Relationship Id="rId7023" Type="http://schemas.openxmlformats.org/officeDocument/2006/relationships/hyperlink" Target="https://pbs.twimg.com/profile_images/479235073674182657/VBPTQP9b_normal.jpeg" TargetMode="External"/><Relationship Id="rId487" Type="http://schemas.openxmlformats.org/officeDocument/2006/relationships/hyperlink" Target="https://pbs.twimg.com/profile_images/694492956108009473/r9GcMUcI_normal.jpg" TargetMode="External"/><Relationship Id="rId2168" Type="http://schemas.openxmlformats.org/officeDocument/2006/relationships/hyperlink" Target="https://twitter.com/MarioReinsch/status/721954302265307136" TargetMode="External"/><Relationship Id="rId3219" Type="http://schemas.openxmlformats.org/officeDocument/2006/relationships/hyperlink" Target="https://pbs.twimg.com/profile_images/608235303380393984/IuV1y-D2_normal.png" TargetMode="External"/><Relationship Id="rId3980" Type="http://schemas.openxmlformats.org/officeDocument/2006/relationships/hyperlink" Target="https://twitter.com/TIMECODEX" TargetMode="External"/><Relationship Id="rId4617" Type="http://schemas.openxmlformats.org/officeDocument/2006/relationships/hyperlink" Target="https://twitter.com/INDIZbot" TargetMode="External"/><Relationship Id="rId9195" Type="http://schemas.openxmlformats.org/officeDocument/2006/relationships/hyperlink" Target="https://twitter.com/Lean_john/status/723969292845355008" TargetMode="External"/><Relationship Id="rId10004" Type="http://schemas.openxmlformats.org/officeDocument/2006/relationships/hyperlink" Target="https://twitter.com/Ronald_Heinze/status/724298542798508033" TargetMode="External"/><Relationship Id="rId1184" Type="http://schemas.openxmlformats.org/officeDocument/2006/relationships/hyperlink" Target="https://twitter.com/_DSAG/status/720916161085489153" TargetMode="External"/><Relationship Id="rId2582" Type="http://schemas.openxmlformats.org/officeDocument/2006/relationships/hyperlink" Target="https://twitter.com/Bitkom_I40/status/722063109314228224" TargetMode="External"/><Relationship Id="rId3633" Type="http://schemas.openxmlformats.org/officeDocument/2006/relationships/hyperlink" Target="https://twitter.com/MarioReinsch/status/722393272216383488" TargetMode="External"/><Relationship Id="rId6789" Type="http://schemas.openxmlformats.org/officeDocument/2006/relationships/hyperlink" Target="https://pbs.twimg.com/profile_images/601673968551075840/MnulnKkj_normal.png" TargetMode="External"/><Relationship Id="rId554" Type="http://schemas.openxmlformats.org/officeDocument/2006/relationships/hyperlink" Target="https://twitter.com/iDigitalTrends" TargetMode="External"/><Relationship Id="rId2235" Type="http://schemas.openxmlformats.org/officeDocument/2006/relationships/hyperlink" Target="https://pbs.twimg.com/profile_images/712259533599580160/jLEP38YT_normal.jpg" TargetMode="External"/><Relationship Id="rId3700" Type="http://schemas.openxmlformats.org/officeDocument/2006/relationships/hyperlink" Target="https://pbs.twimg.com/profile_images/552211771360940032/CmEYO0l3_normal.png" TargetMode="External"/><Relationship Id="rId6856" Type="http://schemas.openxmlformats.org/officeDocument/2006/relationships/hyperlink" Target="https://twitter.com/wisskonzept" TargetMode="External"/><Relationship Id="rId7907" Type="http://schemas.openxmlformats.org/officeDocument/2006/relationships/hyperlink" Target="https://twitter.com/INDIZbot/status/723461856359231488" TargetMode="External"/><Relationship Id="rId9262" Type="http://schemas.openxmlformats.org/officeDocument/2006/relationships/hyperlink" Target="https://pbs.twimg.com/profile_images/709444980553740288/Xds-Aan6_normal.jpg" TargetMode="External"/><Relationship Id="rId207" Type="http://schemas.openxmlformats.org/officeDocument/2006/relationships/hyperlink" Target="https://pbs.twimg.com/profile_images/641185667557523456/GjYk8kF7_normal.png" TargetMode="External"/><Relationship Id="rId621" Type="http://schemas.openxmlformats.org/officeDocument/2006/relationships/hyperlink" Target="https://twitter.com/proALPHA/status/720637087544971264" TargetMode="External"/><Relationship Id="rId1251" Type="http://schemas.openxmlformats.org/officeDocument/2006/relationships/hyperlink" Target="https://pbs.twimg.com/profile_images/645716711723925506/t5G0qOS6_normal.jpg" TargetMode="External"/><Relationship Id="rId2302" Type="http://schemas.openxmlformats.org/officeDocument/2006/relationships/hyperlink" Target="https://twitter.com/UweKubach/status/721979528512409600" TargetMode="External"/><Relationship Id="rId5458" Type="http://schemas.openxmlformats.org/officeDocument/2006/relationships/hyperlink" Target="https://twitter.com/RalphRio/status/722811836958027776" TargetMode="External"/><Relationship Id="rId5872" Type="http://schemas.openxmlformats.org/officeDocument/2006/relationships/hyperlink" Target="https://pbs.twimg.com/profile_images/712650491361157121/__DqibYq_normal.jpg" TargetMode="External"/><Relationship Id="rId6509" Type="http://schemas.openxmlformats.org/officeDocument/2006/relationships/hyperlink" Target="https://twitter.com/BerHerg" TargetMode="External"/><Relationship Id="rId6923" Type="http://schemas.openxmlformats.org/officeDocument/2006/relationships/hyperlink" Target="https://twitter.com/H_IT_D/status/723191459864678400" TargetMode="External"/><Relationship Id="rId4474" Type="http://schemas.openxmlformats.org/officeDocument/2006/relationships/hyperlink" Target="https://twitter.com/Tiba_Schweiz" TargetMode="External"/><Relationship Id="rId5525" Type="http://schemas.openxmlformats.org/officeDocument/2006/relationships/hyperlink" Target="https://pbs.twimg.com/profile_images/645978534981292032/RdDVZDZZ_normal.jpg" TargetMode="External"/><Relationship Id="rId3076" Type="http://schemas.openxmlformats.org/officeDocument/2006/relationships/hyperlink" Target="https://twitter.com/ThorstenRamus/status/722310356689952768" TargetMode="External"/><Relationship Id="rId3490" Type="http://schemas.openxmlformats.org/officeDocument/2006/relationships/hyperlink" Target="https://pbs.twimg.com/profile_images/613472305570824192/BKw639DG_normal.png" TargetMode="External"/><Relationship Id="rId4127" Type="http://schemas.openxmlformats.org/officeDocument/2006/relationships/hyperlink" Target="https://pbs.twimg.com/profile_images/1619239500/WiedenmaierMarkus_normal.jpg" TargetMode="External"/><Relationship Id="rId4541" Type="http://schemas.openxmlformats.org/officeDocument/2006/relationships/hyperlink" Target="https://pbs.twimg.com/profile_images/701004613206433792/o4DJfA8-_normal.jpg" TargetMode="External"/><Relationship Id="rId7697" Type="http://schemas.openxmlformats.org/officeDocument/2006/relationships/hyperlink" Target="https://pbs.twimg.com/profile_images/702515686623600640/uy75x3mT_normal.jpg" TargetMode="External"/><Relationship Id="rId2092" Type="http://schemas.openxmlformats.org/officeDocument/2006/relationships/hyperlink" Target="https://twitter.com/kommoptimierer/status/721926758023438336" TargetMode="External"/><Relationship Id="rId3143" Type="http://schemas.openxmlformats.org/officeDocument/2006/relationships/hyperlink" Target="https://pbs.twimg.com/profile_images/623849156159868928/BetFDR_i_normal.jpg" TargetMode="External"/><Relationship Id="rId6299" Type="http://schemas.openxmlformats.org/officeDocument/2006/relationships/hyperlink" Target="https://twitter.com/KlemensRoth" TargetMode="External"/><Relationship Id="rId8748" Type="http://schemas.openxmlformats.org/officeDocument/2006/relationships/hyperlink" Target="https://pbs.twimg.com/profile_images/623794965395730432/4ijJtlze_normal.jpg" TargetMode="External"/><Relationship Id="rId7764" Type="http://schemas.openxmlformats.org/officeDocument/2006/relationships/hyperlink" Target="https://twitter.com/BakerMcGER" TargetMode="External"/><Relationship Id="rId8815" Type="http://schemas.openxmlformats.org/officeDocument/2006/relationships/hyperlink" Target="https://twitter.com/roncza" TargetMode="External"/><Relationship Id="rId131" Type="http://schemas.openxmlformats.org/officeDocument/2006/relationships/hyperlink" Target="https://twitter.com/HPEstartupFR/status/720516037922418688" TargetMode="External"/><Relationship Id="rId3210" Type="http://schemas.openxmlformats.org/officeDocument/2006/relationships/hyperlink" Target="https://pbs.twimg.com/profile_images/645716711723925506/t5G0qOS6_normal.jpg" TargetMode="External"/><Relationship Id="rId6366" Type="http://schemas.openxmlformats.org/officeDocument/2006/relationships/hyperlink" Target="https://twitter.com/SGE/status/723116630239252480" TargetMode="External"/><Relationship Id="rId6780" Type="http://schemas.openxmlformats.org/officeDocument/2006/relationships/hyperlink" Target="https://pbs.twimg.com/profile_images/567384025568776192/u-T3fEX2_normal.jpeg" TargetMode="External"/><Relationship Id="rId7417" Type="http://schemas.openxmlformats.org/officeDocument/2006/relationships/hyperlink" Target="https://twitter.com/Martina_Palm" TargetMode="External"/><Relationship Id="rId7831" Type="http://schemas.openxmlformats.org/officeDocument/2006/relationships/hyperlink" Target="https://twitter.com/SGE" TargetMode="External"/><Relationship Id="rId2976" Type="http://schemas.openxmlformats.org/officeDocument/2006/relationships/hyperlink" Target="https://twitter.com/NoSQLDigest/status/722256025412247552" TargetMode="External"/><Relationship Id="rId5382" Type="http://schemas.openxmlformats.org/officeDocument/2006/relationships/hyperlink" Target="https://twitter.com/aidegare/status/722797312242790400" TargetMode="External"/><Relationship Id="rId6019" Type="http://schemas.openxmlformats.org/officeDocument/2006/relationships/hyperlink" Target="https://pbs.twimg.com/profile_images/621343128902107136/CU4aO3wi_normal.jpg" TargetMode="External"/><Relationship Id="rId6433" Type="http://schemas.openxmlformats.org/officeDocument/2006/relationships/hyperlink" Target="https://pbs.twimg.com/profile_images/717284871933149184/PTr4Jdye_normal.jpg" TargetMode="External"/><Relationship Id="rId9589" Type="http://schemas.openxmlformats.org/officeDocument/2006/relationships/hyperlink" Target="https://pbs.twimg.com/profile_images/685255985/Bild_2_normal.png" TargetMode="External"/><Relationship Id="rId948" Type="http://schemas.openxmlformats.org/officeDocument/2006/relationships/hyperlink" Target="https://twitter.com/EnergyDemand" TargetMode="External"/><Relationship Id="rId1578" Type="http://schemas.openxmlformats.org/officeDocument/2006/relationships/hyperlink" Target="https://pbs.twimg.com/profile_images/717446712089042944/8ce3nV2G_normal.jpg" TargetMode="External"/><Relationship Id="rId1992" Type="http://schemas.openxmlformats.org/officeDocument/2006/relationships/hyperlink" Target="https://twitter.com/b_spokeB" TargetMode="External"/><Relationship Id="rId2629" Type="http://schemas.openxmlformats.org/officeDocument/2006/relationships/hyperlink" Target="https://pbs.twimg.com/profile_images/701004613206433792/o4DJfA8-_normal.jpg" TargetMode="External"/><Relationship Id="rId5035" Type="http://schemas.openxmlformats.org/officeDocument/2006/relationships/hyperlink" Target="https://twitter.com/INDIZbot" TargetMode="External"/><Relationship Id="rId6500" Type="http://schemas.openxmlformats.org/officeDocument/2006/relationships/hyperlink" Target="https://twitter.com/DerKonstrukteu" TargetMode="External"/><Relationship Id="rId9656" Type="http://schemas.openxmlformats.org/officeDocument/2006/relationships/hyperlink" Target="https://twitter.com/thyssenkrupp" TargetMode="External"/><Relationship Id="rId1645" Type="http://schemas.openxmlformats.org/officeDocument/2006/relationships/hyperlink" Target="https://twitter.com/Subauftrag" TargetMode="External"/><Relationship Id="rId4051" Type="http://schemas.openxmlformats.org/officeDocument/2006/relationships/hyperlink" Target="https://pbs.twimg.com/profile_images/447849741607391232/ZNm5v4lB_normal.jpeg" TargetMode="External"/><Relationship Id="rId5102" Type="http://schemas.openxmlformats.org/officeDocument/2006/relationships/hyperlink" Target="https://twitter.com/QuickFindsIn/status/722759728305033219" TargetMode="External"/><Relationship Id="rId8258" Type="http://schemas.openxmlformats.org/officeDocument/2006/relationships/hyperlink" Target="https://pbs.twimg.com/profile_images/378800000565965069/a98f364a74805cd42b34bb38197f51de_normal.png" TargetMode="External"/><Relationship Id="rId8672" Type="http://schemas.openxmlformats.org/officeDocument/2006/relationships/hyperlink" Target="https://twitter.com/VDMAonline/status/723783515343482881" TargetMode="External"/><Relationship Id="rId9309" Type="http://schemas.openxmlformats.org/officeDocument/2006/relationships/hyperlink" Target="https://twitter.com/INDIZbot/status/724133692327731200" TargetMode="External"/><Relationship Id="rId10188" Type="http://schemas.openxmlformats.org/officeDocument/2006/relationships/hyperlink" Target="https://pbs.twimg.com/profile_images/1687295442/image_normal.jpg" TargetMode="External"/><Relationship Id="rId7274" Type="http://schemas.openxmlformats.org/officeDocument/2006/relationships/hyperlink" Target="https://twitter.com/bearlytech/status/723390247195664386" TargetMode="External"/><Relationship Id="rId8325" Type="http://schemas.openxmlformats.org/officeDocument/2006/relationships/hyperlink" Target="https://twitter.com/tracymgay" TargetMode="External"/><Relationship Id="rId9723" Type="http://schemas.openxmlformats.org/officeDocument/2006/relationships/hyperlink" Target="https://twitter.com/schroederluegde/status/724235262793027588" TargetMode="External"/><Relationship Id="rId1712" Type="http://schemas.openxmlformats.org/officeDocument/2006/relationships/hyperlink" Target="https://twitter.com/verlinked/status/721322275304124418" TargetMode="External"/><Relationship Id="rId4868" Type="http://schemas.openxmlformats.org/officeDocument/2006/relationships/hyperlink" Target="https://pbs.twimg.com/profile_images/631516878830178304/X8gApwdt_normal.jpg" TargetMode="External"/><Relationship Id="rId5919" Type="http://schemas.openxmlformats.org/officeDocument/2006/relationships/hyperlink" Target="https://twitter.com/INDIZbot/status/723061615537606657" TargetMode="External"/><Relationship Id="rId6290" Type="http://schemas.openxmlformats.org/officeDocument/2006/relationships/hyperlink" Target="https://twitter.com/verlinked" TargetMode="External"/><Relationship Id="rId10255" Type="http://schemas.openxmlformats.org/officeDocument/2006/relationships/hyperlink" Target="https://twitter.com/AlbertoMunoz" TargetMode="External"/><Relationship Id="rId3884" Type="http://schemas.openxmlformats.org/officeDocument/2006/relationships/hyperlink" Target="https://twitter.com/INDIZbot" TargetMode="External"/><Relationship Id="rId4935" Type="http://schemas.openxmlformats.org/officeDocument/2006/relationships/hyperlink" Target="https://twitter.com/CKoaser" TargetMode="External"/><Relationship Id="rId7341" Type="http://schemas.openxmlformats.org/officeDocument/2006/relationships/hyperlink" Target="https://twitter.com/tobias_goers/status/723400924354347008" TargetMode="External"/><Relationship Id="rId9099" Type="http://schemas.openxmlformats.org/officeDocument/2006/relationships/hyperlink" Target="https://twitter.com/ITK_OWL/status/723938969189277696" TargetMode="External"/><Relationship Id="rId10322" Type="http://schemas.openxmlformats.org/officeDocument/2006/relationships/hyperlink" Target="https://twitter.com/EVM_dk/status/724464334991155200" TargetMode="External"/><Relationship Id="rId2486" Type="http://schemas.openxmlformats.org/officeDocument/2006/relationships/hyperlink" Target="https://twitter.com/sapcustdev/status/722045062801174528" TargetMode="External"/><Relationship Id="rId3537" Type="http://schemas.openxmlformats.org/officeDocument/2006/relationships/hyperlink" Target="https://twitter.com/Der_Betriebslei/status/722373957912031232" TargetMode="External"/><Relationship Id="rId3951" Type="http://schemas.openxmlformats.org/officeDocument/2006/relationships/hyperlink" Target="https://twitter.com/aguittard/status/722461386220113921" TargetMode="External"/><Relationship Id="rId458" Type="http://schemas.openxmlformats.org/officeDocument/2006/relationships/hyperlink" Target="https://twitter.com/verlinked/status/720597524294144000" TargetMode="External"/><Relationship Id="rId872" Type="http://schemas.openxmlformats.org/officeDocument/2006/relationships/hyperlink" Target="https://pbs.twimg.com/profile_images/3247582182/3d83644b326395fb82d61be288193eae_normal.jpeg" TargetMode="External"/><Relationship Id="rId1088" Type="http://schemas.openxmlformats.org/officeDocument/2006/relationships/hyperlink" Target="https://twitter.com/kommoptimierer/status/720899531198566400" TargetMode="External"/><Relationship Id="rId2139" Type="http://schemas.openxmlformats.org/officeDocument/2006/relationships/hyperlink" Target="https://pbs.twimg.com/profile_images/645716711723925506/t5G0qOS6_normal.jpg" TargetMode="External"/><Relationship Id="rId2553" Type="http://schemas.openxmlformats.org/officeDocument/2006/relationships/hyperlink" Target="https://twitter.com/WAGOKontakttech" TargetMode="External"/><Relationship Id="rId3604" Type="http://schemas.openxmlformats.org/officeDocument/2006/relationships/hyperlink" Target="https://pbs.twimg.com/profile_images/463608454624448512/0DV5XX08_normal.jpeg" TargetMode="External"/><Relationship Id="rId6010" Type="http://schemas.openxmlformats.org/officeDocument/2006/relationships/hyperlink" Target="https://pbs.twimg.com/profile_images/2389009916/image_normal.jpg" TargetMode="External"/><Relationship Id="rId9166" Type="http://schemas.openxmlformats.org/officeDocument/2006/relationships/hyperlink" Target="https://pbs.twimg.com/profile_images/2994151206/72e14517d19cb49aa35fe3019df8b048_normal.jpeg" TargetMode="External"/><Relationship Id="rId9580" Type="http://schemas.openxmlformats.org/officeDocument/2006/relationships/hyperlink" Target="https://pbs.twimg.com/profile_images/486066079261655040/uyhY_MQH_normal.jpeg" TargetMode="External"/><Relationship Id="rId525" Type="http://schemas.openxmlformats.org/officeDocument/2006/relationships/hyperlink" Target="https://twitter.com/HoptonPaul/status/720614754901979136" TargetMode="External"/><Relationship Id="rId1155" Type="http://schemas.openxmlformats.org/officeDocument/2006/relationships/hyperlink" Target="https://pbs.twimg.com/profile_images/2852333596/b758613f0f0e093a5895033c8ef9e6d1_normal.png" TargetMode="External"/><Relationship Id="rId2206" Type="http://schemas.openxmlformats.org/officeDocument/2006/relationships/hyperlink" Target="https://twitter.com/catkinEU" TargetMode="External"/><Relationship Id="rId2620" Type="http://schemas.openxmlformats.org/officeDocument/2006/relationships/hyperlink" Target="https://twitter.com/startupradioDE" TargetMode="External"/><Relationship Id="rId5776" Type="http://schemas.openxmlformats.org/officeDocument/2006/relationships/hyperlink" Target="https://twitter.com/Aravind_blr/status/723037334501892096" TargetMode="External"/><Relationship Id="rId8182" Type="http://schemas.openxmlformats.org/officeDocument/2006/relationships/hyperlink" Target="https://pbs.twimg.com/profile_images/524268834442989568/3ERK2Ubo_normal.jpeg" TargetMode="External"/><Relationship Id="rId9233" Type="http://schemas.openxmlformats.org/officeDocument/2006/relationships/hyperlink" Target="https://twitter.com/colbytylerford" TargetMode="External"/><Relationship Id="rId1222" Type="http://schemas.openxmlformats.org/officeDocument/2006/relationships/hyperlink" Target="https://twitter.com/Apandia" TargetMode="External"/><Relationship Id="rId4378" Type="http://schemas.openxmlformats.org/officeDocument/2006/relationships/hyperlink" Target="https://twitter.com/LReehten/status/722683543437078528" TargetMode="External"/><Relationship Id="rId5429" Type="http://schemas.openxmlformats.org/officeDocument/2006/relationships/hyperlink" Target="https://twitter.com/siemens_press" TargetMode="External"/><Relationship Id="rId6827" Type="http://schemas.openxmlformats.org/officeDocument/2006/relationships/hyperlink" Target="https://twitter.com/j_froemming/status/723178779909185536" TargetMode="External"/><Relationship Id="rId9300" Type="http://schemas.openxmlformats.org/officeDocument/2006/relationships/hyperlink" Target="https://twitter.com/knowhowag/status/724132060709969921" TargetMode="External"/><Relationship Id="rId3394" Type="http://schemas.openxmlformats.org/officeDocument/2006/relationships/hyperlink" Target="https://pbs.twimg.com/profile_images/448785058711601152/lLXOAUVA_normal.png" TargetMode="External"/><Relationship Id="rId4792" Type="http://schemas.openxmlformats.org/officeDocument/2006/relationships/hyperlink" Target="https://twitter.com/INDIZbot/status/722719378471575552" TargetMode="External"/><Relationship Id="rId5843" Type="http://schemas.openxmlformats.org/officeDocument/2006/relationships/hyperlink" Target="https://twitter.com/TRUMPF_News" TargetMode="External"/><Relationship Id="rId8999" Type="http://schemas.openxmlformats.org/officeDocument/2006/relationships/hyperlink" Target="https://twitter.com/SusanneJRomero/status/723886765354967041" TargetMode="External"/><Relationship Id="rId3047" Type="http://schemas.openxmlformats.org/officeDocument/2006/relationships/hyperlink" Target="https://pbs.twimg.com/profile_images/690957065490161664/Nat2upS4_normal.jpg" TargetMode="External"/><Relationship Id="rId4445" Type="http://schemas.openxmlformats.org/officeDocument/2006/relationships/hyperlink" Target="https://pbs.twimg.com/profile_images/705302839937990656/1KfW5-Ht_normal.jpg" TargetMode="External"/><Relationship Id="rId5910" Type="http://schemas.openxmlformats.org/officeDocument/2006/relationships/hyperlink" Target="https://twitter.com/bizadilly/status/723060859296047104" TargetMode="External"/><Relationship Id="rId3461" Type="http://schemas.openxmlformats.org/officeDocument/2006/relationships/hyperlink" Target="https://twitter.com/BILZ_DE" TargetMode="External"/><Relationship Id="rId4512" Type="http://schemas.openxmlformats.org/officeDocument/2006/relationships/hyperlink" Target="https://twitter.com/MEBerufe_Info" TargetMode="External"/><Relationship Id="rId7668" Type="http://schemas.openxmlformats.org/officeDocument/2006/relationships/hyperlink" Target="https://twitter.com/NicolasChulot" TargetMode="External"/><Relationship Id="rId8719" Type="http://schemas.openxmlformats.org/officeDocument/2006/relationships/hyperlink" Target="https://twitter.com/INDIZbot" TargetMode="External"/><Relationship Id="rId382" Type="http://schemas.openxmlformats.org/officeDocument/2006/relationships/hyperlink" Target="https://twitter.com/zen_mfg" TargetMode="External"/><Relationship Id="rId2063" Type="http://schemas.openxmlformats.org/officeDocument/2006/relationships/hyperlink" Target="https://pbs.twimg.com/profile_images/645716711723925506/t5G0qOS6_normal.jpg" TargetMode="External"/><Relationship Id="rId3114" Type="http://schemas.openxmlformats.org/officeDocument/2006/relationships/hyperlink" Target="https://twitter.com/steffi_kow" TargetMode="External"/><Relationship Id="rId6684" Type="http://schemas.openxmlformats.org/officeDocument/2006/relationships/hyperlink" Target="https://pbs.twimg.com/profile_images/465845290067451904/dC2hkBVB_normal.jpeg" TargetMode="External"/><Relationship Id="rId7735" Type="http://schemas.openxmlformats.org/officeDocument/2006/relationships/hyperlink" Target="https://twitter.com/PASSnews/status/723429665667338242" TargetMode="External"/><Relationship Id="rId9090" Type="http://schemas.openxmlformats.org/officeDocument/2006/relationships/hyperlink" Target="https://twitter.com/Bitkom/status/723938899161153536" TargetMode="External"/><Relationship Id="rId2130" Type="http://schemas.openxmlformats.org/officeDocument/2006/relationships/hyperlink" Target="https://pbs.twimg.com/profile_images/501687273964851200/p2aEL2iP_normal.png" TargetMode="External"/><Relationship Id="rId5286" Type="http://schemas.openxmlformats.org/officeDocument/2006/relationships/hyperlink" Target="https://pbs.twimg.com/profile_images/662723326096224256/5V4KH9_O_normal.jpg" TargetMode="External"/><Relationship Id="rId6337" Type="http://schemas.openxmlformats.org/officeDocument/2006/relationships/hyperlink" Target="https://twitter.com/BeuthBonus" TargetMode="External"/><Relationship Id="rId6751" Type="http://schemas.openxmlformats.org/officeDocument/2006/relationships/hyperlink" Target="https://twitter.com/TammoSchwindt" TargetMode="External"/><Relationship Id="rId102" Type="http://schemas.openxmlformats.org/officeDocument/2006/relationships/hyperlink" Target="https://pbs.twimg.com/profile_images/645716711723925506/t5G0qOS6_normal.jpg" TargetMode="External"/><Relationship Id="rId5353" Type="http://schemas.openxmlformats.org/officeDocument/2006/relationships/hyperlink" Target="https://twitter.com/innovationbawue" TargetMode="External"/><Relationship Id="rId6404" Type="http://schemas.openxmlformats.org/officeDocument/2006/relationships/hyperlink" Target="https://twitter.com/einkauf_mgmt" TargetMode="External"/><Relationship Id="rId7802" Type="http://schemas.openxmlformats.org/officeDocument/2006/relationships/hyperlink" Target="https://twitter.com/Hardt_am_Limit/status/723438735707148290" TargetMode="External"/><Relationship Id="rId1896" Type="http://schemas.openxmlformats.org/officeDocument/2006/relationships/hyperlink" Target="https://twitter.com/samuel_vuadens/status/721614416970690561" TargetMode="External"/><Relationship Id="rId2947" Type="http://schemas.openxmlformats.org/officeDocument/2006/relationships/hyperlink" Target="https://pbs.twimg.com/profile_images/719982759549100033/kTnZEOR__normal.jpg" TargetMode="External"/><Relationship Id="rId5006" Type="http://schemas.openxmlformats.org/officeDocument/2006/relationships/hyperlink" Target="https://twitter.com/SHC_GmbH/status/722748379965624320" TargetMode="External"/><Relationship Id="rId9974" Type="http://schemas.openxmlformats.org/officeDocument/2006/relationships/hyperlink" Target="https://twitter.com/sallyafrank/status/724289702942134272" TargetMode="External"/><Relationship Id="rId919" Type="http://schemas.openxmlformats.org/officeDocument/2006/relationships/hyperlink" Target="https://twitter.com/ThorstenRamus/status/720867050378268672" TargetMode="External"/><Relationship Id="rId1549" Type="http://schemas.openxmlformats.org/officeDocument/2006/relationships/hyperlink" Target="https://twitter.com/INDIZbot" TargetMode="External"/><Relationship Id="rId1963" Type="http://schemas.openxmlformats.org/officeDocument/2006/relationships/hyperlink" Target="https://twitter.com/INDIZbot/status/721672573684215808" TargetMode="External"/><Relationship Id="rId4022" Type="http://schemas.openxmlformats.org/officeDocument/2006/relationships/hyperlink" Target="https://twitter.com/Alpict" TargetMode="External"/><Relationship Id="rId5420" Type="http://schemas.openxmlformats.org/officeDocument/2006/relationships/hyperlink" Target="https://twitter.com/Databanque" TargetMode="External"/><Relationship Id="rId7178" Type="http://schemas.openxmlformats.org/officeDocument/2006/relationships/hyperlink" Target="https://twitter.com/Following_HR/status/723371802211147776" TargetMode="External"/><Relationship Id="rId8576" Type="http://schemas.openxmlformats.org/officeDocument/2006/relationships/hyperlink" Target="https://twitter.com/UL_Commercial/status/723755286863826944" TargetMode="External"/><Relationship Id="rId8990" Type="http://schemas.openxmlformats.org/officeDocument/2006/relationships/hyperlink" Target="https://twitter.com/vdeyoungnet/status/723884611709837312" TargetMode="External"/><Relationship Id="rId9627" Type="http://schemas.openxmlformats.org/officeDocument/2006/relationships/hyperlink" Target="https://twitter.com/ElroyWonder/status/724221351452631041" TargetMode="External"/><Relationship Id="rId1616" Type="http://schemas.openxmlformats.org/officeDocument/2006/relationships/hyperlink" Target="https://twitter.com/Fran_tandem/status/721244972993875968" TargetMode="External"/><Relationship Id="rId7592" Type="http://schemas.openxmlformats.org/officeDocument/2006/relationships/hyperlink" Target="https://pbs.twimg.com/profile_images/621021669650505728/a35AEy4u_normal.png" TargetMode="External"/><Relationship Id="rId8229" Type="http://schemas.openxmlformats.org/officeDocument/2006/relationships/hyperlink" Target="https://twitter.com/LutzVA" TargetMode="External"/><Relationship Id="rId8643" Type="http://schemas.openxmlformats.org/officeDocument/2006/relationships/hyperlink" Target="https://pbs.twimg.com/profile_images/2092862553/Dorfer_-_11.04_normal.2012" TargetMode="External"/><Relationship Id="rId10159" Type="http://schemas.openxmlformats.org/officeDocument/2006/relationships/hyperlink" Target="https://twitter.com/Frank_Reinelt" TargetMode="External"/><Relationship Id="rId3788" Type="http://schemas.openxmlformats.org/officeDocument/2006/relationships/hyperlink" Target="https://twitter.com/BayrleU" TargetMode="External"/><Relationship Id="rId4839" Type="http://schemas.openxmlformats.org/officeDocument/2006/relationships/hyperlink" Target="https://twitter.com/ZVEIorg" TargetMode="External"/><Relationship Id="rId6194" Type="http://schemas.openxmlformats.org/officeDocument/2006/relationships/hyperlink" Target="https://pbs.twimg.com/profile_images/573719685306388481/QCug9raA_normal.jpeg" TargetMode="External"/><Relationship Id="rId7245" Type="http://schemas.openxmlformats.org/officeDocument/2006/relationships/hyperlink" Target="https://pbs.twimg.com/profile_images/645716711723925506/t5G0qOS6_normal.jpg" TargetMode="External"/><Relationship Id="rId8710" Type="http://schemas.openxmlformats.org/officeDocument/2006/relationships/hyperlink" Target="https://twitter.com/Siliconavatar" TargetMode="External"/><Relationship Id="rId10226" Type="http://schemas.openxmlformats.org/officeDocument/2006/relationships/hyperlink" Target="https://twitter.com/mjg73/status/724371423251279872" TargetMode="External"/><Relationship Id="rId3855" Type="http://schemas.openxmlformats.org/officeDocument/2006/relationships/hyperlink" Target="https://twitter.com/charisma_expert/status/722442620916658176" TargetMode="External"/><Relationship Id="rId6261" Type="http://schemas.openxmlformats.org/officeDocument/2006/relationships/hyperlink" Target="https://pbs.twimg.com/profile_images/645716711723925506/t5G0qOS6_normal.jpg" TargetMode="External"/><Relationship Id="rId7312" Type="http://schemas.openxmlformats.org/officeDocument/2006/relationships/hyperlink" Target="https://twitter.com/m_biscarrat" TargetMode="External"/><Relationship Id="rId776" Type="http://schemas.openxmlformats.org/officeDocument/2006/relationships/hyperlink" Target="https://twitter.com/Lean_john" TargetMode="External"/><Relationship Id="rId2457" Type="http://schemas.openxmlformats.org/officeDocument/2006/relationships/hyperlink" Target="https://pbs.twimg.com/profile_images/722407231854141441/rQJmQtW__normal.jpg" TargetMode="External"/><Relationship Id="rId3508" Type="http://schemas.openxmlformats.org/officeDocument/2006/relationships/hyperlink" Target="https://pbs.twimg.com/profile_images/718175389890310145/GX8DLe_h_normal.jpg" TargetMode="External"/><Relationship Id="rId4906" Type="http://schemas.openxmlformats.org/officeDocument/2006/relationships/hyperlink" Target="https://twitter.com/Gesamtmetall/status/722734098918334464" TargetMode="External"/><Relationship Id="rId9484" Type="http://schemas.openxmlformats.org/officeDocument/2006/relationships/hyperlink" Target="https://pbs.twimg.com/profile_images/645716711723925506/t5G0qOS6_normal.jpg" TargetMode="External"/><Relationship Id="rId429" Type="http://schemas.openxmlformats.org/officeDocument/2006/relationships/hyperlink" Target="https://pbs.twimg.com/profile_images/454290279252500480/JkMkXwUd_normal.jpeg" TargetMode="External"/><Relationship Id="rId1059" Type="http://schemas.openxmlformats.org/officeDocument/2006/relationships/hyperlink" Target="https://pbs.twimg.com/profile_images/697410664533532672/IKCR3dV3_normal.jpg" TargetMode="External"/><Relationship Id="rId1473" Type="http://schemas.openxmlformats.org/officeDocument/2006/relationships/hyperlink" Target="https://pbs.twimg.com/profile_images/631516878830178304/X8gApwdt_normal.jpg" TargetMode="External"/><Relationship Id="rId2871" Type="http://schemas.openxmlformats.org/officeDocument/2006/relationships/hyperlink" Target="https://pbs.twimg.com/profile_images/648110809512603648/gBCH0Eip_normal.png" TargetMode="External"/><Relationship Id="rId3922" Type="http://schemas.openxmlformats.org/officeDocument/2006/relationships/hyperlink" Target="https://pbs.twimg.com/profile_images/2698310449/0da9a659e7a30abe7633746b7ada9ef7_normal.jpeg" TargetMode="External"/><Relationship Id="rId8086" Type="http://schemas.openxmlformats.org/officeDocument/2006/relationships/hyperlink" Target="https://pbs.twimg.com/profile_images/474479144718176257/aarI9NP8_normal.jpeg" TargetMode="External"/><Relationship Id="rId9137" Type="http://schemas.openxmlformats.org/officeDocument/2006/relationships/hyperlink" Target="https://twitter.com/msftmfg" TargetMode="External"/><Relationship Id="rId843" Type="http://schemas.openxmlformats.org/officeDocument/2006/relationships/hyperlink" Target="https://twitter.com/bastihollmann" TargetMode="External"/><Relationship Id="rId1126" Type="http://schemas.openxmlformats.org/officeDocument/2006/relationships/hyperlink" Target="https://twitter.com/Frank_Reinelt" TargetMode="External"/><Relationship Id="rId2524" Type="http://schemas.openxmlformats.org/officeDocument/2006/relationships/hyperlink" Target="https://twitter.com/PapaVise/status/722052782593859584" TargetMode="External"/><Relationship Id="rId8153" Type="http://schemas.openxmlformats.org/officeDocument/2006/relationships/hyperlink" Target="https://twitter.com/TanjCar" TargetMode="External"/><Relationship Id="rId9551" Type="http://schemas.openxmlformats.org/officeDocument/2006/relationships/hyperlink" Target="https://twitter.com/ICV_llc" TargetMode="External"/><Relationship Id="rId910" Type="http://schemas.openxmlformats.org/officeDocument/2006/relationships/hyperlink" Target="https://twitter.com/INDIZbot/status/720864522014031872" TargetMode="External"/><Relationship Id="rId1540" Type="http://schemas.openxmlformats.org/officeDocument/2006/relationships/hyperlink" Target="https://twitter.com/IndieGameDevBot" TargetMode="External"/><Relationship Id="rId4696" Type="http://schemas.openxmlformats.org/officeDocument/2006/relationships/hyperlink" Target="https://twitter.com/kommoptimierer/status/722711471302512640" TargetMode="External"/><Relationship Id="rId5747" Type="http://schemas.openxmlformats.org/officeDocument/2006/relationships/hyperlink" Target="https://pbs.twimg.com/profile_images/654297739132579840/RSnR7-8J_normal.jpg" TargetMode="External"/><Relationship Id="rId9204" Type="http://schemas.openxmlformats.org/officeDocument/2006/relationships/hyperlink" Target="https://twitter.com/INDIZbot/status/723975216729325569" TargetMode="External"/><Relationship Id="rId10083" Type="http://schemas.openxmlformats.org/officeDocument/2006/relationships/hyperlink" Target="https://pbs.twimg.com/profile_images/612275728835547136/Bu0GljvX_normal.jpg" TargetMode="External"/><Relationship Id="rId3298" Type="http://schemas.openxmlformats.org/officeDocument/2006/relationships/hyperlink" Target="https://twitter.com/catkinEU" TargetMode="External"/><Relationship Id="rId4349" Type="http://schemas.openxmlformats.org/officeDocument/2006/relationships/hyperlink" Target="https://pbs.twimg.com/profile_images/662723326096224256/5V4KH9_O_normal.jpg" TargetMode="External"/><Relationship Id="rId4763" Type="http://schemas.openxmlformats.org/officeDocument/2006/relationships/hyperlink" Target="https://pbs.twimg.com/profile_images/459666685952151552/oULR8mG1_normal.png" TargetMode="External"/><Relationship Id="rId5814" Type="http://schemas.openxmlformats.org/officeDocument/2006/relationships/hyperlink" Target="https://pbs.twimg.com/profile_images/470826247132438529/xf6oFNFR_normal.jpeg" TargetMode="External"/><Relationship Id="rId8220" Type="http://schemas.openxmlformats.org/officeDocument/2006/relationships/hyperlink" Target="https://twitter.com/dictaJet" TargetMode="External"/><Relationship Id="rId10150" Type="http://schemas.openxmlformats.org/officeDocument/2006/relationships/hyperlink" Target="https://twitter.com/Philip_W_Morris" TargetMode="External"/><Relationship Id="rId3365" Type="http://schemas.openxmlformats.org/officeDocument/2006/relationships/hyperlink" Target="https://twitter.com/CarloPiltz/status/722354420860788736" TargetMode="External"/><Relationship Id="rId4416" Type="http://schemas.openxmlformats.org/officeDocument/2006/relationships/hyperlink" Target="https://twitter.com/INDIZbot" TargetMode="External"/><Relationship Id="rId4830" Type="http://schemas.openxmlformats.org/officeDocument/2006/relationships/hyperlink" Target="https://twitter.com/VhUHessen" TargetMode="External"/><Relationship Id="rId7986" Type="http://schemas.openxmlformats.org/officeDocument/2006/relationships/hyperlink" Target="https://twitter.com/POLYASVoting/status/723476477489111040" TargetMode="External"/><Relationship Id="rId286" Type="http://schemas.openxmlformats.org/officeDocument/2006/relationships/hyperlink" Target="https://twitter.com/Tim_Caesar" TargetMode="External"/><Relationship Id="rId2381" Type="http://schemas.openxmlformats.org/officeDocument/2006/relationships/hyperlink" Target="https://twitter.com/Pamsav1/status/722002497456484352" TargetMode="External"/><Relationship Id="rId3018" Type="http://schemas.openxmlformats.org/officeDocument/2006/relationships/hyperlink" Target="https://twitter.com/H_IT_D" TargetMode="External"/><Relationship Id="rId3432" Type="http://schemas.openxmlformats.org/officeDocument/2006/relationships/hyperlink" Target="https://twitter.com/dimstoyanov/status/722359166493462528" TargetMode="External"/><Relationship Id="rId6588" Type="http://schemas.openxmlformats.org/officeDocument/2006/relationships/hyperlink" Target="https://twitter.com/SalesforceDE" TargetMode="External"/><Relationship Id="rId7639" Type="http://schemas.openxmlformats.org/officeDocument/2006/relationships/hyperlink" Target="https://twitter.com/BMAS_Bund/status/723421629485748224" TargetMode="External"/><Relationship Id="rId353" Type="http://schemas.openxmlformats.org/officeDocument/2006/relationships/hyperlink" Target="https://twitter.com/AWNarses/status/720557708278108160" TargetMode="External"/><Relationship Id="rId2034" Type="http://schemas.openxmlformats.org/officeDocument/2006/relationships/hyperlink" Target="https://twitter.com/culturbureau" TargetMode="External"/><Relationship Id="rId9061" Type="http://schemas.openxmlformats.org/officeDocument/2006/relationships/hyperlink" Target="https://pbs.twimg.com/profile_images/552211771360940032/CmEYO0l3_normal.png" TargetMode="External"/><Relationship Id="rId420" Type="http://schemas.openxmlformats.org/officeDocument/2006/relationships/hyperlink" Target="https://pbs.twimg.com/profile_images/645716711723925506/t5G0qOS6_normal.jpg" TargetMode="External"/><Relationship Id="rId1050" Type="http://schemas.openxmlformats.org/officeDocument/2006/relationships/hyperlink" Target="https://pbs.twimg.com/profile_images/718175389890310145/GX8DLe_h_normal.jpg" TargetMode="External"/><Relationship Id="rId2101" Type="http://schemas.openxmlformats.org/officeDocument/2006/relationships/hyperlink" Target="https://twitter.com/ScopeOnline/status/721928967285010432" TargetMode="External"/><Relationship Id="rId5257" Type="http://schemas.openxmlformats.org/officeDocument/2006/relationships/hyperlink" Target="https://twitter.com/packagingJ" TargetMode="External"/><Relationship Id="rId6655" Type="http://schemas.openxmlformats.org/officeDocument/2006/relationships/hyperlink" Target="https://twitter.com/uwepfeil" TargetMode="External"/><Relationship Id="rId7706" Type="http://schemas.openxmlformats.org/officeDocument/2006/relationships/hyperlink" Target="https://pbs.twimg.com/profile_images/716977461079179268/JVN5NZO8_normal.jpg" TargetMode="External"/><Relationship Id="rId5671" Type="http://schemas.openxmlformats.org/officeDocument/2006/relationships/hyperlink" Target="https://twitter.com/INDIZbot/status/722910503547179008" TargetMode="External"/><Relationship Id="rId6308" Type="http://schemas.openxmlformats.org/officeDocument/2006/relationships/hyperlink" Target="https://pbs.twimg.com/profile_images/691601983199928320/2N-yzhWP_normal.jpg" TargetMode="External"/><Relationship Id="rId6722" Type="http://schemas.openxmlformats.org/officeDocument/2006/relationships/hyperlink" Target="https://twitter.com/SGE/status/723165484590501888" TargetMode="External"/><Relationship Id="rId9878" Type="http://schemas.openxmlformats.org/officeDocument/2006/relationships/hyperlink" Target="https://twitter.com/INDIZbot/status/724274773132455943" TargetMode="External"/><Relationship Id="rId1867" Type="http://schemas.openxmlformats.org/officeDocument/2006/relationships/hyperlink" Target="https://pbs.twimg.com/profile_images/645716711723925506/t5G0qOS6_normal.jpg" TargetMode="External"/><Relationship Id="rId2918" Type="http://schemas.openxmlformats.org/officeDocument/2006/relationships/hyperlink" Target="https://twitter.com/INDIZbot" TargetMode="External"/><Relationship Id="rId4273" Type="http://schemas.openxmlformats.org/officeDocument/2006/relationships/hyperlink" Target="https://twitter.com/QuickFindsIn/status/722647989265805312" TargetMode="External"/><Relationship Id="rId5324" Type="http://schemas.openxmlformats.org/officeDocument/2006/relationships/hyperlink" Target="https://twitter.com/BoschPresse/status/722790724509528064" TargetMode="External"/><Relationship Id="rId8894" Type="http://schemas.openxmlformats.org/officeDocument/2006/relationships/hyperlink" Target="https://twitter.com/ZVEIorg/status/723850470847029249" TargetMode="External"/><Relationship Id="rId9945" Type="http://schemas.openxmlformats.org/officeDocument/2006/relationships/hyperlink" Target="https://pbs.twimg.com/profile_images/604338428227010560/6jzSa8us_normal.png" TargetMode="External"/><Relationship Id="rId1934" Type="http://schemas.openxmlformats.org/officeDocument/2006/relationships/hyperlink" Target="https://twitter.com/PiotrDrago" TargetMode="External"/><Relationship Id="rId4340" Type="http://schemas.openxmlformats.org/officeDocument/2006/relationships/hyperlink" Target="https://pbs.twimg.com/profile_images/2983973431/ac73bb40073113ce27fc21f14aedb165_normal.jpeg" TargetMode="External"/><Relationship Id="rId7496" Type="http://schemas.openxmlformats.org/officeDocument/2006/relationships/hyperlink" Target="https://pbs.twimg.com/profile_images/1648827386/image_normal.jpg" TargetMode="External"/><Relationship Id="rId8547" Type="http://schemas.openxmlformats.org/officeDocument/2006/relationships/hyperlink" Target="https://pbs.twimg.com/profile_images/591951396217327616/HbcCX2zX_normal.png" TargetMode="External"/><Relationship Id="rId8961" Type="http://schemas.openxmlformats.org/officeDocument/2006/relationships/hyperlink" Target="https://pbs.twimg.com/profile_images/378800000105054518/0c3999c534453f2da5d9f0cadf2e00d9_normal.jpeg" TargetMode="External"/><Relationship Id="rId6098" Type="http://schemas.openxmlformats.org/officeDocument/2006/relationships/hyperlink" Target="https://twitter.com/Angela_Josephs" TargetMode="External"/><Relationship Id="rId7149" Type="http://schemas.openxmlformats.org/officeDocument/2006/relationships/hyperlink" Target="https://pbs.twimg.com/profile_images/662723326096224256/5V4KH9_O_normal.jpg" TargetMode="External"/><Relationship Id="rId7563" Type="http://schemas.openxmlformats.org/officeDocument/2006/relationships/hyperlink" Target="https://twitter.com/Angela_Josephs" TargetMode="External"/><Relationship Id="rId8614" Type="http://schemas.openxmlformats.org/officeDocument/2006/relationships/hyperlink" Target="https://twitter.com/MeinGeldMedien" TargetMode="External"/><Relationship Id="rId6165" Type="http://schemas.openxmlformats.org/officeDocument/2006/relationships/hyperlink" Target="https://twitter.com/THINK_ING" TargetMode="External"/><Relationship Id="rId7216" Type="http://schemas.openxmlformats.org/officeDocument/2006/relationships/hyperlink" Target="https://twitter.com/foresight_lab" TargetMode="External"/><Relationship Id="rId3759" Type="http://schemas.openxmlformats.org/officeDocument/2006/relationships/hyperlink" Target="https://twitter.com/ITK_OWL/status/722417512248434688" TargetMode="External"/><Relationship Id="rId5181" Type="http://schemas.openxmlformats.org/officeDocument/2006/relationships/hyperlink" Target="https://pbs.twimg.com/profile_images/594934750122536960/nG4kmfDF_normal.jpg" TargetMode="External"/><Relationship Id="rId6232" Type="http://schemas.openxmlformats.org/officeDocument/2006/relationships/hyperlink" Target="https://twitter.com/JETZT_PRde" TargetMode="External"/><Relationship Id="rId7630" Type="http://schemas.openxmlformats.org/officeDocument/2006/relationships/hyperlink" Target="https://twitter.com/IoTMinded/status/723419888576929793" TargetMode="External"/><Relationship Id="rId9388" Type="http://schemas.openxmlformats.org/officeDocument/2006/relationships/hyperlink" Target="https://pbs.twimg.com/profile_images/723407487395713024/0hZv7R8S_normal.jpg" TargetMode="External"/><Relationship Id="rId2775" Type="http://schemas.openxmlformats.org/officeDocument/2006/relationships/hyperlink" Target="https://twitter.com/SYSCONmedia" TargetMode="External"/><Relationship Id="rId3826" Type="http://schemas.openxmlformats.org/officeDocument/2006/relationships/hyperlink" Target="https://pbs.twimg.com/profile_images/703227748383330304/U06-eqpr_normal.jpg" TargetMode="External"/><Relationship Id="rId747" Type="http://schemas.openxmlformats.org/officeDocument/2006/relationships/hyperlink" Target="https://twitter.com/rapifireio/status/720694895971688448" TargetMode="External"/><Relationship Id="rId1377" Type="http://schemas.openxmlformats.org/officeDocument/2006/relationships/hyperlink" Target="https://twitter.com/H_IT_D/status/720980111248400386" TargetMode="External"/><Relationship Id="rId1791" Type="http://schemas.openxmlformats.org/officeDocument/2006/relationships/hyperlink" Target="https://pbs.twimg.com/profile_images/648137141999017989/QfJy2m6F_normal.png" TargetMode="External"/><Relationship Id="rId2428" Type="http://schemas.openxmlformats.org/officeDocument/2006/relationships/hyperlink" Target="https://twitter.com/KubitzTassilo" TargetMode="External"/><Relationship Id="rId2842" Type="http://schemas.openxmlformats.org/officeDocument/2006/relationships/hyperlink" Target="https://twitter.com/IT_Connection/status/722135236197412868" TargetMode="External"/><Relationship Id="rId5998" Type="http://schemas.openxmlformats.org/officeDocument/2006/relationships/hyperlink" Target="https://pbs.twimg.com/profile_images/601673968551075840/MnulnKkj_normal.png" TargetMode="External"/><Relationship Id="rId9455" Type="http://schemas.openxmlformats.org/officeDocument/2006/relationships/hyperlink" Target="https://twitter.com/MartinGaedt" TargetMode="External"/><Relationship Id="rId83" Type="http://schemas.openxmlformats.org/officeDocument/2006/relationships/hyperlink" Target="https://twitter.com/INDIZbot/status/720507169314074626" TargetMode="External"/><Relationship Id="rId814" Type="http://schemas.openxmlformats.org/officeDocument/2006/relationships/hyperlink" Target="https://twitter.com/H_IT_D/status/720792558176055296" TargetMode="External"/><Relationship Id="rId1444" Type="http://schemas.openxmlformats.org/officeDocument/2006/relationships/hyperlink" Target="https://twitter.com/TUV_IT" TargetMode="External"/><Relationship Id="rId8057" Type="http://schemas.openxmlformats.org/officeDocument/2006/relationships/hyperlink" Target="https://twitter.com/LReehten" TargetMode="External"/><Relationship Id="rId8471" Type="http://schemas.openxmlformats.org/officeDocument/2006/relationships/hyperlink" Target="https://twitter.com/CarstenDierig/status/723594914827788289" TargetMode="External"/><Relationship Id="rId9108" Type="http://schemas.openxmlformats.org/officeDocument/2006/relationships/hyperlink" Target="https://twitter.com/cleanstrom/status/723945690867576833" TargetMode="External"/><Relationship Id="rId9522" Type="http://schemas.openxmlformats.org/officeDocument/2006/relationships/hyperlink" Target="https://twitter.com/nicolaikr/status/724193984667619328" TargetMode="External"/><Relationship Id="rId1511" Type="http://schemas.openxmlformats.org/officeDocument/2006/relationships/hyperlink" Target="https://twitter.com/JCGeorghiou/status/721054826143080449" TargetMode="External"/><Relationship Id="rId4667" Type="http://schemas.openxmlformats.org/officeDocument/2006/relationships/hyperlink" Target="https://pbs.twimg.com/profile_images/448785638809026560/0Q5iF41s_normal.png" TargetMode="External"/><Relationship Id="rId5718" Type="http://schemas.openxmlformats.org/officeDocument/2006/relationships/hyperlink" Target="https://twitter.com/INDIZbot" TargetMode="External"/><Relationship Id="rId7073" Type="http://schemas.openxmlformats.org/officeDocument/2006/relationships/hyperlink" Target="https://twitter.com/kat2812/status/723250459515994112" TargetMode="External"/><Relationship Id="rId8124" Type="http://schemas.openxmlformats.org/officeDocument/2006/relationships/hyperlink" Target="https://twitter.com/centigradegmbh/status/723498762677706752" TargetMode="External"/><Relationship Id="rId10054" Type="http://schemas.openxmlformats.org/officeDocument/2006/relationships/hyperlink" Target="https://twitter.com/LilianaGorla" TargetMode="External"/><Relationship Id="rId3269" Type="http://schemas.openxmlformats.org/officeDocument/2006/relationships/hyperlink" Target="https://twitter.com/stahlmarkt/status/722336186019246081" TargetMode="External"/><Relationship Id="rId3683" Type="http://schemas.openxmlformats.org/officeDocument/2006/relationships/hyperlink" Target="https://twitter.com/ATKrakow" TargetMode="External"/><Relationship Id="rId7140" Type="http://schemas.openxmlformats.org/officeDocument/2006/relationships/hyperlink" Target="https://pbs.twimg.com/profile_images/645716711723925506/t5G0qOS6_normal.jpg" TargetMode="External"/><Relationship Id="rId2285" Type="http://schemas.openxmlformats.org/officeDocument/2006/relationships/hyperlink" Target="https://pbs.twimg.com/profile_images/667271327137587200/CLOinVH2_normal.png" TargetMode="External"/><Relationship Id="rId3336" Type="http://schemas.openxmlformats.org/officeDocument/2006/relationships/hyperlink" Target="https://pbs.twimg.com/profile_images/669471279158796288/iXgOCW46_normal.jpg" TargetMode="External"/><Relationship Id="rId4734" Type="http://schemas.openxmlformats.org/officeDocument/2006/relationships/hyperlink" Target="https://twitter.com/prxagentur" TargetMode="External"/><Relationship Id="rId10121" Type="http://schemas.openxmlformats.org/officeDocument/2006/relationships/hyperlink" Target="https://twitter.com/DigiRobotics/status/724337293469855744" TargetMode="External"/><Relationship Id="rId257" Type="http://schemas.openxmlformats.org/officeDocument/2006/relationships/hyperlink" Target="https://twitter.com/INDIZbot/status/720537463459024896" TargetMode="External"/><Relationship Id="rId3750" Type="http://schemas.openxmlformats.org/officeDocument/2006/relationships/hyperlink" Target="https://twitter.com/dictaJet/status/722416992158892032" TargetMode="External"/><Relationship Id="rId4801" Type="http://schemas.openxmlformats.org/officeDocument/2006/relationships/hyperlink" Target="https://twitter.com/markherten/status/722720827897225217" TargetMode="External"/><Relationship Id="rId7957" Type="http://schemas.openxmlformats.org/officeDocument/2006/relationships/hyperlink" Target="https://pbs.twimg.com/profile_images/717256648868372480/OVfKmogV_normal.jpg" TargetMode="External"/><Relationship Id="rId671" Type="http://schemas.openxmlformats.org/officeDocument/2006/relationships/hyperlink" Target="https://twitter.com/FabLabLondon" TargetMode="External"/><Relationship Id="rId2352" Type="http://schemas.openxmlformats.org/officeDocument/2006/relationships/hyperlink" Target="https://pbs.twimg.com/profile_images/645716711723925506/t5G0qOS6_normal.jpg" TargetMode="External"/><Relationship Id="rId3403" Type="http://schemas.openxmlformats.org/officeDocument/2006/relationships/hyperlink" Target="https://pbs.twimg.com/profile_images/662723326096224256/5V4KH9_O_normal.jpg" TargetMode="External"/><Relationship Id="rId6559" Type="http://schemas.openxmlformats.org/officeDocument/2006/relationships/hyperlink" Target="https://pbs.twimg.com/profile_images/471312276767535104/TIanhngf_normal.jpeg" TargetMode="External"/><Relationship Id="rId6973" Type="http://schemas.openxmlformats.org/officeDocument/2006/relationships/hyperlink" Target="https://twitter.com/nfoerster" TargetMode="External"/><Relationship Id="rId324" Type="http://schemas.openxmlformats.org/officeDocument/2006/relationships/hyperlink" Target="https://pbs.twimg.com/profile_images/464033027979354112/23dSqd5o_normal.jpeg" TargetMode="External"/><Relationship Id="rId2005" Type="http://schemas.openxmlformats.org/officeDocument/2006/relationships/hyperlink" Target="https://twitter.com/INDIZbot/status/721713032737501184" TargetMode="External"/><Relationship Id="rId5575" Type="http://schemas.openxmlformats.org/officeDocument/2006/relationships/hyperlink" Target="https://twitter.com/quickfindseotip/status/722857371341422592" TargetMode="External"/><Relationship Id="rId6626" Type="http://schemas.openxmlformats.org/officeDocument/2006/relationships/hyperlink" Target="https://pbs.twimg.com/profile_images/3144255624/af1d7d19c80d654f74385adb99291ab1_normal.png" TargetMode="External"/><Relationship Id="rId9032" Type="http://schemas.openxmlformats.org/officeDocument/2006/relationships/hyperlink" Target="https://twitter.com/MindCommerce" TargetMode="External"/><Relationship Id="rId1021" Type="http://schemas.openxmlformats.org/officeDocument/2006/relationships/hyperlink" Target="https://twitter.com/VDC_Fellbach" TargetMode="External"/><Relationship Id="rId4177" Type="http://schemas.openxmlformats.org/officeDocument/2006/relationships/hyperlink" Target="https://twitter.com/LReehten/status/722516353798840326" TargetMode="External"/><Relationship Id="rId4591" Type="http://schemas.openxmlformats.org/officeDocument/2006/relationships/hyperlink" Target="https://twitter.com/AltenaTCS/status/722707787491446784" TargetMode="External"/><Relationship Id="rId5228" Type="http://schemas.openxmlformats.org/officeDocument/2006/relationships/hyperlink" Target="https://pbs.twimg.com/profile_images/566346805752131584/AT6u6uJU_normal.jpeg" TargetMode="External"/><Relationship Id="rId5642" Type="http://schemas.openxmlformats.org/officeDocument/2006/relationships/hyperlink" Target="https://pbs.twimg.com/profile_images/722893980682362880/3c3Rk9yE_normal.jpg" TargetMode="External"/><Relationship Id="rId8798" Type="http://schemas.openxmlformats.org/officeDocument/2006/relationships/hyperlink" Target="https://twitter.com/BDI_TTIP/status/723814818164183041" TargetMode="External"/><Relationship Id="rId9849" Type="http://schemas.openxmlformats.org/officeDocument/2006/relationships/hyperlink" Target="https://pbs.twimg.com/profile_images/722098538604281856/CcBxk1_M_normal.jpg" TargetMode="External"/><Relationship Id="rId3193" Type="http://schemas.openxmlformats.org/officeDocument/2006/relationships/hyperlink" Target="https://twitter.com/INDIZbot" TargetMode="External"/><Relationship Id="rId4244" Type="http://schemas.openxmlformats.org/officeDocument/2006/relationships/hyperlink" Target="https://pbs.twimg.com/profile_images/721423009114931200/0w9BDsO3_normal.jpg" TargetMode="External"/><Relationship Id="rId1838" Type="http://schemas.openxmlformats.org/officeDocument/2006/relationships/hyperlink" Target="https://twitter.com/IT_Connection/status/721429266127306752" TargetMode="External"/><Relationship Id="rId3260" Type="http://schemas.openxmlformats.org/officeDocument/2006/relationships/hyperlink" Target="https://twitter.com/Fraunhofer/status/722331734826684416" TargetMode="External"/><Relationship Id="rId4311" Type="http://schemas.openxmlformats.org/officeDocument/2006/relationships/hyperlink" Target="https://twitter.com/INDIZbot" TargetMode="External"/><Relationship Id="rId7467" Type="http://schemas.openxmlformats.org/officeDocument/2006/relationships/hyperlink" Target="https://twitter.com/HilgerVoss" TargetMode="External"/><Relationship Id="rId8865" Type="http://schemas.openxmlformats.org/officeDocument/2006/relationships/hyperlink" Target="https://pbs.twimg.com/profile_images/609375510158774272/P5glOk4b_normal.jpg" TargetMode="External"/><Relationship Id="rId9916" Type="http://schemas.openxmlformats.org/officeDocument/2006/relationships/hyperlink" Target="https://twitter.com/Balluff" TargetMode="External"/><Relationship Id="rId181" Type="http://schemas.openxmlformats.org/officeDocument/2006/relationships/hyperlink" Target="https://twitter.com/INDIZbot" TargetMode="External"/><Relationship Id="rId1905" Type="http://schemas.openxmlformats.org/officeDocument/2006/relationships/hyperlink" Target="https://twitter.com/ITnet_TH/status/721625233573195776" TargetMode="External"/><Relationship Id="rId6069" Type="http://schemas.openxmlformats.org/officeDocument/2006/relationships/hyperlink" Target="https://twitter.com/kommoptimierer/status/723073902134603778" TargetMode="External"/><Relationship Id="rId7881" Type="http://schemas.openxmlformats.org/officeDocument/2006/relationships/hyperlink" Target="https://pbs.twimg.com/profile_images/1607450424/1105_JME_Low_Res_short_normal.jpg" TargetMode="External"/><Relationship Id="rId8518" Type="http://schemas.openxmlformats.org/officeDocument/2006/relationships/hyperlink" Target="https://twitter.com/INDIZbot" TargetMode="External"/><Relationship Id="rId8932" Type="http://schemas.openxmlformats.org/officeDocument/2006/relationships/hyperlink" Target="https://twitter.com/_damoca" TargetMode="External"/><Relationship Id="rId5085" Type="http://schemas.openxmlformats.org/officeDocument/2006/relationships/hyperlink" Target="https://pbs.twimg.com/profile_images/535016038396461058/q8XuQHUG_normal.png" TargetMode="External"/><Relationship Id="rId6483" Type="http://schemas.openxmlformats.org/officeDocument/2006/relationships/hyperlink" Target="https://twitter.com/clarissahaller/status/723131416213598209" TargetMode="External"/><Relationship Id="rId7534" Type="http://schemas.openxmlformats.org/officeDocument/2006/relationships/hyperlink" Target="https://twitter.com/CompetitorsNews/status/723413241867567104" TargetMode="External"/><Relationship Id="rId998" Type="http://schemas.openxmlformats.org/officeDocument/2006/relationships/hyperlink" Target="https://twitter.com/YJ_Vesco/status/720882708067389441" TargetMode="External"/><Relationship Id="rId2679" Type="http://schemas.openxmlformats.org/officeDocument/2006/relationships/hyperlink" Target="https://twitter.com/LNI40" TargetMode="External"/><Relationship Id="rId6136" Type="http://schemas.openxmlformats.org/officeDocument/2006/relationships/hyperlink" Target="https://twitter.com/SAP_IoT/status/723079335461183488" TargetMode="External"/><Relationship Id="rId6550" Type="http://schemas.openxmlformats.org/officeDocument/2006/relationships/hyperlink" Target="https://pbs.twimg.com/profile_images/471312276767535104/TIanhngf_normal.jpeg" TargetMode="External"/><Relationship Id="rId7601" Type="http://schemas.openxmlformats.org/officeDocument/2006/relationships/hyperlink" Target="https://pbs.twimg.com/profile_images/465817969902092288/sEIgw9Gb_normal.jpeg" TargetMode="External"/><Relationship Id="rId1695" Type="http://schemas.openxmlformats.org/officeDocument/2006/relationships/hyperlink" Target="https://pbs.twimg.com/profile_images/697158646841610240/jndBu0u2_normal.jpg" TargetMode="External"/><Relationship Id="rId2746" Type="http://schemas.openxmlformats.org/officeDocument/2006/relationships/hyperlink" Target="https://twitter.com/ThingsExpo/status/722112891416158208" TargetMode="External"/><Relationship Id="rId5152" Type="http://schemas.openxmlformats.org/officeDocument/2006/relationships/hyperlink" Target="https://twitter.com/packagingJ" TargetMode="External"/><Relationship Id="rId6203" Type="http://schemas.openxmlformats.org/officeDocument/2006/relationships/hyperlink" Target="https://pbs.twimg.com/profile_images/703485385662451712/O77nJKVS_normal.jpg" TargetMode="External"/><Relationship Id="rId9359" Type="http://schemas.openxmlformats.org/officeDocument/2006/relationships/hyperlink" Target="https://twitter.com/kommoptimierer" TargetMode="External"/><Relationship Id="rId9773" Type="http://schemas.openxmlformats.org/officeDocument/2006/relationships/hyperlink" Target="https://twitter.com/_bluebiz/status/724248734532550656" TargetMode="External"/><Relationship Id="rId718" Type="http://schemas.openxmlformats.org/officeDocument/2006/relationships/hyperlink" Target="https://pbs.twimg.com/profile_images/645716711723925506/t5G0qOS6_normal.jpg" TargetMode="External"/><Relationship Id="rId1348" Type="http://schemas.openxmlformats.org/officeDocument/2006/relationships/hyperlink" Target="https://twitter.com/PureChrifu" TargetMode="External"/><Relationship Id="rId1762" Type="http://schemas.openxmlformats.org/officeDocument/2006/relationships/hyperlink" Target="https://twitter.com/INDIZbot" TargetMode="External"/><Relationship Id="rId8375" Type="http://schemas.openxmlformats.org/officeDocument/2006/relationships/hyperlink" Target="https://pbs.twimg.com/profile_images/609282657671843840/cSGuLspa_normal.jpg" TargetMode="External"/><Relationship Id="rId9426" Type="http://schemas.openxmlformats.org/officeDocument/2006/relationships/hyperlink" Target="https://twitter.com/INDIZbot/status/724174070430994432" TargetMode="External"/><Relationship Id="rId1415" Type="http://schemas.openxmlformats.org/officeDocument/2006/relationships/hyperlink" Target="https://twitter.com/INDIZbot" TargetMode="External"/><Relationship Id="rId2813" Type="http://schemas.openxmlformats.org/officeDocument/2006/relationships/hyperlink" Target="https://pbs.twimg.com/profile_images/528332865/fj_normal.jpg" TargetMode="External"/><Relationship Id="rId5969" Type="http://schemas.openxmlformats.org/officeDocument/2006/relationships/hyperlink" Target="https://twitter.com/FM_Elektro" TargetMode="External"/><Relationship Id="rId7391" Type="http://schemas.openxmlformats.org/officeDocument/2006/relationships/hyperlink" Target="https://twitter.com/MindCommerce" TargetMode="External"/><Relationship Id="rId8028" Type="http://schemas.openxmlformats.org/officeDocument/2006/relationships/hyperlink" Target="https://twitter.com/ATNplus/status/723482569564631040" TargetMode="External"/><Relationship Id="rId8442" Type="http://schemas.openxmlformats.org/officeDocument/2006/relationships/hyperlink" Target="https://pbs.twimg.com/profile_images/694550286229069824/R7e0co4w_normal.jpg" TargetMode="External"/><Relationship Id="rId9840" Type="http://schemas.openxmlformats.org/officeDocument/2006/relationships/hyperlink" Target="https://pbs.twimg.com/profile_images/698878290594025472/4o6U1isf_normal.jpg" TargetMode="External"/><Relationship Id="rId54" Type="http://schemas.openxmlformats.org/officeDocument/2006/relationships/hyperlink" Target="https://pbs.twimg.com/profile_images/609353055839064064/G4xcQR7r_normal.jpg" TargetMode="External"/><Relationship Id="rId4985" Type="http://schemas.openxmlformats.org/officeDocument/2006/relationships/hyperlink" Target="https://twitter.com/FK_Verband/status/722746497909923840" TargetMode="External"/><Relationship Id="rId7044" Type="http://schemas.openxmlformats.org/officeDocument/2006/relationships/hyperlink" Target="https://pbs.twimg.com/profile_images/689489673270509572/SdYuHEEE_normal.jpg" TargetMode="External"/><Relationship Id="rId2189" Type="http://schemas.openxmlformats.org/officeDocument/2006/relationships/hyperlink" Target="https://twitter.com/SICK_Karriere/status/721957427881631744" TargetMode="External"/><Relationship Id="rId3587" Type="http://schemas.openxmlformats.org/officeDocument/2006/relationships/hyperlink" Target="https://twitter.com/DerKonstrukteu" TargetMode="External"/><Relationship Id="rId4638" Type="http://schemas.openxmlformats.org/officeDocument/2006/relationships/hyperlink" Target="https://twitter.com/BitkomResearch" TargetMode="External"/><Relationship Id="rId6060" Type="http://schemas.openxmlformats.org/officeDocument/2006/relationships/hyperlink" Target="https://twitter.com/EFFRA_Live/status/723073710144380928" TargetMode="External"/><Relationship Id="rId10025" Type="http://schemas.openxmlformats.org/officeDocument/2006/relationships/hyperlink" Target="https://twitter.com/PB2013PB/status/724301375249723392" TargetMode="External"/><Relationship Id="rId3654" Type="http://schemas.openxmlformats.org/officeDocument/2006/relationships/hyperlink" Target="https://twitter.com/INDIZbot/status/722394824628944896" TargetMode="External"/><Relationship Id="rId4705" Type="http://schemas.openxmlformats.org/officeDocument/2006/relationships/hyperlink" Target="https://twitter.com/lutzrach/status/722711741059219456" TargetMode="External"/><Relationship Id="rId7111" Type="http://schemas.openxmlformats.org/officeDocument/2006/relationships/hyperlink" Target="https://twitter.com/INDIZbot" TargetMode="External"/><Relationship Id="rId575" Type="http://schemas.openxmlformats.org/officeDocument/2006/relationships/hyperlink" Target="https://twitter.com/Becker_AnnaLisa" TargetMode="External"/><Relationship Id="rId2256" Type="http://schemas.openxmlformats.org/officeDocument/2006/relationships/hyperlink" Target="https://twitter.com/innovationbawue/status/721971902101762048" TargetMode="External"/><Relationship Id="rId2670" Type="http://schemas.openxmlformats.org/officeDocument/2006/relationships/hyperlink" Target="https://twitter.com/INDIZbot" TargetMode="External"/><Relationship Id="rId3307" Type="http://schemas.openxmlformats.org/officeDocument/2006/relationships/hyperlink" Target="https://twitter.com/thomas_leubner" TargetMode="External"/><Relationship Id="rId3721" Type="http://schemas.openxmlformats.org/officeDocument/2006/relationships/hyperlink" Target="https://pbs.twimg.com/profile_images/3078390929/8847ca0ee77a15179992b5695c5c4905_normal.png" TargetMode="External"/><Relationship Id="rId6877" Type="http://schemas.openxmlformats.org/officeDocument/2006/relationships/hyperlink" Target="https://twitter.com/INDIZbot" TargetMode="External"/><Relationship Id="rId7928" Type="http://schemas.openxmlformats.org/officeDocument/2006/relationships/hyperlink" Target="https://twitter.com/verlinked/status/723466437054988288" TargetMode="External"/><Relationship Id="rId9283" Type="http://schemas.openxmlformats.org/officeDocument/2006/relationships/hyperlink" Target="https://pbs.twimg.com/profile_images/645716711723925506/t5G0qOS6_normal.jpg" TargetMode="External"/><Relationship Id="rId228" Type="http://schemas.openxmlformats.org/officeDocument/2006/relationships/hyperlink" Target="https://pbs.twimg.com/profile_images/645716711723925506/t5G0qOS6_normal.jpg" TargetMode="External"/><Relationship Id="rId642" Type="http://schemas.openxmlformats.org/officeDocument/2006/relationships/hyperlink" Target="https://twitter.com/GalatiRita/status/720649131677642758" TargetMode="External"/><Relationship Id="rId1272" Type="http://schemas.openxmlformats.org/officeDocument/2006/relationships/hyperlink" Target="https://pbs.twimg.com/profile_images/2587030253/image_normal.jpg" TargetMode="External"/><Relationship Id="rId2323" Type="http://schemas.openxmlformats.org/officeDocument/2006/relationships/hyperlink" Target="https://twitter.com/AndreasKaemmer" TargetMode="External"/><Relationship Id="rId5479" Type="http://schemas.openxmlformats.org/officeDocument/2006/relationships/hyperlink" Target="https://twitter.com/INDIZbot/status/722815297896509443" TargetMode="External"/><Relationship Id="rId5893" Type="http://schemas.openxmlformats.org/officeDocument/2006/relationships/hyperlink" Target="https://pbs.twimg.com/profile_images/601673968551075840/MnulnKkj_normal.png" TargetMode="External"/><Relationship Id="rId9350" Type="http://schemas.openxmlformats.org/officeDocument/2006/relationships/hyperlink" Target="https://twitter.com/GTAI_com" TargetMode="External"/><Relationship Id="rId4495" Type="http://schemas.openxmlformats.org/officeDocument/2006/relationships/hyperlink" Target="https://twitter.com/FHNWTechnik/status/722699424099647488" TargetMode="External"/><Relationship Id="rId5546" Type="http://schemas.openxmlformats.org/officeDocument/2006/relationships/hyperlink" Target="https://pbs.twimg.com/profile_images/561208179355185153/11KDu7Gt_normal.png" TargetMode="External"/><Relationship Id="rId6944" Type="http://schemas.openxmlformats.org/officeDocument/2006/relationships/hyperlink" Target="https://twitter.com/MicrocityNE/status/723202534022742016" TargetMode="External"/><Relationship Id="rId9003" Type="http://schemas.openxmlformats.org/officeDocument/2006/relationships/hyperlink" Target="https://pbs.twimg.com/profile_images/690218859895373824/JEdDRzpE_normal.jpg" TargetMode="External"/><Relationship Id="rId3097" Type="http://schemas.openxmlformats.org/officeDocument/2006/relationships/hyperlink" Target="https://twitter.com/WRS_GmbH/status/722313722904059904" TargetMode="External"/><Relationship Id="rId4148" Type="http://schemas.openxmlformats.org/officeDocument/2006/relationships/hyperlink" Target="https://pbs.twimg.com/profile_images/623849156159868928/BetFDR_i_normal.jpg" TargetMode="External"/><Relationship Id="rId5960" Type="http://schemas.openxmlformats.org/officeDocument/2006/relationships/hyperlink" Target="https://twitter.com/croXXing_IBD" TargetMode="External"/><Relationship Id="rId3164" Type="http://schemas.openxmlformats.org/officeDocument/2006/relationships/hyperlink" Target="https://pbs.twimg.com/profile_images/684325175849037824/2vFq058g_normal.jpg" TargetMode="External"/><Relationship Id="rId4562" Type="http://schemas.openxmlformats.org/officeDocument/2006/relationships/hyperlink" Target="https://pbs.twimg.com/profile_images/572721926804488192/AGAGHTgy_normal.jpeg" TargetMode="External"/><Relationship Id="rId5613" Type="http://schemas.openxmlformats.org/officeDocument/2006/relationships/hyperlink" Target="https://twitter.com/QuickFindsIn" TargetMode="External"/><Relationship Id="rId8769" Type="http://schemas.openxmlformats.org/officeDocument/2006/relationships/hyperlink" Target="https://pbs.twimg.com/profile_images/525998513264410624/ZHDocuJo_normal.jpeg" TargetMode="External"/><Relationship Id="rId1809" Type="http://schemas.openxmlformats.org/officeDocument/2006/relationships/hyperlink" Target="https://pbs.twimg.com/profile_images/2181612837/Johann_normal.jpg" TargetMode="External"/><Relationship Id="rId4215" Type="http://schemas.openxmlformats.org/officeDocument/2006/relationships/hyperlink" Target="https://twitter.com/textilmode" TargetMode="External"/><Relationship Id="rId7785" Type="http://schemas.openxmlformats.org/officeDocument/2006/relationships/hyperlink" Target="https://pbs.twimg.com/profile_images/487146678911135745/YAXVrlm-_normal.png" TargetMode="External"/><Relationship Id="rId8836" Type="http://schemas.openxmlformats.org/officeDocument/2006/relationships/hyperlink" Target="https://twitter.com/JuergenAnke" TargetMode="External"/><Relationship Id="rId2180" Type="http://schemas.openxmlformats.org/officeDocument/2006/relationships/hyperlink" Target="https://twitter.com/INDIZbot/status/721956715562971136" TargetMode="External"/><Relationship Id="rId3231" Type="http://schemas.openxmlformats.org/officeDocument/2006/relationships/hyperlink" Target="https://pbs.twimg.com/profile_images/645716711723925506/t5G0qOS6_normal.jpg" TargetMode="External"/><Relationship Id="rId6387" Type="http://schemas.openxmlformats.org/officeDocument/2006/relationships/hyperlink" Target="https://twitter.com/SGE/status/723118424059158528" TargetMode="External"/><Relationship Id="rId7438" Type="http://schemas.openxmlformats.org/officeDocument/2006/relationships/hyperlink" Target="https://pbs.twimg.com/profile_images/459331247488004096/2K0groDQ_normal.png" TargetMode="External"/><Relationship Id="rId7852" Type="http://schemas.openxmlformats.org/officeDocument/2006/relationships/hyperlink" Target="https://twitter.com/aboutschuldt" TargetMode="External"/><Relationship Id="rId8903" Type="http://schemas.openxmlformats.org/officeDocument/2006/relationships/hyperlink" Target="https://twitter.com/MECSPE/status/723856262253912064" TargetMode="External"/><Relationship Id="rId152" Type="http://schemas.openxmlformats.org/officeDocument/2006/relationships/hyperlink" Target="https://twitter.com/asauguet/status/720520833035300864" TargetMode="External"/><Relationship Id="rId2997" Type="http://schemas.openxmlformats.org/officeDocument/2006/relationships/hyperlink" Target="https://twitter.com/APGuha/status/722262968566571009" TargetMode="External"/><Relationship Id="rId6454" Type="http://schemas.openxmlformats.org/officeDocument/2006/relationships/hyperlink" Target="https://pbs.twimg.com/profile_images/3286498945/83c49690655e24688ac62bd4fdc079ea_normal.jpeg" TargetMode="External"/><Relationship Id="rId7505" Type="http://schemas.openxmlformats.org/officeDocument/2006/relationships/hyperlink" Target="https://pbs.twimg.com/profile_images/689200589851508737/q7a1TiZV_normal.jpg" TargetMode="External"/><Relationship Id="rId969" Type="http://schemas.openxmlformats.org/officeDocument/2006/relationships/hyperlink" Target="https://pbs.twimg.com/profile_images/645716711723925506/t5G0qOS6_normal.jpg" TargetMode="External"/><Relationship Id="rId1599" Type="http://schemas.openxmlformats.org/officeDocument/2006/relationships/hyperlink" Target="https://pbs.twimg.com/profile_images/465817969902092288/sEIgw9Gb_normal.jpeg" TargetMode="External"/><Relationship Id="rId5056" Type="http://schemas.openxmlformats.org/officeDocument/2006/relationships/hyperlink" Target="https://twitter.com/NeleReimers" TargetMode="External"/><Relationship Id="rId5470" Type="http://schemas.openxmlformats.org/officeDocument/2006/relationships/hyperlink" Target="https://twitter.com/Faheem_Farooq/status/722813817944678400" TargetMode="External"/><Relationship Id="rId6107" Type="http://schemas.openxmlformats.org/officeDocument/2006/relationships/hyperlink" Target="https://twitter.com/HESSENMETALL" TargetMode="External"/><Relationship Id="rId6521" Type="http://schemas.openxmlformats.org/officeDocument/2006/relationships/hyperlink" Target="https://twitter.com/INDIZbot" TargetMode="External"/><Relationship Id="rId9677" Type="http://schemas.openxmlformats.org/officeDocument/2006/relationships/hyperlink" Target="https://twitter.com/MSEnterpriseDE" TargetMode="External"/><Relationship Id="rId4072" Type="http://schemas.openxmlformats.org/officeDocument/2006/relationships/hyperlink" Target="https://twitter.com/machinads_com/status/722496028193267712" TargetMode="External"/><Relationship Id="rId5123" Type="http://schemas.openxmlformats.org/officeDocument/2006/relationships/hyperlink" Target="https://twitter.com/ahk_frankreich/status/722761471625547776" TargetMode="External"/><Relationship Id="rId8279" Type="http://schemas.openxmlformats.org/officeDocument/2006/relationships/hyperlink" Target="https://pbs.twimg.com/profile_images/705044001309794304/B3gEcfIM_normal.jpg" TargetMode="External"/><Relationship Id="rId1666" Type="http://schemas.openxmlformats.org/officeDocument/2006/relationships/hyperlink" Target="https://twitter.com/TheDavidCairns" TargetMode="External"/><Relationship Id="rId2717" Type="http://schemas.openxmlformats.org/officeDocument/2006/relationships/hyperlink" Target="https://pbs.twimg.com/profile_images/647332458573099008/HN8uONVI_normal.jpg" TargetMode="External"/><Relationship Id="rId7295" Type="http://schemas.openxmlformats.org/officeDocument/2006/relationships/hyperlink" Target="https://twitter.com/INDIZbot/status/723393826581147648" TargetMode="External"/><Relationship Id="rId8693" Type="http://schemas.openxmlformats.org/officeDocument/2006/relationships/hyperlink" Target="https://twitter.com/BOLDLYGO_FFM/status/723790814103654400" TargetMode="External"/><Relationship Id="rId9744" Type="http://schemas.openxmlformats.org/officeDocument/2006/relationships/hyperlink" Target="https://twitter.com/RolandDuerre" TargetMode="External"/><Relationship Id="rId1319" Type="http://schemas.openxmlformats.org/officeDocument/2006/relationships/hyperlink" Target="https://twitter.com/ludivineallard2/status/720958942227140608" TargetMode="External"/><Relationship Id="rId1733" Type="http://schemas.openxmlformats.org/officeDocument/2006/relationships/hyperlink" Target="https://twitter.com/Nicolas__Maury/status/721341568683286528" TargetMode="External"/><Relationship Id="rId4889" Type="http://schemas.openxmlformats.org/officeDocument/2006/relationships/hyperlink" Target="https://pbs.twimg.com/profile_images/1672470997/Longjeur_normal.gif" TargetMode="External"/><Relationship Id="rId8346" Type="http://schemas.openxmlformats.org/officeDocument/2006/relationships/hyperlink" Target="https://twitter.com/LReehten" TargetMode="External"/><Relationship Id="rId8760" Type="http://schemas.openxmlformats.org/officeDocument/2006/relationships/hyperlink" Target="https://pbs.twimg.com/profile_images/489067160/5-1024_normal.jpg" TargetMode="External"/><Relationship Id="rId9811" Type="http://schemas.openxmlformats.org/officeDocument/2006/relationships/hyperlink" Target="https://twitter.com/Balluff" TargetMode="External"/><Relationship Id="rId10276" Type="http://schemas.openxmlformats.org/officeDocument/2006/relationships/hyperlink" Target="https://twitter.com/MarkusPeter" TargetMode="External"/><Relationship Id="rId25" Type="http://schemas.openxmlformats.org/officeDocument/2006/relationships/hyperlink" Target="https://twitter.com/Svenastheimer" TargetMode="External"/><Relationship Id="rId1800" Type="http://schemas.openxmlformats.org/officeDocument/2006/relationships/hyperlink" Target="https://pbs.twimg.com/profile_images/667622351345950720/HAHOiaMn_normal.jpg" TargetMode="External"/><Relationship Id="rId4956" Type="http://schemas.openxmlformats.org/officeDocument/2006/relationships/hyperlink" Target="https://twitter.com/AltenaTCS" TargetMode="External"/><Relationship Id="rId7362" Type="http://schemas.openxmlformats.org/officeDocument/2006/relationships/hyperlink" Target="https://twitter.com/IoTMinded/status/723403221364953088" TargetMode="External"/><Relationship Id="rId8413" Type="http://schemas.openxmlformats.org/officeDocument/2006/relationships/hyperlink" Target="https://twitter.com/Philip_W_Morris" TargetMode="External"/><Relationship Id="rId10343" Type="http://schemas.openxmlformats.org/officeDocument/2006/relationships/hyperlink" Target="https://twitter.com/NaciraSALVAN/status/724469404352806912" TargetMode="External"/><Relationship Id="rId3558" Type="http://schemas.openxmlformats.org/officeDocument/2006/relationships/hyperlink" Target="https://twitter.com/DerKonstrukteu/status/722376421960781825" TargetMode="External"/><Relationship Id="rId3972" Type="http://schemas.openxmlformats.org/officeDocument/2006/relationships/hyperlink" Target="https://twitter.com/croXXing_IBD/status/722463429445951488" TargetMode="External"/><Relationship Id="rId4609" Type="http://schemas.openxmlformats.org/officeDocument/2006/relationships/hyperlink" Target="https://twitter.com/catkinEU/status/722708910604468225" TargetMode="External"/><Relationship Id="rId7015" Type="http://schemas.openxmlformats.org/officeDocument/2006/relationships/hyperlink" Target="https://twitter.com/Angelinux3000" TargetMode="External"/><Relationship Id="rId479" Type="http://schemas.openxmlformats.org/officeDocument/2006/relationships/hyperlink" Target="https://twitter.com/ROKAutoCHIT" TargetMode="External"/><Relationship Id="rId893" Type="http://schemas.openxmlformats.org/officeDocument/2006/relationships/hyperlink" Target="https://pbs.twimg.com/profile_images/562224809635893251/EqGfRP_d_normal.png" TargetMode="External"/><Relationship Id="rId2574" Type="http://schemas.openxmlformats.org/officeDocument/2006/relationships/hyperlink" Target="https://pbs.twimg.com/profile_images/719538951988592641/7lKnB2dG_normal.jpg" TargetMode="External"/><Relationship Id="rId3625" Type="http://schemas.openxmlformats.org/officeDocument/2006/relationships/hyperlink" Target="https://pbs.twimg.com/profile_images/601673968551075840/MnulnKkj_normal.png" TargetMode="External"/><Relationship Id="rId6031" Type="http://schemas.openxmlformats.org/officeDocument/2006/relationships/hyperlink" Target="https://pbs.twimg.com/profile_images/685894100067991553/nISPLP0O_normal.jpg" TargetMode="External"/><Relationship Id="rId9187" Type="http://schemas.openxmlformats.org/officeDocument/2006/relationships/hyperlink" Target="https://pbs.twimg.com/profile_images/667622351345950720/HAHOiaMn_normal.jpg" TargetMode="External"/><Relationship Id="rId546" Type="http://schemas.openxmlformats.org/officeDocument/2006/relationships/hyperlink" Target="https://twitter.com/FalcoCS/status/720617481279270912" TargetMode="External"/><Relationship Id="rId1176" Type="http://schemas.openxmlformats.org/officeDocument/2006/relationships/hyperlink" Target="https://pbs.twimg.com/profile_images/623103587527344128/2HZGdh68_normal.png" TargetMode="External"/><Relationship Id="rId2227" Type="http://schemas.openxmlformats.org/officeDocument/2006/relationships/hyperlink" Target="https://twitter.com/business_ruhr" TargetMode="External"/><Relationship Id="rId9254" Type="http://schemas.openxmlformats.org/officeDocument/2006/relationships/hyperlink" Target="https://twitter.com/GhadaElAlfi" TargetMode="External"/><Relationship Id="rId960" Type="http://schemas.openxmlformats.org/officeDocument/2006/relationships/hyperlink" Target="https://pbs.twimg.com/profile_images/614378514989629440/hsR4Wlja_normal.jpg" TargetMode="External"/><Relationship Id="rId1243" Type="http://schemas.openxmlformats.org/officeDocument/2006/relationships/hyperlink" Target="https://twitter.com/conosco" TargetMode="External"/><Relationship Id="rId1590" Type="http://schemas.openxmlformats.org/officeDocument/2006/relationships/hyperlink" Target="https://pbs.twimg.com/profile_images/3470756653/9f9c3629840fad27aafed3265b77c062_normal.png" TargetMode="External"/><Relationship Id="rId2641" Type="http://schemas.openxmlformats.org/officeDocument/2006/relationships/hyperlink" Target="https://pbs.twimg.com/profile_images/722098538604281856/CcBxk1_M_normal.jpg" TargetMode="External"/><Relationship Id="rId4399" Type="http://schemas.openxmlformats.org/officeDocument/2006/relationships/hyperlink" Target="https://twitter.com/HECGmbH/status/722686814767726592" TargetMode="External"/><Relationship Id="rId5797" Type="http://schemas.openxmlformats.org/officeDocument/2006/relationships/hyperlink" Target="https://twitter.com/MEArbeitgeber/status/723043221249642496" TargetMode="External"/><Relationship Id="rId6848" Type="http://schemas.openxmlformats.org/officeDocument/2006/relationships/hyperlink" Target="https://twitter.com/CloudExperten/status/723179256382140416" TargetMode="External"/><Relationship Id="rId8270" Type="http://schemas.openxmlformats.org/officeDocument/2006/relationships/hyperlink" Target="https://pbs.twimg.com/profile_images/615797525040136192/CKF9-v_o_normal.jpg" TargetMode="External"/><Relationship Id="rId613" Type="http://schemas.openxmlformats.org/officeDocument/2006/relationships/hyperlink" Target="https://pbs.twimg.com/profile_images/645716711723925506/t5G0qOS6_normal.jpg" TargetMode="External"/><Relationship Id="rId5864" Type="http://schemas.openxmlformats.org/officeDocument/2006/relationships/hyperlink" Target="https://twitter.com/itsOWL_Cluster" TargetMode="External"/><Relationship Id="rId6915" Type="http://schemas.openxmlformats.org/officeDocument/2006/relationships/hyperlink" Target="https://pbs.twimg.com/profile_images/566986293888835584/_uYTcau__normal.png" TargetMode="External"/><Relationship Id="rId9321" Type="http://schemas.openxmlformats.org/officeDocument/2006/relationships/hyperlink" Target="https://twitter.com/INDIZbot/status/724138597188808705" TargetMode="External"/><Relationship Id="rId1310" Type="http://schemas.openxmlformats.org/officeDocument/2006/relationships/hyperlink" Target="https://twitter.com/MeinGeldMedien/status/720952577366564864" TargetMode="External"/><Relationship Id="rId4466" Type="http://schemas.openxmlformats.org/officeDocument/2006/relationships/hyperlink" Target="https://twitter.com/ANIS_RO/status/722697391137243138" TargetMode="External"/><Relationship Id="rId4880" Type="http://schemas.openxmlformats.org/officeDocument/2006/relationships/hyperlink" Target="https://pbs.twimg.com/profile_images/687630441893900288/RvOaRxIg_normal.jpg" TargetMode="External"/><Relationship Id="rId5517" Type="http://schemas.openxmlformats.org/officeDocument/2006/relationships/hyperlink" Target="https://twitter.com/INDIZbot" TargetMode="External"/><Relationship Id="rId5931" Type="http://schemas.openxmlformats.org/officeDocument/2006/relationships/hyperlink" Target="https://twitter.com/ManaleOss/status/723062302568681472" TargetMode="External"/><Relationship Id="rId3068" Type="http://schemas.openxmlformats.org/officeDocument/2006/relationships/hyperlink" Target="https://pbs.twimg.com/profile_images/662723326096224256/5V4KH9_O_normal.jpg" TargetMode="External"/><Relationship Id="rId3482" Type="http://schemas.openxmlformats.org/officeDocument/2006/relationships/hyperlink" Target="https://twitter.com/markherten" TargetMode="External"/><Relationship Id="rId4119" Type="http://schemas.openxmlformats.org/officeDocument/2006/relationships/hyperlink" Target="https://twitter.com/Angela_Josephs" TargetMode="External"/><Relationship Id="rId4533" Type="http://schemas.openxmlformats.org/officeDocument/2006/relationships/hyperlink" Target="https://twitter.com/BSAHbiz" TargetMode="External"/><Relationship Id="rId7689" Type="http://schemas.openxmlformats.org/officeDocument/2006/relationships/hyperlink" Target="https://twitter.com/ClementineHule" TargetMode="External"/><Relationship Id="rId2084" Type="http://schemas.openxmlformats.org/officeDocument/2006/relationships/hyperlink" Target="https://pbs.twimg.com/profile_images/662723326096224256/5V4KH9_O_normal.jpg" TargetMode="External"/><Relationship Id="rId3135" Type="http://schemas.openxmlformats.org/officeDocument/2006/relationships/hyperlink" Target="https://twitter.com/LReehten" TargetMode="External"/><Relationship Id="rId4600" Type="http://schemas.openxmlformats.org/officeDocument/2006/relationships/hyperlink" Target="https://twitter.com/ElkeStei/status/722707966525337600" TargetMode="External"/><Relationship Id="rId7756" Type="http://schemas.openxmlformats.org/officeDocument/2006/relationships/hyperlink" Target="https://twitter.com/RobotsArmy/status/723430442716684288" TargetMode="External"/><Relationship Id="rId470" Type="http://schemas.openxmlformats.org/officeDocument/2006/relationships/hyperlink" Target="https://twitter.com/cmerhy" TargetMode="External"/><Relationship Id="rId2151" Type="http://schemas.openxmlformats.org/officeDocument/2006/relationships/hyperlink" Target="https://pbs.twimg.com/profile_images/714066105875238913/_zCsdrvR_normal.jpg" TargetMode="External"/><Relationship Id="rId3202" Type="http://schemas.openxmlformats.org/officeDocument/2006/relationships/hyperlink" Target="https://twitter.com/mbesch" TargetMode="External"/><Relationship Id="rId6358" Type="http://schemas.openxmlformats.org/officeDocument/2006/relationships/hyperlink" Target="https://twitter.com/SHC_GmbH" TargetMode="External"/><Relationship Id="rId7409" Type="http://schemas.openxmlformats.org/officeDocument/2006/relationships/hyperlink" Target="https://twitter.com/innovationbawue" TargetMode="External"/><Relationship Id="rId8807" Type="http://schemas.openxmlformats.org/officeDocument/2006/relationships/hyperlink" Target="https://twitter.com/Alleantiasrl/status/723816394819796993" TargetMode="External"/><Relationship Id="rId123" Type="http://schemas.openxmlformats.org/officeDocument/2006/relationships/hyperlink" Target="https://pbs.twimg.com/profile_images/723056722634371072/L0JFDAVN_normal.jpg" TargetMode="External"/><Relationship Id="rId5374" Type="http://schemas.openxmlformats.org/officeDocument/2006/relationships/hyperlink" Target="https://pbs.twimg.com/profile_images/440425795119374336/BDp2SFKw_normal.jpeg" TargetMode="External"/><Relationship Id="rId6772" Type="http://schemas.openxmlformats.org/officeDocument/2006/relationships/hyperlink" Target="https://twitter.com/SchneiderElecDE" TargetMode="External"/><Relationship Id="rId7823" Type="http://schemas.openxmlformats.org/officeDocument/2006/relationships/hyperlink" Target="https://twitter.com/thyssenkrupp/status/723442795139072000" TargetMode="External"/><Relationship Id="rId2968" Type="http://schemas.openxmlformats.org/officeDocument/2006/relationships/hyperlink" Target="https://pbs.twimg.com/profile_images/482488325/ck_twit_normal.jpg" TargetMode="External"/><Relationship Id="rId5027" Type="http://schemas.openxmlformats.org/officeDocument/2006/relationships/hyperlink" Target="https://twitter.com/SHC_GmbH/status/722749458383962112" TargetMode="External"/><Relationship Id="rId6425" Type="http://schemas.openxmlformats.org/officeDocument/2006/relationships/hyperlink" Target="https://twitter.com/AbockAngela" TargetMode="External"/><Relationship Id="rId9995" Type="http://schemas.openxmlformats.org/officeDocument/2006/relationships/hyperlink" Target="https://twitter.com/DengelY/status/724295511679897600" TargetMode="External"/><Relationship Id="rId1984" Type="http://schemas.openxmlformats.org/officeDocument/2006/relationships/hyperlink" Target="https://twitter.com/INDIZbot/status/721692904704634880" TargetMode="External"/><Relationship Id="rId4390" Type="http://schemas.openxmlformats.org/officeDocument/2006/relationships/hyperlink" Target="https://twitter.com/PASSnews/status/722686265653460993" TargetMode="External"/><Relationship Id="rId5441" Type="http://schemas.openxmlformats.org/officeDocument/2006/relationships/hyperlink" Target="https://pbs.twimg.com/profile_images/2619086509/ld3z97zhhdbs2essw7s9_normal.jpeg" TargetMode="External"/><Relationship Id="rId8597" Type="http://schemas.openxmlformats.org/officeDocument/2006/relationships/hyperlink" Target="https://twitter.com/ROKAutomationDE/status/723764622130434048" TargetMode="External"/><Relationship Id="rId9648" Type="http://schemas.openxmlformats.org/officeDocument/2006/relationships/hyperlink" Target="https://twitter.com/MicrosoftDE/status/724224462674079744" TargetMode="External"/><Relationship Id="rId1637" Type="http://schemas.openxmlformats.org/officeDocument/2006/relationships/hyperlink" Target="https://twitter.com/vielioertle/status/721251342770139136" TargetMode="External"/><Relationship Id="rId4043" Type="http://schemas.openxmlformats.org/officeDocument/2006/relationships/hyperlink" Target="https://twitter.com/ines_oppermann" TargetMode="External"/><Relationship Id="rId7199" Type="http://schemas.openxmlformats.org/officeDocument/2006/relationships/hyperlink" Target="https://twitter.com/neerajdeuskar79/status/723378212676341762" TargetMode="External"/><Relationship Id="rId8664" Type="http://schemas.openxmlformats.org/officeDocument/2006/relationships/hyperlink" Target="https://pbs.twimg.com/profile_images/669193589495345152/nJYiWy7H_normal.jpg" TargetMode="External"/><Relationship Id="rId9715" Type="http://schemas.openxmlformats.org/officeDocument/2006/relationships/hyperlink" Target="https://pbs.twimg.com/profile_images/645716711723925506/t5G0qOS6_normal.jpg" TargetMode="External"/><Relationship Id="rId1704" Type="http://schemas.openxmlformats.org/officeDocument/2006/relationships/hyperlink" Target="https://pbs.twimg.com/profile_images/591951396217327616/HbcCX2zX_normal.png" TargetMode="External"/><Relationship Id="rId4110" Type="http://schemas.openxmlformats.org/officeDocument/2006/relationships/hyperlink" Target="https://twitter.com/kommoptimierer" TargetMode="External"/><Relationship Id="rId7266" Type="http://schemas.openxmlformats.org/officeDocument/2006/relationships/hyperlink" Target="https://pbs.twimg.com/profile_images/459331247488004096/2K0groDQ_normal.png" TargetMode="External"/><Relationship Id="rId7680" Type="http://schemas.openxmlformats.org/officeDocument/2006/relationships/hyperlink" Target="https://twitter.com/Rhenatic" TargetMode="External"/><Relationship Id="rId8317" Type="http://schemas.openxmlformats.org/officeDocument/2006/relationships/hyperlink" Target="https://twitter.com/JeannetteSchol3/status/723531062190678017" TargetMode="External"/><Relationship Id="rId8731" Type="http://schemas.openxmlformats.org/officeDocument/2006/relationships/hyperlink" Target="https://twitter.com/INDIZbot" TargetMode="External"/><Relationship Id="rId10247" Type="http://schemas.openxmlformats.org/officeDocument/2006/relationships/hyperlink" Target="https://twitter.com/PeterKaridis/status/724392999598194688" TargetMode="External"/><Relationship Id="rId6282" Type="http://schemas.openxmlformats.org/officeDocument/2006/relationships/hyperlink" Target="https://twitter.com/SGE/status/723101862199701504" TargetMode="External"/><Relationship Id="rId7333" Type="http://schemas.openxmlformats.org/officeDocument/2006/relationships/hyperlink" Target="https://pbs.twimg.com/profile_images/695616618769092608/CuKL2LcQ_normal.jpg" TargetMode="External"/><Relationship Id="rId797" Type="http://schemas.openxmlformats.org/officeDocument/2006/relationships/hyperlink" Target="https://twitter.com/IT2Industry" TargetMode="External"/><Relationship Id="rId2478" Type="http://schemas.openxmlformats.org/officeDocument/2006/relationships/hyperlink" Target="https://pbs.twimg.com/profile_images/662723326096224256/5V4KH9_O_normal.jpg" TargetMode="External"/><Relationship Id="rId3876" Type="http://schemas.openxmlformats.org/officeDocument/2006/relationships/hyperlink" Target="https://twitter.com/charisma_expert/status/722445636113731584" TargetMode="External"/><Relationship Id="rId4927" Type="http://schemas.openxmlformats.org/officeDocument/2006/relationships/hyperlink" Target="https://twitter.com/mschottenhammer/status/722737715880574976" TargetMode="External"/><Relationship Id="rId10314" Type="http://schemas.openxmlformats.org/officeDocument/2006/relationships/hyperlink" Target="https://pbs.twimg.com/profile_images/711547897683300352/jXMuRekr_normal.jpg" TargetMode="External"/><Relationship Id="rId2892" Type="http://schemas.openxmlformats.org/officeDocument/2006/relationships/hyperlink" Target="https://twitter.com/INDIZbot/status/722150493296963584" TargetMode="External"/><Relationship Id="rId3529" Type="http://schemas.openxmlformats.org/officeDocument/2006/relationships/hyperlink" Target="https://pbs.twimg.com/profile_images/666911961599315968/aP7ID_qm_normal.png" TargetMode="External"/><Relationship Id="rId3943" Type="http://schemas.openxmlformats.org/officeDocument/2006/relationships/hyperlink" Target="https://pbs.twimg.com/profile_images/555327405187801088/bhizIjB-_normal.png" TargetMode="External"/><Relationship Id="rId6002" Type="http://schemas.openxmlformats.org/officeDocument/2006/relationships/hyperlink" Target="https://twitter.com/kklive" TargetMode="External"/><Relationship Id="rId7400" Type="http://schemas.openxmlformats.org/officeDocument/2006/relationships/hyperlink" Target="https://twitter.com/Wolf_Har" TargetMode="External"/><Relationship Id="rId9158" Type="http://schemas.openxmlformats.org/officeDocument/2006/relationships/hyperlink" Target="https://twitter.com/kommoptimierer" TargetMode="External"/><Relationship Id="rId864" Type="http://schemas.openxmlformats.org/officeDocument/2006/relationships/hyperlink" Target="https://twitter.com/hirschtec" TargetMode="External"/><Relationship Id="rId1494" Type="http://schemas.openxmlformats.org/officeDocument/2006/relationships/hyperlink" Target="https://pbs.twimg.com/profile_images/677512659554672640/2jnhRYHY_normal.jpg" TargetMode="External"/><Relationship Id="rId2545" Type="http://schemas.openxmlformats.org/officeDocument/2006/relationships/hyperlink" Target="https://twitter.com/genuanews/status/722058005211181056" TargetMode="External"/><Relationship Id="rId9572" Type="http://schemas.openxmlformats.org/officeDocument/2006/relationships/hyperlink" Target="https://twitter.com/RiemenspergerF" TargetMode="External"/><Relationship Id="rId517" Type="http://schemas.openxmlformats.org/officeDocument/2006/relationships/hyperlink" Target="https://pbs.twimg.com/profile_images/541146126158536704/IYardufS_normal.jpeg" TargetMode="External"/><Relationship Id="rId931" Type="http://schemas.openxmlformats.org/officeDocument/2006/relationships/hyperlink" Target="https://twitter.com/akrv1/status/720869393433952259" TargetMode="External"/><Relationship Id="rId1147" Type="http://schemas.openxmlformats.org/officeDocument/2006/relationships/hyperlink" Target="https://twitter.com/INDIZbot" TargetMode="External"/><Relationship Id="rId1561" Type="http://schemas.openxmlformats.org/officeDocument/2006/relationships/hyperlink" Target="https://twitter.com/alexicondor" TargetMode="External"/><Relationship Id="rId2612" Type="http://schemas.openxmlformats.org/officeDocument/2006/relationships/hyperlink" Target="https://twitter.com/JETZT_PRde/status/722067963520684032" TargetMode="External"/><Relationship Id="rId5768" Type="http://schemas.openxmlformats.org/officeDocument/2006/relationships/hyperlink" Target="https://pbs.twimg.com/profile_images/458696399211606016/rUZELqAc_normal.jpeg" TargetMode="External"/><Relationship Id="rId6819" Type="http://schemas.openxmlformats.org/officeDocument/2006/relationships/hyperlink" Target="https://pbs.twimg.com/profile_images/484308591910723584/icpo-IsD_normal.jpeg" TargetMode="External"/><Relationship Id="rId8174" Type="http://schemas.openxmlformats.org/officeDocument/2006/relationships/hyperlink" Target="https://twitter.com/betarepublik" TargetMode="External"/><Relationship Id="rId9225" Type="http://schemas.openxmlformats.org/officeDocument/2006/relationships/hyperlink" Target="https://twitter.com/msftmfg/status/724025061062115328" TargetMode="External"/><Relationship Id="rId1214" Type="http://schemas.openxmlformats.org/officeDocument/2006/relationships/hyperlink" Target="https://twitter.com/FK_Verband/status/720924569138241536" TargetMode="External"/><Relationship Id="rId4784" Type="http://schemas.openxmlformats.org/officeDocument/2006/relationships/hyperlink" Target="https://pbs.twimg.com/profile_images/570586847806357504/S9VbdCZX_normal.png" TargetMode="External"/><Relationship Id="rId5835" Type="http://schemas.openxmlformats.org/officeDocument/2006/relationships/hyperlink" Target="http://scoop.it/" TargetMode="External"/><Relationship Id="rId7190" Type="http://schemas.openxmlformats.org/officeDocument/2006/relationships/hyperlink" Target="https://twitter.com/INDIZbot/status/723373698288226310" TargetMode="External"/><Relationship Id="rId8241" Type="http://schemas.openxmlformats.org/officeDocument/2006/relationships/hyperlink" Target="https://twitter.com/Bitkom" TargetMode="External"/><Relationship Id="rId10171" Type="http://schemas.openxmlformats.org/officeDocument/2006/relationships/hyperlink" Target="https://twitter.com/Frank_Reinelt" TargetMode="External"/><Relationship Id="rId3386" Type="http://schemas.openxmlformats.org/officeDocument/2006/relationships/hyperlink" Target="https://twitter.com/liisabarclay" TargetMode="External"/><Relationship Id="rId4437" Type="http://schemas.openxmlformats.org/officeDocument/2006/relationships/hyperlink" Target="https://twitter.com/equeoGmbH" TargetMode="External"/><Relationship Id="rId3039" Type="http://schemas.openxmlformats.org/officeDocument/2006/relationships/hyperlink" Target="https://twitter.com/AHK_Oesterreich" TargetMode="External"/><Relationship Id="rId3453" Type="http://schemas.openxmlformats.org/officeDocument/2006/relationships/hyperlink" Target="https://twitter.com/OStaffelbach/status/722361093864210432" TargetMode="External"/><Relationship Id="rId4851" Type="http://schemas.openxmlformats.org/officeDocument/2006/relationships/hyperlink" Target="https://twitter.com/zen_mfg" TargetMode="External"/><Relationship Id="rId5902" Type="http://schemas.openxmlformats.org/officeDocument/2006/relationships/hyperlink" Target="https://pbs.twimg.com/profile_images/655007155955875841/PtDd93ap_normal.png" TargetMode="External"/><Relationship Id="rId374" Type="http://schemas.openxmlformats.org/officeDocument/2006/relationships/hyperlink" Target="https://twitter.com/kommoptimierer/status/720568540139532288" TargetMode="External"/><Relationship Id="rId2055" Type="http://schemas.openxmlformats.org/officeDocument/2006/relationships/hyperlink" Target="https://twitter.com/_DanielB" TargetMode="External"/><Relationship Id="rId3106" Type="http://schemas.openxmlformats.org/officeDocument/2006/relationships/hyperlink" Target="https://twitter.com/LReehten/status/722314387378282496" TargetMode="External"/><Relationship Id="rId4504" Type="http://schemas.openxmlformats.org/officeDocument/2006/relationships/hyperlink" Target="https://twitter.com/personalmagazin/status/722700385102798848" TargetMode="External"/><Relationship Id="rId9082" Type="http://schemas.openxmlformats.org/officeDocument/2006/relationships/hyperlink" Target="https://pbs.twimg.com/profile_images/685769503016366080/O5hxeJeS_normal.png" TargetMode="External"/><Relationship Id="rId3520" Type="http://schemas.openxmlformats.org/officeDocument/2006/relationships/hyperlink" Target="https://pbs.twimg.com/profile_images/645716711723925506/t5G0qOS6_normal.jpg" TargetMode="External"/><Relationship Id="rId6676" Type="http://schemas.openxmlformats.org/officeDocument/2006/relationships/hyperlink" Target="https://twitter.com/effectification" TargetMode="External"/><Relationship Id="rId7727" Type="http://schemas.openxmlformats.org/officeDocument/2006/relationships/hyperlink" Target="https://pbs.twimg.com/profile_images/699912588302426112/2kZQzAuA_normal.jpg" TargetMode="External"/><Relationship Id="rId441" Type="http://schemas.openxmlformats.org/officeDocument/2006/relationships/hyperlink" Target="https://pbs.twimg.com/profile_images/646321353822498816/uxRoNbdD_normal.jpg" TargetMode="External"/><Relationship Id="rId1071" Type="http://schemas.openxmlformats.org/officeDocument/2006/relationships/hyperlink" Target="https://pbs.twimg.com/profile_images/719241251590000640/4YpYqD7F_normal.jpg" TargetMode="External"/><Relationship Id="rId2122" Type="http://schemas.openxmlformats.org/officeDocument/2006/relationships/hyperlink" Target="https://twitter.com/MartinGaedt/status/721933030504443905" TargetMode="External"/><Relationship Id="rId5278" Type="http://schemas.openxmlformats.org/officeDocument/2006/relationships/hyperlink" Target="https://twitter.com/lotsizeone" TargetMode="External"/><Relationship Id="rId5692" Type="http://schemas.openxmlformats.org/officeDocument/2006/relationships/hyperlink" Target="https://twitter.com/nicfm_usa/status/722940233088647168" TargetMode="External"/><Relationship Id="rId6329" Type="http://schemas.openxmlformats.org/officeDocument/2006/relationships/hyperlink" Target="https://pbs.twimg.com/profile_images/655344031321464832/2odd3LvS_normal.jpg" TargetMode="External"/><Relationship Id="rId6743" Type="http://schemas.openxmlformats.org/officeDocument/2006/relationships/hyperlink" Target="https://twitter.com/SGE/status/723167369879781376" TargetMode="External"/><Relationship Id="rId9899" Type="http://schemas.openxmlformats.org/officeDocument/2006/relationships/hyperlink" Target="https://twitter.com/Bitkom_I40/status/724276679502344194" TargetMode="External"/><Relationship Id="rId1888" Type="http://schemas.openxmlformats.org/officeDocument/2006/relationships/hyperlink" Target="https://pbs.twimg.com/profile_images/705270537073852416/CZoAp0su_normal.jpg" TargetMode="External"/><Relationship Id="rId2939" Type="http://schemas.openxmlformats.org/officeDocument/2006/relationships/hyperlink" Target="https://twitter.com/SDDCexpo" TargetMode="External"/><Relationship Id="rId4294" Type="http://schemas.openxmlformats.org/officeDocument/2006/relationships/hyperlink" Target="https://twitter.com/LNI40/status/722654236908064768" TargetMode="External"/><Relationship Id="rId5345" Type="http://schemas.openxmlformats.org/officeDocument/2006/relationships/hyperlink" Target="https://twitter.com/Bitkom/status/722793930610368512" TargetMode="External"/><Relationship Id="rId6810" Type="http://schemas.openxmlformats.org/officeDocument/2006/relationships/hyperlink" Target="https://pbs.twimg.com/profile_images/662723326096224256/5V4KH9_O_normal.jpg" TargetMode="External"/><Relationship Id="rId9966" Type="http://schemas.openxmlformats.org/officeDocument/2006/relationships/hyperlink" Target="https://pbs.twimg.com/profile_images/1862360129/Bild_006swr_normal.jpg" TargetMode="External"/><Relationship Id="rId4361" Type="http://schemas.openxmlformats.org/officeDocument/2006/relationships/hyperlink" Target="https://pbs.twimg.com/profile_images/721970316742889472/JiHP1kkE_normal.jpg" TargetMode="External"/><Relationship Id="rId5412" Type="http://schemas.openxmlformats.org/officeDocument/2006/relationships/hyperlink" Target="https://twitter.com/medinfode/status/722799095665057792" TargetMode="External"/><Relationship Id="rId8568" Type="http://schemas.openxmlformats.org/officeDocument/2006/relationships/hyperlink" Target="https://pbs.twimg.com/profile_images/424134590794432512/Z7TKJtJZ_normal.jpeg" TargetMode="External"/><Relationship Id="rId9619" Type="http://schemas.openxmlformats.org/officeDocument/2006/relationships/hyperlink" Target="https://pbs.twimg.com/profile_images/691230711764893697/RnVw8ft4_normal.jpg" TargetMode="External"/><Relationship Id="rId1955" Type="http://schemas.openxmlformats.org/officeDocument/2006/relationships/hyperlink" Target="https://pbs.twimg.com/profile_images/469070945483628546/iD8AeJP6_normal.png" TargetMode="External"/><Relationship Id="rId4014" Type="http://schemas.openxmlformats.org/officeDocument/2006/relationships/hyperlink" Target="https://twitter.com/docXter_de/status/722471240334712834" TargetMode="External"/><Relationship Id="rId7584" Type="http://schemas.openxmlformats.org/officeDocument/2006/relationships/hyperlink" Target="https://twitter.com/INDIZbot" TargetMode="External"/><Relationship Id="rId8982" Type="http://schemas.openxmlformats.org/officeDocument/2006/relationships/hyperlink" Target="https://pbs.twimg.com/profile_images/555076843791843328/yr8ES_nx_normal.png" TargetMode="External"/><Relationship Id="rId1608" Type="http://schemas.openxmlformats.org/officeDocument/2006/relationships/hyperlink" Target="https://pbs.twimg.com/profile_images/711460495795097600/GjVvY72S_normal.jpg" TargetMode="External"/><Relationship Id="rId3030" Type="http://schemas.openxmlformats.org/officeDocument/2006/relationships/hyperlink" Target="https://twitter.com/INDIZbot" TargetMode="External"/><Relationship Id="rId6186" Type="http://schemas.openxmlformats.org/officeDocument/2006/relationships/hyperlink" Target="https://twitter.com/LReehten" TargetMode="External"/><Relationship Id="rId7237" Type="http://schemas.openxmlformats.org/officeDocument/2006/relationships/hyperlink" Target="https://twitter.com/INDIZbot" TargetMode="External"/><Relationship Id="rId8635" Type="http://schemas.openxmlformats.org/officeDocument/2006/relationships/hyperlink" Target="https://twitter.com/feelingstones" TargetMode="External"/><Relationship Id="rId7651" Type="http://schemas.openxmlformats.org/officeDocument/2006/relationships/hyperlink" Target="https://twitter.com/CompTIA_DACH/status/723422122287058944" TargetMode="External"/><Relationship Id="rId8702" Type="http://schemas.openxmlformats.org/officeDocument/2006/relationships/hyperlink" Target="https://twitter.com/BOLDLYGO_FFM/status/723791691040342016" TargetMode="External"/><Relationship Id="rId10218" Type="http://schemas.openxmlformats.org/officeDocument/2006/relationships/hyperlink" Target="https://pbs.twimg.com/profile_images/690957065490161664/Nat2upS4_normal.jpg" TargetMode="External"/><Relationship Id="rId2796" Type="http://schemas.openxmlformats.org/officeDocument/2006/relationships/hyperlink" Target="https://twitter.com/WebRTCSummit" TargetMode="External"/><Relationship Id="rId3847" Type="http://schemas.openxmlformats.org/officeDocument/2006/relationships/hyperlink" Target="https://pbs.twimg.com/profile_images/703227748383330304/U06-eqpr_normal.jpg" TargetMode="External"/><Relationship Id="rId6253" Type="http://schemas.openxmlformats.org/officeDocument/2006/relationships/hyperlink" Target="https://twitter.com/H_IT_D" TargetMode="External"/><Relationship Id="rId7304" Type="http://schemas.openxmlformats.org/officeDocument/2006/relationships/hyperlink" Target="https://twitter.com/Casopis_Automa/status/723396215430246400" TargetMode="External"/><Relationship Id="rId768" Type="http://schemas.openxmlformats.org/officeDocument/2006/relationships/hyperlink" Target="https://twitter.com/MahsaGivehchi/status/720713599543558144" TargetMode="External"/><Relationship Id="rId1398" Type="http://schemas.openxmlformats.org/officeDocument/2006/relationships/hyperlink" Target="https://twitter.com/IT_Connection/status/720987648601497601" TargetMode="External"/><Relationship Id="rId2449" Type="http://schemas.openxmlformats.org/officeDocument/2006/relationships/hyperlink" Target="https://twitter.com/knauf_philipp" TargetMode="External"/><Relationship Id="rId2863" Type="http://schemas.openxmlformats.org/officeDocument/2006/relationships/hyperlink" Target="https://twitter.com/ContainersExpo/status/722143233573330944" TargetMode="External"/><Relationship Id="rId3914" Type="http://schemas.openxmlformats.org/officeDocument/2006/relationships/hyperlink" Target="https://twitter.com/Alpict" TargetMode="External"/><Relationship Id="rId6320" Type="http://schemas.openxmlformats.org/officeDocument/2006/relationships/hyperlink" Target="https://pbs.twimg.com/profile_images/685327213/Apandia_normal.gif" TargetMode="External"/><Relationship Id="rId9476" Type="http://schemas.openxmlformats.org/officeDocument/2006/relationships/hyperlink" Target="https://twitter.com/tuevnordpolitik" TargetMode="External"/><Relationship Id="rId9890" Type="http://schemas.openxmlformats.org/officeDocument/2006/relationships/hyperlink" Target="https://twitter.com/mitunsdigital/status/724275502836535296" TargetMode="External"/><Relationship Id="rId835" Type="http://schemas.openxmlformats.org/officeDocument/2006/relationships/hyperlink" Target="https://twitter.com/joworf/status/720835389850693632" TargetMode="External"/><Relationship Id="rId1465" Type="http://schemas.openxmlformats.org/officeDocument/2006/relationships/hyperlink" Target="https://twitter.com/ThomasSchulzGE" TargetMode="External"/><Relationship Id="rId2516" Type="http://schemas.openxmlformats.org/officeDocument/2006/relationships/hyperlink" Target="https://twitter.com/matthiaslechner" TargetMode="External"/><Relationship Id="rId8078" Type="http://schemas.openxmlformats.org/officeDocument/2006/relationships/hyperlink" Target="https://twitter.com/CKotschy" TargetMode="External"/><Relationship Id="rId8492" Type="http://schemas.openxmlformats.org/officeDocument/2006/relationships/hyperlink" Target="https://twitter.com/frankcausa/status/723600826330169345" TargetMode="External"/><Relationship Id="rId9129" Type="http://schemas.openxmlformats.org/officeDocument/2006/relationships/hyperlink" Target="https://twitter.com/Gruendercoaches/status/723951429719851008" TargetMode="External"/><Relationship Id="rId9543" Type="http://schemas.openxmlformats.org/officeDocument/2006/relationships/hyperlink" Target="https://twitter.com/H_IT_D/status/724197574861692929" TargetMode="External"/><Relationship Id="rId1118" Type="http://schemas.openxmlformats.org/officeDocument/2006/relationships/hyperlink" Target="https://twitter.com/Joerg_Koper/status/720902093838618624" TargetMode="External"/><Relationship Id="rId1532" Type="http://schemas.openxmlformats.org/officeDocument/2006/relationships/hyperlink" Target="https://twitter.com/MindCommerce/status/721058260967624704" TargetMode="External"/><Relationship Id="rId2930" Type="http://schemas.openxmlformats.org/officeDocument/2006/relationships/hyperlink" Target="https://twitter.com/ClaudiaFeusi" TargetMode="External"/><Relationship Id="rId4688" Type="http://schemas.openxmlformats.org/officeDocument/2006/relationships/hyperlink" Target="https://pbs.twimg.com/profile_images/448786401576759298/xZYSAb67_normal.png" TargetMode="External"/><Relationship Id="rId7094" Type="http://schemas.openxmlformats.org/officeDocument/2006/relationships/hyperlink" Target="https://twitter.com/NorbertKeil/status/723259061064597504" TargetMode="External"/><Relationship Id="rId8145" Type="http://schemas.openxmlformats.org/officeDocument/2006/relationships/hyperlink" Target="https://twitter.com/Dr_RobertFreund/status/723499390892126209" TargetMode="External"/><Relationship Id="rId10075" Type="http://schemas.openxmlformats.org/officeDocument/2006/relationships/hyperlink" Target="https://twitter.com/INDIZbot" TargetMode="External"/><Relationship Id="rId902" Type="http://schemas.openxmlformats.org/officeDocument/2006/relationships/hyperlink" Target="https://pbs.twimg.com/profile_images/624496248704270336/obg6_pOk_normal.png" TargetMode="External"/><Relationship Id="rId5739" Type="http://schemas.openxmlformats.org/officeDocument/2006/relationships/hyperlink" Target="https://twitter.com/oxaion" TargetMode="External"/><Relationship Id="rId7161" Type="http://schemas.openxmlformats.org/officeDocument/2006/relationships/hyperlink" Target="https://pbs.twimg.com/profile_images/3673497206/85ee8240b2449d1748b6e4c0747fb409_normal.jpeg" TargetMode="External"/><Relationship Id="rId8212" Type="http://schemas.openxmlformats.org/officeDocument/2006/relationships/hyperlink" Target="https://twitter.com/startupaffairs/status/723512632238551040" TargetMode="External"/><Relationship Id="rId9610" Type="http://schemas.openxmlformats.org/officeDocument/2006/relationships/hyperlink" Target="https://pbs.twimg.com/profile_images/686262456126205952/wCla5uWm_normal.jpg" TargetMode="External"/><Relationship Id="rId4755" Type="http://schemas.openxmlformats.org/officeDocument/2006/relationships/hyperlink" Target="https://twitter.com/INDIZbot" TargetMode="External"/><Relationship Id="rId5806" Type="http://schemas.openxmlformats.org/officeDocument/2006/relationships/hyperlink" Target="https://twitter.com/m_biscarrat/status/723044718091841536" TargetMode="External"/><Relationship Id="rId10142" Type="http://schemas.openxmlformats.org/officeDocument/2006/relationships/hyperlink" Target="https://twitter.com/colbytylerford/status/724346136425836544" TargetMode="External"/><Relationship Id="rId278" Type="http://schemas.openxmlformats.org/officeDocument/2006/relationships/hyperlink" Target="https://twitter.com/VincentSchwerd/status/720542490806366209" TargetMode="External"/><Relationship Id="rId3357" Type="http://schemas.openxmlformats.org/officeDocument/2006/relationships/hyperlink" Target="https://pbs.twimg.com/profile_images/378800000133533856/3dec414a449cac01f226f8b62b76ddfa_normal.png" TargetMode="External"/><Relationship Id="rId3771" Type="http://schemas.openxmlformats.org/officeDocument/2006/relationships/hyperlink" Target="https://twitter.com/Gruendercoaches/status/722421590760275968" TargetMode="External"/><Relationship Id="rId4408" Type="http://schemas.openxmlformats.org/officeDocument/2006/relationships/hyperlink" Target="https://twitter.com/itsOWL_Cluster/status/722688124443340801" TargetMode="External"/><Relationship Id="rId4822" Type="http://schemas.openxmlformats.org/officeDocument/2006/relationships/hyperlink" Target="https://twitter.com/INDIZbot/status/722722120346779648" TargetMode="External"/><Relationship Id="rId7978" Type="http://schemas.openxmlformats.org/officeDocument/2006/relationships/hyperlink" Target="https://pbs.twimg.com/profile_images/591951396217327616/HbcCX2zX_normal.png" TargetMode="External"/><Relationship Id="rId692" Type="http://schemas.openxmlformats.org/officeDocument/2006/relationships/hyperlink" Target="https://twitter.com/HWachtersbach" TargetMode="External"/><Relationship Id="rId2373" Type="http://schemas.openxmlformats.org/officeDocument/2006/relationships/hyperlink" Target="https://pbs.twimg.com/profile_images/615886082417274881/1pKhEKhT_normal.png" TargetMode="External"/><Relationship Id="rId3424" Type="http://schemas.openxmlformats.org/officeDocument/2006/relationships/hyperlink" Target="https://pbs.twimg.com/profile_images/627029637353222145/AsozHTnC_normal.jpg" TargetMode="External"/><Relationship Id="rId6994" Type="http://schemas.openxmlformats.org/officeDocument/2006/relationships/hyperlink" Target="https://twitter.com/Beckers_Beste" TargetMode="External"/><Relationship Id="rId345" Type="http://schemas.openxmlformats.org/officeDocument/2006/relationships/hyperlink" Target="https://abs.twimg.com/sticky/default_profile_images/default_profile_3_normal.png" TargetMode="External"/><Relationship Id="rId2026" Type="http://schemas.openxmlformats.org/officeDocument/2006/relationships/hyperlink" Target="https://twitter.com/GeraldSwarat/status/721739042279309314" TargetMode="External"/><Relationship Id="rId2440" Type="http://schemas.openxmlformats.org/officeDocument/2006/relationships/hyperlink" Target="https://twitter.com/twassmann" TargetMode="External"/><Relationship Id="rId5596" Type="http://schemas.openxmlformats.org/officeDocument/2006/relationships/hyperlink" Target="https://twitter.com/kommoptimierer/status/722869951690907651" TargetMode="External"/><Relationship Id="rId6647" Type="http://schemas.openxmlformats.org/officeDocument/2006/relationships/hyperlink" Target="https://pbs.twimg.com/profile_images/672794348442877952/m6Is-Nrc_normal.jpg" TargetMode="External"/><Relationship Id="rId9053" Type="http://schemas.openxmlformats.org/officeDocument/2006/relationships/hyperlink" Target="https://twitter.com/mindrockets" TargetMode="External"/><Relationship Id="rId412" Type="http://schemas.openxmlformats.org/officeDocument/2006/relationships/hyperlink" Target="https://twitter.com/z_eisberg" TargetMode="External"/><Relationship Id="rId1042" Type="http://schemas.openxmlformats.org/officeDocument/2006/relationships/hyperlink" Target="https://twitter.com/ScopeOnline" TargetMode="External"/><Relationship Id="rId4198" Type="http://schemas.openxmlformats.org/officeDocument/2006/relationships/hyperlink" Target="https://twitter.com/INDIZbot/status/722517914449010688" TargetMode="External"/><Relationship Id="rId5249" Type="http://schemas.openxmlformats.org/officeDocument/2006/relationships/hyperlink" Target="https://twitter.com/Apandia/status/722773847058067456" TargetMode="External"/><Relationship Id="rId5663" Type="http://schemas.openxmlformats.org/officeDocument/2006/relationships/hyperlink" Target="https://pbs.twimg.com/profile_images/451994816889360385/SYPpc3iI_normal.jpeg" TargetMode="External"/><Relationship Id="rId9120" Type="http://schemas.openxmlformats.org/officeDocument/2006/relationships/hyperlink" Target="https://twitter.com/kommoptimierer/status/723949570447794176" TargetMode="External"/><Relationship Id="rId4265" Type="http://schemas.openxmlformats.org/officeDocument/2006/relationships/hyperlink" Target="https://pbs.twimg.com/profile_images/645716711723925506/t5G0qOS6_normal.jpg" TargetMode="External"/><Relationship Id="rId5316" Type="http://schemas.openxmlformats.org/officeDocument/2006/relationships/hyperlink" Target="https://pbs.twimg.com/profile_images/645716711723925506/t5G0qOS6_normal.jpg" TargetMode="External"/><Relationship Id="rId6714" Type="http://schemas.openxmlformats.org/officeDocument/2006/relationships/hyperlink" Target="https://pbs.twimg.com/profile_images/561208179355185153/11KDu7Gt_normal.png" TargetMode="External"/><Relationship Id="rId1859" Type="http://schemas.openxmlformats.org/officeDocument/2006/relationships/hyperlink" Target="https://twitter.com/Lean_john" TargetMode="External"/><Relationship Id="rId5730" Type="http://schemas.openxmlformats.org/officeDocument/2006/relationships/hyperlink" Target="https://twitter.com/kommoptimierer" TargetMode="External"/><Relationship Id="rId8886" Type="http://schemas.openxmlformats.org/officeDocument/2006/relationships/hyperlink" Target="https://pbs.twimg.com/profile_images/479147477975588864/z94n3mRF_normal.jpeg" TargetMode="External"/><Relationship Id="rId9937" Type="http://schemas.openxmlformats.org/officeDocument/2006/relationships/hyperlink" Target="https://twitter.com/JackNehlig" TargetMode="External"/><Relationship Id="rId1926" Type="http://schemas.openxmlformats.org/officeDocument/2006/relationships/hyperlink" Target="https://twitter.com/batix/status/721628134651609088" TargetMode="External"/><Relationship Id="rId3281" Type="http://schemas.openxmlformats.org/officeDocument/2006/relationships/hyperlink" Target="https://twitter.com/aretasGmbH/status/722340073673486336" TargetMode="External"/><Relationship Id="rId4332" Type="http://schemas.openxmlformats.org/officeDocument/2006/relationships/hyperlink" Target="https://twitter.com/MarioReinsch" TargetMode="External"/><Relationship Id="rId7488" Type="http://schemas.openxmlformats.org/officeDocument/2006/relationships/hyperlink" Target="https://twitter.com/INDIZbot" TargetMode="External"/><Relationship Id="rId8539" Type="http://schemas.openxmlformats.org/officeDocument/2006/relationships/hyperlink" Target="https://twitter.com/H_IT_D" TargetMode="External"/><Relationship Id="rId8953" Type="http://schemas.openxmlformats.org/officeDocument/2006/relationships/hyperlink" Target="https://twitter.com/neilmead" TargetMode="External"/><Relationship Id="rId7555" Type="http://schemas.openxmlformats.org/officeDocument/2006/relationships/hyperlink" Target="https://twitter.com/tanit/status/723414104073854976" TargetMode="External"/><Relationship Id="rId8606" Type="http://schemas.openxmlformats.org/officeDocument/2006/relationships/hyperlink" Target="https://twitter.com/INDIZbot/status/723766525820297216" TargetMode="External"/><Relationship Id="rId3001" Type="http://schemas.openxmlformats.org/officeDocument/2006/relationships/hyperlink" Target="https://pbs.twimg.com/profile_images/2162445220/wagnertwitter_normal.jpg" TargetMode="External"/><Relationship Id="rId6157" Type="http://schemas.openxmlformats.org/officeDocument/2006/relationships/hyperlink" Target="https://twitter.com/hbde_wirtschaft/status/723082351551635456" TargetMode="External"/><Relationship Id="rId6571" Type="http://schemas.openxmlformats.org/officeDocument/2006/relationships/hyperlink" Target="https://twitter.com/H_IT_D/status/723142160074215426" TargetMode="External"/><Relationship Id="rId7208" Type="http://schemas.openxmlformats.org/officeDocument/2006/relationships/hyperlink" Target="https://twitter.com/VPuksic/status/723381205178060800" TargetMode="External"/><Relationship Id="rId7622" Type="http://schemas.openxmlformats.org/officeDocument/2006/relationships/hyperlink" Target="https://pbs.twimg.com/profile_images/1298797782/1_quadrat_xing_96_normal.jpg" TargetMode="External"/><Relationship Id="rId2767" Type="http://schemas.openxmlformats.org/officeDocument/2006/relationships/hyperlink" Target="https://twitter.com/_DigitalNinja/status/722114369463537664" TargetMode="External"/><Relationship Id="rId5173" Type="http://schemas.openxmlformats.org/officeDocument/2006/relationships/hyperlink" Target="https://twitter.com/DCAI4online" TargetMode="External"/><Relationship Id="rId6224" Type="http://schemas.openxmlformats.org/officeDocument/2006/relationships/hyperlink" Target="https://twitter.com/schaefflergroup/status/723088919185731584" TargetMode="External"/><Relationship Id="rId9794" Type="http://schemas.openxmlformats.org/officeDocument/2006/relationships/hyperlink" Target="https://twitter.com/MartinGaedt/status/724257735752187904" TargetMode="External"/><Relationship Id="rId739" Type="http://schemas.openxmlformats.org/officeDocument/2006/relationships/hyperlink" Target="https://pbs.twimg.com/profile_images/653481171414872064/-C8HD5Mf_normal.jpg" TargetMode="External"/><Relationship Id="rId1369" Type="http://schemas.openxmlformats.org/officeDocument/2006/relationships/hyperlink" Target="https://twitter.com/IT2Industry" TargetMode="External"/><Relationship Id="rId3818" Type="http://schemas.openxmlformats.org/officeDocument/2006/relationships/hyperlink" Target="https://twitter.com/Amista79" TargetMode="External"/><Relationship Id="rId5240" Type="http://schemas.openxmlformats.org/officeDocument/2006/relationships/hyperlink" Target="https://pbs.twimg.com/profile_images/593011135428882432/BGMPkrwp_normal.jpg" TargetMode="External"/><Relationship Id="rId8396" Type="http://schemas.openxmlformats.org/officeDocument/2006/relationships/hyperlink" Target="https://pbs.twimg.com/profile_images/645716711723925506/t5G0qOS6_normal.jpg" TargetMode="External"/><Relationship Id="rId9447" Type="http://schemas.openxmlformats.org/officeDocument/2006/relationships/hyperlink" Target="https://twitter.com/markus_boehm_/status/724175579042463744" TargetMode="External"/><Relationship Id="rId1783" Type="http://schemas.openxmlformats.org/officeDocument/2006/relationships/hyperlink" Target="https://twitter.com/INDIZbot" TargetMode="External"/><Relationship Id="rId2834" Type="http://schemas.openxmlformats.org/officeDocument/2006/relationships/hyperlink" Target="https://pbs.twimg.com/profile_images/623849156159868928/BetFDR_i_normal.jpg" TargetMode="External"/><Relationship Id="rId8049" Type="http://schemas.openxmlformats.org/officeDocument/2006/relationships/hyperlink" Target="https://twitter.com/hartingindia/status/723486874820468737" TargetMode="External"/><Relationship Id="rId9861" Type="http://schemas.openxmlformats.org/officeDocument/2006/relationships/hyperlink" Target="https://pbs.twimg.com/profile_images/440897442251563008/rQI9fFq1_normal.jpeg" TargetMode="External"/><Relationship Id="rId75" Type="http://schemas.openxmlformats.org/officeDocument/2006/relationships/hyperlink" Target="https://pbs.twimg.com/profile_images/696677095200727040/JDNylP2p_normal.jpg" TargetMode="External"/><Relationship Id="rId806" Type="http://schemas.openxmlformats.org/officeDocument/2006/relationships/hyperlink" Target="https://pbs.twimg.com/profile_images/3131255869/66d4286d22da313e15d729036f46103d_normal.jpeg" TargetMode="External"/><Relationship Id="rId1436" Type="http://schemas.openxmlformats.org/officeDocument/2006/relationships/hyperlink" Target="https://pbs.twimg.com/profile_images/645716711723925506/t5G0qOS6_normal.jpg" TargetMode="External"/><Relationship Id="rId1850" Type="http://schemas.openxmlformats.org/officeDocument/2006/relationships/hyperlink" Target="https://twitter.com/changetokaizen/status/721587045966155777" TargetMode="External"/><Relationship Id="rId2901" Type="http://schemas.openxmlformats.org/officeDocument/2006/relationships/hyperlink" Target="https://twitter.com/kommoptimierer/status/722153986850234369" TargetMode="External"/><Relationship Id="rId7065" Type="http://schemas.openxmlformats.org/officeDocument/2006/relationships/hyperlink" Target="https://pbs.twimg.com/profile_images/611813155258417152/t2BN8dsF_normal.jpg" TargetMode="External"/><Relationship Id="rId8463" Type="http://schemas.openxmlformats.org/officeDocument/2006/relationships/hyperlink" Target="https://pbs.twimg.com/profile_images/662723326096224256/5V4KH9_O_normal.jpg" TargetMode="External"/><Relationship Id="rId9514" Type="http://schemas.openxmlformats.org/officeDocument/2006/relationships/hyperlink" Target="https://pbs.twimg.com/profile_images/378800000213941474/08fa8e4c8019e684b4c0868e952facbf_normal.jpeg" TargetMode="External"/><Relationship Id="rId1503" Type="http://schemas.openxmlformats.org/officeDocument/2006/relationships/hyperlink" Target="https://pbs.twimg.com/profile_images/530100288472903680/89b39upH_normal.jpeg" TargetMode="External"/><Relationship Id="rId4659" Type="http://schemas.openxmlformats.org/officeDocument/2006/relationships/hyperlink" Target="https://twitter.com/petra_wilmering" TargetMode="External"/><Relationship Id="rId8116" Type="http://schemas.openxmlformats.org/officeDocument/2006/relationships/hyperlink" Target="https://pbs.twimg.com/profile_images/645716711723925506/t5G0qOS6_normal.jpg" TargetMode="External"/><Relationship Id="rId8530" Type="http://schemas.openxmlformats.org/officeDocument/2006/relationships/hyperlink" Target="https://twitter.com/JeffersonjobsUK" TargetMode="External"/><Relationship Id="rId10046" Type="http://schemas.openxmlformats.org/officeDocument/2006/relationships/hyperlink" Target="https://twitter.com/KevinFaircloth1/status/724312040861515776" TargetMode="External"/><Relationship Id="rId3675" Type="http://schemas.openxmlformats.org/officeDocument/2006/relationships/hyperlink" Target="https://twitter.com/Apandia/status/722402151473893376" TargetMode="External"/><Relationship Id="rId4726" Type="http://schemas.openxmlformats.org/officeDocument/2006/relationships/hyperlink" Target="https://twitter.com/christophsmuell/status/722714541541498881" TargetMode="External"/><Relationship Id="rId6081" Type="http://schemas.openxmlformats.org/officeDocument/2006/relationships/hyperlink" Target="https://twitter.com/INDIZbot/status/723074079868223492" TargetMode="External"/><Relationship Id="rId7132" Type="http://schemas.openxmlformats.org/officeDocument/2006/relationships/hyperlink" Target="https://twitter.com/INDIZbot" TargetMode="External"/><Relationship Id="rId10113" Type="http://schemas.openxmlformats.org/officeDocument/2006/relationships/hyperlink" Target="https://pbs.twimg.com/profile_images/645716711723925506/t5G0qOS6_normal.jpg" TargetMode="External"/><Relationship Id="rId596" Type="http://schemas.openxmlformats.org/officeDocument/2006/relationships/hyperlink" Target="https://twitter.com/AutotaskGmbH" TargetMode="External"/><Relationship Id="rId2277" Type="http://schemas.openxmlformats.org/officeDocument/2006/relationships/hyperlink" Target="https://twitter.com/SASdmexco" TargetMode="External"/><Relationship Id="rId2691" Type="http://schemas.openxmlformats.org/officeDocument/2006/relationships/hyperlink" Target="https://twitter.com/INDIZbot" TargetMode="External"/><Relationship Id="rId3328" Type="http://schemas.openxmlformats.org/officeDocument/2006/relationships/hyperlink" Target="https://twitter.com/AxoomDe" TargetMode="External"/><Relationship Id="rId3742" Type="http://schemas.openxmlformats.org/officeDocument/2006/relationships/hyperlink" Target="https://pbs.twimg.com/profile_images/378800000858333349/pwsmqccf_normal.jpeg" TargetMode="External"/><Relationship Id="rId6898" Type="http://schemas.openxmlformats.org/officeDocument/2006/relationships/hyperlink" Target="https://twitter.com/awesigs" TargetMode="External"/><Relationship Id="rId249" Type="http://schemas.openxmlformats.org/officeDocument/2006/relationships/hyperlink" Target="https://pbs.twimg.com/profile_images/722385992343285760/ww8YLZ2q_normal.jpg" TargetMode="External"/><Relationship Id="rId663" Type="http://schemas.openxmlformats.org/officeDocument/2006/relationships/hyperlink" Target="https://twitter.com/MichaeloIoT/status/720656840674160641" TargetMode="External"/><Relationship Id="rId1293" Type="http://schemas.openxmlformats.org/officeDocument/2006/relationships/hyperlink" Target="https://pbs.twimg.com/profile_images/458872480497545216/_JCU-9q4_normal.jpeg" TargetMode="External"/><Relationship Id="rId2344" Type="http://schemas.openxmlformats.org/officeDocument/2006/relationships/hyperlink" Target="https://twitter.com/AndreHD20" TargetMode="External"/><Relationship Id="rId7949" Type="http://schemas.openxmlformats.org/officeDocument/2006/relationships/hyperlink" Target="https://twitter.com/itsOWL_Cluster" TargetMode="External"/><Relationship Id="rId9371" Type="http://schemas.openxmlformats.org/officeDocument/2006/relationships/hyperlink" Target="https://twitter.com/verlinked" TargetMode="External"/><Relationship Id="rId316" Type="http://schemas.openxmlformats.org/officeDocument/2006/relationships/hyperlink" Target="https://twitter.com/derVITM" TargetMode="External"/><Relationship Id="rId6965" Type="http://schemas.openxmlformats.org/officeDocument/2006/relationships/hyperlink" Target="https://twitter.com/INDIZbot/status/723212968289271809" TargetMode="External"/><Relationship Id="rId9024" Type="http://schemas.openxmlformats.org/officeDocument/2006/relationships/hyperlink" Target="https://pbs.twimg.com/profile_images/484360531805872130/3NUM_F5K_normal.jpeg" TargetMode="External"/><Relationship Id="rId730" Type="http://schemas.openxmlformats.org/officeDocument/2006/relationships/hyperlink" Target="https://pbs.twimg.com/profile_images/564519770763300865/LzdRUs8v_normal.jpeg" TargetMode="External"/><Relationship Id="rId1013" Type="http://schemas.openxmlformats.org/officeDocument/2006/relationships/hyperlink" Target="https://twitter.com/Lenze_Gruppe/status/720884993686249472" TargetMode="External"/><Relationship Id="rId1360" Type="http://schemas.openxmlformats.org/officeDocument/2006/relationships/hyperlink" Target="https://twitter.com/CapgeminiDE" TargetMode="External"/><Relationship Id="rId2411" Type="http://schemas.openxmlformats.org/officeDocument/2006/relationships/hyperlink" Target="https://twitter.com/INDIZbot/status/722017116560498688" TargetMode="External"/><Relationship Id="rId4169" Type="http://schemas.openxmlformats.org/officeDocument/2006/relationships/hyperlink" Target="https://pbs.twimg.com/profile_images/623849156159868928/BetFDR_i_normal.jpg" TargetMode="External"/><Relationship Id="rId5567" Type="http://schemas.openxmlformats.org/officeDocument/2006/relationships/hyperlink" Target="https://pbs.twimg.com/profile_images/710982607606038528/t8IYX_cK_normal.jpg" TargetMode="External"/><Relationship Id="rId5981" Type="http://schemas.openxmlformats.org/officeDocument/2006/relationships/hyperlink" Target="https://twitter.com/einkauf_mgmt" TargetMode="External"/><Relationship Id="rId6618" Type="http://schemas.openxmlformats.org/officeDocument/2006/relationships/hyperlink" Target="https://twitter.com/SGE" TargetMode="External"/><Relationship Id="rId8040" Type="http://schemas.openxmlformats.org/officeDocument/2006/relationships/hyperlink" Target="https://twitter.com/Ralf_Kuder/status/723485454973153280" TargetMode="External"/><Relationship Id="rId4583" Type="http://schemas.openxmlformats.org/officeDocument/2006/relationships/hyperlink" Target="https://pbs.twimg.com/profile_images/567361028199940096/6Yeb6Avd_normal.jpeg" TargetMode="External"/><Relationship Id="rId5634" Type="http://schemas.openxmlformats.org/officeDocument/2006/relationships/hyperlink" Target="https://twitter.com/APGuha" TargetMode="External"/><Relationship Id="rId3185" Type="http://schemas.openxmlformats.org/officeDocument/2006/relationships/hyperlink" Target="https://twitter.com/WassenhovenUG/status/722320546105593856" TargetMode="External"/><Relationship Id="rId4236" Type="http://schemas.openxmlformats.org/officeDocument/2006/relationships/hyperlink" Target="https://twitter.com/INDIZbot" TargetMode="External"/><Relationship Id="rId4650" Type="http://schemas.openxmlformats.org/officeDocument/2006/relationships/hyperlink" Target="https://twitter.com/DKEAktuell" TargetMode="External"/><Relationship Id="rId5701" Type="http://schemas.openxmlformats.org/officeDocument/2006/relationships/hyperlink" Target="https://twitter.com/INDIZbot/status/722945735797391360" TargetMode="External"/><Relationship Id="rId8857" Type="http://schemas.openxmlformats.org/officeDocument/2006/relationships/hyperlink" Target="https://twitter.com/KStepping" TargetMode="External"/><Relationship Id="rId9908" Type="http://schemas.openxmlformats.org/officeDocument/2006/relationships/hyperlink" Target="https://twitter.com/INDIZbot/status/724277061712490496" TargetMode="External"/><Relationship Id="rId3252" Type="http://schemas.openxmlformats.org/officeDocument/2006/relationships/hyperlink" Target="https://pbs.twimg.com/profile_images/672794348442877952/m6Is-Nrc_normal.jpg" TargetMode="External"/><Relationship Id="rId4303" Type="http://schemas.openxmlformats.org/officeDocument/2006/relationships/hyperlink" Target="https://twitter.com/ROKAutoCHDE/status/722661102551724034" TargetMode="External"/><Relationship Id="rId7459" Type="http://schemas.openxmlformats.org/officeDocument/2006/relationships/hyperlink" Target="https://twitter.com/VDE_Group/status/723407446379626497" TargetMode="External"/><Relationship Id="rId7873" Type="http://schemas.openxmlformats.org/officeDocument/2006/relationships/hyperlink" Target="https://twitter.com/wisskonzept" TargetMode="External"/><Relationship Id="rId173" Type="http://schemas.openxmlformats.org/officeDocument/2006/relationships/hyperlink" Target="https://twitter.com/VDMAonline/status/720522251351666689" TargetMode="External"/><Relationship Id="rId6475" Type="http://schemas.openxmlformats.org/officeDocument/2006/relationships/hyperlink" Target="https://pbs.twimg.com/profile_images/542805217553571841/BBTjKnNu_normal.jpeg" TargetMode="External"/><Relationship Id="rId7526" Type="http://schemas.openxmlformats.org/officeDocument/2006/relationships/hyperlink" Target="https://pbs.twimg.com/profile_images/561137710287425536/htHMwCBr_normal.png" TargetMode="External"/><Relationship Id="rId8924" Type="http://schemas.openxmlformats.org/officeDocument/2006/relationships/hyperlink" Target="https://twitter.com/KUKA_RoboticsDE/status/723866008017055744" TargetMode="External"/><Relationship Id="rId240" Type="http://schemas.openxmlformats.org/officeDocument/2006/relationships/hyperlink" Target="https://pbs.twimg.com/profile_images/448430175877726209/15TCVypc_normal.jpeg" TargetMode="External"/><Relationship Id="rId5077" Type="http://schemas.openxmlformats.org/officeDocument/2006/relationships/hyperlink" Target="https://twitter.com/sepemindustries" TargetMode="External"/><Relationship Id="rId6128" Type="http://schemas.openxmlformats.org/officeDocument/2006/relationships/hyperlink" Target="https://pbs.twimg.com/profile_images/700576331407298560/RJ0M_dZd_normal.jpg" TargetMode="External"/><Relationship Id="rId7940" Type="http://schemas.openxmlformats.org/officeDocument/2006/relationships/hyperlink" Target="https://twitter.com/MetalEcoCity/status/723470520902148096" TargetMode="External"/><Relationship Id="rId4093" Type="http://schemas.openxmlformats.org/officeDocument/2006/relationships/hyperlink" Target="https://twitter.com/INDIZbot/status/722500482699235328" TargetMode="External"/><Relationship Id="rId5144" Type="http://schemas.openxmlformats.org/officeDocument/2006/relationships/hyperlink" Target="https://twitter.com/INDIZbot/status/722762349543878656" TargetMode="External"/><Relationship Id="rId5491" Type="http://schemas.openxmlformats.org/officeDocument/2006/relationships/hyperlink" Target="https://twitter.com/m_biscarrat/status/722818477405265921" TargetMode="External"/><Relationship Id="rId6542" Type="http://schemas.openxmlformats.org/officeDocument/2006/relationships/hyperlink" Target="https://twitter.com/Databanque" TargetMode="External"/><Relationship Id="rId9698" Type="http://schemas.openxmlformats.org/officeDocument/2006/relationships/hyperlink" Target="https://twitter.com/RuthIliana46" TargetMode="External"/><Relationship Id="rId1687" Type="http://schemas.openxmlformats.org/officeDocument/2006/relationships/hyperlink" Target="https://twitter.com/JulienGre38" TargetMode="External"/><Relationship Id="rId2738" Type="http://schemas.openxmlformats.org/officeDocument/2006/relationships/hyperlink" Target="https://pbs.twimg.com/profile_images/662723326096224256/5V4KH9_O_normal.jpg" TargetMode="External"/><Relationship Id="rId9765" Type="http://schemas.openxmlformats.org/officeDocument/2006/relationships/hyperlink" Target="https://pbs.twimg.com/profile_images/709444980553740288/Xds-Aan6_normal.jpg" TargetMode="External"/><Relationship Id="rId1754" Type="http://schemas.openxmlformats.org/officeDocument/2006/relationships/hyperlink" Target="https://twitter.com/SALIM__S/status/721352411617562629" TargetMode="External"/><Relationship Id="rId2805" Type="http://schemas.openxmlformats.org/officeDocument/2006/relationships/hyperlink" Target="https://twitter.com/AndyBaldauf" TargetMode="External"/><Relationship Id="rId4160" Type="http://schemas.openxmlformats.org/officeDocument/2006/relationships/hyperlink" Target="https://pbs.twimg.com/profile_images/623849156159868928/BetFDR_i_normal.jpg" TargetMode="External"/><Relationship Id="rId5211" Type="http://schemas.openxmlformats.org/officeDocument/2006/relationships/hyperlink" Target="https://twitter.com/PolarionNews_de" TargetMode="External"/><Relationship Id="rId8367" Type="http://schemas.openxmlformats.org/officeDocument/2006/relationships/hyperlink" Target="https://twitter.com/cybus_io" TargetMode="External"/><Relationship Id="rId8781" Type="http://schemas.openxmlformats.org/officeDocument/2006/relationships/hyperlink" Target="https://pbs.twimg.com/profile_images/522476101872795648/WyNxC2n7_normal.jpeg" TargetMode="External"/><Relationship Id="rId9418" Type="http://schemas.openxmlformats.org/officeDocument/2006/relationships/hyperlink" Target="https://pbs.twimg.com/profile_images/703543205543997440/qXoxbiY7_normal.jpg" TargetMode="External"/><Relationship Id="rId9832" Type="http://schemas.openxmlformats.org/officeDocument/2006/relationships/hyperlink" Target="https://twitter.com/alternacomm" TargetMode="External"/><Relationship Id="rId10297" Type="http://schemas.openxmlformats.org/officeDocument/2006/relationships/hyperlink" Target="https://twitter.com/cvoigt_roboyo" TargetMode="External"/><Relationship Id="rId46" Type="http://schemas.openxmlformats.org/officeDocument/2006/relationships/hyperlink" Target="https://twitter.com/FYoupi" TargetMode="External"/><Relationship Id="rId1407" Type="http://schemas.openxmlformats.org/officeDocument/2006/relationships/hyperlink" Target="https://twitter.com/jkreienbrink/status/720988523025866753" TargetMode="External"/><Relationship Id="rId1821" Type="http://schemas.openxmlformats.org/officeDocument/2006/relationships/hyperlink" Target="https://pbs.twimg.com/profile_images/693172519147290625/F7qDneND_normal.jpg" TargetMode="External"/><Relationship Id="rId4977" Type="http://schemas.openxmlformats.org/officeDocument/2006/relationships/hyperlink" Target="https://twitter.com/m_biscarrat" TargetMode="External"/><Relationship Id="rId7383" Type="http://schemas.openxmlformats.org/officeDocument/2006/relationships/hyperlink" Target="https://twitter.com/SEWEURODRIVE/status/723404089539747842" TargetMode="External"/><Relationship Id="rId8434" Type="http://schemas.openxmlformats.org/officeDocument/2006/relationships/hyperlink" Target="https://twitter.com/sallyafrank" TargetMode="External"/><Relationship Id="rId3579" Type="http://schemas.openxmlformats.org/officeDocument/2006/relationships/hyperlink" Target="https://twitter.com/verlinked/status/722379265346437121" TargetMode="External"/><Relationship Id="rId7036" Type="http://schemas.openxmlformats.org/officeDocument/2006/relationships/hyperlink" Target="https://twitter.com/RSchu12" TargetMode="External"/><Relationship Id="rId7450" Type="http://schemas.openxmlformats.org/officeDocument/2006/relationships/hyperlink" Target="https://twitter.com/knauf_philipp/status/723406489273004032" TargetMode="External"/><Relationship Id="rId8501" Type="http://schemas.openxmlformats.org/officeDocument/2006/relationships/hyperlink" Target="https://twitter.com/ZVEIorg/status/723603096094552065" TargetMode="External"/><Relationship Id="rId10017" Type="http://schemas.openxmlformats.org/officeDocument/2006/relationships/hyperlink" Target="https://pbs.twimg.com/profile_images/645716711723925506/t5G0qOS6_normal.jpg" TargetMode="External"/><Relationship Id="rId2595" Type="http://schemas.openxmlformats.org/officeDocument/2006/relationships/hyperlink" Target="https://pbs.twimg.com/profile_images/593011135428882432/BGMPkrwp_normal.jpg" TargetMode="External"/><Relationship Id="rId3993" Type="http://schemas.openxmlformats.org/officeDocument/2006/relationships/hyperlink" Target="https://twitter.com/aguittard/status/722466819164876802" TargetMode="External"/><Relationship Id="rId6052" Type="http://schemas.openxmlformats.org/officeDocument/2006/relationships/hyperlink" Target="https://pbs.twimg.com/profile_images/458890407313559552/jLyIiacO_normal.png" TargetMode="External"/><Relationship Id="rId7103" Type="http://schemas.openxmlformats.org/officeDocument/2006/relationships/hyperlink" Target="https://twitter.com/sarhapu/status/723261525931241472" TargetMode="External"/><Relationship Id="rId567" Type="http://schemas.openxmlformats.org/officeDocument/2006/relationships/hyperlink" Target="https://twitter.com/Markenartikler/status/720626189304352769" TargetMode="External"/><Relationship Id="rId1197" Type="http://schemas.openxmlformats.org/officeDocument/2006/relationships/hyperlink" Target="https://pbs.twimg.com/profile_images/677809625719263232/CoI0S7eW_normal.jpg" TargetMode="External"/><Relationship Id="rId2248" Type="http://schemas.openxmlformats.org/officeDocument/2006/relationships/hyperlink" Target="https://twitter.com/reanvent" TargetMode="External"/><Relationship Id="rId3646" Type="http://schemas.openxmlformats.org/officeDocument/2006/relationships/hyperlink" Target="https://pbs.twimg.com/profile_images/626731191715131393/jns17fVE_normal.png" TargetMode="External"/><Relationship Id="rId9275" Type="http://schemas.openxmlformats.org/officeDocument/2006/relationships/hyperlink" Target="https://twitter.com/Angela_Josephs" TargetMode="External"/><Relationship Id="rId981" Type="http://schemas.openxmlformats.org/officeDocument/2006/relationships/hyperlink" Target="https://pbs.twimg.com/profile_images/707932715748876288/SDVwT7ct_normal.jpg" TargetMode="External"/><Relationship Id="rId2662" Type="http://schemas.openxmlformats.org/officeDocument/2006/relationships/hyperlink" Target="https://twitter.com/haiyendang/status/722081877134348289" TargetMode="External"/><Relationship Id="rId3713" Type="http://schemas.openxmlformats.org/officeDocument/2006/relationships/hyperlink" Target="https://twitter.com/H_IT_D" TargetMode="External"/><Relationship Id="rId6869" Type="http://schemas.openxmlformats.org/officeDocument/2006/relationships/hyperlink" Target="https://twitter.com/INDIZbot/status/723180062992945152" TargetMode="External"/><Relationship Id="rId634" Type="http://schemas.openxmlformats.org/officeDocument/2006/relationships/hyperlink" Target="https://pbs.twimg.com/profile_images/525998513264410624/ZHDocuJo_normal.jpeg" TargetMode="External"/><Relationship Id="rId1264" Type="http://schemas.openxmlformats.org/officeDocument/2006/relationships/hyperlink" Target="https://twitter.com/INDIZbot" TargetMode="External"/><Relationship Id="rId2315" Type="http://schemas.openxmlformats.org/officeDocument/2006/relationships/hyperlink" Target="https://twitter.com/HoganVerfahren/status/721982359780913152" TargetMode="External"/><Relationship Id="rId5885" Type="http://schemas.openxmlformats.org/officeDocument/2006/relationships/hyperlink" Target="https://twitter.com/kion_group" TargetMode="External"/><Relationship Id="rId6936" Type="http://schemas.openxmlformats.org/officeDocument/2006/relationships/hyperlink" Target="https://pbs.twimg.com/profile_images/701040765321936897/8PGP7xLf_normal.jpg" TargetMode="External"/><Relationship Id="rId8291" Type="http://schemas.openxmlformats.org/officeDocument/2006/relationships/hyperlink" Target="https://pbs.twimg.com/profile_images/645716711723925506/t5G0qOS6_normal.jpg" TargetMode="External"/><Relationship Id="rId9342" Type="http://schemas.openxmlformats.org/officeDocument/2006/relationships/hyperlink" Target="https://twitter.com/5t0ll1/status/724147747541127168" TargetMode="External"/><Relationship Id="rId701" Type="http://schemas.openxmlformats.org/officeDocument/2006/relationships/hyperlink" Target="https://twitter.com/MOC_AllianceBD" TargetMode="External"/><Relationship Id="rId1331" Type="http://schemas.openxmlformats.org/officeDocument/2006/relationships/hyperlink" Target="https://twitter.com/jmcambot/status/720961875245187072" TargetMode="External"/><Relationship Id="rId4487" Type="http://schemas.openxmlformats.org/officeDocument/2006/relationships/hyperlink" Target="https://twitter.com/Restaurator_Tom/status/722698593656782848" TargetMode="External"/><Relationship Id="rId5538" Type="http://schemas.openxmlformats.org/officeDocument/2006/relationships/hyperlink" Target="https://twitter.com/HOHMANN_Chris" TargetMode="External"/><Relationship Id="rId5952" Type="http://schemas.openxmlformats.org/officeDocument/2006/relationships/hyperlink" Target="https://twitter.com/Bitkom_I40/status/723065115201953792" TargetMode="External"/><Relationship Id="rId3089" Type="http://schemas.openxmlformats.org/officeDocument/2006/relationships/hyperlink" Target="https://pbs.twimg.com/profile_images/542205461139705857/rG0aBulP_normal.png" TargetMode="External"/><Relationship Id="rId4554" Type="http://schemas.openxmlformats.org/officeDocument/2006/relationships/hyperlink" Target="https://twitter.com/conosco" TargetMode="External"/><Relationship Id="rId5605" Type="http://schemas.openxmlformats.org/officeDocument/2006/relationships/hyperlink" Target="https://twitter.com/SiePing/status/722887870541729793" TargetMode="External"/><Relationship Id="rId8011" Type="http://schemas.openxmlformats.org/officeDocument/2006/relationships/hyperlink" Target="https://pbs.twimg.com/profile_images/623849156159868928/BetFDR_i_normal.jpg" TargetMode="External"/><Relationship Id="rId3156" Type="http://schemas.openxmlformats.org/officeDocument/2006/relationships/hyperlink" Target="https://twitter.com/foresight_lab" TargetMode="External"/><Relationship Id="rId4207" Type="http://schemas.openxmlformats.org/officeDocument/2006/relationships/hyperlink" Target="https://twitter.com/INDIZbot/status/722518197174407168" TargetMode="External"/><Relationship Id="rId491" Type="http://schemas.openxmlformats.org/officeDocument/2006/relationships/hyperlink" Target="https://twitter.com/JIJmt" TargetMode="External"/><Relationship Id="rId2172" Type="http://schemas.openxmlformats.org/officeDocument/2006/relationships/hyperlink" Target="https://pbs.twimg.com/profile_images/699226610428420096/jjvfJFvl_normal.png" TargetMode="External"/><Relationship Id="rId3223" Type="http://schemas.openxmlformats.org/officeDocument/2006/relationships/hyperlink" Target="https://twitter.com/H_IT_D" TargetMode="External"/><Relationship Id="rId3570" Type="http://schemas.openxmlformats.org/officeDocument/2006/relationships/hyperlink" Target="https://twitter.com/INDIZbot/status/722377442749456384" TargetMode="External"/><Relationship Id="rId4621" Type="http://schemas.openxmlformats.org/officeDocument/2006/relationships/hyperlink" Target="https://twitter.com/INDIZbot/status/722709231863009280" TargetMode="External"/><Relationship Id="rId6379" Type="http://schemas.openxmlformats.org/officeDocument/2006/relationships/hyperlink" Target="https://pbs.twimg.com/profile_images/489007947788218368/o6QnDS0Q_normal.jpeg" TargetMode="External"/><Relationship Id="rId7777" Type="http://schemas.openxmlformats.org/officeDocument/2006/relationships/hyperlink" Target="https://twitter.com/tcerisier_johan/status/723433095836258304" TargetMode="External"/><Relationship Id="rId8828" Type="http://schemas.openxmlformats.org/officeDocument/2006/relationships/hyperlink" Target="https://twitter.com/verlinked/status/723826795259265024" TargetMode="External"/><Relationship Id="rId144" Type="http://schemas.openxmlformats.org/officeDocument/2006/relationships/hyperlink" Target="https://pbs.twimg.com/profile_images/524295003107885059/1ADGv6Ps_normal.png" TargetMode="External"/><Relationship Id="rId6793" Type="http://schemas.openxmlformats.org/officeDocument/2006/relationships/hyperlink" Target="https://twitter.com/IETYoungPros" TargetMode="External"/><Relationship Id="rId7844" Type="http://schemas.openxmlformats.org/officeDocument/2006/relationships/hyperlink" Target="https://twitter.com/LReehten/status/723447474233331712" TargetMode="External"/><Relationship Id="rId2989" Type="http://schemas.openxmlformats.org/officeDocument/2006/relationships/hyperlink" Target="https://pbs.twimg.com/profile_images/3168132348/ba3f924eb90c4a69acf6ca9ae5594871_normal.jpeg" TargetMode="External"/><Relationship Id="rId5395" Type="http://schemas.openxmlformats.org/officeDocument/2006/relationships/hyperlink" Target="https://pbs.twimg.com/profile_images/643892666695073792/IDQzvziq_normal.jpg" TargetMode="External"/><Relationship Id="rId6446" Type="http://schemas.openxmlformats.org/officeDocument/2006/relationships/hyperlink" Target="https://twitter.com/SAPFrance" TargetMode="External"/><Relationship Id="rId6860" Type="http://schemas.openxmlformats.org/officeDocument/2006/relationships/hyperlink" Target="https://twitter.com/INDIZbot/status/723179775225958400" TargetMode="External"/><Relationship Id="rId7911" Type="http://schemas.openxmlformats.org/officeDocument/2006/relationships/hyperlink" Target="https://pbs.twimg.com/profile_images/722098538604281856/CcBxk1_M_normal.jpg" TargetMode="External"/><Relationship Id="rId211" Type="http://schemas.openxmlformats.org/officeDocument/2006/relationships/hyperlink" Target="https://twitter.com/RaphalBlanchard" TargetMode="External"/><Relationship Id="rId5048" Type="http://schemas.openxmlformats.org/officeDocument/2006/relationships/hyperlink" Target="https://twitter.com/SHC_GmbH/status/722751730149003265" TargetMode="External"/><Relationship Id="rId5462" Type="http://schemas.openxmlformats.org/officeDocument/2006/relationships/hyperlink" Target="https://pbs.twimg.com/profile_images/513076194527285248/9M5kEuN6_normal.jpeg" TargetMode="External"/><Relationship Id="rId6513" Type="http://schemas.openxmlformats.org/officeDocument/2006/relationships/hyperlink" Target="https://twitter.com/verlinked/status/723134369188040704" TargetMode="External"/><Relationship Id="rId9669" Type="http://schemas.openxmlformats.org/officeDocument/2006/relationships/hyperlink" Target="https://twitter.com/MarksMusing/status/724229383800512512" TargetMode="External"/><Relationship Id="rId1658" Type="http://schemas.openxmlformats.org/officeDocument/2006/relationships/hyperlink" Target="https://twitter.com/LeasingVerband/status/721265945025650688" TargetMode="External"/><Relationship Id="rId2709" Type="http://schemas.openxmlformats.org/officeDocument/2006/relationships/hyperlink" Target="https://twitter.com/LNI40" TargetMode="External"/><Relationship Id="rId4064" Type="http://schemas.openxmlformats.org/officeDocument/2006/relationships/hyperlink" Target="https://twitter.com/NetClubj1" TargetMode="External"/><Relationship Id="rId5115" Type="http://schemas.openxmlformats.org/officeDocument/2006/relationships/hyperlink" Target="https://pbs.twimg.com/profile_images/572722352144666624/2G6VnJJx_normal.jpeg" TargetMode="External"/><Relationship Id="rId8685" Type="http://schemas.openxmlformats.org/officeDocument/2006/relationships/hyperlink" Target="https://pbs.twimg.com/profile_images/600969802908356609/3JqGMg38_normal.png" TargetMode="External"/><Relationship Id="rId9736" Type="http://schemas.openxmlformats.org/officeDocument/2006/relationships/hyperlink" Target="https://twitter.com/catkinEU/status/724237872224722944" TargetMode="External"/><Relationship Id="rId3080" Type="http://schemas.openxmlformats.org/officeDocument/2006/relationships/hyperlink" Target="https://pbs.twimg.com/profile_images/423816397320241152/83rRQZmm_normal.jpeg" TargetMode="External"/><Relationship Id="rId4131" Type="http://schemas.openxmlformats.org/officeDocument/2006/relationships/hyperlink" Target="https://twitter.com/DoreenJacobi1" TargetMode="External"/><Relationship Id="rId7287" Type="http://schemas.openxmlformats.org/officeDocument/2006/relationships/hyperlink" Target="https://pbs.twimg.com/profile_images/616892318885511168/Ps8q5PsU_normal.jpg" TargetMode="External"/><Relationship Id="rId8338" Type="http://schemas.openxmlformats.org/officeDocument/2006/relationships/hyperlink" Target="https://twitter.com/Vontobel_FP_DE/status/723537407874883584" TargetMode="External"/><Relationship Id="rId1725" Type="http://schemas.openxmlformats.org/officeDocument/2006/relationships/hyperlink" Target="https://pbs.twimg.com/profile_images/599585844563959808/bYyhHArl_normal.jpg" TargetMode="External"/><Relationship Id="rId7354" Type="http://schemas.openxmlformats.org/officeDocument/2006/relationships/hyperlink" Target="https://pbs.twimg.com/profile_images/463677817322881024/whzwFXjx_normal.png" TargetMode="External"/><Relationship Id="rId8752" Type="http://schemas.openxmlformats.org/officeDocument/2006/relationships/hyperlink" Target="https://twitter.com/NikolausReuter" TargetMode="External"/><Relationship Id="rId9803" Type="http://schemas.openxmlformats.org/officeDocument/2006/relationships/hyperlink" Target="https://twitter.com/martinruskowski/status/724261403230633984" TargetMode="External"/><Relationship Id="rId10268" Type="http://schemas.openxmlformats.org/officeDocument/2006/relationships/hyperlink" Target="https://twitter.com/H_IT_D/status/724442912562368512" TargetMode="External"/><Relationship Id="rId17" Type="http://schemas.openxmlformats.org/officeDocument/2006/relationships/hyperlink" Target="https://twitter.com/markherten/status/720499788538634241" TargetMode="External"/><Relationship Id="rId3897" Type="http://schemas.openxmlformats.org/officeDocument/2006/relationships/hyperlink" Target="https://twitter.com/thomaswedel/status/722453598156820480" TargetMode="External"/><Relationship Id="rId4948" Type="http://schemas.openxmlformats.org/officeDocument/2006/relationships/hyperlink" Target="https://twitter.com/EAutoPionier/status/722742950938030084" TargetMode="External"/><Relationship Id="rId7007" Type="http://schemas.openxmlformats.org/officeDocument/2006/relationships/hyperlink" Target="https://twitter.com/40_Nachrichten/status/723229424146063360" TargetMode="External"/><Relationship Id="rId8405" Type="http://schemas.openxmlformats.org/officeDocument/2006/relationships/hyperlink" Target="https://twitter.com/SarahHashish/status/723559804556455936" TargetMode="External"/><Relationship Id="rId10335" Type="http://schemas.openxmlformats.org/officeDocument/2006/relationships/hyperlink" Target="https://pbs.twimg.com/profile_images/546342267875643393/j-IahLSz_normal.png" TargetMode="External"/><Relationship Id="rId2499" Type="http://schemas.openxmlformats.org/officeDocument/2006/relationships/hyperlink" Target="https://pbs.twimg.com/profile_images/590220438992658432/PXX1Ovxe_normal.jpg" TargetMode="External"/><Relationship Id="rId3964" Type="http://schemas.openxmlformats.org/officeDocument/2006/relationships/hyperlink" Target="https://pbs.twimg.com/profile_images/681053312804851712/G6yGxAsm_normal.png" TargetMode="External"/><Relationship Id="rId6370" Type="http://schemas.openxmlformats.org/officeDocument/2006/relationships/hyperlink" Target="https://pbs.twimg.com/profile_images/566986293888835584/_uYTcau__normal.png" TargetMode="External"/><Relationship Id="rId7421" Type="http://schemas.openxmlformats.org/officeDocument/2006/relationships/hyperlink" Target="https://twitter.com/pechardscheck/status/723405693705809921" TargetMode="External"/><Relationship Id="rId1" Type="http://schemas.openxmlformats.org/officeDocument/2006/relationships/hyperlink" Target="https://twitter.com/FranckAtDell" TargetMode="External"/><Relationship Id="rId885" Type="http://schemas.openxmlformats.org/officeDocument/2006/relationships/hyperlink" Target="https://twitter.com/INDIZbot" TargetMode="External"/><Relationship Id="rId2566" Type="http://schemas.openxmlformats.org/officeDocument/2006/relationships/hyperlink" Target="https://twitter.com/Apandia/status/722061144609857536" TargetMode="External"/><Relationship Id="rId2980" Type="http://schemas.openxmlformats.org/officeDocument/2006/relationships/hyperlink" Target="https://pbs.twimg.com/profile_images/1611098841/110915-109_normal.jpg" TargetMode="External"/><Relationship Id="rId3617" Type="http://schemas.openxmlformats.org/officeDocument/2006/relationships/hyperlink" Target="https://twitter.com/itsOWL_Cluster" TargetMode="External"/><Relationship Id="rId6023" Type="http://schemas.openxmlformats.org/officeDocument/2006/relationships/hyperlink" Target="https://twitter.com/Balluff_Service" TargetMode="External"/><Relationship Id="rId9179" Type="http://schemas.openxmlformats.org/officeDocument/2006/relationships/hyperlink" Target="https://twitter.com/INDIZbot" TargetMode="External"/><Relationship Id="rId9593" Type="http://schemas.openxmlformats.org/officeDocument/2006/relationships/hyperlink" Target="https://twitter.com/mpemediatwit" TargetMode="External"/><Relationship Id="rId538" Type="http://schemas.openxmlformats.org/officeDocument/2006/relationships/hyperlink" Target="https://pbs.twimg.com/profile_images/424865513492074496/m4LeM9m0_normal.jpeg" TargetMode="External"/><Relationship Id="rId952" Type="http://schemas.openxmlformats.org/officeDocument/2006/relationships/hyperlink" Target="https://twitter.com/JuLoewe/status/720873916575526912" TargetMode="External"/><Relationship Id="rId1168" Type="http://schemas.openxmlformats.org/officeDocument/2006/relationships/hyperlink" Target="https://twitter.com/Balluff" TargetMode="External"/><Relationship Id="rId1582" Type="http://schemas.openxmlformats.org/officeDocument/2006/relationships/hyperlink" Target="https://twitter.com/CapgeminiDE" TargetMode="External"/><Relationship Id="rId2219" Type="http://schemas.openxmlformats.org/officeDocument/2006/relationships/hyperlink" Target="https://twitter.com/INDIZbot/status/721964486924615680" TargetMode="External"/><Relationship Id="rId2633" Type="http://schemas.openxmlformats.org/officeDocument/2006/relationships/hyperlink" Target="https://twitter.com/INDIZbot" TargetMode="External"/><Relationship Id="rId5789" Type="http://schemas.openxmlformats.org/officeDocument/2006/relationships/hyperlink" Target="https://pbs.twimg.com/profile_images/445540366637223937/HX8VPgJH_normal.jpeg" TargetMode="External"/><Relationship Id="rId8195" Type="http://schemas.openxmlformats.org/officeDocument/2006/relationships/hyperlink" Target="https://pbs.twimg.com/profile_images/600279861282869249/IpIJ3MKX_normal.png" TargetMode="External"/><Relationship Id="rId9246" Type="http://schemas.openxmlformats.org/officeDocument/2006/relationships/hyperlink" Target="https://twitter.com/MichaelMelzig/status/724035500944834560" TargetMode="External"/><Relationship Id="rId9660" Type="http://schemas.openxmlformats.org/officeDocument/2006/relationships/hyperlink" Target="https://twitter.com/MarksMusing/status/724227685833043974" TargetMode="External"/><Relationship Id="rId605" Type="http://schemas.openxmlformats.org/officeDocument/2006/relationships/hyperlink" Target="https://twitter.com/Pamsav1" TargetMode="External"/><Relationship Id="rId1235" Type="http://schemas.openxmlformats.org/officeDocument/2006/relationships/hyperlink" Target="https://twitter.com/HDSintGroup/status/720930767782678528" TargetMode="External"/><Relationship Id="rId8262" Type="http://schemas.openxmlformats.org/officeDocument/2006/relationships/hyperlink" Target="https://twitter.com/markherten" TargetMode="External"/><Relationship Id="rId9313" Type="http://schemas.openxmlformats.org/officeDocument/2006/relationships/hyperlink" Target="https://pbs.twimg.com/profile_images/722146752057487360/wkdN1AEV_normal.jpg" TargetMode="External"/><Relationship Id="rId10192" Type="http://schemas.openxmlformats.org/officeDocument/2006/relationships/hyperlink" Target="https://twitter.com/carlpalme" TargetMode="External"/><Relationship Id="rId1302" Type="http://schemas.openxmlformats.org/officeDocument/2006/relationships/hyperlink" Target="https://pbs.twimg.com/profile_images/690510822766944256/8qgmimAA_normal.png" TargetMode="External"/><Relationship Id="rId2700" Type="http://schemas.openxmlformats.org/officeDocument/2006/relationships/hyperlink" Target="https://twitter.com/Industry40" TargetMode="External"/><Relationship Id="rId4458" Type="http://schemas.openxmlformats.org/officeDocument/2006/relationships/hyperlink" Target="https://pbs.twimg.com/profile_images/378989830/Reinhard-Portrait_normal.jpg" TargetMode="External"/><Relationship Id="rId5856" Type="http://schemas.openxmlformats.org/officeDocument/2006/relationships/hyperlink" Target="https://twitter.com/reanvent/status/723054998939140096" TargetMode="External"/><Relationship Id="rId6907" Type="http://schemas.openxmlformats.org/officeDocument/2006/relationships/hyperlink" Target="https://twitter.com/croXXing_IBD" TargetMode="External"/><Relationship Id="rId4872" Type="http://schemas.openxmlformats.org/officeDocument/2006/relationships/hyperlink" Target="https://twitter.com/Gruendercoaches" TargetMode="External"/><Relationship Id="rId5509" Type="http://schemas.openxmlformats.org/officeDocument/2006/relationships/hyperlink" Target="https://twitter.com/EpicsBot/status/722828445995122688" TargetMode="External"/><Relationship Id="rId5923" Type="http://schemas.openxmlformats.org/officeDocument/2006/relationships/hyperlink" Target="https://pbs.twimg.com/profile_images/645716711723925506/t5G0qOS6_normal.jpg" TargetMode="External"/><Relationship Id="rId395" Type="http://schemas.openxmlformats.org/officeDocument/2006/relationships/hyperlink" Target="https://twitter.com/MeinGeldMedien/status/720578696264945664" TargetMode="External"/><Relationship Id="rId2076" Type="http://schemas.openxmlformats.org/officeDocument/2006/relationships/hyperlink" Target="https://twitter.com/APGuha" TargetMode="External"/><Relationship Id="rId3474" Type="http://schemas.openxmlformats.org/officeDocument/2006/relationships/hyperlink" Target="https://twitter.com/FM_Elektro/status/722363832589488128" TargetMode="External"/><Relationship Id="rId4525" Type="http://schemas.openxmlformats.org/officeDocument/2006/relationships/hyperlink" Target="https://twitter.com/acquisa/status/722702212602978304" TargetMode="External"/><Relationship Id="rId2490" Type="http://schemas.openxmlformats.org/officeDocument/2006/relationships/hyperlink" Target="https://pbs.twimg.com/profile_images/502066779590385665/YElxw-eg_normal.jpeg" TargetMode="External"/><Relationship Id="rId3127" Type="http://schemas.openxmlformats.org/officeDocument/2006/relationships/hyperlink" Target="https://twitter.com/LReehten/status/722314626587828225" TargetMode="External"/><Relationship Id="rId3541" Type="http://schemas.openxmlformats.org/officeDocument/2006/relationships/hyperlink" Target="https://pbs.twimg.com/profile_images/652379080105553923/ck9epO3E_normal.jpg" TargetMode="External"/><Relationship Id="rId6697" Type="http://schemas.openxmlformats.org/officeDocument/2006/relationships/hyperlink" Target="https://twitter.com/ITK_OWL" TargetMode="External"/><Relationship Id="rId7748" Type="http://schemas.openxmlformats.org/officeDocument/2006/relationships/hyperlink" Target="https://pbs.twimg.com/profile_images/1539645084/FB-KWlogo.004_normal.png" TargetMode="External"/><Relationship Id="rId462" Type="http://schemas.openxmlformats.org/officeDocument/2006/relationships/hyperlink" Target="https://pbs.twimg.com/profile_images/650275357636038656/k7dfy49Q_normal.jpg" TargetMode="External"/><Relationship Id="rId1092" Type="http://schemas.openxmlformats.org/officeDocument/2006/relationships/hyperlink" Target="https://pbs.twimg.com/profile_images/438732935064076288/YQtGrBfD_normal.png" TargetMode="External"/><Relationship Id="rId2143" Type="http://schemas.openxmlformats.org/officeDocument/2006/relationships/hyperlink" Target="https://twitter.com/handling" TargetMode="External"/><Relationship Id="rId5299" Type="http://schemas.openxmlformats.org/officeDocument/2006/relationships/hyperlink" Target="https://twitter.com/lotsize1" TargetMode="External"/><Relationship Id="rId6764" Type="http://schemas.openxmlformats.org/officeDocument/2006/relationships/hyperlink" Target="https://twitter.com/Philippa_IMechE/status/723168720609120256" TargetMode="External"/><Relationship Id="rId7815" Type="http://schemas.openxmlformats.org/officeDocument/2006/relationships/hyperlink" Target="https://pbs.twimg.com/profile_images/580407919025512448/m1volCav_normal.png" TargetMode="External"/><Relationship Id="rId9170" Type="http://schemas.openxmlformats.org/officeDocument/2006/relationships/hyperlink" Target="https://twitter.com/vemdiearbeitgeb" TargetMode="External"/><Relationship Id="rId115" Type="http://schemas.openxmlformats.org/officeDocument/2006/relationships/hyperlink" Target="https://twitter.com/shyamvaran" TargetMode="External"/><Relationship Id="rId2210" Type="http://schemas.openxmlformats.org/officeDocument/2006/relationships/hyperlink" Target="https://twitter.com/MeinGeldMedien/status/721962047077031936" TargetMode="External"/><Relationship Id="rId5366" Type="http://schemas.openxmlformats.org/officeDocument/2006/relationships/hyperlink" Target="https://twitter.com/croXXing_IBD" TargetMode="External"/><Relationship Id="rId6417" Type="http://schemas.openxmlformats.org/officeDocument/2006/relationships/hyperlink" Target="https://twitter.com/fhnw_i4ds/status/723120607739539457" TargetMode="External"/><Relationship Id="rId4382" Type="http://schemas.openxmlformats.org/officeDocument/2006/relationships/hyperlink" Target="https://pbs.twimg.com/profile_images/3314186245/f45276fa4db865a49c10f61c9208d980_normal.jpeg" TargetMode="External"/><Relationship Id="rId5019" Type="http://schemas.openxmlformats.org/officeDocument/2006/relationships/hyperlink" Target="https://pbs.twimg.com/profile_images/288341769/IMG_7268web_normal.jpg" TargetMode="External"/><Relationship Id="rId5433" Type="http://schemas.openxmlformats.org/officeDocument/2006/relationships/hyperlink" Target="https://twitter.com/IT2Industry/status/722802554317455360" TargetMode="External"/><Relationship Id="rId5780" Type="http://schemas.openxmlformats.org/officeDocument/2006/relationships/hyperlink" Target="https://pbs.twimg.com/profile_images/636836616263311360/-akWmcev_normal.png" TargetMode="External"/><Relationship Id="rId6831" Type="http://schemas.openxmlformats.org/officeDocument/2006/relationships/hyperlink" Target="https://pbs.twimg.com/profile_images/723407487395713024/0hZv7R8S_normal.jpg" TargetMode="External"/><Relationship Id="rId8589" Type="http://schemas.openxmlformats.org/officeDocument/2006/relationships/hyperlink" Target="https://abs.twimg.com/sticky/default_profile_images/default_profile_3_normal.png" TargetMode="External"/><Relationship Id="rId9987" Type="http://schemas.openxmlformats.org/officeDocument/2006/relationships/hyperlink" Target="https://pbs.twimg.com/profile_images/645716711723925506/t5G0qOS6_normal.jpg" TargetMode="External"/><Relationship Id="rId1976" Type="http://schemas.openxmlformats.org/officeDocument/2006/relationships/hyperlink" Target="https://pbs.twimg.com/profile_images/662723326096224256/5V4KH9_O_normal.jpg" TargetMode="External"/><Relationship Id="rId4035" Type="http://schemas.openxmlformats.org/officeDocument/2006/relationships/hyperlink" Target="https://twitter.com/syntecnumerique/status/722478411088793600" TargetMode="External"/><Relationship Id="rId1629" Type="http://schemas.openxmlformats.org/officeDocument/2006/relationships/hyperlink" Target="https://pbs.twimg.com/profile_images/708736000923738112/lLNoYXyG_normal.jpg" TargetMode="External"/><Relationship Id="rId5500" Type="http://schemas.openxmlformats.org/officeDocument/2006/relationships/hyperlink" Target="https://twitter.com/gpodagrosi/status/722823569357565952" TargetMode="External"/><Relationship Id="rId8656" Type="http://schemas.openxmlformats.org/officeDocument/2006/relationships/hyperlink" Target="https://twitter.com/INDIZbot" TargetMode="External"/><Relationship Id="rId9707" Type="http://schemas.openxmlformats.org/officeDocument/2006/relationships/hyperlink" Target="https://twitter.com/VDMAonline" TargetMode="External"/><Relationship Id="rId3051" Type="http://schemas.openxmlformats.org/officeDocument/2006/relationships/hyperlink" Target="https://twitter.com/DIVSI_Info" TargetMode="External"/><Relationship Id="rId4102" Type="http://schemas.openxmlformats.org/officeDocument/2006/relationships/hyperlink" Target="https://twitter.com/CloarecMark_Tec/status/722503927795752960" TargetMode="External"/><Relationship Id="rId7258" Type="http://schemas.openxmlformats.org/officeDocument/2006/relationships/hyperlink" Target="https://twitter.com/INDIZbot" TargetMode="External"/><Relationship Id="rId7672" Type="http://schemas.openxmlformats.org/officeDocument/2006/relationships/hyperlink" Target="https://twitter.com/NRWEuropa/status/723425317826650114" TargetMode="External"/><Relationship Id="rId8309" Type="http://schemas.openxmlformats.org/officeDocument/2006/relationships/hyperlink" Target="https://pbs.twimg.com/profile_images/534063334208077824/EmJNThHZ_normal.jpeg" TargetMode="External"/><Relationship Id="rId8723" Type="http://schemas.openxmlformats.org/officeDocument/2006/relationships/hyperlink" Target="https://twitter.com/nowanda1/status/723796812809822208" TargetMode="External"/><Relationship Id="rId10239" Type="http://schemas.openxmlformats.org/officeDocument/2006/relationships/hyperlink" Target="https://pbs.twimg.com/profile_images/645716711723925506/t5G0qOS6_normal.jpg" TargetMode="External"/><Relationship Id="rId3868" Type="http://schemas.openxmlformats.org/officeDocument/2006/relationships/hyperlink" Target="https://pbs.twimg.com/profile_images/533458421941829632/KEJicPAo_normal.jpeg" TargetMode="External"/><Relationship Id="rId4919" Type="http://schemas.openxmlformats.org/officeDocument/2006/relationships/hyperlink" Target="https://pbs.twimg.com/profile_images/561600740448153600/1SOPpS8W_normal.jpeg" TargetMode="External"/><Relationship Id="rId6274" Type="http://schemas.openxmlformats.org/officeDocument/2006/relationships/hyperlink" Target="https://pbs.twimg.com/profile_images/471312276767535104/TIanhngf_normal.jpeg" TargetMode="External"/><Relationship Id="rId7325" Type="http://schemas.openxmlformats.org/officeDocument/2006/relationships/hyperlink" Target="https://twitter.com/SEWEURODRIVE" TargetMode="External"/><Relationship Id="rId10306" Type="http://schemas.openxmlformats.org/officeDocument/2006/relationships/hyperlink" Target="https://twitter.com/amortisat" TargetMode="External"/><Relationship Id="rId789" Type="http://schemas.openxmlformats.org/officeDocument/2006/relationships/hyperlink" Target="https://twitter.com/AgnesGrange/status/720718946375176193" TargetMode="External"/><Relationship Id="rId2884" Type="http://schemas.openxmlformats.org/officeDocument/2006/relationships/hyperlink" Target="https://pbs.twimg.com/profile_images/717897797249462277/MeNRszY2_normal.jpg" TargetMode="External"/><Relationship Id="rId5290" Type="http://schemas.openxmlformats.org/officeDocument/2006/relationships/hyperlink" Target="https://twitter.com/TrendONE" TargetMode="External"/><Relationship Id="rId6341" Type="http://schemas.openxmlformats.org/officeDocument/2006/relationships/hyperlink" Target="https://twitter.com/INDIZbot/status/723114790814683136" TargetMode="External"/><Relationship Id="rId9497" Type="http://schemas.openxmlformats.org/officeDocument/2006/relationships/hyperlink" Target="https://twitter.com/db_theblizz" TargetMode="External"/><Relationship Id="rId856" Type="http://schemas.openxmlformats.org/officeDocument/2006/relationships/hyperlink" Target="https://twitter.com/nicolaikr/status/720848533058785280" TargetMode="External"/><Relationship Id="rId1486" Type="http://schemas.openxmlformats.org/officeDocument/2006/relationships/hyperlink" Target="https://twitter.com/INDIZbot" TargetMode="External"/><Relationship Id="rId2537" Type="http://schemas.openxmlformats.org/officeDocument/2006/relationships/hyperlink" Target="https://pbs.twimg.com/profile_images/717344671668772864/nFw9mplH_normal.jpg" TargetMode="External"/><Relationship Id="rId3935" Type="http://schemas.openxmlformats.org/officeDocument/2006/relationships/hyperlink" Target="https://twitter.com/Stella_Vaskoudi" TargetMode="External"/><Relationship Id="rId8099" Type="http://schemas.openxmlformats.org/officeDocument/2006/relationships/hyperlink" Target="https://twitter.com/H_IT_D" TargetMode="External"/><Relationship Id="rId9564" Type="http://schemas.openxmlformats.org/officeDocument/2006/relationships/hyperlink" Target="https://twitter.com/RolandBent/status/724207279432732673" TargetMode="External"/><Relationship Id="rId509" Type="http://schemas.openxmlformats.org/officeDocument/2006/relationships/hyperlink" Target="https://twitter.com/QuickFindsIn" TargetMode="External"/><Relationship Id="rId1139" Type="http://schemas.openxmlformats.org/officeDocument/2006/relationships/hyperlink" Target="https://twitter.com/blisslogixIT/status/720906414252769280" TargetMode="External"/><Relationship Id="rId2951" Type="http://schemas.openxmlformats.org/officeDocument/2006/relationships/hyperlink" Target="https://twitter.com/BigDataTweetBot" TargetMode="External"/><Relationship Id="rId5010" Type="http://schemas.openxmlformats.org/officeDocument/2006/relationships/hyperlink" Target="https://pbs.twimg.com/profile_images/676325832600743936/gCXpokOx_normal.jpg" TargetMode="External"/><Relationship Id="rId8166" Type="http://schemas.openxmlformats.org/officeDocument/2006/relationships/hyperlink" Target="https://twitter.com/aconext/status/723504970260197377" TargetMode="External"/><Relationship Id="rId9217" Type="http://schemas.openxmlformats.org/officeDocument/2006/relationships/hyperlink" Target="https://pbs.twimg.com/profile_images/715622885646344192/KKSRmkdr_normal.jpg" TargetMode="External"/><Relationship Id="rId923" Type="http://schemas.openxmlformats.org/officeDocument/2006/relationships/hyperlink" Target="https://pbs.twimg.com/profile_images/565783312728215552/VwNqFg6U_normal.jpeg" TargetMode="External"/><Relationship Id="rId1553" Type="http://schemas.openxmlformats.org/officeDocument/2006/relationships/hyperlink" Target="https://twitter.com/INDIZbot/status/721081205408587776" TargetMode="External"/><Relationship Id="rId2604" Type="http://schemas.openxmlformats.org/officeDocument/2006/relationships/hyperlink" Target="https://pbs.twimg.com/profile_images/645716711723925506/t5G0qOS6_normal.jpg" TargetMode="External"/><Relationship Id="rId8580" Type="http://schemas.openxmlformats.org/officeDocument/2006/relationships/hyperlink" Target="https://pbs.twimg.com/profile_images/458696399211606016/rUZELqAc_normal.jpeg" TargetMode="External"/><Relationship Id="rId9631" Type="http://schemas.openxmlformats.org/officeDocument/2006/relationships/hyperlink" Target="https://pbs.twimg.com/profile_images/682096839919808512/J2pWjyqZ_normal.png" TargetMode="External"/><Relationship Id="rId10096" Type="http://schemas.openxmlformats.org/officeDocument/2006/relationships/hyperlink" Target="https://twitter.com/TLinn_Visionico" TargetMode="External"/><Relationship Id="rId1206" Type="http://schemas.openxmlformats.org/officeDocument/2006/relationships/hyperlink" Target="https://pbs.twimg.com/profile_images/692741210029592576/qnxpEsZ9_normal.png" TargetMode="External"/><Relationship Id="rId1620" Type="http://schemas.openxmlformats.org/officeDocument/2006/relationships/hyperlink" Target="https://pbs.twimg.com/profile_images/469070945483628546/iD8AeJP6_normal.png" TargetMode="External"/><Relationship Id="rId4776" Type="http://schemas.openxmlformats.org/officeDocument/2006/relationships/hyperlink" Target="https://twitter.com/_NewSearch_" TargetMode="External"/><Relationship Id="rId5827" Type="http://schemas.openxmlformats.org/officeDocument/2006/relationships/hyperlink" Target="https://twitter.com/VDMAonline" TargetMode="External"/><Relationship Id="rId7182" Type="http://schemas.openxmlformats.org/officeDocument/2006/relationships/hyperlink" Target="https://pbs.twimg.com/profile_images/271136077/Germanbirdy_normal.jpg" TargetMode="External"/><Relationship Id="rId8233" Type="http://schemas.openxmlformats.org/officeDocument/2006/relationships/hyperlink" Target="https://twitter.com/Frank_Reinelt/status/723516370676264960" TargetMode="External"/><Relationship Id="rId10163" Type="http://schemas.openxmlformats.org/officeDocument/2006/relationships/hyperlink" Target="https://twitter.com/xtstuttgart/status/724350468688728064" TargetMode="External"/><Relationship Id="rId3378" Type="http://schemas.openxmlformats.org/officeDocument/2006/relationships/hyperlink" Target="https://twitter.com/Frank_Reinelt/status/722355062534774784" TargetMode="External"/><Relationship Id="rId3792" Type="http://schemas.openxmlformats.org/officeDocument/2006/relationships/hyperlink" Target="https://twitter.com/kommoptimierer/status/722425777736781826" TargetMode="External"/><Relationship Id="rId4429" Type="http://schemas.openxmlformats.org/officeDocument/2006/relationships/hyperlink" Target="https://twitter.com/IccNewsKultur/status/722689787916918784" TargetMode="External"/><Relationship Id="rId4843" Type="http://schemas.openxmlformats.org/officeDocument/2006/relationships/hyperlink" Target="https://twitter.com/VhUHessen/status/722723656036716544" TargetMode="External"/><Relationship Id="rId7999" Type="http://schemas.openxmlformats.org/officeDocument/2006/relationships/hyperlink" Target="https://pbs.twimg.com/profile_images/645716711723925506/t5G0qOS6_normal.jpg" TargetMode="External"/><Relationship Id="rId8300" Type="http://schemas.openxmlformats.org/officeDocument/2006/relationships/hyperlink" Target="https://pbs.twimg.com/profile_images/645716711723925506/t5G0qOS6_normal.jpg" TargetMode="External"/><Relationship Id="rId10230" Type="http://schemas.openxmlformats.org/officeDocument/2006/relationships/hyperlink" Target="https://pbs.twimg.com/profile_images/3072828143/e5426915b22318faa18155fbf31b7279_normal.jpeg" TargetMode="External"/><Relationship Id="rId299" Type="http://schemas.openxmlformats.org/officeDocument/2006/relationships/hyperlink" Target="https://twitter.com/INDIZbot/status/720544914489155584" TargetMode="External"/><Relationship Id="rId2394" Type="http://schemas.openxmlformats.org/officeDocument/2006/relationships/hyperlink" Target="https://pbs.twimg.com/profile_images/1835944962/Oliver_Betz_-_klein_normal.JPG" TargetMode="External"/><Relationship Id="rId3445" Type="http://schemas.openxmlformats.org/officeDocument/2006/relationships/hyperlink" Target="https://pbs.twimg.com/profile_images/666745791382425600/ljM37bIr_normal.jpg" TargetMode="External"/><Relationship Id="rId366" Type="http://schemas.openxmlformats.org/officeDocument/2006/relationships/hyperlink" Target="https://pbs.twimg.com/profile_images/566986293888835584/_uYTcau__normal.png" TargetMode="External"/><Relationship Id="rId780" Type="http://schemas.openxmlformats.org/officeDocument/2006/relationships/hyperlink" Target="https://twitter.com/heikevangeel/status/720717026625458176" TargetMode="External"/><Relationship Id="rId2047" Type="http://schemas.openxmlformats.org/officeDocument/2006/relationships/hyperlink" Target="https://twitter.com/kommoptimierer/status/721775243988234246" TargetMode="External"/><Relationship Id="rId2461" Type="http://schemas.openxmlformats.org/officeDocument/2006/relationships/hyperlink" Target="https://twitter.com/JulieJouvencel" TargetMode="External"/><Relationship Id="rId3512" Type="http://schemas.openxmlformats.org/officeDocument/2006/relationships/hyperlink" Target="https://twitter.com/AxoomDe" TargetMode="External"/><Relationship Id="rId4910" Type="http://schemas.openxmlformats.org/officeDocument/2006/relationships/hyperlink" Target="https://pbs.twimg.com/profile_images/645716711723925506/t5G0qOS6_normal.jpg" TargetMode="External"/><Relationship Id="rId6668" Type="http://schemas.openxmlformats.org/officeDocument/2006/relationships/hyperlink" Target="https://twitter.com/JFPlusquellec/status/723158083032084481" TargetMode="External"/><Relationship Id="rId9074" Type="http://schemas.openxmlformats.org/officeDocument/2006/relationships/hyperlink" Target="https://twitter.com/INDIZbot" TargetMode="External"/><Relationship Id="rId433" Type="http://schemas.openxmlformats.org/officeDocument/2006/relationships/hyperlink" Target="https://twitter.com/IoTMinded" TargetMode="External"/><Relationship Id="rId1063" Type="http://schemas.openxmlformats.org/officeDocument/2006/relationships/hyperlink" Target="https://twitter.com/PwC_France" TargetMode="External"/><Relationship Id="rId2114" Type="http://schemas.openxmlformats.org/officeDocument/2006/relationships/hyperlink" Target="https://pbs.twimg.com/profile_images/645716711723925506/t5G0qOS6_normal.jpg" TargetMode="External"/><Relationship Id="rId7719" Type="http://schemas.openxmlformats.org/officeDocument/2006/relationships/hyperlink" Target="https://twitter.com/AMETRAInge" TargetMode="External"/><Relationship Id="rId8090" Type="http://schemas.openxmlformats.org/officeDocument/2006/relationships/hyperlink" Target="https://twitter.com/CapgeminiDE" TargetMode="External"/><Relationship Id="rId9141" Type="http://schemas.openxmlformats.org/officeDocument/2006/relationships/hyperlink" Target="https://twitter.com/startupkanal/status/723954829291343872" TargetMode="External"/><Relationship Id="rId4286" Type="http://schemas.openxmlformats.org/officeDocument/2006/relationships/hyperlink" Target="https://pbs.twimg.com/profile_images/706494867204120576/F1LJZI55_normal.jpg" TargetMode="External"/><Relationship Id="rId5684" Type="http://schemas.openxmlformats.org/officeDocument/2006/relationships/hyperlink" Target="https://pbs.twimg.com/profile_images/645716711723925506/t5G0qOS6_normal.jpg" TargetMode="External"/><Relationship Id="rId6735" Type="http://schemas.openxmlformats.org/officeDocument/2006/relationships/hyperlink" Target="https://pbs.twimg.com/profile_images/1409701968/CC_normal.jpg" TargetMode="External"/><Relationship Id="rId500" Type="http://schemas.openxmlformats.org/officeDocument/2006/relationships/hyperlink" Target="https://twitter.com/Aurelien_T_K" TargetMode="External"/><Relationship Id="rId1130" Type="http://schemas.openxmlformats.org/officeDocument/2006/relationships/hyperlink" Target="https://twitter.com/HilgerVoss/status/720904144983322625" TargetMode="External"/><Relationship Id="rId5337" Type="http://schemas.openxmlformats.org/officeDocument/2006/relationships/hyperlink" Target="https://pbs.twimg.com/profile_images/2619086509/ld3z97zhhdbs2essw7s9_normal.jpeg" TargetMode="External"/><Relationship Id="rId5751" Type="http://schemas.openxmlformats.org/officeDocument/2006/relationships/hyperlink" Target="https://twitter.com/LNI40" TargetMode="External"/><Relationship Id="rId6802" Type="http://schemas.openxmlformats.org/officeDocument/2006/relationships/hyperlink" Target="https://twitter.com/acatech_de" TargetMode="External"/><Relationship Id="rId9958" Type="http://schemas.openxmlformats.org/officeDocument/2006/relationships/hyperlink" Target="https://twitter.com/msftmfg" TargetMode="External"/><Relationship Id="rId1947" Type="http://schemas.openxmlformats.org/officeDocument/2006/relationships/hyperlink" Target="https://twitter.com/HonMovies/status/721657285596946432" TargetMode="External"/><Relationship Id="rId4353" Type="http://schemas.openxmlformats.org/officeDocument/2006/relationships/hyperlink" Target="https://twitter.com/MindCommerce" TargetMode="External"/><Relationship Id="rId5404" Type="http://schemas.openxmlformats.org/officeDocument/2006/relationships/hyperlink" Target="https://pbs.twimg.com/profile_images/598145456795975680/6tjj5yUz_normal.jpg" TargetMode="External"/><Relationship Id="rId8974" Type="http://schemas.openxmlformats.org/officeDocument/2006/relationships/hyperlink" Target="https://twitter.com/INDIZbot" TargetMode="External"/><Relationship Id="rId4006" Type="http://schemas.openxmlformats.org/officeDocument/2006/relationships/hyperlink" Target="https://pbs.twimg.com/profile_images/504569405494161410/4CpoyfPM_normal.jpeg" TargetMode="External"/><Relationship Id="rId4420" Type="http://schemas.openxmlformats.org/officeDocument/2006/relationships/hyperlink" Target="https://twitter.com/genuanews/status/722689421682876416" TargetMode="External"/><Relationship Id="rId7576" Type="http://schemas.openxmlformats.org/officeDocument/2006/relationships/hyperlink" Target="https://twitter.com/verbalis_/status/723415153048313856" TargetMode="External"/><Relationship Id="rId7990" Type="http://schemas.openxmlformats.org/officeDocument/2006/relationships/hyperlink" Target="https://pbs.twimg.com/profile_images/601673968551075840/MnulnKkj_normal.png" TargetMode="External"/><Relationship Id="rId8627" Type="http://schemas.openxmlformats.org/officeDocument/2006/relationships/hyperlink" Target="https://twitter.com/heg72/status/723769600597450752" TargetMode="External"/><Relationship Id="rId290" Type="http://schemas.openxmlformats.org/officeDocument/2006/relationships/hyperlink" Target="https://twitter.com/MeinGeldMedien/status/720543938105458689" TargetMode="External"/><Relationship Id="rId3022" Type="http://schemas.openxmlformats.org/officeDocument/2006/relationships/hyperlink" Target="https://twitter.com/catkinEU/status/722303725486923777" TargetMode="External"/><Relationship Id="rId6178" Type="http://schemas.openxmlformats.org/officeDocument/2006/relationships/hyperlink" Target="https://twitter.com/Bridge_imp/status/723085159650598912" TargetMode="External"/><Relationship Id="rId6592" Type="http://schemas.openxmlformats.org/officeDocument/2006/relationships/hyperlink" Target="https://twitter.com/BE_DACH/status/723147452283424768" TargetMode="External"/><Relationship Id="rId7229" Type="http://schemas.openxmlformats.org/officeDocument/2006/relationships/hyperlink" Target="https://twitter.com/OpitzOliver/status/723385629912920064" TargetMode="External"/><Relationship Id="rId7643" Type="http://schemas.openxmlformats.org/officeDocument/2006/relationships/hyperlink" Target="https://pbs.twimg.com/profile_images/657444681853198336/u2cJqzo7_normal.jpg" TargetMode="External"/><Relationship Id="rId5194" Type="http://schemas.openxmlformats.org/officeDocument/2006/relationships/hyperlink" Target="https://twitter.com/Bitkom_I40/status/722767655950807040" TargetMode="External"/><Relationship Id="rId6245" Type="http://schemas.openxmlformats.org/officeDocument/2006/relationships/hyperlink" Target="https://twitter.com/AnnaWypior/status/723091534447562752" TargetMode="External"/><Relationship Id="rId2788" Type="http://schemas.openxmlformats.org/officeDocument/2006/relationships/hyperlink" Target="https://twitter.com/CloudExpoWire/status/722121422303281152" TargetMode="External"/><Relationship Id="rId3839" Type="http://schemas.openxmlformats.org/officeDocument/2006/relationships/hyperlink" Target="https://twitter.com/fabielind" TargetMode="External"/><Relationship Id="rId7710" Type="http://schemas.openxmlformats.org/officeDocument/2006/relationships/hyperlink" Target="https://twitter.com/JETZT_PRde" TargetMode="External"/><Relationship Id="rId2855" Type="http://schemas.openxmlformats.org/officeDocument/2006/relationships/hyperlink" Target="https://pbs.twimg.com/profile_images/624300616815374340/M4oNknxc_normal.jpg" TargetMode="External"/><Relationship Id="rId3906" Type="http://schemas.openxmlformats.org/officeDocument/2006/relationships/hyperlink" Target="https://twitter.com/INDIZbot/status/722455233390059520" TargetMode="External"/><Relationship Id="rId5261" Type="http://schemas.openxmlformats.org/officeDocument/2006/relationships/hyperlink" Target="https://twitter.com/SECbuddy_de/status/722776348889083904" TargetMode="External"/><Relationship Id="rId6312" Type="http://schemas.openxmlformats.org/officeDocument/2006/relationships/hyperlink" Target="https://twitter.com/H_IT_D" TargetMode="External"/><Relationship Id="rId9468" Type="http://schemas.openxmlformats.org/officeDocument/2006/relationships/hyperlink" Target="https://twitter.com/MartinGaedt/status/724182058671681537" TargetMode="External"/><Relationship Id="rId9882" Type="http://schemas.openxmlformats.org/officeDocument/2006/relationships/hyperlink" Target="https://pbs.twimg.com/profile_images/420844205607362560/p085f4o7_normal.png" TargetMode="External"/><Relationship Id="rId96" Type="http://schemas.openxmlformats.org/officeDocument/2006/relationships/hyperlink" Target="https://pbs.twimg.com/profile_images/485734003618492416/G2fvyvKI_normal.jpeg" TargetMode="External"/><Relationship Id="rId827" Type="http://schemas.openxmlformats.org/officeDocument/2006/relationships/hyperlink" Target="https://pbs.twimg.com/profile_images/672794348442877952/m6Is-Nrc_normal.jpg" TargetMode="External"/><Relationship Id="rId1457" Type="http://schemas.openxmlformats.org/officeDocument/2006/relationships/hyperlink" Target="https://twitter.com/deviceWISEM2M/status/721016108514484224" TargetMode="External"/><Relationship Id="rId1871" Type="http://schemas.openxmlformats.org/officeDocument/2006/relationships/hyperlink" Target="https://twitter.com/condet020274" TargetMode="External"/><Relationship Id="rId2508" Type="http://schemas.openxmlformats.org/officeDocument/2006/relationships/hyperlink" Target="http://socialpilot.co/" TargetMode="External"/><Relationship Id="rId2922" Type="http://schemas.openxmlformats.org/officeDocument/2006/relationships/hyperlink" Target="https://twitter.com/BigDataTweetBot/status/722172959524274176" TargetMode="External"/><Relationship Id="rId8484" Type="http://schemas.openxmlformats.org/officeDocument/2006/relationships/hyperlink" Target="https://pbs.twimg.com/profile_images/713084713532043264/bM3kNE1k_normal.jpg" TargetMode="External"/><Relationship Id="rId9535" Type="http://schemas.openxmlformats.org/officeDocument/2006/relationships/hyperlink" Target="https://pbs.twimg.com/profile_images/473462374200909824/EVvRwnqG_normal.jpeg" TargetMode="External"/><Relationship Id="rId1524" Type="http://schemas.openxmlformats.org/officeDocument/2006/relationships/hyperlink" Target="https://pbs.twimg.com/profile_images/686414815301074945/Xe5edP1v_normal.jpg" TargetMode="External"/><Relationship Id="rId7086" Type="http://schemas.openxmlformats.org/officeDocument/2006/relationships/hyperlink" Target="https://pbs.twimg.com/profile_images/1739127741/Twitter_logo_normal" TargetMode="External"/><Relationship Id="rId8137" Type="http://schemas.openxmlformats.org/officeDocument/2006/relationships/hyperlink" Target="https://pbs.twimg.com/profile_images/666911961599315968/aP7ID_qm_normal.png" TargetMode="External"/><Relationship Id="rId8551" Type="http://schemas.openxmlformats.org/officeDocument/2006/relationships/hyperlink" Target="https://twitter.com/INDIZbot" TargetMode="External"/><Relationship Id="rId9602" Type="http://schemas.openxmlformats.org/officeDocument/2006/relationships/hyperlink" Target="https://twitter.com/EngineerComms" TargetMode="External"/><Relationship Id="rId10067" Type="http://schemas.openxmlformats.org/officeDocument/2006/relationships/hyperlink" Target="https://twitter.com/INDIZbot/status/724320007916802049" TargetMode="External"/><Relationship Id="rId3696" Type="http://schemas.openxmlformats.org/officeDocument/2006/relationships/hyperlink" Target="https://twitter.com/DIN_Norm/status/722408350265315328" TargetMode="External"/><Relationship Id="rId4747" Type="http://schemas.openxmlformats.org/officeDocument/2006/relationships/hyperlink" Target="https://twitter.com/1ironbark1/status/722716579146907649" TargetMode="External"/><Relationship Id="rId7153" Type="http://schemas.openxmlformats.org/officeDocument/2006/relationships/hyperlink" Target="https://twitter.com/INDIZbot" TargetMode="External"/><Relationship Id="rId8204" Type="http://schemas.openxmlformats.org/officeDocument/2006/relationships/hyperlink" Target="https://pbs.twimg.com/profile_images/601673968551075840/MnulnKkj_normal.png" TargetMode="External"/><Relationship Id="rId10134" Type="http://schemas.openxmlformats.org/officeDocument/2006/relationships/hyperlink" Target="https://pbs.twimg.com/profile_images/602304216468738049/_0sb-3oB_normal.jpg" TargetMode="External"/><Relationship Id="rId2298" Type="http://schemas.openxmlformats.org/officeDocument/2006/relationships/hyperlink" Target="https://twitter.com/INDIZbot" TargetMode="External"/><Relationship Id="rId3349" Type="http://schemas.openxmlformats.org/officeDocument/2006/relationships/hyperlink" Target="https://twitter.com/MarianKoeller" TargetMode="External"/><Relationship Id="rId7220" Type="http://schemas.openxmlformats.org/officeDocument/2006/relationships/hyperlink" Target="https://twitter.com/swissmem/status/723385148348100608" TargetMode="External"/><Relationship Id="rId684" Type="http://schemas.openxmlformats.org/officeDocument/2006/relationships/hyperlink" Target="https://twitter.com/sanjaydhumieres/status/720674291541536773" TargetMode="External"/><Relationship Id="rId2365" Type="http://schemas.openxmlformats.org/officeDocument/2006/relationships/hyperlink" Target="https://twitter.com/mediamorfo" TargetMode="External"/><Relationship Id="rId3763" Type="http://schemas.openxmlformats.org/officeDocument/2006/relationships/hyperlink" Target="https://pbs.twimg.com/profile_images/645716711723925506/t5G0qOS6_normal.jpg" TargetMode="External"/><Relationship Id="rId4814" Type="http://schemas.openxmlformats.org/officeDocument/2006/relationships/hyperlink" Target="https://pbs.twimg.com/profile_images/652104556713742338/lEeMPHjz_normal.jpg" TargetMode="External"/><Relationship Id="rId9392" Type="http://schemas.openxmlformats.org/officeDocument/2006/relationships/hyperlink" Target="https://twitter.com/BigDataTweetBot" TargetMode="External"/><Relationship Id="rId10201" Type="http://schemas.openxmlformats.org/officeDocument/2006/relationships/hyperlink" Target="https://twitter.com/Geschnattere" TargetMode="External"/><Relationship Id="rId337" Type="http://schemas.openxmlformats.org/officeDocument/2006/relationships/hyperlink" Target="https://twitter.com/Brahim_M_Masri" TargetMode="External"/><Relationship Id="rId2018" Type="http://schemas.openxmlformats.org/officeDocument/2006/relationships/hyperlink" Target="https://pbs.twimg.com/profile_images/672794348442877952/m6Is-Nrc_normal.jpg" TargetMode="External"/><Relationship Id="rId3416" Type="http://schemas.openxmlformats.org/officeDocument/2006/relationships/hyperlink" Target="https://twitter.com/ROKAutoCHDE" TargetMode="External"/><Relationship Id="rId3830" Type="http://schemas.openxmlformats.org/officeDocument/2006/relationships/hyperlink" Target="https://twitter.com/fabielind" TargetMode="External"/><Relationship Id="rId6986" Type="http://schemas.openxmlformats.org/officeDocument/2006/relationships/hyperlink" Target="https://twitter.com/kommoptimierer/status/723224792619474945" TargetMode="External"/><Relationship Id="rId9045" Type="http://schemas.openxmlformats.org/officeDocument/2006/relationships/hyperlink" Target="https://twitter.com/PauldeAndrade/status/723916996048502785" TargetMode="External"/><Relationship Id="rId751" Type="http://schemas.openxmlformats.org/officeDocument/2006/relationships/hyperlink" Target="https://pbs.twimg.com/profile_images/541146126158536704/IYardufS_normal.jpeg" TargetMode="External"/><Relationship Id="rId1381" Type="http://schemas.openxmlformats.org/officeDocument/2006/relationships/hyperlink" Target="https://pbs.twimg.com/profile_images/591951396217327616/HbcCX2zX_normal.png" TargetMode="External"/><Relationship Id="rId2432" Type="http://schemas.openxmlformats.org/officeDocument/2006/relationships/hyperlink" Target="https://twitter.com/MarioReinsch/status/722024152241217537" TargetMode="External"/><Relationship Id="rId5588" Type="http://schemas.openxmlformats.org/officeDocument/2006/relationships/hyperlink" Target="https://pbs.twimg.com/profile_images/645716711723925506/t5G0qOS6_normal.jpg" TargetMode="External"/><Relationship Id="rId6639" Type="http://schemas.openxmlformats.org/officeDocument/2006/relationships/hyperlink" Target="https://twitter.com/BSAHbiz" TargetMode="External"/><Relationship Id="rId404" Type="http://schemas.openxmlformats.org/officeDocument/2006/relationships/hyperlink" Target="https://twitter.com/Ralf_Kuder/status/720582979974742016" TargetMode="External"/><Relationship Id="rId1034" Type="http://schemas.openxmlformats.org/officeDocument/2006/relationships/hyperlink" Target="https://twitter.com/StipoNad/status/720887544586448896" TargetMode="External"/><Relationship Id="rId5655" Type="http://schemas.openxmlformats.org/officeDocument/2006/relationships/hyperlink" Target="https://twitter.com/prxagentur" TargetMode="External"/><Relationship Id="rId6706" Type="http://schemas.openxmlformats.org/officeDocument/2006/relationships/hyperlink" Target="https://twitter.com/JBause" TargetMode="External"/><Relationship Id="rId8061" Type="http://schemas.openxmlformats.org/officeDocument/2006/relationships/hyperlink" Target="https://twitter.com/AliceTimm1/status/723487684396761089" TargetMode="External"/><Relationship Id="rId9112" Type="http://schemas.openxmlformats.org/officeDocument/2006/relationships/hyperlink" Target="https://pbs.twimg.com/profile_images/645716711723925506/t5G0qOS6_normal.jpg" TargetMode="External"/><Relationship Id="rId1101" Type="http://schemas.openxmlformats.org/officeDocument/2006/relationships/hyperlink" Target="https://pbs.twimg.com/profile_images/645716711723925506/t5G0qOS6_normal.jpg" TargetMode="External"/><Relationship Id="rId4257" Type="http://schemas.openxmlformats.org/officeDocument/2006/relationships/hyperlink" Target="https://twitter.com/DrAlfOldman" TargetMode="External"/><Relationship Id="rId4671" Type="http://schemas.openxmlformats.org/officeDocument/2006/relationships/hyperlink" Target="https://twitter.com/DerKonstrukteu" TargetMode="External"/><Relationship Id="rId5308" Type="http://schemas.openxmlformats.org/officeDocument/2006/relationships/hyperlink" Target="https://twitter.com/JETZT_PRde" TargetMode="External"/><Relationship Id="rId5722" Type="http://schemas.openxmlformats.org/officeDocument/2006/relationships/hyperlink" Target="https://twitter.com/AgustiPandora/status/723000175137030144" TargetMode="External"/><Relationship Id="rId8878" Type="http://schemas.openxmlformats.org/officeDocument/2006/relationships/hyperlink" Target="https://twitter.com/KUKA_RoboticsDE" TargetMode="External"/><Relationship Id="rId3273" Type="http://schemas.openxmlformats.org/officeDocument/2006/relationships/hyperlink" Target="https://pbs.twimg.com/profile_images/703205863415111680/mU-s11Ah_normal.jpg" TargetMode="External"/><Relationship Id="rId4324" Type="http://schemas.openxmlformats.org/officeDocument/2006/relationships/hyperlink" Target="https://twitter.com/MarioReinsch/status/722673415153401857" TargetMode="External"/><Relationship Id="rId9929" Type="http://schemas.openxmlformats.org/officeDocument/2006/relationships/hyperlink" Target="https://twitter.com/SaREUSS/status/724280727186071552" TargetMode="External"/><Relationship Id="rId194" Type="http://schemas.openxmlformats.org/officeDocument/2006/relationships/hyperlink" Target="https://twitter.com/QuickFindsIn/status/720528020360966144" TargetMode="External"/><Relationship Id="rId1918" Type="http://schemas.openxmlformats.org/officeDocument/2006/relationships/hyperlink" Target="https://pbs.twimg.com/profile_images/645716711723925506/t5G0qOS6_normal.jpg" TargetMode="External"/><Relationship Id="rId6496" Type="http://schemas.openxmlformats.org/officeDocument/2006/relationships/hyperlink" Target="https://pbs.twimg.com/profile_images/557949283861663744/XRnqLo9K_normal.jpeg" TargetMode="External"/><Relationship Id="rId7894" Type="http://schemas.openxmlformats.org/officeDocument/2006/relationships/hyperlink" Target="https://twitter.com/SoftwareAG_D" TargetMode="External"/><Relationship Id="rId8945" Type="http://schemas.openxmlformats.org/officeDocument/2006/relationships/hyperlink" Target="https://twitter.com/cwittrich/status/723869992874303488" TargetMode="External"/><Relationship Id="rId261" Type="http://schemas.openxmlformats.org/officeDocument/2006/relationships/hyperlink" Target="https://pbs.twimg.com/profile_images/89764596/IMG_0027_normal.JPG" TargetMode="External"/><Relationship Id="rId3340" Type="http://schemas.openxmlformats.org/officeDocument/2006/relationships/hyperlink" Target="https://twitter.com/akquinet" TargetMode="External"/><Relationship Id="rId5098" Type="http://schemas.openxmlformats.org/officeDocument/2006/relationships/hyperlink" Target="https://twitter.com/Alex_Franke" TargetMode="External"/><Relationship Id="rId6149" Type="http://schemas.openxmlformats.org/officeDocument/2006/relationships/hyperlink" Target="https://pbs.twimg.com/profile_images/685327213/Apandia_normal.gif" TargetMode="External"/><Relationship Id="rId7547" Type="http://schemas.openxmlformats.org/officeDocument/2006/relationships/hyperlink" Target="https://pbs.twimg.com/profile_images/645716711723925506/t5G0qOS6_normal.jpg" TargetMode="External"/><Relationship Id="rId7961" Type="http://schemas.openxmlformats.org/officeDocument/2006/relationships/hyperlink" Target="https://twitter.com/MoritzKlaemt" TargetMode="External"/><Relationship Id="rId6563" Type="http://schemas.openxmlformats.org/officeDocument/2006/relationships/hyperlink" Target="https://twitter.com/kmu_digital" TargetMode="External"/><Relationship Id="rId7614" Type="http://schemas.openxmlformats.org/officeDocument/2006/relationships/hyperlink" Target="https://twitter.com/kommunikationsm" TargetMode="External"/><Relationship Id="rId2759" Type="http://schemas.openxmlformats.org/officeDocument/2006/relationships/hyperlink" Target="https://pbs.twimg.com/profile_images/378800000435727167/4cf1a69d735b7ed9d39ef2b6f42f5f07_normal.jpeg" TargetMode="External"/><Relationship Id="rId5165" Type="http://schemas.openxmlformats.org/officeDocument/2006/relationships/hyperlink" Target="https://twitter.com/aristaflow/status/722764624949436416" TargetMode="External"/><Relationship Id="rId6216" Type="http://schemas.openxmlformats.org/officeDocument/2006/relationships/hyperlink" Target="https://pbs.twimg.com/profile_images/593011135428882432/BGMPkrwp_normal.jpg" TargetMode="External"/><Relationship Id="rId6630" Type="http://schemas.openxmlformats.org/officeDocument/2006/relationships/hyperlink" Target="https://twitter.com/equeoGmbH" TargetMode="External"/><Relationship Id="rId9786" Type="http://schemas.openxmlformats.org/officeDocument/2006/relationships/hyperlink" Target="https://pbs.twimg.com/profile_images/604338428227010560/6jzSa8us_normal.png" TargetMode="External"/><Relationship Id="rId1775" Type="http://schemas.openxmlformats.org/officeDocument/2006/relationships/hyperlink" Target="https://twitter.com/tobias_goers/status/721388102632239104" TargetMode="External"/><Relationship Id="rId2826" Type="http://schemas.openxmlformats.org/officeDocument/2006/relationships/hyperlink" Target="https://twitter.com/LReehten" TargetMode="External"/><Relationship Id="rId4181" Type="http://schemas.openxmlformats.org/officeDocument/2006/relationships/hyperlink" Target="https://pbs.twimg.com/profile_images/541146126158536704/IYardufS_normal.jpeg" TargetMode="External"/><Relationship Id="rId5232" Type="http://schemas.openxmlformats.org/officeDocument/2006/relationships/hyperlink" Target="https://twitter.com/Ronald_Heinze" TargetMode="External"/><Relationship Id="rId8388" Type="http://schemas.openxmlformats.org/officeDocument/2006/relationships/hyperlink" Target="https://twitter.com/PROJECTCONSULT_" TargetMode="External"/><Relationship Id="rId9439" Type="http://schemas.openxmlformats.org/officeDocument/2006/relationships/hyperlink" Target="https://pbs.twimg.com/profile_images/636836616263311360/-akWmcev_normal.png" TargetMode="External"/><Relationship Id="rId9853" Type="http://schemas.openxmlformats.org/officeDocument/2006/relationships/hyperlink" Target="https://twitter.com/NiklasSowa" TargetMode="External"/><Relationship Id="rId67" Type="http://schemas.openxmlformats.org/officeDocument/2006/relationships/hyperlink" Target="https://twitter.com/NeleReimers" TargetMode="External"/><Relationship Id="rId1428" Type="http://schemas.openxmlformats.org/officeDocument/2006/relationships/hyperlink" Target="https://twitter.com/YonicohenYoni/status/720995689807917056" TargetMode="External"/><Relationship Id="rId8455" Type="http://schemas.openxmlformats.org/officeDocument/2006/relationships/hyperlink" Target="https://twitter.com/BeierMichael71" TargetMode="External"/><Relationship Id="rId9506" Type="http://schemas.openxmlformats.org/officeDocument/2006/relationships/hyperlink" Target="https://twitter.com/startupkanal" TargetMode="External"/><Relationship Id="rId1842" Type="http://schemas.openxmlformats.org/officeDocument/2006/relationships/hyperlink" Target="https://pbs.twimg.com/profile_images/378800000781608397/4a4bb3f82b4ae2545c4ed5f705d0ac94_normal.jpeg" TargetMode="External"/><Relationship Id="rId4998" Type="http://schemas.openxmlformats.org/officeDocument/2006/relationships/hyperlink" Target="https://pbs.twimg.com/profile_images/716882543551885312/GxRIW86z_normal.jpg" TargetMode="External"/><Relationship Id="rId7057" Type="http://schemas.openxmlformats.org/officeDocument/2006/relationships/hyperlink" Target="https://twitter.com/DanielKueng" TargetMode="External"/><Relationship Id="rId8108" Type="http://schemas.openxmlformats.org/officeDocument/2006/relationships/hyperlink" Target="https://twitter.com/verlinked" TargetMode="External"/><Relationship Id="rId9920" Type="http://schemas.openxmlformats.org/officeDocument/2006/relationships/hyperlink" Target="https://twitter.com/andy_m81/status/724277679525101568" TargetMode="External"/><Relationship Id="rId6073" Type="http://schemas.openxmlformats.org/officeDocument/2006/relationships/hyperlink" Target="https://pbs.twimg.com/profile_images/554579761817600000/2PbZshfI_normal.jpeg" TargetMode="External"/><Relationship Id="rId7124" Type="http://schemas.openxmlformats.org/officeDocument/2006/relationships/hyperlink" Target="https://twitter.com/INDIZbot/status/723265579101073408" TargetMode="External"/><Relationship Id="rId7471" Type="http://schemas.openxmlformats.org/officeDocument/2006/relationships/hyperlink" Target="https://twitter.com/GTAI_com/status/723408574559350784" TargetMode="External"/><Relationship Id="rId8522" Type="http://schemas.openxmlformats.org/officeDocument/2006/relationships/hyperlink" Target="https://twitter.com/afigueiredo/status/723618508068786176" TargetMode="External"/><Relationship Id="rId10038" Type="http://schemas.openxmlformats.org/officeDocument/2006/relationships/hyperlink" Target="https://pbs.twimg.com/profile_images/645716711723925506/t5G0qOS6_normal.jpg" TargetMode="External"/><Relationship Id="rId3667" Type="http://schemas.openxmlformats.org/officeDocument/2006/relationships/hyperlink" Target="https://pbs.twimg.com/profile_images/616176072204382208/UYYnn7XY_normal.jpg" TargetMode="External"/><Relationship Id="rId4718" Type="http://schemas.openxmlformats.org/officeDocument/2006/relationships/hyperlink" Target="https://pbs.twimg.com/profile_images/680807468964950017/8kwIv81h_normal.jpg" TargetMode="External"/><Relationship Id="rId10105" Type="http://schemas.openxmlformats.org/officeDocument/2006/relationships/hyperlink" Target="https://twitter.com/INDIZbot" TargetMode="External"/><Relationship Id="rId588" Type="http://schemas.openxmlformats.org/officeDocument/2006/relationships/hyperlink" Target="https://twitter.com/INDIZbot/status/720633198145880064" TargetMode="External"/><Relationship Id="rId2269" Type="http://schemas.openxmlformats.org/officeDocument/2006/relationships/hyperlink" Target="https://twitter.com/SEWEURODRIVE/status/721975024425570304" TargetMode="External"/><Relationship Id="rId2683" Type="http://schemas.openxmlformats.org/officeDocument/2006/relationships/hyperlink" Target="https://twitter.com/VDMAonline/status/722085232388751360" TargetMode="External"/><Relationship Id="rId3734" Type="http://schemas.openxmlformats.org/officeDocument/2006/relationships/hyperlink" Target="https://twitter.com/INDIZbot" TargetMode="External"/><Relationship Id="rId6140" Type="http://schemas.openxmlformats.org/officeDocument/2006/relationships/hyperlink" Target="https://pbs.twimg.com/profile_images/598501391561134080/_vzA3Neu_normal.jpg" TargetMode="External"/><Relationship Id="rId9296" Type="http://schemas.openxmlformats.org/officeDocument/2006/relationships/hyperlink" Target="https://twitter.com/INDIZbot" TargetMode="External"/><Relationship Id="rId655" Type="http://schemas.openxmlformats.org/officeDocument/2006/relationships/hyperlink" Target="https://pbs.twimg.com/profile_images/719524881973571584/Qe9-Bm8r_normal.jpg" TargetMode="External"/><Relationship Id="rId1285" Type="http://schemas.openxmlformats.org/officeDocument/2006/relationships/hyperlink" Target="https://twitter.com/CapgeminiDE" TargetMode="External"/><Relationship Id="rId2336" Type="http://schemas.openxmlformats.org/officeDocument/2006/relationships/hyperlink" Target="https://twitter.com/INDIZbot/status/721986916980236288" TargetMode="External"/><Relationship Id="rId2750" Type="http://schemas.openxmlformats.org/officeDocument/2006/relationships/hyperlink" Target="https://pbs.twimg.com/profile_images/1173146264/Portrait-Vera-dkl-201010_DSC0132-Webklein_normal.jpg" TargetMode="External"/><Relationship Id="rId3801" Type="http://schemas.openxmlformats.org/officeDocument/2006/relationships/hyperlink" Target="https://twitter.com/adelhardtchris/status/722429784022720514" TargetMode="External"/><Relationship Id="rId6957" Type="http://schemas.openxmlformats.org/officeDocument/2006/relationships/hyperlink" Target="https://pbs.twimg.com/profile_images/423816397320241152/83rRQZmm_normal.jpeg" TargetMode="External"/><Relationship Id="rId9363" Type="http://schemas.openxmlformats.org/officeDocument/2006/relationships/hyperlink" Target="https://twitter.com/induux_de/status/724157408826810368" TargetMode="External"/><Relationship Id="rId308" Type="http://schemas.openxmlformats.org/officeDocument/2006/relationships/hyperlink" Target="https://twitter.com/mbrilhault/status/720545539889242113" TargetMode="External"/><Relationship Id="rId722" Type="http://schemas.openxmlformats.org/officeDocument/2006/relationships/hyperlink" Target="https://twitter.com/kommoptimierer" TargetMode="External"/><Relationship Id="rId1352" Type="http://schemas.openxmlformats.org/officeDocument/2006/relationships/hyperlink" Target="https://twitter.com/i40zentrum/status/720972663401922560" TargetMode="External"/><Relationship Id="rId2403" Type="http://schemas.openxmlformats.org/officeDocument/2006/relationships/hyperlink" Target="https://pbs.twimg.com/profile_images/665798535779065856/sbUN3m6Q_normal.jpg" TargetMode="External"/><Relationship Id="rId5559" Type="http://schemas.openxmlformats.org/officeDocument/2006/relationships/hyperlink" Target="https://twitter.com/CapgeminiDE" TargetMode="External"/><Relationship Id="rId9016" Type="http://schemas.openxmlformats.org/officeDocument/2006/relationships/hyperlink" Target="https://twitter.com/APEGOhio" TargetMode="External"/><Relationship Id="rId9430" Type="http://schemas.openxmlformats.org/officeDocument/2006/relationships/hyperlink" Target="https://pbs.twimg.com/profile_images/645716711723925506/t5G0qOS6_normal.jpg" TargetMode="External"/><Relationship Id="rId1005" Type="http://schemas.openxmlformats.org/officeDocument/2006/relationships/hyperlink" Target="https://pbs.twimg.com/profile_images/572721926804488192/AGAGHTgy_normal.jpeg" TargetMode="External"/><Relationship Id="rId4575" Type="http://schemas.openxmlformats.org/officeDocument/2006/relationships/hyperlink" Target="https://twitter.com/MartinAtICSag" TargetMode="External"/><Relationship Id="rId5973" Type="http://schemas.openxmlformats.org/officeDocument/2006/relationships/hyperlink" Target="https://twitter.com/EugenieNicoud/status/723066059163463680" TargetMode="External"/><Relationship Id="rId8032" Type="http://schemas.openxmlformats.org/officeDocument/2006/relationships/hyperlink" Target="https://pbs.twimg.com/profile_images/673122571731251200/Rcblg7bz_normal.png" TargetMode="External"/><Relationship Id="rId3177" Type="http://schemas.openxmlformats.org/officeDocument/2006/relationships/hyperlink" Target="https://twitter.com/VDMAonline" TargetMode="External"/><Relationship Id="rId4228" Type="http://schemas.openxmlformats.org/officeDocument/2006/relationships/hyperlink" Target="https://twitter.com/SASCHAKAUS1/status/722533826233307136" TargetMode="External"/><Relationship Id="rId5626" Type="http://schemas.openxmlformats.org/officeDocument/2006/relationships/hyperlink" Target="https://twitter.com/vemdiearbeitgeb/status/722892331955826688" TargetMode="External"/><Relationship Id="rId3591" Type="http://schemas.openxmlformats.org/officeDocument/2006/relationships/hyperlink" Target="https://twitter.com/Round_Solutions/status/722380231244390400" TargetMode="External"/><Relationship Id="rId4642" Type="http://schemas.openxmlformats.org/officeDocument/2006/relationships/hyperlink" Target="https://twitter.com/INDIZbot/status/722709464143544320" TargetMode="External"/><Relationship Id="rId7798" Type="http://schemas.openxmlformats.org/officeDocument/2006/relationships/hyperlink" Target="https://twitter.com/itsOWL_Cluster" TargetMode="External"/><Relationship Id="rId8849" Type="http://schemas.openxmlformats.org/officeDocument/2006/relationships/hyperlink" Target="https://twitter.com/adoverdevest/status/723841698581848068" TargetMode="External"/><Relationship Id="rId2193" Type="http://schemas.openxmlformats.org/officeDocument/2006/relationships/hyperlink" Target="https://pbs.twimg.com/profile_images/2911298396/59dee8fe447db9ec9a5009910199cbaf_normal.png" TargetMode="External"/><Relationship Id="rId3244" Type="http://schemas.openxmlformats.org/officeDocument/2006/relationships/hyperlink" Target="https://twitter.com/Angela_Josephs" TargetMode="External"/><Relationship Id="rId7865" Type="http://schemas.openxmlformats.org/officeDocument/2006/relationships/hyperlink" Target="https://twitter.com/kpohnke/status/723450699871211524" TargetMode="External"/><Relationship Id="rId8916" Type="http://schemas.openxmlformats.org/officeDocument/2006/relationships/hyperlink" Target="https://pbs.twimg.com/profile_images/685255985/Bild_2_normal.png" TargetMode="External"/><Relationship Id="rId165" Type="http://schemas.openxmlformats.org/officeDocument/2006/relationships/hyperlink" Target="https://pbs.twimg.com/profile_images/672382311950901248/ZFhxdGcS_normal.png" TargetMode="External"/><Relationship Id="rId2260" Type="http://schemas.openxmlformats.org/officeDocument/2006/relationships/hyperlink" Target="https://twitter.com/innovationbawue/status/721972135867101184" TargetMode="External"/><Relationship Id="rId3311" Type="http://schemas.openxmlformats.org/officeDocument/2006/relationships/hyperlink" Target="https://twitter.com/mbaukarriere/status/722347750428381184" TargetMode="External"/><Relationship Id="rId6467" Type="http://schemas.openxmlformats.org/officeDocument/2006/relationships/hyperlink" Target="https://twitter.com/fitfor2020" TargetMode="External"/><Relationship Id="rId6881" Type="http://schemas.openxmlformats.org/officeDocument/2006/relationships/hyperlink" Target="https://twitter.com/ITK_OWL/status/723180306707132416" TargetMode="External"/><Relationship Id="rId7518" Type="http://schemas.openxmlformats.org/officeDocument/2006/relationships/hyperlink" Target="https://twitter.com/acatech_de" TargetMode="External"/><Relationship Id="rId7932" Type="http://schemas.openxmlformats.org/officeDocument/2006/relationships/hyperlink" Target="https://pbs.twimg.com/profile_images/541146126158536704/IYardufS_normal.jpeg" TargetMode="External"/><Relationship Id="rId232" Type="http://schemas.openxmlformats.org/officeDocument/2006/relationships/hyperlink" Target="https://twitter.com/bonker82" TargetMode="External"/><Relationship Id="rId5069" Type="http://schemas.openxmlformats.org/officeDocument/2006/relationships/hyperlink" Target="https://twitter.com/konsultwerk/status/722754510054039553" TargetMode="External"/><Relationship Id="rId5483" Type="http://schemas.openxmlformats.org/officeDocument/2006/relationships/hyperlink" Target="https://pbs.twimg.com/profile_images/694530943139315712/TQHmYxMT_normal.png" TargetMode="External"/><Relationship Id="rId6534" Type="http://schemas.openxmlformats.org/officeDocument/2006/relationships/hyperlink" Target="https://twitter.com/frankcausa/status/723135547535966208" TargetMode="External"/><Relationship Id="rId1679" Type="http://schemas.openxmlformats.org/officeDocument/2006/relationships/hyperlink" Target="https://twitter.com/CapgeminiDE/status/721275745960652800" TargetMode="External"/><Relationship Id="rId4085" Type="http://schemas.openxmlformats.org/officeDocument/2006/relationships/hyperlink" Target="https://pbs.twimg.com/profile_images/687624884244082688/eYnhv8nB_normal.jpg" TargetMode="External"/><Relationship Id="rId5136" Type="http://schemas.openxmlformats.org/officeDocument/2006/relationships/hyperlink" Target="https://pbs.twimg.com/profile_images/645716711723925506/t5G0qOS6_normal.jpg" TargetMode="External"/><Relationship Id="rId4152" Type="http://schemas.openxmlformats.org/officeDocument/2006/relationships/hyperlink" Target="https://twitter.com/LReehten" TargetMode="External"/><Relationship Id="rId5203" Type="http://schemas.openxmlformats.org/officeDocument/2006/relationships/hyperlink" Target="https://twitter.com/rfidimblick/status/722768500972883968" TargetMode="External"/><Relationship Id="rId5550" Type="http://schemas.openxmlformats.org/officeDocument/2006/relationships/hyperlink" Target="https://twitter.com/m_biscarrat" TargetMode="External"/><Relationship Id="rId6601" Type="http://schemas.openxmlformats.org/officeDocument/2006/relationships/hyperlink" Target="https://twitter.com/INDIZbot/status/723149830604902400" TargetMode="External"/><Relationship Id="rId8359" Type="http://schemas.openxmlformats.org/officeDocument/2006/relationships/hyperlink" Target="https://twitter.com/hall_idostories/status/723542642714255360" TargetMode="External"/><Relationship Id="rId9757" Type="http://schemas.openxmlformats.org/officeDocument/2006/relationships/hyperlink" Target="https://twitter.com/askklaushaasis" TargetMode="External"/><Relationship Id="rId1746" Type="http://schemas.openxmlformats.org/officeDocument/2006/relationships/hyperlink" Target="https://pbs.twimg.com/profile_images/705270537073852416/CZoAp0su_normal.jpg" TargetMode="External"/><Relationship Id="rId8773" Type="http://schemas.openxmlformats.org/officeDocument/2006/relationships/hyperlink" Target="https://twitter.com/INDIZbot" TargetMode="External"/><Relationship Id="rId9824" Type="http://schemas.openxmlformats.org/officeDocument/2006/relationships/hyperlink" Target="https://twitter.com/rafael_sobek/status/724266312080457728" TargetMode="External"/><Relationship Id="rId10289" Type="http://schemas.openxmlformats.org/officeDocument/2006/relationships/hyperlink" Target="https://twitter.com/PwC_France/status/724455508401360899" TargetMode="External"/><Relationship Id="rId38" Type="http://schemas.openxmlformats.org/officeDocument/2006/relationships/hyperlink" Target="https://twitter.com/INDIZbot/status/720502493139070976" TargetMode="External"/><Relationship Id="rId1813" Type="http://schemas.openxmlformats.org/officeDocument/2006/relationships/hyperlink" Target="https://twitter.com/kommoptimierer" TargetMode="External"/><Relationship Id="rId4969" Type="http://schemas.openxmlformats.org/officeDocument/2006/relationships/hyperlink" Target="https://twitter.com/MindCommerce/status/722744713044959232" TargetMode="External"/><Relationship Id="rId7375" Type="http://schemas.openxmlformats.org/officeDocument/2006/relationships/hyperlink" Target="https://pbs.twimg.com/profile_images/645716711723925506/t5G0qOS6_normal.jpg" TargetMode="External"/><Relationship Id="rId8426" Type="http://schemas.openxmlformats.org/officeDocument/2006/relationships/hyperlink" Target="https://twitter.com/DohmeyerK/status/723563102084698113" TargetMode="External"/><Relationship Id="rId8840" Type="http://schemas.openxmlformats.org/officeDocument/2006/relationships/hyperlink" Target="https://twitter.com/cricket2771/status/723833006415314945" TargetMode="External"/><Relationship Id="rId3985" Type="http://schemas.openxmlformats.org/officeDocument/2006/relationships/hyperlink" Target="https://pbs.twimg.com/profile_images/535431236810854401/Aw5jj4R4_normal.jpeg" TargetMode="External"/><Relationship Id="rId6391" Type="http://schemas.openxmlformats.org/officeDocument/2006/relationships/hyperlink" Target="https://pbs.twimg.com/profile_images/490060130231132160/qLmnir1s_normal.jpeg" TargetMode="External"/><Relationship Id="rId7028" Type="http://schemas.openxmlformats.org/officeDocument/2006/relationships/hyperlink" Target="https://twitter.com/kommoptimierer/status/723241149171945472" TargetMode="External"/><Relationship Id="rId7442" Type="http://schemas.openxmlformats.org/officeDocument/2006/relationships/hyperlink" Target="https://pbs.twimg.com/profile_images/719538951988592641/7lKnB2dG_normal.jpg" TargetMode="External"/><Relationship Id="rId10009" Type="http://schemas.openxmlformats.org/officeDocument/2006/relationships/hyperlink" Target="https://twitter.com/RealJoeGuy" TargetMode="External"/><Relationship Id="rId2587" Type="http://schemas.openxmlformats.org/officeDocument/2006/relationships/hyperlink" Target="https://twitter.com/BoschPresse" TargetMode="External"/><Relationship Id="rId3638" Type="http://schemas.openxmlformats.org/officeDocument/2006/relationships/hyperlink" Target="https://twitter.com/Scheer_GmbH" TargetMode="External"/><Relationship Id="rId6044" Type="http://schemas.openxmlformats.org/officeDocument/2006/relationships/hyperlink" Target="https://twitter.com/ZuliefermarktDE" TargetMode="External"/><Relationship Id="rId559" Type="http://schemas.openxmlformats.org/officeDocument/2006/relationships/hyperlink" Target="https://pbs.twimg.com/profile_images/572354999586267136/ICM-pVdp_normal.png" TargetMode="External"/><Relationship Id="rId1189" Type="http://schemas.openxmlformats.org/officeDocument/2006/relationships/hyperlink" Target="https://twitter.com/HeikeFiedlerPhe" TargetMode="External"/><Relationship Id="rId5060" Type="http://schemas.openxmlformats.org/officeDocument/2006/relationships/hyperlink" Target="https://twitter.com/MagazinoGmbH/status/722752750312775680" TargetMode="External"/><Relationship Id="rId6111" Type="http://schemas.openxmlformats.org/officeDocument/2006/relationships/hyperlink" Target="https://twitter.com/OuestValo/status/723074993379225600" TargetMode="External"/><Relationship Id="rId9267" Type="http://schemas.openxmlformats.org/officeDocument/2006/relationships/hyperlink" Target="https://twitter.com/INDIZbot/status/724106389837221888" TargetMode="External"/><Relationship Id="rId9681" Type="http://schemas.openxmlformats.org/officeDocument/2006/relationships/hyperlink" Target="https://twitter.com/WinfriedFelser/status/724231330989506560" TargetMode="External"/><Relationship Id="rId626" Type="http://schemas.openxmlformats.org/officeDocument/2006/relationships/hyperlink" Target="https://twitter.com/DocPeterAndrews" TargetMode="External"/><Relationship Id="rId973" Type="http://schemas.openxmlformats.org/officeDocument/2006/relationships/hyperlink" Target="https://twitter.com/PierreMetivier" TargetMode="External"/><Relationship Id="rId1256" Type="http://schemas.openxmlformats.org/officeDocument/2006/relationships/hyperlink" Target="https://twitter.com/Jo_H123/status/720934153089335296" TargetMode="External"/><Relationship Id="rId2307" Type="http://schemas.openxmlformats.org/officeDocument/2006/relationships/hyperlink" Target="https://twitter.com/acatech_de" TargetMode="External"/><Relationship Id="rId2654" Type="http://schemas.openxmlformats.org/officeDocument/2006/relationships/hyperlink" Target="https://pbs.twimg.com/profile_images/698101534865940480/LqPcDlzV_normal.jpg" TargetMode="External"/><Relationship Id="rId3705" Type="http://schemas.openxmlformats.org/officeDocument/2006/relationships/hyperlink" Target="https://twitter.com/verlinked/status/722409468391108610" TargetMode="External"/><Relationship Id="rId8283" Type="http://schemas.openxmlformats.org/officeDocument/2006/relationships/hyperlink" Target="https://twitter.com/ITK_OWL" TargetMode="External"/><Relationship Id="rId9334" Type="http://schemas.openxmlformats.org/officeDocument/2006/relationships/hyperlink" Target="https://pbs.twimg.com/profile_images/704767814406643712/VcnCdfke_normal.jpg" TargetMode="External"/><Relationship Id="rId1670" Type="http://schemas.openxmlformats.org/officeDocument/2006/relationships/hyperlink" Target="https://twitter.com/IV_JHG/status/721269841240395776" TargetMode="External"/><Relationship Id="rId2721" Type="http://schemas.openxmlformats.org/officeDocument/2006/relationships/hyperlink" Target="https://twitter.com/openHPI" TargetMode="External"/><Relationship Id="rId5877" Type="http://schemas.openxmlformats.org/officeDocument/2006/relationships/hyperlink" Target="https://twitter.com/aengelhorn/status/723057355961692161" TargetMode="External"/><Relationship Id="rId6928" Type="http://schemas.openxmlformats.org/officeDocument/2006/relationships/hyperlink" Target="https://twitter.com/INDIZbot" TargetMode="External"/><Relationship Id="rId1323" Type="http://schemas.openxmlformats.org/officeDocument/2006/relationships/hyperlink" Target="https://pbs.twimg.com/profile_images/575947309583745024/bY7l3tP__normal.jpeg" TargetMode="External"/><Relationship Id="rId4479" Type="http://schemas.openxmlformats.org/officeDocument/2006/relationships/hyperlink" Target="https://pbs.twimg.com/profile_images/705270537073852416/CZoAp0su_normal.jpg" TargetMode="External"/><Relationship Id="rId4893" Type="http://schemas.openxmlformats.org/officeDocument/2006/relationships/hyperlink" Target="https://twitter.com/ThomasSchulzGE" TargetMode="External"/><Relationship Id="rId5944" Type="http://schemas.openxmlformats.org/officeDocument/2006/relationships/hyperlink" Target="https://pbs.twimg.com/profile_images/644766811079213056/zcG4l1nW_normal.jpg" TargetMode="External"/><Relationship Id="rId8350" Type="http://schemas.openxmlformats.org/officeDocument/2006/relationships/hyperlink" Target="https://twitter.com/LReehten/status/723539073260986369" TargetMode="External"/><Relationship Id="rId9401" Type="http://schemas.openxmlformats.org/officeDocument/2006/relationships/hyperlink" Target="https://twitter.com/ImTunnel" TargetMode="External"/><Relationship Id="rId10280" Type="http://schemas.openxmlformats.org/officeDocument/2006/relationships/hyperlink" Target="https://twitter.com/INDIZbot/status/724453166251651072" TargetMode="External"/><Relationship Id="rId3495" Type="http://schemas.openxmlformats.org/officeDocument/2006/relationships/hyperlink" Target="https://twitter.com/ROKAutomationDE/status/722366031356895232" TargetMode="External"/><Relationship Id="rId4546" Type="http://schemas.openxmlformats.org/officeDocument/2006/relationships/hyperlink" Target="https://twitter.com/INDIZbot/status/722704229077491716" TargetMode="External"/><Relationship Id="rId4960" Type="http://schemas.openxmlformats.org/officeDocument/2006/relationships/hyperlink" Target="https://twitter.com/Gruendercoaches/status/722743690305880064" TargetMode="External"/><Relationship Id="rId8003" Type="http://schemas.openxmlformats.org/officeDocument/2006/relationships/hyperlink" Target="https://twitter.com/INDIZbot" TargetMode="External"/><Relationship Id="rId2097" Type="http://schemas.openxmlformats.org/officeDocument/2006/relationships/hyperlink" Target="https://twitter.com/kommoptimierer" TargetMode="External"/><Relationship Id="rId3148" Type="http://schemas.openxmlformats.org/officeDocument/2006/relationships/hyperlink" Target="https://twitter.com/nextDBI/status/722315090842791936" TargetMode="External"/><Relationship Id="rId3562" Type="http://schemas.openxmlformats.org/officeDocument/2006/relationships/hyperlink" Target="https://pbs.twimg.com/profile_images/595897613003677696/M9EeaBgd_normal.jpg" TargetMode="External"/><Relationship Id="rId4613" Type="http://schemas.openxmlformats.org/officeDocument/2006/relationships/hyperlink" Target="https://pbs.twimg.com/profile_images/495214827963297793/ZW7qWnoK_normal.jpeg" TargetMode="External"/><Relationship Id="rId7769" Type="http://schemas.openxmlformats.org/officeDocument/2006/relationships/hyperlink" Target="https://pbs.twimg.com/profile_images/513178592994676737/EyKPi6g7_normal.jpeg" TargetMode="External"/><Relationship Id="rId10000" Type="http://schemas.openxmlformats.org/officeDocument/2006/relationships/hyperlink" Target="https://twitter.com/Philip_W_Morris" TargetMode="External"/><Relationship Id="rId483" Type="http://schemas.openxmlformats.org/officeDocument/2006/relationships/hyperlink" Target="https://twitter.com/hjvsch/status/720604990226755584" TargetMode="External"/><Relationship Id="rId2164" Type="http://schemas.openxmlformats.org/officeDocument/2006/relationships/hyperlink" Target="https://twitter.com/tuevnord" TargetMode="External"/><Relationship Id="rId3215" Type="http://schemas.openxmlformats.org/officeDocument/2006/relationships/hyperlink" Target="https://twitter.com/JordanOlivero1/status/722325650602860544" TargetMode="External"/><Relationship Id="rId6785" Type="http://schemas.openxmlformats.org/officeDocument/2006/relationships/hyperlink" Target="https://twitter.com/ITOrakel/status/723170253992243200" TargetMode="External"/><Relationship Id="rId9191" Type="http://schemas.openxmlformats.org/officeDocument/2006/relationships/hyperlink" Target="https://twitter.com/_lfactory" TargetMode="External"/><Relationship Id="rId136" Type="http://schemas.openxmlformats.org/officeDocument/2006/relationships/hyperlink" Target="https://twitter.com/KreativNetzBW" TargetMode="External"/><Relationship Id="rId550" Type="http://schemas.openxmlformats.org/officeDocument/2006/relationships/hyperlink" Target="https://pbs.twimg.com/profile_images/694530943139315712/TQHmYxMT_normal.png" TargetMode="External"/><Relationship Id="rId1180" Type="http://schemas.openxmlformats.org/officeDocument/2006/relationships/hyperlink" Target="https://twitter.com/Mtl_Paris" TargetMode="External"/><Relationship Id="rId2231" Type="http://schemas.openxmlformats.org/officeDocument/2006/relationships/hyperlink" Target="https://twitter.com/sensorplustest/status/721967629628522496" TargetMode="External"/><Relationship Id="rId5387" Type="http://schemas.openxmlformats.org/officeDocument/2006/relationships/hyperlink" Target="https://twitter.com/INDIZbot" TargetMode="External"/><Relationship Id="rId6438" Type="http://schemas.openxmlformats.org/officeDocument/2006/relationships/hyperlink" Target="https://twitter.com/H_IT_D/status/723125909671145472" TargetMode="External"/><Relationship Id="rId7836" Type="http://schemas.openxmlformats.org/officeDocument/2006/relationships/hyperlink" Target="https://pbs.twimg.com/profile_images/469799966714503168/TwcWfA2e_normal.png" TargetMode="External"/><Relationship Id="rId203" Type="http://schemas.openxmlformats.org/officeDocument/2006/relationships/hyperlink" Target="https://twitter.com/ITK_OWL/status/720533469462405120" TargetMode="External"/><Relationship Id="rId6852" Type="http://schemas.openxmlformats.org/officeDocument/2006/relationships/hyperlink" Target="https://pbs.twimg.com/profile_images/502402188295946240/rN3wbNyn_normal.jpeg" TargetMode="External"/><Relationship Id="rId7903" Type="http://schemas.openxmlformats.org/officeDocument/2006/relationships/hyperlink" Target="https://twitter.com/INDIZbot" TargetMode="External"/><Relationship Id="rId1997" Type="http://schemas.openxmlformats.org/officeDocument/2006/relationships/hyperlink" Target="https://pbs.twimg.com/profile_images/702492224047730688/vof8rTo__normal.jpg" TargetMode="External"/><Relationship Id="rId4056" Type="http://schemas.openxmlformats.org/officeDocument/2006/relationships/hyperlink" Target="https://twitter.com/BrittaHavemann/status/722488058952687618" TargetMode="External"/><Relationship Id="rId5454" Type="http://schemas.openxmlformats.org/officeDocument/2006/relationships/hyperlink" Target="https://twitter.com/giocosopress" TargetMode="External"/><Relationship Id="rId6505" Type="http://schemas.openxmlformats.org/officeDocument/2006/relationships/hyperlink" Target="https://pbs.twimg.com/profile_images/643892666695073792/IDQzvziq_normal.jpg" TargetMode="External"/><Relationship Id="rId4470" Type="http://schemas.openxmlformats.org/officeDocument/2006/relationships/hyperlink" Target="https://pbs.twimg.com/profile_images/707826907/Uwe-Weber-2010-redux_normal.jpg" TargetMode="External"/><Relationship Id="rId5107" Type="http://schemas.openxmlformats.org/officeDocument/2006/relationships/hyperlink" Target="https://twitter.com/ahk_frankreich" TargetMode="External"/><Relationship Id="rId5521" Type="http://schemas.openxmlformats.org/officeDocument/2006/relationships/hyperlink" Target="https://twitter.com/bamitav/status/722836509779369985" TargetMode="External"/><Relationship Id="rId8677" Type="http://schemas.openxmlformats.org/officeDocument/2006/relationships/hyperlink" Target="https://twitter.com/INDIZbot" TargetMode="External"/><Relationship Id="rId9728" Type="http://schemas.openxmlformats.org/officeDocument/2006/relationships/hyperlink" Target="https://twitter.com/IT2Industry" TargetMode="External"/><Relationship Id="rId1717" Type="http://schemas.openxmlformats.org/officeDocument/2006/relationships/hyperlink" Target="https://twitter.com/FuturICT" TargetMode="External"/><Relationship Id="rId3072" Type="http://schemas.openxmlformats.org/officeDocument/2006/relationships/hyperlink" Target="https://twitter.com/BirgitNiesing" TargetMode="External"/><Relationship Id="rId4123" Type="http://schemas.openxmlformats.org/officeDocument/2006/relationships/hyperlink" Target="https://twitter.com/dbizien/status/722508437561741313" TargetMode="External"/><Relationship Id="rId7279" Type="http://schemas.openxmlformats.org/officeDocument/2006/relationships/hyperlink" Target="https://twitter.com/StepheRose" TargetMode="External"/><Relationship Id="rId7693" Type="http://schemas.openxmlformats.org/officeDocument/2006/relationships/hyperlink" Target="https://twitter.com/JETZT_PRde/status/723426912991739904" TargetMode="External"/><Relationship Id="rId8744" Type="http://schemas.openxmlformats.org/officeDocument/2006/relationships/hyperlink" Target="https://twitter.com/mirko_ross/status/723799539442946048" TargetMode="External"/><Relationship Id="rId3889" Type="http://schemas.openxmlformats.org/officeDocument/2006/relationships/hyperlink" Target="https://pbs.twimg.com/profile_images/472323621445042176/etL3MUED_normal.png" TargetMode="External"/><Relationship Id="rId6295" Type="http://schemas.openxmlformats.org/officeDocument/2006/relationships/hyperlink" Target="https://pbs.twimg.com/profile_images/618382584221986816/uq4RrR-L_normal.png" TargetMode="External"/><Relationship Id="rId7346" Type="http://schemas.openxmlformats.org/officeDocument/2006/relationships/hyperlink" Target="https://twitter.com/INDIZbot" TargetMode="External"/><Relationship Id="rId6362" Type="http://schemas.openxmlformats.org/officeDocument/2006/relationships/hyperlink" Target="http://ideenwerkbw.de/" TargetMode="External"/><Relationship Id="rId7413" Type="http://schemas.openxmlformats.org/officeDocument/2006/relationships/hyperlink" Target="https://twitter.com/innovationbawue" TargetMode="External"/><Relationship Id="rId7760" Type="http://schemas.openxmlformats.org/officeDocument/2006/relationships/hyperlink" Target="https://pbs.twimg.com/profile_images/1467460421/DSC_0321_normal.jpg" TargetMode="External"/><Relationship Id="rId8811" Type="http://schemas.openxmlformats.org/officeDocument/2006/relationships/hyperlink" Target="https://pbs.twimg.com/profile_images/662218041833480192/KybAndDY_normal.jpg" TargetMode="External"/><Relationship Id="rId10327" Type="http://schemas.openxmlformats.org/officeDocument/2006/relationships/hyperlink" Target="https://twitter.com/juliewillemoe" TargetMode="External"/><Relationship Id="rId3956" Type="http://schemas.openxmlformats.org/officeDocument/2006/relationships/hyperlink" Target="https://twitter.com/Rhenatic" TargetMode="External"/><Relationship Id="rId6015" Type="http://schemas.openxmlformats.org/officeDocument/2006/relationships/hyperlink" Target="https://twitter.com/ZVEIorg/status/723071812498644992" TargetMode="External"/><Relationship Id="rId877" Type="http://schemas.openxmlformats.org/officeDocument/2006/relationships/hyperlink" Target="https://twitter.com/catkinEU/status/720855843793543168" TargetMode="External"/><Relationship Id="rId2558" Type="http://schemas.openxmlformats.org/officeDocument/2006/relationships/hyperlink" Target="https://pbs.twimg.com/profile_images/594934750122536960/nG4kmfDF_normal.jpg" TargetMode="External"/><Relationship Id="rId2972" Type="http://schemas.openxmlformats.org/officeDocument/2006/relationships/hyperlink" Target="https://twitter.com/BigDataTweetBot" TargetMode="External"/><Relationship Id="rId3609" Type="http://schemas.openxmlformats.org/officeDocument/2006/relationships/hyperlink" Target="https://twitter.com/dianemievis/status/722383964716052480" TargetMode="External"/><Relationship Id="rId8187" Type="http://schemas.openxmlformats.org/officeDocument/2006/relationships/hyperlink" Target="https://twitter.com/Leader_LR/status/723509467548160001" TargetMode="External"/><Relationship Id="rId9585" Type="http://schemas.openxmlformats.org/officeDocument/2006/relationships/hyperlink" Target="https://twitter.com/MarkusWoehl/status/724211197353046016" TargetMode="External"/><Relationship Id="rId944" Type="http://schemas.openxmlformats.org/officeDocument/2006/relationships/hyperlink" Target="https://pbs.twimg.com/profile_images/645716711723925506/t5G0qOS6_normal.jpg" TargetMode="External"/><Relationship Id="rId1574" Type="http://schemas.openxmlformats.org/officeDocument/2006/relationships/hyperlink" Target="https://twitter.com/QuickFindsIn/status/721141065718173696" TargetMode="External"/><Relationship Id="rId2625" Type="http://schemas.openxmlformats.org/officeDocument/2006/relationships/hyperlink" Target="https://twitter.com/DBPitch/status/722070193086820352" TargetMode="External"/><Relationship Id="rId5031" Type="http://schemas.openxmlformats.org/officeDocument/2006/relationships/hyperlink" Target="https://pbs.twimg.com/profile_images/676325832600743936/gCXpokOx_normal.jpg" TargetMode="External"/><Relationship Id="rId9238" Type="http://schemas.openxmlformats.org/officeDocument/2006/relationships/hyperlink" Target="https://pbs.twimg.com/profile_images/1684373225/Joe_Guy_normal.jpg" TargetMode="External"/><Relationship Id="rId9652" Type="http://schemas.openxmlformats.org/officeDocument/2006/relationships/hyperlink" Target="https://pbs.twimg.com/profile_images/604852979888353280/bPLJGs-u_normal.jpg" TargetMode="External"/><Relationship Id="rId1227" Type="http://schemas.openxmlformats.org/officeDocument/2006/relationships/hyperlink" Target="https://pbs.twimg.com/profile_images/676737558961741824/extU0h2V_normal.jpg" TargetMode="External"/><Relationship Id="rId1641" Type="http://schemas.openxmlformats.org/officeDocument/2006/relationships/hyperlink" Target="https://pbs.twimg.com/profile_images/645716711723925506/t5G0qOS6_normal.jpg" TargetMode="External"/><Relationship Id="rId4797" Type="http://schemas.openxmlformats.org/officeDocument/2006/relationships/hyperlink" Target="https://twitter.com/INDIZbot" TargetMode="External"/><Relationship Id="rId5848" Type="http://schemas.openxmlformats.org/officeDocument/2006/relationships/hyperlink" Target="https://pbs.twimg.com/profile_images/494807363572875265/EUm9CELG_normal.jpeg" TargetMode="External"/><Relationship Id="rId8254" Type="http://schemas.openxmlformats.org/officeDocument/2006/relationships/hyperlink" Target="https://twitter.com/ITK_OWL/status/723522354501038080" TargetMode="External"/><Relationship Id="rId9305" Type="http://schemas.openxmlformats.org/officeDocument/2006/relationships/hyperlink" Target="https://twitter.com/INDIZbot" TargetMode="External"/><Relationship Id="rId10184" Type="http://schemas.openxmlformats.org/officeDocument/2006/relationships/hyperlink" Target="https://twitter.com/nlp_stories/status/724355407494430720" TargetMode="External"/><Relationship Id="rId3399" Type="http://schemas.openxmlformats.org/officeDocument/2006/relationships/hyperlink" Target="https://twitter.com/INDIZbot/status/722357124936900608" TargetMode="External"/><Relationship Id="rId4864" Type="http://schemas.openxmlformats.org/officeDocument/2006/relationships/hyperlink" Target="https://twitter.com/AGiesenNRW/status/722728692733108224" TargetMode="External"/><Relationship Id="rId7270" Type="http://schemas.openxmlformats.org/officeDocument/2006/relationships/hyperlink" Target="https://twitter.com/SASGYS" TargetMode="External"/><Relationship Id="rId8321" Type="http://schemas.openxmlformats.org/officeDocument/2006/relationships/hyperlink" Target="https://pbs.twimg.com/profile_images/713021686375952384/5usVgC3g_normal.jpg" TargetMode="External"/><Relationship Id="rId10251" Type="http://schemas.openxmlformats.org/officeDocument/2006/relationships/hyperlink" Target="https://pbs.twimg.com/profile_images/710772565183045632/vWh5WeNO_normal.jpg" TargetMode="External"/><Relationship Id="rId3466" Type="http://schemas.openxmlformats.org/officeDocument/2006/relationships/hyperlink" Target="https://pbs.twimg.com/profile_images/721883278073061376/Teo8n2Sy_normal.jpg" TargetMode="External"/><Relationship Id="rId4517" Type="http://schemas.openxmlformats.org/officeDocument/2006/relationships/hyperlink" Target="https://pbs.twimg.com/profile_images/603837616006569984/XWtLqpC6_normal.png" TargetMode="External"/><Relationship Id="rId5915" Type="http://schemas.openxmlformats.org/officeDocument/2006/relationships/hyperlink" Target="https://twitter.com/SICK_Karriere" TargetMode="External"/><Relationship Id="rId387" Type="http://schemas.openxmlformats.org/officeDocument/2006/relationships/hyperlink" Target="https://pbs.twimg.com/profile_images/641558874294628356/0gpa7sTF_normal.jpg" TargetMode="External"/><Relationship Id="rId2068" Type="http://schemas.openxmlformats.org/officeDocument/2006/relationships/hyperlink" Target="https://twitter.com/kommoptimierer/status/721791596912578560" TargetMode="External"/><Relationship Id="rId3119" Type="http://schemas.openxmlformats.org/officeDocument/2006/relationships/hyperlink" Target="https://pbs.twimg.com/profile_images/720603320218488832/n2LIOR4Q_normal.jpg" TargetMode="External"/><Relationship Id="rId3880" Type="http://schemas.openxmlformats.org/officeDocument/2006/relationships/hyperlink" Target="https://pbs.twimg.com/profile_images/656123572922941443/lJSyUh1v_normal.jpg" TargetMode="External"/><Relationship Id="rId4931" Type="http://schemas.openxmlformats.org/officeDocument/2006/relationships/hyperlink" Target="https://pbs.twimg.com/profile_images/694465668897464320/YGd3ViJu_normal.jpg" TargetMode="External"/><Relationship Id="rId9095" Type="http://schemas.openxmlformats.org/officeDocument/2006/relationships/hyperlink" Target="https://twitter.com/ITK_OWL" TargetMode="External"/><Relationship Id="rId1084" Type="http://schemas.openxmlformats.org/officeDocument/2006/relationships/hyperlink" Target="https://twitter.com/verlinked" TargetMode="External"/><Relationship Id="rId2482" Type="http://schemas.openxmlformats.org/officeDocument/2006/relationships/hyperlink" Target="https://twitter.com/BoschPresse" TargetMode="External"/><Relationship Id="rId3533" Type="http://schemas.openxmlformats.org/officeDocument/2006/relationships/hyperlink" Target="https://twitter.com/B_Stratton1" TargetMode="External"/><Relationship Id="rId6689" Type="http://schemas.openxmlformats.org/officeDocument/2006/relationships/hyperlink" Target="https://twitter.com/JBause/status/723161966819323904" TargetMode="External"/><Relationship Id="rId9162" Type="http://schemas.openxmlformats.org/officeDocument/2006/relationships/hyperlink" Target="https://twitter.com/kat2812/status/723957800066494464" TargetMode="External"/><Relationship Id="rId107" Type="http://schemas.openxmlformats.org/officeDocument/2006/relationships/hyperlink" Target="https://twitter.com/StipoNad/status/720512775475343361" TargetMode="External"/><Relationship Id="rId454" Type="http://schemas.openxmlformats.org/officeDocument/2006/relationships/hyperlink" Target="https://twitter.com/quickfindseotip" TargetMode="External"/><Relationship Id="rId2135" Type="http://schemas.openxmlformats.org/officeDocument/2006/relationships/hyperlink" Target="https://twitter.com/ULdialogue/status/721943347963662336" TargetMode="External"/><Relationship Id="rId3600" Type="http://schemas.openxmlformats.org/officeDocument/2006/relationships/hyperlink" Target="https://twitter.com/INDIZbot/status/722382023151742976" TargetMode="External"/><Relationship Id="rId6756" Type="http://schemas.openxmlformats.org/officeDocument/2006/relationships/hyperlink" Target="https://pbs.twimg.com/profile_images/673648481/twitter-profilfoto_normal.jpg" TargetMode="External"/><Relationship Id="rId7807" Type="http://schemas.openxmlformats.org/officeDocument/2006/relationships/hyperlink" Target="https://twitter.com/akquinet" TargetMode="External"/><Relationship Id="rId521" Type="http://schemas.openxmlformats.org/officeDocument/2006/relationships/hyperlink" Target="https://twitter.com/akquinet" TargetMode="External"/><Relationship Id="rId1151" Type="http://schemas.openxmlformats.org/officeDocument/2006/relationships/hyperlink" Target="https://twitter.com/INDIZbot/status/720907443799224320" TargetMode="External"/><Relationship Id="rId2202" Type="http://schemas.openxmlformats.org/officeDocument/2006/relationships/hyperlink" Target="https://pbs.twimg.com/profile_images/662723326096224256/5V4KH9_O_normal.jpg" TargetMode="External"/><Relationship Id="rId5358" Type="http://schemas.openxmlformats.org/officeDocument/2006/relationships/hyperlink" Target="https://twitter.com/INDIZbot/status/722794871757676544" TargetMode="External"/><Relationship Id="rId5772" Type="http://schemas.openxmlformats.org/officeDocument/2006/relationships/hyperlink" Target="https://twitter.com/GTAI_com" TargetMode="External"/><Relationship Id="rId6409" Type="http://schemas.openxmlformats.org/officeDocument/2006/relationships/hyperlink" Target="https://pbs.twimg.com/profile_images/471312276767535104/TIanhngf_normal.jpeg" TargetMode="External"/><Relationship Id="rId6823" Type="http://schemas.openxmlformats.org/officeDocument/2006/relationships/hyperlink" Target="https://twitter.com/pechardscheck" TargetMode="External"/><Relationship Id="rId9979" Type="http://schemas.openxmlformats.org/officeDocument/2006/relationships/hyperlink" Target="https://twitter.com/MarinerLLC" TargetMode="External"/><Relationship Id="rId1968" Type="http://schemas.openxmlformats.org/officeDocument/2006/relationships/hyperlink" Target="https://twitter.com/MartaBalan" TargetMode="External"/><Relationship Id="rId4374" Type="http://schemas.openxmlformats.org/officeDocument/2006/relationships/hyperlink" Target="https://twitter.com/AltenaTCS" TargetMode="External"/><Relationship Id="rId5425" Type="http://schemas.openxmlformats.org/officeDocument/2006/relationships/hyperlink" Target="https://pbs.twimg.com/profile_images/673216629782806528/GAAyze8N_normal.jpg" TargetMode="External"/><Relationship Id="rId8995" Type="http://schemas.openxmlformats.org/officeDocument/2006/relationships/hyperlink" Target="https://twitter.com/fitfor2020" TargetMode="External"/><Relationship Id="rId3390" Type="http://schemas.openxmlformats.org/officeDocument/2006/relationships/hyperlink" Target="https://twitter.com/zwitscher66/status/722355724072914944" TargetMode="External"/><Relationship Id="rId4027" Type="http://schemas.openxmlformats.org/officeDocument/2006/relationships/hyperlink" Target="https://pbs.twimg.com/profile_images/669447670818304000/kRc0EiEq_normal.jpg" TargetMode="External"/><Relationship Id="rId4441" Type="http://schemas.openxmlformats.org/officeDocument/2006/relationships/hyperlink" Target="https://twitter.com/HTxAlive/status/722692391401078785" TargetMode="External"/><Relationship Id="rId7597" Type="http://schemas.openxmlformats.org/officeDocument/2006/relationships/hyperlink" Target="https://twitter.com/sentsoftwarede/status/723416965277048832" TargetMode="External"/><Relationship Id="rId8648" Type="http://schemas.openxmlformats.org/officeDocument/2006/relationships/hyperlink" Target="https://twitter.com/GregRodehueser/status/723778145728507904" TargetMode="External"/><Relationship Id="rId3043" Type="http://schemas.openxmlformats.org/officeDocument/2006/relationships/hyperlink" Target="https://twitter.com/Geschnattere/status/722307329912397824" TargetMode="External"/><Relationship Id="rId6199" Type="http://schemas.openxmlformats.org/officeDocument/2006/relationships/hyperlink" Target="https://twitter.com/joachimjoachim/status/723087409928351744" TargetMode="External"/><Relationship Id="rId6266" Type="http://schemas.openxmlformats.org/officeDocument/2006/relationships/hyperlink" Target="http://searchnetworking.de/" TargetMode="External"/><Relationship Id="rId7664" Type="http://schemas.openxmlformats.org/officeDocument/2006/relationships/hyperlink" Target="https://pbs.twimg.com/profile_images/645716711723925506/t5G0qOS6_normal.jpg" TargetMode="External"/><Relationship Id="rId8715" Type="http://schemas.openxmlformats.org/officeDocument/2006/relationships/hyperlink" Target="https://pbs.twimg.com/profile_images/667689986276392960/lHQvEvuO_normal.jpg" TargetMode="External"/><Relationship Id="rId3110" Type="http://schemas.openxmlformats.org/officeDocument/2006/relationships/hyperlink" Target="https://pbs.twimg.com/profile_images/623849156159868928/BetFDR_i_normal.jpg" TargetMode="External"/><Relationship Id="rId6680" Type="http://schemas.openxmlformats.org/officeDocument/2006/relationships/hyperlink" Target="https://twitter.com/GPAdjpBildung/status/723159367600750592" TargetMode="External"/><Relationship Id="rId7317" Type="http://schemas.openxmlformats.org/officeDocument/2006/relationships/hyperlink" Target="https://twitter.com/H_IT_D/status/723398629189283840" TargetMode="External"/><Relationship Id="rId7731" Type="http://schemas.openxmlformats.org/officeDocument/2006/relationships/hyperlink" Target="https://twitter.com/meta_level" TargetMode="External"/><Relationship Id="rId2876" Type="http://schemas.openxmlformats.org/officeDocument/2006/relationships/hyperlink" Target="https://twitter.com/MicroservicesE/status/722145379681218561" TargetMode="External"/><Relationship Id="rId3927" Type="http://schemas.openxmlformats.org/officeDocument/2006/relationships/hyperlink" Target="https://twitter.com/GOettingerEU/status/722458803350990848" TargetMode="External"/><Relationship Id="rId5282" Type="http://schemas.openxmlformats.org/officeDocument/2006/relationships/hyperlink" Target="https://twitter.com/lotsizeone/status/722780459571109888" TargetMode="External"/><Relationship Id="rId6333" Type="http://schemas.openxmlformats.org/officeDocument/2006/relationships/hyperlink" Target="https://pbs.twimg.com/profile_images/413009203163189249/-Ajd3VZR_normal.jpeg" TargetMode="External"/><Relationship Id="rId9489" Type="http://schemas.openxmlformats.org/officeDocument/2006/relationships/hyperlink" Target="https://twitter.com/Gruendercoaches/status/724189928435945473" TargetMode="External"/><Relationship Id="rId848" Type="http://schemas.openxmlformats.org/officeDocument/2006/relationships/hyperlink" Target="https://pbs.twimg.com/profile_images/645716711723925506/t5G0qOS6_normal.jpg" TargetMode="External"/><Relationship Id="rId1478" Type="http://schemas.openxmlformats.org/officeDocument/2006/relationships/hyperlink" Target="https://twitter.com/wiesel2008/status/721023181159534592" TargetMode="External"/><Relationship Id="rId1892" Type="http://schemas.openxmlformats.org/officeDocument/2006/relationships/hyperlink" Target="https://twitter.com/Geschnattere" TargetMode="External"/><Relationship Id="rId2529" Type="http://schemas.openxmlformats.org/officeDocument/2006/relationships/hyperlink" Target="https://twitter.com/Konecranes_DE" TargetMode="External"/><Relationship Id="rId6400" Type="http://schemas.openxmlformats.org/officeDocument/2006/relationships/hyperlink" Target="https://pbs.twimg.com/profile_images/490060130231132160/qLmnir1s_normal.jpeg" TargetMode="External"/><Relationship Id="rId9556" Type="http://schemas.openxmlformats.org/officeDocument/2006/relationships/hyperlink" Target="https://pbs.twimg.com/profile_images/669471279158796288/iXgOCW46_normal.jpg" TargetMode="External"/><Relationship Id="rId9970" Type="http://schemas.openxmlformats.org/officeDocument/2006/relationships/hyperlink" Target="https://twitter.com/banthien" TargetMode="External"/><Relationship Id="rId915" Type="http://schemas.openxmlformats.org/officeDocument/2006/relationships/hyperlink" Target="https://twitter.com/bengolder" TargetMode="External"/><Relationship Id="rId1545" Type="http://schemas.openxmlformats.org/officeDocument/2006/relationships/hyperlink" Target="https://pbs.twimg.com/profile_images/662723326096224256/5V4KH9_O_normal.jpg" TargetMode="External"/><Relationship Id="rId2943" Type="http://schemas.openxmlformats.org/officeDocument/2006/relationships/hyperlink" Target="https://twitter.com/Print3DExpo/status/722187405470642176" TargetMode="External"/><Relationship Id="rId5002" Type="http://schemas.openxmlformats.org/officeDocument/2006/relationships/hyperlink" Target="https://twitter.com/Stefan_Schaus" TargetMode="External"/><Relationship Id="rId8158" Type="http://schemas.openxmlformats.org/officeDocument/2006/relationships/hyperlink" Target="https://pbs.twimg.com/profile_images/413592922592792576/9Dg2RiEm_normal.jpeg" TargetMode="External"/><Relationship Id="rId8572" Type="http://schemas.openxmlformats.org/officeDocument/2006/relationships/hyperlink" Target="https://twitter.com/CapgeminiDE" TargetMode="External"/><Relationship Id="rId9209" Type="http://schemas.openxmlformats.org/officeDocument/2006/relationships/hyperlink" Target="https://twitter.com/karelcrombach" TargetMode="External"/><Relationship Id="rId9623" Type="http://schemas.openxmlformats.org/officeDocument/2006/relationships/hyperlink" Target="https://twitter.com/ElroyWonder" TargetMode="External"/><Relationship Id="rId10088" Type="http://schemas.openxmlformats.org/officeDocument/2006/relationships/hyperlink" Target="https://twitter.com/kingzulu82/status/724326406910566400" TargetMode="External"/><Relationship Id="rId7174" Type="http://schemas.openxmlformats.org/officeDocument/2006/relationships/hyperlink" Target="https://twitter.com/INDIZbot" TargetMode="External"/><Relationship Id="rId8225" Type="http://schemas.openxmlformats.org/officeDocument/2006/relationships/hyperlink" Target="https://pbs.twimg.com/profile_images/378800000730237374/61248132aea1de8788bfabe0f46145e3_normal.jpeg" TargetMode="External"/><Relationship Id="rId1612" Type="http://schemas.openxmlformats.org/officeDocument/2006/relationships/hyperlink" Target="https://twitter.com/MartinGaedt" TargetMode="External"/><Relationship Id="rId4768" Type="http://schemas.openxmlformats.org/officeDocument/2006/relationships/hyperlink" Target="https://twitter.com/Gesamtmetall/status/722717720316395520" TargetMode="External"/><Relationship Id="rId5819" Type="http://schemas.openxmlformats.org/officeDocument/2006/relationships/hyperlink" Target="https://twitter.com/DegosSandrine/status/723046897544470528" TargetMode="External"/><Relationship Id="rId6190" Type="http://schemas.openxmlformats.org/officeDocument/2006/relationships/hyperlink" Target="https://twitter.com/tagderlogistik/status/723086054471786497" TargetMode="External"/><Relationship Id="rId10155" Type="http://schemas.openxmlformats.org/officeDocument/2006/relationships/hyperlink" Target="https://pbs.twimg.com/profile_images/645716711723925506/t5G0qOS6_normal.jpg" TargetMode="External"/><Relationship Id="rId3784" Type="http://schemas.openxmlformats.org/officeDocument/2006/relationships/hyperlink" Target="https://pbs.twimg.com/profile_images/645716711723925506/t5G0qOS6_normal.jpg" TargetMode="External"/><Relationship Id="rId4835" Type="http://schemas.openxmlformats.org/officeDocument/2006/relationships/hyperlink" Target="https://pbs.twimg.com/profile_images/573131119459090433/chvdSZ_E_normal.png" TargetMode="External"/><Relationship Id="rId7241" Type="http://schemas.openxmlformats.org/officeDocument/2006/relationships/hyperlink" Target="https://twitter.com/INDIZbot/status/723386300447875076" TargetMode="External"/><Relationship Id="rId10222" Type="http://schemas.openxmlformats.org/officeDocument/2006/relationships/hyperlink" Target="https://twitter.com/h_scoshield" TargetMode="External"/><Relationship Id="rId2386" Type="http://schemas.openxmlformats.org/officeDocument/2006/relationships/hyperlink" Target="https://twitter.com/rene_ziegler" TargetMode="External"/><Relationship Id="rId3437" Type="http://schemas.openxmlformats.org/officeDocument/2006/relationships/hyperlink" Target="https://twitter.com/PhotonicsEU" TargetMode="External"/><Relationship Id="rId3851" Type="http://schemas.openxmlformats.org/officeDocument/2006/relationships/hyperlink" Target="https://twitter.com/INDIZbot" TargetMode="External"/><Relationship Id="rId4902" Type="http://schemas.openxmlformats.org/officeDocument/2006/relationships/hyperlink" Target="https://twitter.com/MEArbeitgeber" TargetMode="External"/><Relationship Id="rId358" Type="http://schemas.openxmlformats.org/officeDocument/2006/relationships/hyperlink" Target="https://twitter.com/cianfaranim" TargetMode="External"/><Relationship Id="rId772" Type="http://schemas.openxmlformats.org/officeDocument/2006/relationships/hyperlink" Target="https://pbs.twimg.com/profile_images/667622351345950720/HAHOiaMn_normal.jpg" TargetMode="External"/><Relationship Id="rId2039" Type="http://schemas.openxmlformats.org/officeDocument/2006/relationships/hyperlink" Target="https://pbs.twimg.com/profile_images/378800000322896667/d1c60784e60aac20428623b3195d2ca8_normal.jpeg" TargetMode="External"/><Relationship Id="rId2453" Type="http://schemas.openxmlformats.org/officeDocument/2006/relationships/hyperlink" Target="https://twitter.com/ZVEIorg/status/722030181993553920" TargetMode="External"/><Relationship Id="rId3504" Type="http://schemas.openxmlformats.org/officeDocument/2006/relationships/hyperlink" Target="https://twitter.com/AltenaTCS/status/722367034659639296" TargetMode="External"/><Relationship Id="rId9066" Type="http://schemas.openxmlformats.org/officeDocument/2006/relationships/hyperlink" Target="https://twitter.com/prxpragma/status/723928026703093760" TargetMode="External"/><Relationship Id="rId9480" Type="http://schemas.openxmlformats.org/officeDocument/2006/relationships/hyperlink" Target="https://twitter.com/induux_de/status/724186202270765056" TargetMode="External"/><Relationship Id="rId425" Type="http://schemas.openxmlformats.org/officeDocument/2006/relationships/hyperlink" Target="https://twitter.com/acad_sup/status/720589504868978688" TargetMode="External"/><Relationship Id="rId1055" Type="http://schemas.openxmlformats.org/officeDocument/2006/relationships/hyperlink" Target="https://twitter.com/Stefan_Schaus/status/720891165235503104" TargetMode="External"/><Relationship Id="rId2106" Type="http://schemas.openxmlformats.org/officeDocument/2006/relationships/hyperlink" Target="https://twitter.com/ScopeOnline" TargetMode="External"/><Relationship Id="rId2520" Type="http://schemas.openxmlformats.org/officeDocument/2006/relationships/hyperlink" Target="https://twitter.com/TechnoMarketOV/status/722051091379200000" TargetMode="External"/><Relationship Id="rId5676" Type="http://schemas.openxmlformats.org/officeDocument/2006/relationships/hyperlink" Target="https://twitter.com/CSGermany" TargetMode="External"/><Relationship Id="rId6727" Type="http://schemas.openxmlformats.org/officeDocument/2006/relationships/hyperlink" Target="https://twitter.com/SGE" TargetMode="External"/><Relationship Id="rId8082" Type="http://schemas.openxmlformats.org/officeDocument/2006/relationships/hyperlink" Target="https://twitter.com/dictaJet/status/723492727904722945" TargetMode="External"/><Relationship Id="rId9133" Type="http://schemas.openxmlformats.org/officeDocument/2006/relationships/hyperlink" Target="https://pbs.twimg.com/profile_images/645716711723925506/t5G0qOS6_normal.jpg" TargetMode="External"/><Relationship Id="rId1122" Type="http://schemas.openxmlformats.org/officeDocument/2006/relationships/hyperlink" Target="https://pbs.twimg.com/profile_images/645716711723925506/t5G0qOS6_normal.jpg" TargetMode="External"/><Relationship Id="rId4278" Type="http://schemas.openxmlformats.org/officeDocument/2006/relationships/hyperlink" Target="https://twitter.com/rszilinski" TargetMode="External"/><Relationship Id="rId5329" Type="http://schemas.openxmlformats.org/officeDocument/2006/relationships/hyperlink" Target="https://twitter.com/kion_group" TargetMode="External"/><Relationship Id="rId9200" Type="http://schemas.openxmlformats.org/officeDocument/2006/relationships/hyperlink" Target="https://twitter.com/INDIZbot" TargetMode="External"/><Relationship Id="rId3294" Type="http://schemas.openxmlformats.org/officeDocument/2006/relationships/hyperlink" Target="https://pbs.twimg.com/profile_images/667101652479029249/acksmKgE_normal.png" TargetMode="External"/><Relationship Id="rId4345" Type="http://schemas.openxmlformats.org/officeDocument/2006/relationships/hyperlink" Target="https://twitter.com/LReehten/status/722676951417253889" TargetMode="External"/><Relationship Id="rId4692" Type="http://schemas.openxmlformats.org/officeDocument/2006/relationships/hyperlink" Target="https://twitter.com/verlinked" TargetMode="External"/><Relationship Id="rId5743" Type="http://schemas.openxmlformats.org/officeDocument/2006/relationships/hyperlink" Target="https://twitter.com/NicolaPeschke/status/723020670586654722" TargetMode="External"/><Relationship Id="rId8899" Type="http://schemas.openxmlformats.org/officeDocument/2006/relationships/hyperlink" Target="https://twitter.com/SAPFrance" TargetMode="External"/><Relationship Id="rId1939" Type="http://schemas.openxmlformats.org/officeDocument/2006/relationships/hyperlink" Target="https://pbs.twimg.com/profile_images/722385992343285760/ww8YLZ2q_normal.jpg" TargetMode="External"/><Relationship Id="rId5810" Type="http://schemas.openxmlformats.org/officeDocument/2006/relationships/hyperlink" Target="https://twitter.com/Bitkom/status/723045108455612416" TargetMode="External"/><Relationship Id="rId8966" Type="http://schemas.openxmlformats.org/officeDocument/2006/relationships/hyperlink" Target="https://twitter.com/davidromero_mex/status/723875167097643008" TargetMode="External"/><Relationship Id="rId3361" Type="http://schemas.openxmlformats.org/officeDocument/2006/relationships/hyperlink" Target="https://twitter.com/foresight_lab" TargetMode="External"/><Relationship Id="rId4412" Type="http://schemas.openxmlformats.org/officeDocument/2006/relationships/hyperlink" Target="https://pbs.twimg.com/profile_images/657109140414844928/O0pxlAW0_normal.png" TargetMode="External"/><Relationship Id="rId7568" Type="http://schemas.openxmlformats.org/officeDocument/2006/relationships/hyperlink" Target="https://pbs.twimg.com/profile_images/687629708092129280/PQUSwFlr_normal.jpg" TargetMode="External"/><Relationship Id="rId7982" Type="http://schemas.openxmlformats.org/officeDocument/2006/relationships/hyperlink" Target="https://twitter.com/CapgeminiDE" TargetMode="External"/><Relationship Id="rId8619" Type="http://schemas.openxmlformats.org/officeDocument/2006/relationships/hyperlink" Target="https://pbs.twimg.com/profile_images/666911961599315968/aP7ID_qm_normal.png" TargetMode="External"/><Relationship Id="rId282" Type="http://schemas.openxmlformats.org/officeDocument/2006/relationships/hyperlink" Target="https://pbs.twimg.com/profile_images/685327213/Apandia_normal.gif" TargetMode="External"/><Relationship Id="rId3014" Type="http://schemas.openxmlformats.org/officeDocument/2006/relationships/hyperlink" Target="https://pbs.twimg.com/profile_images/711927354118041601/TcQdN_kN_normal.jpg" TargetMode="External"/><Relationship Id="rId6584" Type="http://schemas.openxmlformats.org/officeDocument/2006/relationships/hyperlink" Target="https://pbs.twimg.com/profile_images/657109140414844928/O0pxlAW0_normal.png" TargetMode="External"/><Relationship Id="rId7635" Type="http://schemas.openxmlformats.org/officeDocument/2006/relationships/hyperlink" Target="https://twitter.com/BOLDLYGO_FFM" TargetMode="External"/><Relationship Id="rId2030" Type="http://schemas.openxmlformats.org/officeDocument/2006/relationships/hyperlink" Target="https://pbs.twimg.com/profile_images/580833677128699905/neFmKz39_normal.png" TargetMode="External"/><Relationship Id="rId5186" Type="http://schemas.openxmlformats.org/officeDocument/2006/relationships/hyperlink" Target="http://startupradio.de/" TargetMode="External"/><Relationship Id="rId6237" Type="http://schemas.openxmlformats.org/officeDocument/2006/relationships/hyperlink" Target="https://pbs.twimg.com/profile_images/3739991141/3402d7cafb5f19e352103f146cf09f15_normal.jpeg" TargetMode="External"/><Relationship Id="rId6651" Type="http://schemas.openxmlformats.org/officeDocument/2006/relationships/hyperlink" Target="https://twitter.com/JuLoewe" TargetMode="External"/><Relationship Id="rId7702" Type="http://schemas.openxmlformats.org/officeDocument/2006/relationships/hyperlink" Target="https://twitter.com/JETZT_PRde/status/723427362575028224" TargetMode="External"/><Relationship Id="rId5253" Type="http://schemas.openxmlformats.org/officeDocument/2006/relationships/hyperlink" Target="https://pbs.twimg.com/profile_images/378800000073394505/cd91c3368bdada700bdb52bacb961fb5_normal.png" TargetMode="External"/><Relationship Id="rId6304" Type="http://schemas.openxmlformats.org/officeDocument/2006/relationships/hyperlink" Target="https://twitter.com/M_Exchange_AG/status/723106286900899842" TargetMode="External"/><Relationship Id="rId1449" Type="http://schemas.openxmlformats.org/officeDocument/2006/relationships/hyperlink" Target="https://pbs.twimg.com/profile_images/2525022138/iumrhhryywqyaheirg1t_normal.jpeg" TargetMode="External"/><Relationship Id="rId1796" Type="http://schemas.openxmlformats.org/officeDocument/2006/relationships/hyperlink" Target="https://twitter.com/EmrahEker_/status/721403700363792384" TargetMode="External"/><Relationship Id="rId2847" Type="http://schemas.openxmlformats.org/officeDocument/2006/relationships/hyperlink" Target="https://twitter.com/RalfSchadowski" TargetMode="External"/><Relationship Id="rId8476" Type="http://schemas.openxmlformats.org/officeDocument/2006/relationships/hyperlink" Target="https://twitter.com/INDIZbot" TargetMode="External"/><Relationship Id="rId9874" Type="http://schemas.openxmlformats.org/officeDocument/2006/relationships/hyperlink" Target="https://twitter.com/INDIZbot" TargetMode="External"/><Relationship Id="rId88" Type="http://schemas.openxmlformats.org/officeDocument/2006/relationships/hyperlink" Target="https://twitter.com/SHC_GmbH" TargetMode="External"/><Relationship Id="rId819" Type="http://schemas.openxmlformats.org/officeDocument/2006/relationships/hyperlink" Target="https://twitter.com/INDIZbot" TargetMode="External"/><Relationship Id="rId1863" Type="http://schemas.openxmlformats.org/officeDocument/2006/relationships/hyperlink" Target="https://twitter.com/INDIZbot/status/721589294087958528" TargetMode="External"/><Relationship Id="rId2914" Type="http://schemas.openxmlformats.org/officeDocument/2006/relationships/hyperlink" Target="https://pbs.twimg.com/profile_images/1496274904/tomschaepper_bild_01_normal.jpg" TargetMode="External"/><Relationship Id="rId5320" Type="http://schemas.openxmlformats.org/officeDocument/2006/relationships/hyperlink" Target="https://twitter.com/birolkahveci82" TargetMode="External"/><Relationship Id="rId7078" Type="http://schemas.openxmlformats.org/officeDocument/2006/relationships/hyperlink" Target="https://twitter.com/INDIZbot" TargetMode="External"/><Relationship Id="rId8129" Type="http://schemas.openxmlformats.org/officeDocument/2006/relationships/hyperlink" Target="https://twitter.com/dutchhts" TargetMode="External"/><Relationship Id="rId8890" Type="http://schemas.openxmlformats.org/officeDocument/2006/relationships/hyperlink" Target="https://twitter.com/VDMAonline" TargetMode="External"/><Relationship Id="rId9527" Type="http://schemas.openxmlformats.org/officeDocument/2006/relationships/hyperlink" Target="https://twitter.com/KPMG_DE" TargetMode="External"/><Relationship Id="rId9941" Type="http://schemas.openxmlformats.org/officeDocument/2006/relationships/hyperlink" Target="https://twitter.com/RiemenspergerF/status/724282667114598400" TargetMode="External"/><Relationship Id="rId1516" Type="http://schemas.openxmlformats.org/officeDocument/2006/relationships/hyperlink" Target="https://twitter.com/maspes76" TargetMode="External"/><Relationship Id="rId1930" Type="http://schemas.openxmlformats.org/officeDocument/2006/relationships/hyperlink" Target="https://pbs.twimg.com/profile_images/444069537869094912/Oh8ZB7sl_normal.jpeg" TargetMode="External"/><Relationship Id="rId7492" Type="http://schemas.openxmlformats.org/officeDocument/2006/relationships/hyperlink" Target="https://twitter.com/DerKonstrukteu/status/723409119332331521" TargetMode="External"/><Relationship Id="rId8543" Type="http://schemas.openxmlformats.org/officeDocument/2006/relationships/hyperlink" Target="https://twitter.com/INDIZbot/status/723657931959468032" TargetMode="External"/><Relationship Id="rId10059" Type="http://schemas.openxmlformats.org/officeDocument/2006/relationships/hyperlink" Target="https://pbs.twimg.com/profile_images/645716711723925506/t5G0qOS6_normal.jpg" TargetMode="External"/><Relationship Id="rId3688" Type="http://schemas.openxmlformats.org/officeDocument/2006/relationships/hyperlink" Target="https://pbs.twimg.com/profile_images/703148147543920640/eaxyCVcC_normal.jpg" TargetMode="External"/><Relationship Id="rId4739" Type="http://schemas.openxmlformats.org/officeDocument/2006/relationships/hyperlink" Target="https://pbs.twimg.com/profile_images/601649689117732864/sUg8zslR_normal.jpg" TargetMode="External"/><Relationship Id="rId6094" Type="http://schemas.openxmlformats.org/officeDocument/2006/relationships/hyperlink" Target="https://pbs.twimg.com/profile_images/576038384629469184/KCHV0Anq_normal.png" TargetMode="External"/><Relationship Id="rId7145" Type="http://schemas.openxmlformats.org/officeDocument/2006/relationships/hyperlink" Target="https://twitter.com/TLinn_Visionico/status/723286523181981697" TargetMode="External"/><Relationship Id="rId8610" Type="http://schemas.openxmlformats.org/officeDocument/2006/relationships/hyperlink" Target="https://pbs.twimg.com/profile_images/645716711723925506/t5G0qOS6_normal.jpg" TargetMode="External"/><Relationship Id="rId10126" Type="http://schemas.openxmlformats.org/officeDocument/2006/relationships/hyperlink" Target="https://twitter.com/steffi_rtz" TargetMode="External"/><Relationship Id="rId3755" Type="http://schemas.openxmlformats.org/officeDocument/2006/relationships/hyperlink" Target="https://twitter.com/INDIZbot" TargetMode="External"/><Relationship Id="rId4806" Type="http://schemas.openxmlformats.org/officeDocument/2006/relationships/hyperlink" Target="https://twitter.com/Industrie_40" TargetMode="External"/><Relationship Id="rId6161" Type="http://schemas.openxmlformats.org/officeDocument/2006/relationships/hyperlink" Target="https://pbs.twimg.com/profile_images/566986293888835584/_uYTcau__normal.png" TargetMode="External"/><Relationship Id="rId7212" Type="http://schemas.openxmlformats.org/officeDocument/2006/relationships/hyperlink" Target="https://pbs.twimg.com/profile_images/589392862422441984/1HFN6ZwF_normal.jpg" TargetMode="External"/><Relationship Id="rId676" Type="http://schemas.openxmlformats.org/officeDocument/2006/relationships/hyperlink" Target="https://pbs.twimg.com/profile_images/2552626150/i2ig5lfbkrnpc07ugir7_normal.png" TargetMode="External"/><Relationship Id="rId2357" Type="http://schemas.openxmlformats.org/officeDocument/2006/relationships/hyperlink" Target="https://twitter.com/hannover_messe/status/721997985438109697" TargetMode="External"/><Relationship Id="rId3408" Type="http://schemas.openxmlformats.org/officeDocument/2006/relationships/hyperlink" Target="https://twitter.com/GOettingerEU/status/722357782545088512" TargetMode="External"/><Relationship Id="rId9384" Type="http://schemas.openxmlformats.org/officeDocument/2006/relationships/hyperlink" Target="https://twitter.com/HGelis/status/724164906585608192" TargetMode="External"/><Relationship Id="rId329" Type="http://schemas.openxmlformats.org/officeDocument/2006/relationships/hyperlink" Target="https://twitter.com/SICOS_BW/status/720551100852658176" TargetMode="External"/><Relationship Id="rId1373" Type="http://schemas.openxmlformats.org/officeDocument/2006/relationships/hyperlink" Target="https://twitter.com/EEIPEnMg" TargetMode="External"/><Relationship Id="rId2771" Type="http://schemas.openxmlformats.org/officeDocument/2006/relationships/hyperlink" Target="https://pbs.twimg.com/profile_images/660956110220734464/oR5zDedC_normal.jpg" TargetMode="External"/><Relationship Id="rId3822" Type="http://schemas.openxmlformats.org/officeDocument/2006/relationships/hyperlink" Target="https://twitter.com/IoTMinded/status/722431953849487361" TargetMode="External"/><Relationship Id="rId6978" Type="http://schemas.openxmlformats.org/officeDocument/2006/relationships/hyperlink" Target="https://pbs.twimg.com/profile_images/638707523160272896/YonVe2-H_normal.jpg" TargetMode="External"/><Relationship Id="rId9037" Type="http://schemas.openxmlformats.org/officeDocument/2006/relationships/hyperlink" Target="https://pbs.twimg.com/profile_images/659103527302746112/SHt7cxmw_normal.png" TargetMode="External"/><Relationship Id="rId743" Type="http://schemas.openxmlformats.org/officeDocument/2006/relationships/hyperlink" Target="https://twitter.com/c_best01" TargetMode="External"/><Relationship Id="rId1026" Type="http://schemas.openxmlformats.org/officeDocument/2006/relationships/hyperlink" Target="https://pbs.twimg.com/profile_images/715968416834781185/hP9LV1pl_normal.jpg" TargetMode="External"/><Relationship Id="rId2424" Type="http://schemas.openxmlformats.org/officeDocument/2006/relationships/hyperlink" Target="https://pbs.twimg.com/profile_images/714369025355202560/vNKUaCLA_normal.jpg" TargetMode="External"/><Relationship Id="rId5994" Type="http://schemas.openxmlformats.org/officeDocument/2006/relationships/hyperlink" Target="https://twitter.com/QuickFindsIn/status/723067755981762561" TargetMode="External"/><Relationship Id="rId8053" Type="http://schemas.openxmlformats.org/officeDocument/2006/relationships/hyperlink" Target="https://pbs.twimg.com/profile_images/491604376192958465/Ir18BAvZ_normal.png" TargetMode="External"/><Relationship Id="rId9104" Type="http://schemas.openxmlformats.org/officeDocument/2006/relationships/hyperlink" Target="https://twitter.com/croXXing_IBD" TargetMode="External"/><Relationship Id="rId9451" Type="http://schemas.openxmlformats.org/officeDocument/2006/relationships/hyperlink" Target="https://pbs.twimg.com/profile_images/645716711723925506/t5G0qOS6_normal.jpg" TargetMode="External"/><Relationship Id="rId810" Type="http://schemas.openxmlformats.org/officeDocument/2006/relationships/hyperlink" Target="https://twitter.com/QuickFindsIn" TargetMode="External"/><Relationship Id="rId1440" Type="http://schemas.openxmlformats.org/officeDocument/2006/relationships/hyperlink" Target="http://ctrlq.org/maps/address/" TargetMode="External"/><Relationship Id="rId4596" Type="http://schemas.openxmlformats.org/officeDocument/2006/relationships/hyperlink" Target="https://twitter.com/croXXing_IBD" TargetMode="External"/><Relationship Id="rId5647" Type="http://schemas.openxmlformats.org/officeDocument/2006/relationships/hyperlink" Target="https://twitter.com/DosOz42/status/722895501721403392" TargetMode="External"/><Relationship Id="rId3198" Type="http://schemas.openxmlformats.org/officeDocument/2006/relationships/hyperlink" Target="https://pbs.twimg.com/profile_images/2498759633/s9nz1xid3srbfjgqlxq6_normal.jpeg" TargetMode="External"/><Relationship Id="rId4249" Type="http://schemas.openxmlformats.org/officeDocument/2006/relationships/hyperlink" Target="https://twitter.com/INDIZbot/status/722555662954315776" TargetMode="External"/><Relationship Id="rId4663" Type="http://schemas.openxmlformats.org/officeDocument/2006/relationships/hyperlink" Target="https://twitter.com/cemanews/status/722710245265514497" TargetMode="External"/><Relationship Id="rId5714" Type="http://schemas.openxmlformats.org/officeDocument/2006/relationships/hyperlink" Target="https://pbs.twimg.com/profile_images/722962855323119616/Zc0SkLPv_normal.jpg" TargetMode="External"/><Relationship Id="rId8120" Type="http://schemas.openxmlformats.org/officeDocument/2006/relationships/hyperlink" Target="https://twitter.com/AdrianWeiler" TargetMode="External"/><Relationship Id="rId10050" Type="http://schemas.openxmlformats.org/officeDocument/2006/relationships/hyperlink" Target="https://pbs.twimg.com/profile_images/662723326096224256/5V4KH9_O_normal.jpg" TargetMode="External"/><Relationship Id="rId3265" Type="http://schemas.openxmlformats.org/officeDocument/2006/relationships/hyperlink" Target="https://twitter.com/platinn_CH" TargetMode="External"/><Relationship Id="rId4316" Type="http://schemas.openxmlformats.org/officeDocument/2006/relationships/hyperlink" Target="https://pbs.twimg.com/profile_images/560799766007664640/lsjqv0TW_normal.jpeg" TargetMode="External"/><Relationship Id="rId4730" Type="http://schemas.openxmlformats.org/officeDocument/2006/relationships/hyperlink" Target="https://pbs.twimg.com/profile_images/1610234082/jwstwitter_normal.jpg" TargetMode="External"/><Relationship Id="rId7886" Type="http://schemas.openxmlformats.org/officeDocument/2006/relationships/hyperlink" Target="https://twitter.com/sarakarnthi/status/723455195418517504" TargetMode="External"/><Relationship Id="rId8937" Type="http://schemas.openxmlformats.org/officeDocument/2006/relationships/hyperlink" Target="https://pbs.twimg.com/profile_images/601673968551075840/MnulnKkj_normal.png" TargetMode="External"/><Relationship Id="rId186" Type="http://schemas.openxmlformats.org/officeDocument/2006/relationships/hyperlink" Target="https://pbs.twimg.com/profile_images/3726440228/9ba49ccb938cf571b195e3e83a4e1327_normal.jpeg" TargetMode="External"/><Relationship Id="rId2281" Type="http://schemas.openxmlformats.org/officeDocument/2006/relationships/hyperlink" Target="https://twitter.com/UweKubach/status/721978252756193280" TargetMode="External"/><Relationship Id="rId3332" Type="http://schemas.openxmlformats.org/officeDocument/2006/relationships/hyperlink" Target="https://twitter.com/INDIZbot/status/722349603484471297" TargetMode="External"/><Relationship Id="rId6488" Type="http://schemas.openxmlformats.org/officeDocument/2006/relationships/hyperlink" Target="https://twitter.com/critmatrix" TargetMode="External"/><Relationship Id="rId7539" Type="http://schemas.openxmlformats.org/officeDocument/2006/relationships/hyperlink" Target="https://twitter.com/heidelbergmobil" TargetMode="External"/><Relationship Id="rId253" Type="http://schemas.openxmlformats.org/officeDocument/2006/relationships/hyperlink" Target="https://twitter.com/kommoptimierer" TargetMode="External"/><Relationship Id="rId6555" Type="http://schemas.openxmlformats.org/officeDocument/2006/relationships/hyperlink" Target="https://twitter.com/INDIZbot/status/723137364823052289" TargetMode="External"/><Relationship Id="rId7953" Type="http://schemas.openxmlformats.org/officeDocument/2006/relationships/hyperlink" Target="https://twitter.com/IoTMinded/status/723473354234179584" TargetMode="External"/><Relationship Id="rId320" Type="http://schemas.openxmlformats.org/officeDocument/2006/relationships/hyperlink" Target="https://twitter.com/digitale_Konst/status/720549941404442624" TargetMode="External"/><Relationship Id="rId2001" Type="http://schemas.openxmlformats.org/officeDocument/2006/relationships/hyperlink" Target="https://twitter.com/conosco" TargetMode="External"/><Relationship Id="rId5157" Type="http://schemas.openxmlformats.org/officeDocument/2006/relationships/hyperlink" Target="https://pbs.twimg.com/profile_images/314979832/Dialogikon_normal.jpg" TargetMode="External"/><Relationship Id="rId6208" Type="http://schemas.openxmlformats.org/officeDocument/2006/relationships/hyperlink" Target="https://twitter.com/IBM_Insider/status/723088055352086528" TargetMode="External"/><Relationship Id="rId7606" Type="http://schemas.openxmlformats.org/officeDocument/2006/relationships/hyperlink" Target="https://twitter.com/kat2812/status/723417665994252288" TargetMode="External"/><Relationship Id="rId5571" Type="http://schemas.openxmlformats.org/officeDocument/2006/relationships/hyperlink" Target="https://twitter.com/Nicola_Ciensk" TargetMode="External"/><Relationship Id="rId6622" Type="http://schemas.openxmlformats.org/officeDocument/2006/relationships/hyperlink" Target="https://twitter.com/SGE/status/723152094509838336" TargetMode="External"/><Relationship Id="rId9778" Type="http://schemas.openxmlformats.org/officeDocument/2006/relationships/hyperlink" Target="https://twitter.com/Angela_Josephs" TargetMode="External"/><Relationship Id="rId1767" Type="http://schemas.openxmlformats.org/officeDocument/2006/relationships/hyperlink" Target="https://pbs.twimg.com/profile_images/699587498058588160/bU3XuBo9_normal.jpg" TargetMode="External"/><Relationship Id="rId2818" Type="http://schemas.openxmlformats.org/officeDocument/2006/relationships/hyperlink" Target="https://twitter.com/LReehten/status/722133348546670593" TargetMode="External"/><Relationship Id="rId4173" Type="http://schemas.openxmlformats.org/officeDocument/2006/relationships/hyperlink" Target="https://twitter.com/LReehten" TargetMode="External"/><Relationship Id="rId5224" Type="http://schemas.openxmlformats.org/officeDocument/2006/relationships/hyperlink" Target="https://twitter.com/FACTS4WORKERS/status/722770916158124032" TargetMode="External"/><Relationship Id="rId8794" Type="http://schemas.openxmlformats.org/officeDocument/2006/relationships/hyperlink" Target="https://twitter.com/H_IT_D" TargetMode="External"/><Relationship Id="rId9845" Type="http://schemas.openxmlformats.org/officeDocument/2006/relationships/hyperlink" Target="https://twitter.com/MarianKoeller/status/724270498390089728" TargetMode="External"/><Relationship Id="rId59" Type="http://schemas.openxmlformats.org/officeDocument/2006/relationships/hyperlink" Target="https://twitter.com/NeleReimers/status/720505924037828608" TargetMode="External"/><Relationship Id="rId1834" Type="http://schemas.openxmlformats.org/officeDocument/2006/relationships/hyperlink" Target="https://twitter.com/kommoptimierer" TargetMode="External"/><Relationship Id="rId4240" Type="http://schemas.openxmlformats.org/officeDocument/2006/relationships/hyperlink" Target="https://twitter.com/Geschnattere/status/722544918938415104" TargetMode="External"/><Relationship Id="rId7396" Type="http://schemas.openxmlformats.org/officeDocument/2006/relationships/hyperlink" Target="https://pbs.twimg.com/profile_images/701346285345972224/o2eiYGY__normal.jpg" TargetMode="External"/><Relationship Id="rId8447" Type="http://schemas.openxmlformats.org/officeDocument/2006/relationships/hyperlink" Target="https://twitter.com/tomweisz/status/723584217934864384" TargetMode="External"/><Relationship Id="rId8861" Type="http://schemas.openxmlformats.org/officeDocument/2006/relationships/hyperlink" Target="https://twitter.com/siluad/status/723843810040680448" TargetMode="External"/><Relationship Id="rId9912" Type="http://schemas.openxmlformats.org/officeDocument/2006/relationships/hyperlink" Target="https://pbs.twimg.com/profile_images/645716711723925506/t5G0qOS6_normal.jpg" TargetMode="External"/><Relationship Id="rId7049" Type="http://schemas.openxmlformats.org/officeDocument/2006/relationships/hyperlink" Target="https://twitter.com/DanielKueng/status/723249210297073664" TargetMode="External"/><Relationship Id="rId7463" Type="http://schemas.openxmlformats.org/officeDocument/2006/relationships/hyperlink" Target="https://pbs.twimg.com/profile_images/659395378723225600/zdE7dn4F_normal.jpg" TargetMode="External"/><Relationship Id="rId8514" Type="http://schemas.openxmlformats.org/officeDocument/2006/relationships/hyperlink" Target="https://pbs.twimg.com/profile_images/458890407313559552/jLyIiacO_normal.png" TargetMode="External"/><Relationship Id="rId1901" Type="http://schemas.openxmlformats.org/officeDocument/2006/relationships/hyperlink" Target="https://twitter.com/INDIZbot" TargetMode="External"/><Relationship Id="rId3659" Type="http://schemas.openxmlformats.org/officeDocument/2006/relationships/hyperlink" Target="https://twitter.com/bernardgainnier" TargetMode="External"/><Relationship Id="rId6065" Type="http://schemas.openxmlformats.org/officeDocument/2006/relationships/hyperlink" Target="https://twitter.com/Bitkom_I40" TargetMode="External"/><Relationship Id="rId7116" Type="http://schemas.openxmlformats.org/officeDocument/2006/relationships/hyperlink" Target="https://pbs.twimg.com/profile_images/645716711723925506/t5G0qOS6_normal.jpg" TargetMode="External"/><Relationship Id="rId5081" Type="http://schemas.openxmlformats.org/officeDocument/2006/relationships/hyperlink" Target="https://twitter.com/PMBG_biz/status/722755057544990720" TargetMode="External"/><Relationship Id="rId6132" Type="http://schemas.openxmlformats.org/officeDocument/2006/relationships/hyperlink" Target="https://twitter.com/H_IT_D" TargetMode="External"/><Relationship Id="rId7530" Type="http://schemas.openxmlformats.org/officeDocument/2006/relationships/hyperlink" Target="https://twitter.com/CompetitorsNews" TargetMode="External"/><Relationship Id="rId9288" Type="http://schemas.openxmlformats.org/officeDocument/2006/relationships/hyperlink" Target="https://twitter.com/kosubk/status/724127959326531584" TargetMode="External"/><Relationship Id="rId994" Type="http://schemas.openxmlformats.org/officeDocument/2006/relationships/hyperlink" Target="https://twitter.com/sbernhardt" TargetMode="External"/><Relationship Id="rId2675" Type="http://schemas.openxmlformats.org/officeDocument/2006/relationships/hyperlink" Target="https://pbs.twimg.com/profile_images/645716711723925506/t5G0qOS6_normal.jpg" TargetMode="External"/><Relationship Id="rId3726" Type="http://schemas.openxmlformats.org/officeDocument/2006/relationships/hyperlink" Target="https://twitter.com/CapgeminiDE/status/722413372004810753" TargetMode="External"/><Relationship Id="rId647" Type="http://schemas.openxmlformats.org/officeDocument/2006/relationships/hyperlink" Target="https://twitter.com/MichaelleSalmon" TargetMode="External"/><Relationship Id="rId1277" Type="http://schemas.openxmlformats.org/officeDocument/2006/relationships/hyperlink" Target="https://twitter.com/H_IT_D/status/720941165827100672" TargetMode="External"/><Relationship Id="rId1691" Type="http://schemas.openxmlformats.org/officeDocument/2006/relationships/hyperlink" Target="https://twitter.com/QuickFindsIn/status/721279978067734529" TargetMode="External"/><Relationship Id="rId2328" Type="http://schemas.openxmlformats.org/officeDocument/2006/relationships/hyperlink" Target="https://pbs.twimg.com/profile_images/378800000478827263/78f0a3858615937bdc908680bc7b4955_normal.jpeg" TargetMode="External"/><Relationship Id="rId2742" Type="http://schemas.openxmlformats.org/officeDocument/2006/relationships/hyperlink" Target="https://twitter.com/bamitav" TargetMode="External"/><Relationship Id="rId5898" Type="http://schemas.openxmlformats.org/officeDocument/2006/relationships/hyperlink" Target="https://twitter.com/Bitkom/status/723060513177899008" TargetMode="External"/><Relationship Id="rId6949" Type="http://schemas.openxmlformats.org/officeDocument/2006/relationships/hyperlink" Target="https://twitter.com/bamitav" TargetMode="External"/><Relationship Id="rId9355" Type="http://schemas.openxmlformats.org/officeDocument/2006/relationships/hyperlink" Target="https://pbs.twimg.com/profile_images/673122571731251200/Rcblg7bz_normal.png" TargetMode="External"/><Relationship Id="rId714" Type="http://schemas.openxmlformats.org/officeDocument/2006/relationships/hyperlink" Target="https://twitter.com/INDIZbot/status/720685841220255745" TargetMode="External"/><Relationship Id="rId1344" Type="http://schemas.openxmlformats.org/officeDocument/2006/relationships/hyperlink" Target="https://pbs.twimg.com/profile_images/616176072204382208/UYYnn7XY_normal.jpg" TargetMode="External"/><Relationship Id="rId5965" Type="http://schemas.openxmlformats.org/officeDocument/2006/relationships/hyperlink" Target="https://pbs.twimg.com/profile_images/687181037000994816/jJUieqYp_normal.jpg" TargetMode="External"/><Relationship Id="rId8371" Type="http://schemas.openxmlformats.org/officeDocument/2006/relationships/hyperlink" Target="https://twitter.com/boerni_w/status/723547084494897154" TargetMode="External"/><Relationship Id="rId9008" Type="http://schemas.openxmlformats.org/officeDocument/2006/relationships/hyperlink" Target="https://twitter.com/BDWiese/status/723903546375213056" TargetMode="External"/><Relationship Id="rId9422" Type="http://schemas.openxmlformats.org/officeDocument/2006/relationships/hyperlink" Target="https://twitter.com/INDIZbot" TargetMode="External"/><Relationship Id="rId50" Type="http://schemas.openxmlformats.org/officeDocument/2006/relationships/hyperlink" Target="https://twitter.com/Vick0366/status/720504730640850944" TargetMode="External"/><Relationship Id="rId1411" Type="http://schemas.openxmlformats.org/officeDocument/2006/relationships/hyperlink" Target="https://pbs.twimg.com/profile_images/685255985/Bild_2_normal.png" TargetMode="External"/><Relationship Id="rId4567" Type="http://schemas.openxmlformats.org/officeDocument/2006/relationships/hyperlink" Target="https://twitter.com/JoernDettmer83/status/722705270607097856" TargetMode="External"/><Relationship Id="rId5618" Type="http://schemas.openxmlformats.org/officeDocument/2006/relationships/hyperlink" Target="https://pbs.twimg.com/profile_images/645716711723925506/t5G0qOS6_normal.jpg" TargetMode="External"/><Relationship Id="rId8024" Type="http://schemas.openxmlformats.org/officeDocument/2006/relationships/hyperlink" Target="https://twitter.com/INDIZbot" TargetMode="External"/><Relationship Id="rId3169" Type="http://schemas.openxmlformats.org/officeDocument/2006/relationships/hyperlink" Target="https://twitter.com/wirtschaftsrat/status/722318351813500928" TargetMode="External"/><Relationship Id="rId3583" Type="http://schemas.openxmlformats.org/officeDocument/2006/relationships/hyperlink" Target="https://pbs.twimg.com/profile_images/473759721023758338/3CcJL-Vq_normal.jpeg" TargetMode="External"/><Relationship Id="rId4981" Type="http://schemas.openxmlformats.org/officeDocument/2006/relationships/hyperlink" Target="https://twitter.com/EAutoPionier" TargetMode="External"/><Relationship Id="rId7040" Type="http://schemas.openxmlformats.org/officeDocument/2006/relationships/hyperlink" Target="https://twitter.com/catkinEU/status/723244796723093504" TargetMode="External"/><Relationship Id="rId10021" Type="http://schemas.openxmlformats.org/officeDocument/2006/relationships/hyperlink" Target="https://twitter.com/tobias_goers" TargetMode="External"/><Relationship Id="rId2185" Type="http://schemas.openxmlformats.org/officeDocument/2006/relationships/hyperlink" Target="https://twitter.com/INDIZbot" TargetMode="External"/><Relationship Id="rId3236" Type="http://schemas.openxmlformats.org/officeDocument/2006/relationships/hyperlink" Target="https://twitter.com/MarcLuegger/status/722327093372141569" TargetMode="External"/><Relationship Id="rId4634" Type="http://schemas.openxmlformats.org/officeDocument/2006/relationships/hyperlink" Target="https://pbs.twimg.com/profile_images/672817485134045185/q-VTXmOg_normal.jpg" TargetMode="External"/><Relationship Id="rId157" Type="http://schemas.openxmlformats.org/officeDocument/2006/relationships/hyperlink" Target="https://twitter.com/Johan__LB" TargetMode="External"/><Relationship Id="rId3650" Type="http://schemas.openxmlformats.org/officeDocument/2006/relationships/hyperlink" Target="https://twitter.com/INDIZbot" TargetMode="External"/><Relationship Id="rId4701" Type="http://schemas.openxmlformats.org/officeDocument/2006/relationships/hyperlink" Target="https://twitter.com/brill_stefan" TargetMode="External"/><Relationship Id="rId7857" Type="http://schemas.openxmlformats.org/officeDocument/2006/relationships/hyperlink" Target="https://pbs.twimg.com/profile_images/662594293601861632/mDG9DdcZ_normal.jpg" TargetMode="External"/><Relationship Id="rId8908" Type="http://schemas.openxmlformats.org/officeDocument/2006/relationships/hyperlink" Target="https://twitter.com/CapgeminiDE" TargetMode="External"/><Relationship Id="rId571" Type="http://schemas.openxmlformats.org/officeDocument/2006/relationships/hyperlink" Target="https://pbs.twimg.com/profile_images/470922785649209346/cy96pZaI_normal.jpeg" TargetMode="External"/><Relationship Id="rId2252" Type="http://schemas.openxmlformats.org/officeDocument/2006/relationships/hyperlink" Target="https://twitter.com/FranBlanSAP/status/721970936271020032" TargetMode="External"/><Relationship Id="rId3303" Type="http://schemas.openxmlformats.org/officeDocument/2006/relationships/hyperlink" Target="https://pbs.twimg.com/profile_images/560799766007664640/lsjqv0TW_normal.jpeg" TargetMode="External"/><Relationship Id="rId6459" Type="http://schemas.openxmlformats.org/officeDocument/2006/relationships/hyperlink" Target="https://twitter.com/BeniSeiler/status/723129983745593344" TargetMode="External"/><Relationship Id="rId6873" Type="http://schemas.openxmlformats.org/officeDocument/2006/relationships/hyperlink" Target="https://pbs.twimg.com/profile_images/651721786044850176/Q6lDeqrV_normal.jpg" TargetMode="External"/><Relationship Id="rId7924" Type="http://schemas.openxmlformats.org/officeDocument/2006/relationships/hyperlink" Target="https://twitter.com/INDIZbot" TargetMode="External"/><Relationship Id="rId224" Type="http://schemas.openxmlformats.org/officeDocument/2006/relationships/hyperlink" Target="https://twitter.com/Aurelien_T_K/status/720535105719123968" TargetMode="External"/><Relationship Id="rId5475" Type="http://schemas.openxmlformats.org/officeDocument/2006/relationships/hyperlink" Target="https://twitter.com/Global_Fairs" TargetMode="External"/><Relationship Id="rId6526" Type="http://schemas.openxmlformats.org/officeDocument/2006/relationships/hyperlink" Target="https://pbs.twimg.com/profile_images/645716711723925506/t5G0qOS6_normal.jpg" TargetMode="External"/><Relationship Id="rId6940" Type="http://schemas.openxmlformats.org/officeDocument/2006/relationships/hyperlink" Target="https://twitter.com/greiten" TargetMode="External"/><Relationship Id="rId4077" Type="http://schemas.openxmlformats.org/officeDocument/2006/relationships/hyperlink" Target="https://twitter.com/INDIZbot" TargetMode="External"/><Relationship Id="rId4491" Type="http://schemas.openxmlformats.org/officeDocument/2006/relationships/hyperlink" Target="https://twitter.com/thilodotzel/status/722699333284589568" TargetMode="External"/><Relationship Id="rId5128" Type="http://schemas.openxmlformats.org/officeDocument/2006/relationships/hyperlink" Target="https://twitter.com/ahk_frankreich" TargetMode="External"/><Relationship Id="rId5542" Type="http://schemas.openxmlformats.org/officeDocument/2006/relationships/hyperlink" Target="https://twitter.com/SiemensSensors/status/722841306834300928" TargetMode="External"/><Relationship Id="rId8698" Type="http://schemas.openxmlformats.org/officeDocument/2006/relationships/hyperlink" Target="https://twitter.com/MatthesDerdack" TargetMode="External"/><Relationship Id="rId9749" Type="http://schemas.openxmlformats.org/officeDocument/2006/relationships/hyperlink" Target="https://pbs.twimg.com/profile_images/507173330248400896/2G4YgdTe_normal.jpeg" TargetMode="External"/><Relationship Id="rId1738" Type="http://schemas.openxmlformats.org/officeDocument/2006/relationships/hyperlink" Target="https://twitter.com/Tiba_Schweiz" TargetMode="External"/><Relationship Id="rId3093" Type="http://schemas.openxmlformats.org/officeDocument/2006/relationships/hyperlink" Target="https://twitter.com/ScopeOnline" TargetMode="External"/><Relationship Id="rId4144" Type="http://schemas.openxmlformats.org/officeDocument/2006/relationships/hyperlink" Target="https://twitter.com/LReehten/status/722512910325575680" TargetMode="External"/><Relationship Id="rId8765" Type="http://schemas.openxmlformats.org/officeDocument/2006/relationships/hyperlink" Target="https://twitter.com/edmundkomar/status/723808053838135296" TargetMode="External"/><Relationship Id="rId3160" Type="http://schemas.openxmlformats.org/officeDocument/2006/relationships/hyperlink" Target="https://twitter.com/idl_social/status/722316433674354692" TargetMode="External"/><Relationship Id="rId4211" Type="http://schemas.openxmlformats.org/officeDocument/2006/relationships/hyperlink" Target="https://pbs.twimg.com/profile_images/645716711723925506/t5G0qOS6_normal.jpg" TargetMode="External"/><Relationship Id="rId7367" Type="http://schemas.openxmlformats.org/officeDocument/2006/relationships/hyperlink" Target="https://twitter.com/FreudenbergITde" TargetMode="External"/><Relationship Id="rId8418" Type="http://schemas.openxmlformats.org/officeDocument/2006/relationships/hyperlink" Target="https://pbs.twimg.com/profile_images/588196149665865728/jmm9bQ6G_normal.jpg" TargetMode="External"/><Relationship Id="rId9816" Type="http://schemas.openxmlformats.org/officeDocument/2006/relationships/hyperlink" Target="https://pbs.twimg.com/profile_images/695227740136587265/5eHVsAlx_normal.png" TargetMode="External"/><Relationship Id="rId1805" Type="http://schemas.openxmlformats.org/officeDocument/2006/relationships/hyperlink" Target="https://twitter.com/_lfactory/status/721403907126259712" TargetMode="External"/><Relationship Id="rId7781" Type="http://schemas.openxmlformats.org/officeDocument/2006/relationships/hyperlink" Target="https://pbs.twimg.com/profile_images/723412380474957825/5UsyKqto_normal.jpg" TargetMode="External"/><Relationship Id="rId8832" Type="http://schemas.openxmlformats.org/officeDocument/2006/relationships/hyperlink" Target="https://pbs.twimg.com/profile_images/473759721023758338/3CcJL-Vq_normal.jpeg" TargetMode="External"/><Relationship Id="rId10348" Type="http://schemas.openxmlformats.org/officeDocument/2006/relationships/hyperlink" Target="https://twitter.com/MartinGaedt" TargetMode="External"/><Relationship Id="rId3977" Type="http://schemas.openxmlformats.org/officeDocument/2006/relationships/hyperlink" Target="https://twitter.com/Rhenatic" TargetMode="External"/><Relationship Id="rId6036" Type="http://schemas.openxmlformats.org/officeDocument/2006/relationships/hyperlink" Target="https://twitter.com/EKlingenburg/status/723072618316873728" TargetMode="External"/><Relationship Id="rId6383" Type="http://schemas.openxmlformats.org/officeDocument/2006/relationships/hyperlink" Target="https://twitter.com/SGE" TargetMode="External"/><Relationship Id="rId7434" Type="http://schemas.openxmlformats.org/officeDocument/2006/relationships/hyperlink" Target="https://twitter.com/VDMAonline/status/723406068676591616" TargetMode="External"/><Relationship Id="rId898" Type="http://schemas.openxmlformats.org/officeDocument/2006/relationships/hyperlink" Target="https://twitter.com/TopsRP/status/720860707080654849" TargetMode="External"/><Relationship Id="rId2579" Type="http://schemas.openxmlformats.org/officeDocument/2006/relationships/hyperlink" Target="https://twitter.com/INDIZbot/status/722062859438579713" TargetMode="External"/><Relationship Id="rId2993" Type="http://schemas.openxmlformats.org/officeDocument/2006/relationships/hyperlink" Target="https://twitter.com/freewavetech" TargetMode="External"/><Relationship Id="rId6450" Type="http://schemas.openxmlformats.org/officeDocument/2006/relationships/hyperlink" Target="https://twitter.com/Groeneme/status/723128488148889603" TargetMode="External"/><Relationship Id="rId7501" Type="http://schemas.openxmlformats.org/officeDocument/2006/relationships/hyperlink" Target="https://twitter.com/Fraunhofer_IPA/status/723410755266080769" TargetMode="External"/><Relationship Id="rId965" Type="http://schemas.openxmlformats.org/officeDocument/2006/relationships/hyperlink" Target="https://twitter.com/VDI_Tagungen/status/720876965255753728" TargetMode="External"/><Relationship Id="rId1595" Type="http://schemas.openxmlformats.org/officeDocument/2006/relationships/hyperlink" Target="https://twitter.com/INDIZbot/status/721234738967678976" TargetMode="External"/><Relationship Id="rId2646" Type="http://schemas.openxmlformats.org/officeDocument/2006/relationships/hyperlink" Target="http://ideenwerkbw.de/" TargetMode="External"/><Relationship Id="rId5052" Type="http://schemas.openxmlformats.org/officeDocument/2006/relationships/hyperlink" Target="https://pbs.twimg.com/profile_images/604338428227010560/6jzSa8us_normal.png" TargetMode="External"/><Relationship Id="rId6103" Type="http://schemas.openxmlformats.org/officeDocument/2006/relationships/hyperlink" Target="https://pbs.twimg.com/profile_images/645716711723925506/t5G0qOS6_normal.jpg" TargetMode="External"/><Relationship Id="rId9259" Type="http://schemas.openxmlformats.org/officeDocument/2006/relationships/hyperlink" Target="https://pbs.twimg.com/profile_images/591951396217327616/HbcCX2zX_normal.png" TargetMode="External"/><Relationship Id="rId9673" Type="http://schemas.openxmlformats.org/officeDocument/2006/relationships/hyperlink" Target="https://pbs.twimg.com/profile_images/723598030331482113/0moddKXe_normal.jpg" TargetMode="External"/><Relationship Id="rId618" Type="http://schemas.openxmlformats.org/officeDocument/2006/relationships/hyperlink" Target="https://twitter.com/neoAddons/status/720636857915154432" TargetMode="External"/><Relationship Id="rId1248" Type="http://schemas.openxmlformats.org/officeDocument/2006/relationships/hyperlink" Target="https://pbs.twimg.com/profile_images/645716711723925506/t5G0qOS6_normal.jpg" TargetMode="External"/><Relationship Id="rId1662" Type="http://schemas.openxmlformats.org/officeDocument/2006/relationships/hyperlink" Target="https://pbs.twimg.com/profile_images/548030384030507008/utABqhj9_normal.png" TargetMode="External"/><Relationship Id="rId5869" Type="http://schemas.openxmlformats.org/officeDocument/2006/relationships/hyperlink" Target="https://pbs.twimg.com/profile_images/3542998130/5e65449daa56d18e9aab7f6535dc25fc_normal.jpeg" TargetMode="External"/><Relationship Id="rId8275" Type="http://schemas.openxmlformats.org/officeDocument/2006/relationships/hyperlink" Target="https://twitter.com/WSWMUC/status/723525215276376065" TargetMode="External"/><Relationship Id="rId9326" Type="http://schemas.openxmlformats.org/officeDocument/2006/relationships/hyperlink" Target="https://twitter.com/reanvent" TargetMode="External"/><Relationship Id="rId1315" Type="http://schemas.openxmlformats.org/officeDocument/2006/relationships/hyperlink" Target="https://twitter.com/Apandia" TargetMode="External"/><Relationship Id="rId2713" Type="http://schemas.openxmlformats.org/officeDocument/2006/relationships/hyperlink" Target="https://twitter.com/INDIZbot/status/722097651022458880" TargetMode="External"/><Relationship Id="rId7291" Type="http://schemas.openxmlformats.org/officeDocument/2006/relationships/hyperlink" Target="https://twitter.com/IoTMinded" TargetMode="External"/><Relationship Id="rId8342" Type="http://schemas.openxmlformats.org/officeDocument/2006/relationships/hyperlink" Target="https://pbs.twimg.com/profile_images/645716711723925506/t5G0qOS6_normal.jpg" TargetMode="External"/><Relationship Id="rId9740" Type="http://schemas.openxmlformats.org/officeDocument/2006/relationships/hyperlink" Target="https://pbs.twimg.com/profile_images/722046888816414721/6ATUmhSW_normal.jpg" TargetMode="External"/><Relationship Id="rId4885" Type="http://schemas.openxmlformats.org/officeDocument/2006/relationships/hyperlink" Target="https://twitter.com/kybernesis/status/722731121876803584" TargetMode="External"/><Relationship Id="rId5936" Type="http://schemas.openxmlformats.org/officeDocument/2006/relationships/hyperlink" Target="https://twitter.com/BStBKaktuell" TargetMode="External"/><Relationship Id="rId10272" Type="http://schemas.openxmlformats.org/officeDocument/2006/relationships/hyperlink" Target="https://pbs.twimg.com/profile_images/645716711723925506/t5G0qOS6_normal.jpg" TargetMode="External"/><Relationship Id="rId21" Type="http://schemas.openxmlformats.org/officeDocument/2006/relationships/hyperlink" Target="https://pbs.twimg.com/profile_images/718388227015581696/UIsgPilR_normal.jpg" TargetMode="External"/><Relationship Id="rId2089" Type="http://schemas.openxmlformats.org/officeDocument/2006/relationships/hyperlink" Target="https://twitter.com/QuickFindsIn/status/721926237849911297" TargetMode="External"/><Relationship Id="rId3487" Type="http://schemas.openxmlformats.org/officeDocument/2006/relationships/hyperlink" Target="https://pbs.twimg.com/profile_images/613297671202336768/pCZDZDxM_normal.jpg" TargetMode="External"/><Relationship Id="rId4538" Type="http://schemas.openxmlformats.org/officeDocument/2006/relationships/hyperlink" Target="https://pbs.twimg.com/profile_images/378800000104294821/5a742075b9441c9de8a86c75a712b0c7_normal.png" TargetMode="External"/><Relationship Id="rId4952" Type="http://schemas.openxmlformats.org/officeDocument/2006/relationships/hyperlink" Target="https://pbs.twimg.com/profile_images/618449316055748612/F_9LrZDf_normal.jpg" TargetMode="External"/><Relationship Id="rId3554" Type="http://schemas.openxmlformats.org/officeDocument/2006/relationships/hyperlink" Target="https://twitter.com/QuickFindsIn" TargetMode="External"/><Relationship Id="rId4605" Type="http://schemas.openxmlformats.org/officeDocument/2006/relationships/hyperlink" Target="https://twitter.com/DKEAktuell" TargetMode="External"/><Relationship Id="rId7011" Type="http://schemas.openxmlformats.org/officeDocument/2006/relationships/hyperlink" Target="https://pbs.twimg.com/profile_images/510826287565254657/THA4WDGZ_normal.jpeg" TargetMode="External"/><Relationship Id="rId475" Type="http://schemas.openxmlformats.org/officeDocument/2006/relationships/hyperlink" Target="https://pbs.twimg.com/profile_images/645716711723925506/t5G0qOS6_normal.jpg" TargetMode="External"/><Relationship Id="rId2156" Type="http://schemas.openxmlformats.org/officeDocument/2006/relationships/hyperlink" Target="https://twitter.com/kommoptimierer/status/721951442978893824" TargetMode="External"/><Relationship Id="rId2570" Type="http://schemas.openxmlformats.org/officeDocument/2006/relationships/hyperlink" Target="https://pbs.twimg.com/profile_images/594934750122536960/nG4kmfDF_normal.jpg" TargetMode="External"/><Relationship Id="rId3207" Type="http://schemas.openxmlformats.org/officeDocument/2006/relationships/hyperlink" Target="https://pbs.twimg.com/profile_images/486776995544444929/4cYg4t3a_normal.jpeg" TargetMode="External"/><Relationship Id="rId3621" Type="http://schemas.openxmlformats.org/officeDocument/2006/relationships/hyperlink" Target="https://twitter.com/turenne1611/status/722385373113004037" TargetMode="External"/><Relationship Id="rId6777" Type="http://schemas.openxmlformats.org/officeDocument/2006/relationships/hyperlink" Target="https://pbs.twimg.com/profile_images/1638383984/bdotwitter_normal.JPG" TargetMode="External"/><Relationship Id="rId7828" Type="http://schemas.openxmlformats.org/officeDocument/2006/relationships/hyperlink" Target="https://twitter.com/ManutelligH2020" TargetMode="External"/><Relationship Id="rId9183" Type="http://schemas.openxmlformats.org/officeDocument/2006/relationships/hyperlink" Target="https://twitter.com/changetokaizen/status/723968911994183681" TargetMode="External"/><Relationship Id="rId128" Type="http://schemas.openxmlformats.org/officeDocument/2006/relationships/hyperlink" Target="https://twitter.com/iotsecurity2/status/720515351256162304" TargetMode="External"/><Relationship Id="rId542" Type="http://schemas.openxmlformats.org/officeDocument/2006/relationships/hyperlink" Target="https://twitter.com/SchuermannChris" TargetMode="External"/><Relationship Id="rId1172" Type="http://schemas.openxmlformats.org/officeDocument/2006/relationships/hyperlink" Target="https://twitter.com/HeikeFiedlerPhe/status/720912577220505601" TargetMode="External"/><Relationship Id="rId2223" Type="http://schemas.openxmlformats.org/officeDocument/2006/relationships/hyperlink" Target="https://pbs.twimg.com/profile_images/510721015945498624/1UpjmZMi_normal.jpeg" TargetMode="External"/><Relationship Id="rId5379" Type="http://schemas.openxmlformats.org/officeDocument/2006/relationships/hyperlink" Target="https://twitter.com/INDIZbot/status/722797257825906691" TargetMode="External"/><Relationship Id="rId5793" Type="http://schemas.openxmlformats.org/officeDocument/2006/relationships/hyperlink" Target="https://twitter.com/Gesamtmetall" TargetMode="External"/><Relationship Id="rId6844" Type="http://schemas.openxmlformats.org/officeDocument/2006/relationships/hyperlink" Target="https://twitter.com/MobilExperten" TargetMode="External"/><Relationship Id="rId9250" Type="http://schemas.openxmlformats.org/officeDocument/2006/relationships/hyperlink" Target="https://pbs.twimg.com/profile_images/716042512972918784/tuj4bcDD_normal.jpg" TargetMode="External"/><Relationship Id="rId4395" Type="http://schemas.openxmlformats.org/officeDocument/2006/relationships/hyperlink" Target="https://twitter.com/DeFrEnTck" TargetMode="External"/><Relationship Id="rId5446" Type="http://schemas.openxmlformats.org/officeDocument/2006/relationships/hyperlink" Target="https://twitter.com/QuickFindsIn/status/722805024435245056" TargetMode="External"/><Relationship Id="rId1989" Type="http://schemas.openxmlformats.org/officeDocument/2006/relationships/hyperlink" Target="https://twitter.com/Mario_Trapp" TargetMode="External"/><Relationship Id="rId4048" Type="http://schemas.openxmlformats.org/officeDocument/2006/relationships/hyperlink" Target="https://pbs.twimg.com/profile_images/645716711723925506/t5G0qOS6_normal.jpg" TargetMode="External"/><Relationship Id="rId5860" Type="http://schemas.openxmlformats.org/officeDocument/2006/relationships/hyperlink" Target="https://pbs.twimg.com/profile_images/699912588302426112/2kZQzAuA_normal.jpg" TargetMode="External"/><Relationship Id="rId6911" Type="http://schemas.openxmlformats.org/officeDocument/2006/relationships/hyperlink" Target="https://twitter.com/DIGITUSmagazin/status/723189919338795008" TargetMode="External"/><Relationship Id="rId3064" Type="http://schemas.openxmlformats.org/officeDocument/2006/relationships/hyperlink" Target="https://twitter.com/EelcoKaper/status/722309175502618624" TargetMode="External"/><Relationship Id="rId4462" Type="http://schemas.openxmlformats.org/officeDocument/2006/relationships/hyperlink" Target="https://twitter.com/Alex_Stocker" TargetMode="External"/><Relationship Id="rId5513" Type="http://schemas.openxmlformats.org/officeDocument/2006/relationships/hyperlink" Target="https://pbs.twimg.com/profile_images/645716711723925506/t5G0qOS6_normal.jpg" TargetMode="External"/><Relationship Id="rId8669" Type="http://schemas.openxmlformats.org/officeDocument/2006/relationships/hyperlink" Target="https://twitter.com/markus_boehm_/status/723782761069289473" TargetMode="External"/><Relationship Id="rId1709" Type="http://schemas.openxmlformats.org/officeDocument/2006/relationships/hyperlink" Target="https://twitter.com/CompTIA_DACH/status/721319495739039744" TargetMode="External"/><Relationship Id="rId4115" Type="http://schemas.openxmlformats.org/officeDocument/2006/relationships/hyperlink" Target="https://pbs.twimg.com/profile_images/645716711723925506/t5G0qOS6_normal.jpg" TargetMode="External"/><Relationship Id="rId7685" Type="http://schemas.openxmlformats.org/officeDocument/2006/relationships/hyperlink" Target="https://abs.twimg.com/sticky/default_profile_images/default_profile_3_normal.png" TargetMode="External"/><Relationship Id="rId8736" Type="http://schemas.openxmlformats.org/officeDocument/2006/relationships/hyperlink" Target="https://pbs.twimg.com/profile_images/720569233697017856/YKCnSitZ_normal.jpg" TargetMode="External"/><Relationship Id="rId2080" Type="http://schemas.openxmlformats.org/officeDocument/2006/relationships/hyperlink" Target="https://twitter.com/acfredenucci/status/721830508649390080" TargetMode="External"/><Relationship Id="rId3131" Type="http://schemas.openxmlformats.org/officeDocument/2006/relationships/hyperlink" Target="https://pbs.twimg.com/profile_images/623849156159868928/BetFDR_i_normal.jpg" TargetMode="External"/><Relationship Id="rId6287" Type="http://schemas.openxmlformats.org/officeDocument/2006/relationships/hyperlink" Target="https://twitter.com/AltimFrance" TargetMode="External"/><Relationship Id="rId7338" Type="http://schemas.openxmlformats.org/officeDocument/2006/relationships/hyperlink" Target="https://twitter.com/sandimschuh/status/723400916217397248" TargetMode="External"/><Relationship Id="rId7752" Type="http://schemas.openxmlformats.org/officeDocument/2006/relationships/hyperlink" Target="https://twitter.com/LNI40" TargetMode="External"/><Relationship Id="rId8803" Type="http://schemas.openxmlformats.org/officeDocument/2006/relationships/hyperlink" Target="https://twitter.com/Hallaschka_HH" TargetMode="External"/><Relationship Id="rId10319" Type="http://schemas.openxmlformats.org/officeDocument/2006/relationships/hyperlink" Target="https://twitter.com/hjvsch/status/724463870178414592" TargetMode="External"/><Relationship Id="rId2897" Type="http://schemas.openxmlformats.org/officeDocument/2006/relationships/hyperlink" Target="https://twitter.com/INDIZbot" TargetMode="External"/><Relationship Id="rId3948" Type="http://schemas.openxmlformats.org/officeDocument/2006/relationships/hyperlink" Target="https://twitter.com/LudovicDruelle/status/722460736727990272" TargetMode="External"/><Relationship Id="rId6354" Type="http://schemas.openxmlformats.org/officeDocument/2006/relationships/hyperlink" Target="https://pbs.twimg.com/profile_images/662199310969360384/A66r-VNa_normal.jpg" TargetMode="External"/><Relationship Id="rId7405" Type="http://schemas.openxmlformats.org/officeDocument/2006/relationships/hyperlink" Target="https://pbs.twimg.com/profile_images/709444980553740288/Xds-Aan6_normal.jpg" TargetMode="External"/><Relationship Id="rId869" Type="http://schemas.openxmlformats.org/officeDocument/2006/relationships/hyperlink" Target="https://pbs.twimg.com/profile_images/670963753677029376/auLx_NC4_normal.jpg" TargetMode="External"/><Relationship Id="rId1499" Type="http://schemas.openxmlformats.org/officeDocument/2006/relationships/hyperlink" Target="https://twitter.com/tomov_eu/status/721036941471412224" TargetMode="External"/><Relationship Id="rId5370" Type="http://schemas.openxmlformats.org/officeDocument/2006/relationships/hyperlink" Target="https://twitter.com/AccenturePresse/status/722796229890043904" TargetMode="External"/><Relationship Id="rId6007" Type="http://schemas.openxmlformats.org/officeDocument/2006/relationships/hyperlink" Target="https://pbs.twimg.com/profile_images/471312276767535104/TIanhngf_normal.jpeg" TargetMode="External"/><Relationship Id="rId6421" Type="http://schemas.openxmlformats.org/officeDocument/2006/relationships/hyperlink" Target="https://pbs.twimg.com/profile_images/663668561366245376/2ovYiiJf_normal.jpg" TargetMode="External"/><Relationship Id="rId9577" Type="http://schemas.openxmlformats.org/officeDocument/2006/relationships/hyperlink" Target="https://pbs.twimg.com/profile_images/459419068546564097/es5HC_rO_normal.png" TargetMode="External"/><Relationship Id="rId2964" Type="http://schemas.openxmlformats.org/officeDocument/2006/relationships/hyperlink" Target="https://twitter.com/INDIZbot/status/722220964428279808" TargetMode="External"/><Relationship Id="rId5023" Type="http://schemas.openxmlformats.org/officeDocument/2006/relationships/hyperlink" Target="https://twitter.com/INDIZbot" TargetMode="External"/><Relationship Id="rId8179" Type="http://schemas.openxmlformats.org/officeDocument/2006/relationships/hyperlink" Target="https://pbs.twimg.com/profile_images/707638570073374720/FcG2ig2h_normal.jpg" TargetMode="External"/><Relationship Id="rId9991" Type="http://schemas.openxmlformats.org/officeDocument/2006/relationships/hyperlink" Target="https://twitter.com/ckoptimal1" TargetMode="External"/><Relationship Id="rId936" Type="http://schemas.openxmlformats.org/officeDocument/2006/relationships/hyperlink" Target="https://twitter.com/cnavi" TargetMode="External"/><Relationship Id="rId1219" Type="http://schemas.openxmlformats.org/officeDocument/2006/relationships/hyperlink" Target="https://twitter.com/Endress_Hauser" TargetMode="External"/><Relationship Id="rId1566" Type="http://schemas.openxmlformats.org/officeDocument/2006/relationships/hyperlink" Target="https://pbs.twimg.com/profile_images/692817171999801344/sjvX94s4_normal.jpg" TargetMode="External"/><Relationship Id="rId1980" Type="http://schemas.openxmlformats.org/officeDocument/2006/relationships/hyperlink" Target="https://twitter.com/INDIZbot" TargetMode="External"/><Relationship Id="rId2617" Type="http://schemas.openxmlformats.org/officeDocument/2006/relationships/hyperlink" Target="https://twitter.com/Bitkom" TargetMode="External"/><Relationship Id="rId7195" Type="http://schemas.openxmlformats.org/officeDocument/2006/relationships/hyperlink" Target="https://twitter.com/neerajdeuskar79" TargetMode="External"/><Relationship Id="rId8246" Type="http://schemas.openxmlformats.org/officeDocument/2006/relationships/hyperlink" Target="https://pbs.twimg.com/profile_images/684349225598074880/c-Y1H7C-_normal.jpg" TargetMode="External"/><Relationship Id="rId8593" Type="http://schemas.openxmlformats.org/officeDocument/2006/relationships/hyperlink" Target="https://twitter.com/ROKAutomationAT" TargetMode="External"/><Relationship Id="rId9644" Type="http://schemas.openxmlformats.org/officeDocument/2006/relationships/hyperlink" Target="https://twitter.com/VDMAonline" TargetMode="External"/><Relationship Id="rId1633" Type="http://schemas.openxmlformats.org/officeDocument/2006/relationships/hyperlink" Target="https://twitter.com/weiterdenker" TargetMode="External"/><Relationship Id="rId4789" Type="http://schemas.openxmlformats.org/officeDocument/2006/relationships/hyperlink" Target="https://twitter.com/NeleReimers/status/722719133733908481" TargetMode="External"/><Relationship Id="rId8660" Type="http://schemas.openxmlformats.org/officeDocument/2006/relationships/hyperlink" Target="https://twitter.com/BOLDLYGO_FFM/status/723780147153899520" TargetMode="External"/><Relationship Id="rId9711" Type="http://schemas.openxmlformats.org/officeDocument/2006/relationships/hyperlink" Target="https://twitter.com/OOgbukagu/status/724234212728016896" TargetMode="External"/><Relationship Id="rId10176" Type="http://schemas.openxmlformats.org/officeDocument/2006/relationships/hyperlink" Target="https://pbs.twimg.com/profile_images/455629070454116352/ujZ3h7Ww_normal.png" TargetMode="External"/><Relationship Id="rId1700" Type="http://schemas.openxmlformats.org/officeDocument/2006/relationships/hyperlink" Target="https://twitter.com/INDIZbot/status/721290165294100480" TargetMode="External"/><Relationship Id="rId4856" Type="http://schemas.openxmlformats.org/officeDocument/2006/relationships/hyperlink" Target="https://pbs.twimg.com/profile_images/716046724981202946/KVuskSZN_normal.jpg" TargetMode="External"/><Relationship Id="rId5907" Type="http://schemas.openxmlformats.org/officeDocument/2006/relationships/hyperlink" Target="https://twitter.com/BakerMcGER/status/723060846658613248" TargetMode="External"/><Relationship Id="rId7262" Type="http://schemas.openxmlformats.org/officeDocument/2006/relationships/hyperlink" Target="https://twitter.com/INDIZbot/status/723388909141381121" TargetMode="External"/><Relationship Id="rId8313" Type="http://schemas.openxmlformats.org/officeDocument/2006/relationships/hyperlink" Target="https://twitter.com/INDIZbot" TargetMode="External"/><Relationship Id="rId10243" Type="http://schemas.openxmlformats.org/officeDocument/2006/relationships/hyperlink" Target="https://twitter.com/kirstywilkinson" TargetMode="External"/><Relationship Id="rId3458" Type="http://schemas.openxmlformats.org/officeDocument/2006/relationships/hyperlink" Target="https://twitter.com/aymard_tw" TargetMode="External"/><Relationship Id="rId3872" Type="http://schemas.openxmlformats.org/officeDocument/2006/relationships/hyperlink" Target="https://twitter.com/hannover_messe" TargetMode="External"/><Relationship Id="rId4509" Type="http://schemas.openxmlformats.org/officeDocument/2006/relationships/hyperlink" Target="https://twitter.com/tobias_goers" TargetMode="External"/><Relationship Id="rId10310" Type="http://schemas.openxmlformats.org/officeDocument/2006/relationships/hyperlink" Target="https://twitter.com/Ahmed_Adel/status/724460316038434818" TargetMode="External"/><Relationship Id="rId379" Type="http://schemas.openxmlformats.org/officeDocument/2006/relationships/hyperlink" Target="https://twitter.com/CapgeminiDE" TargetMode="External"/><Relationship Id="rId793" Type="http://schemas.openxmlformats.org/officeDocument/2006/relationships/hyperlink" Target="https://pbs.twimg.com/profile_images/578308237197488128/jHoPuLF7_normal.jpeg" TargetMode="External"/><Relationship Id="rId2474" Type="http://schemas.openxmlformats.org/officeDocument/2006/relationships/hyperlink" Target="https://twitter.com/mediengerecht/status/722041387710066688" TargetMode="External"/><Relationship Id="rId3525" Type="http://schemas.openxmlformats.org/officeDocument/2006/relationships/hyperlink" Target="https://twitter.com/DEZblog/status/722371771723341825" TargetMode="External"/><Relationship Id="rId4923" Type="http://schemas.openxmlformats.org/officeDocument/2006/relationships/hyperlink" Target="https://twitter.com/mschottenhammer" TargetMode="External"/><Relationship Id="rId9087" Type="http://schemas.openxmlformats.org/officeDocument/2006/relationships/hyperlink" Target="https://twitter.com/RolandBent/status/723938660098387968" TargetMode="External"/><Relationship Id="rId446" Type="http://schemas.openxmlformats.org/officeDocument/2006/relationships/hyperlink" Target="https://twitter.com/H_IT_D/status/720595120773406720" TargetMode="External"/><Relationship Id="rId1076" Type="http://schemas.openxmlformats.org/officeDocument/2006/relationships/hyperlink" Target="https://twitter.com/KunststoffeDE/status/720898726986924032" TargetMode="External"/><Relationship Id="rId1490" Type="http://schemas.openxmlformats.org/officeDocument/2006/relationships/hyperlink" Target="https://twitter.com/batix/status/721034156600397824" TargetMode="External"/><Relationship Id="rId2127" Type="http://schemas.openxmlformats.org/officeDocument/2006/relationships/hyperlink" Target="https://pbs.twimg.com/profile_images/719538951988592641/7lKnB2dG_normal.jpg" TargetMode="External"/><Relationship Id="rId9154" Type="http://schemas.openxmlformats.org/officeDocument/2006/relationships/hyperlink" Target="https://pbs.twimg.com/profile_images/588196149665865728/jmm9bQ6G_normal.jpg" TargetMode="External"/><Relationship Id="rId860" Type="http://schemas.openxmlformats.org/officeDocument/2006/relationships/hyperlink" Target="https://pbs.twimg.com/profile_images/712549274660298752/BZvASwsz_normal.jpg" TargetMode="External"/><Relationship Id="rId1143" Type="http://schemas.openxmlformats.org/officeDocument/2006/relationships/hyperlink" Target="https://pbs.twimg.com/profile_images/618449316055748612/F_9LrZDf_normal.jpg" TargetMode="External"/><Relationship Id="rId2541" Type="http://schemas.openxmlformats.org/officeDocument/2006/relationships/hyperlink" Target="https://twitter.com/KaiKeppner" TargetMode="External"/><Relationship Id="rId4299" Type="http://schemas.openxmlformats.org/officeDocument/2006/relationships/hyperlink" Target="https://twitter.com/ROKAutomationDE" TargetMode="External"/><Relationship Id="rId5697" Type="http://schemas.openxmlformats.org/officeDocument/2006/relationships/hyperlink" Target="https://twitter.com/MelanieVogel_" TargetMode="External"/><Relationship Id="rId6748" Type="http://schemas.openxmlformats.org/officeDocument/2006/relationships/hyperlink" Target="https://twitter.com/DominikBuergi" TargetMode="External"/><Relationship Id="rId8170" Type="http://schemas.openxmlformats.org/officeDocument/2006/relationships/hyperlink" Target="https://pbs.twimg.com/profile_images/693009707628244992/jiyXFGci_normal.jpg" TargetMode="External"/><Relationship Id="rId513" Type="http://schemas.openxmlformats.org/officeDocument/2006/relationships/hyperlink" Target="https://twitter.com/Tim_Caesar/status/720613072591839232" TargetMode="External"/><Relationship Id="rId5764" Type="http://schemas.openxmlformats.org/officeDocument/2006/relationships/hyperlink" Target="https://twitter.com/UL_Commercial/status/723030511514345472" TargetMode="External"/><Relationship Id="rId6815" Type="http://schemas.openxmlformats.org/officeDocument/2006/relationships/hyperlink" Target="https://twitter.com/stefan_junge/status/723177631429070848" TargetMode="External"/><Relationship Id="rId9221" Type="http://schemas.openxmlformats.org/officeDocument/2006/relationships/hyperlink" Target="https://twitter.com/NicoletteBarn" TargetMode="External"/><Relationship Id="rId1210" Type="http://schemas.openxmlformats.org/officeDocument/2006/relationships/hyperlink" Target="https://twitter.com/RudiKennes" TargetMode="External"/><Relationship Id="rId4366" Type="http://schemas.openxmlformats.org/officeDocument/2006/relationships/hyperlink" Target="https://twitter.com/VDMAonline/status/722681243289059328" TargetMode="External"/><Relationship Id="rId4780" Type="http://schemas.openxmlformats.org/officeDocument/2006/relationships/hyperlink" Target="https://twitter.com/ORBIT_DE/status/722718273658298368" TargetMode="External"/><Relationship Id="rId5417" Type="http://schemas.openxmlformats.org/officeDocument/2006/relationships/hyperlink" Target="https://twitter.com/TheRealMo99" TargetMode="External"/><Relationship Id="rId5831" Type="http://schemas.openxmlformats.org/officeDocument/2006/relationships/hyperlink" Target="https://twitter.com/ChrStebler/status/723048844422983681" TargetMode="External"/><Relationship Id="rId8987" Type="http://schemas.openxmlformats.org/officeDocument/2006/relationships/hyperlink" Target="https://twitter.com/WalesBuzz/status/723881282472710144" TargetMode="External"/><Relationship Id="rId3382" Type="http://schemas.openxmlformats.org/officeDocument/2006/relationships/hyperlink" Target="https://pbs.twimg.com/profile_images/448785058711601152/lLXOAUVA_normal.png" TargetMode="External"/><Relationship Id="rId4019" Type="http://schemas.openxmlformats.org/officeDocument/2006/relationships/hyperlink" Target="https://twitter.com/Katja_Althoff" TargetMode="External"/><Relationship Id="rId4433" Type="http://schemas.openxmlformats.org/officeDocument/2006/relationships/hyperlink" Target="https://pbs.twimg.com/profile_images/606807918776877056/jQQIX31i_normal.png" TargetMode="External"/><Relationship Id="rId7589" Type="http://schemas.openxmlformats.org/officeDocument/2006/relationships/hyperlink" Target="https://pbs.twimg.com/profile_images/465817969902092288/sEIgw9Gb_normal.jpeg" TargetMode="External"/><Relationship Id="rId3035" Type="http://schemas.openxmlformats.org/officeDocument/2006/relationships/hyperlink" Target="https://pbs.twimg.com/profile_images/645716711723925506/t5G0qOS6_normal.jpg" TargetMode="External"/><Relationship Id="rId4500" Type="http://schemas.openxmlformats.org/officeDocument/2006/relationships/hyperlink" Target="https://twitter.com/iotsecurity2" TargetMode="External"/><Relationship Id="rId7656" Type="http://schemas.openxmlformats.org/officeDocument/2006/relationships/hyperlink" Target="https://twitter.com/francoi55889292" TargetMode="External"/><Relationship Id="rId8707" Type="http://schemas.openxmlformats.org/officeDocument/2006/relationships/hyperlink" Target="https://twitter.com/kommoptimierer" TargetMode="External"/><Relationship Id="rId370" Type="http://schemas.openxmlformats.org/officeDocument/2006/relationships/hyperlink" Target="https://twitter.com/H_IT_D" TargetMode="External"/><Relationship Id="rId2051" Type="http://schemas.openxmlformats.org/officeDocument/2006/relationships/hyperlink" Target="https://pbs.twimg.com/profile_images/645716711723925506/t5G0qOS6_normal.jpg" TargetMode="External"/><Relationship Id="rId3102" Type="http://schemas.openxmlformats.org/officeDocument/2006/relationships/hyperlink" Target="https://twitter.com/foresight_lab" TargetMode="External"/><Relationship Id="rId6258" Type="http://schemas.openxmlformats.org/officeDocument/2006/relationships/hyperlink" Target="https://pbs.twimg.com/profile_images/594934750122536960/nG4kmfDF_normal.jpg" TargetMode="External"/><Relationship Id="rId7309" Type="http://schemas.openxmlformats.org/officeDocument/2006/relationships/hyperlink" Target="https://twitter.com/Xethix" TargetMode="External"/><Relationship Id="rId5274" Type="http://schemas.openxmlformats.org/officeDocument/2006/relationships/hyperlink" Target="https://pbs.twimg.com/profile_images/378800000468774437/ab56654542801735d8e239cf7f71582a_normal.jpeg" TargetMode="External"/><Relationship Id="rId6325" Type="http://schemas.openxmlformats.org/officeDocument/2006/relationships/hyperlink" Target="https://twitter.com/CEP_Jurabernois/status/723112534824374272" TargetMode="External"/><Relationship Id="rId6672" Type="http://schemas.openxmlformats.org/officeDocument/2006/relationships/hyperlink" Target="https://pbs.twimg.com/profile_images/2519056312/image_normal.jpg" TargetMode="External"/><Relationship Id="rId7723" Type="http://schemas.openxmlformats.org/officeDocument/2006/relationships/hyperlink" Target="https://twitter.com/induux_de/status/723428813661560832" TargetMode="External"/><Relationship Id="rId2868" Type="http://schemas.openxmlformats.org/officeDocument/2006/relationships/hyperlink" Target="https://pbs.twimg.com/profile_images/378800000469844257/16808b9f0926f37cb7ba19664ad97cbe_normal.jpeg" TargetMode="External"/><Relationship Id="rId3919" Type="http://schemas.openxmlformats.org/officeDocument/2006/relationships/hyperlink" Target="https://pbs.twimg.com/profile_images/681053312804851712/G6yGxAsm_normal.png" TargetMode="External"/><Relationship Id="rId9895" Type="http://schemas.openxmlformats.org/officeDocument/2006/relationships/hyperlink" Target="https://twitter.com/MarianKoeller" TargetMode="External"/><Relationship Id="rId1884" Type="http://schemas.openxmlformats.org/officeDocument/2006/relationships/hyperlink" Target="https://twitter.com/QuickFindsIn/status/721606123984277504" TargetMode="External"/><Relationship Id="rId2935" Type="http://schemas.openxmlformats.org/officeDocument/2006/relationships/hyperlink" Target="https://pbs.twimg.com/profile_images/423842728850759680/Up51DBGK_normal.jpeg" TargetMode="External"/><Relationship Id="rId4290" Type="http://schemas.openxmlformats.org/officeDocument/2006/relationships/hyperlink" Target="https://twitter.com/LNI40" TargetMode="External"/><Relationship Id="rId5341" Type="http://schemas.openxmlformats.org/officeDocument/2006/relationships/hyperlink" Target="https://twitter.com/ScheerKarriere" TargetMode="External"/><Relationship Id="rId8497" Type="http://schemas.openxmlformats.org/officeDocument/2006/relationships/hyperlink" Target="https://twitter.com/meier_thorsten" TargetMode="External"/><Relationship Id="rId9548" Type="http://schemas.openxmlformats.org/officeDocument/2006/relationships/hyperlink" Target="https://twitter.com/Daniela_Fasano_" TargetMode="External"/><Relationship Id="rId9962" Type="http://schemas.openxmlformats.org/officeDocument/2006/relationships/hyperlink" Target="https://twitter.com/ZeljkoP/status/724286085057155072" TargetMode="External"/><Relationship Id="rId907" Type="http://schemas.openxmlformats.org/officeDocument/2006/relationships/hyperlink" Target="https://twitter.com/kommoptimierer/status/720864244690857986" TargetMode="External"/><Relationship Id="rId1537" Type="http://schemas.openxmlformats.org/officeDocument/2006/relationships/hyperlink" Target="https://twitter.com/kommoptimierer" TargetMode="External"/><Relationship Id="rId1951" Type="http://schemas.openxmlformats.org/officeDocument/2006/relationships/hyperlink" Target="https://twitter.com/INDIZbot/status/721657424806068224" TargetMode="External"/><Relationship Id="rId7099" Type="http://schemas.openxmlformats.org/officeDocument/2006/relationships/hyperlink" Target="https://twitter.com/IoTMinded" TargetMode="External"/><Relationship Id="rId8564" Type="http://schemas.openxmlformats.org/officeDocument/2006/relationships/hyperlink" Target="https://twitter.com/AchatzR/status/723736186276204544" TargetMode="External"/><Relationship Id="rId9615" Type="http://schemas.openxmlformats.org/officeDocument/2006/relationships/hyperlink" Target="https://twitter.com/WinfriedFelser/status/724219847790436352" TargetMode="External"/><Relationship Id="rId1604" Type="http://schemas.openxmlformats.org/officeDocument/2006/relationships/hyperlink" Target="https://twitter.com/sytaylor/status/721244292283514880" TargetMode="External"/><Relationship Id="rId4010" Type="http://schemas.openxmlformats.org/officeDocument/2006/relationships/hyperlink" Target="https://twitter.com/PMiekautsch" TargetMode="External"/><Relationship Id="rId7166" Type="http://schemas.openxmlformats.org/officeDocument/2006/relationships/hyperlink" Target="https://twitter.com/tim_reichardt/status/723327591713767426" TargetMode="External"/><Relationship Id="rId7580" Type="http://schemas.openxmlformats.org/officeDocument/2006/relationships/hyperlink" Target="https://pbs.twimg.com/profile_images/707877685721231360/0WBLwHQ-_normal.jpg" TargetMode="External"/><Relationship Id="rId8217" Type="http://schemas.openxmlformats.org/officeDocument/2006/relationships/hyperlink" Target="https://twitter.com/CapgeminiDE" TargetMode="External"/><Relationship Id="rId8631" Type="http://schemas.openxmlformats.org/officeDocument/2006/relationships/hyperlink" Target="https://pbs.twimg.com/profile_images/722507600802287616/yHub8Hvx_normal.jpg" TargetMode="External"/><Relationship Id="rId10147" Type="http://schemas.openxmlformats.org/officeDocument/2006/relationships/hyperlink" Target="https://twitter.com/H_IT_D" TargetMode="External"/><Relationship Id="rId6182" Type="http://schemas.openxmlformats.org/officeDocument/2006/relationships/hyperlink" Target="https://pbs.twimg.com/profile_images/623849156159868928/BetFDR_i_normal.jpg" TargetMode="External"/><Relationship Id="rId7233" Type="http://schemas.openxmlformats.org/officeDocument/2006/relationships/hyperlink" Target="https://pbs.twimg.com/profile_images/701346285345972224/o2eiYGY__normal.jpg" TargetMode="External"/><Relationship Id="rId697" Type="http://schemas.openxmlformats.org/officeDocument/2006/relationships/hyperlink" Target="https://pbs.twimg.com/profile_images/656107467403870208/RXGOkKZu_normal.jpg" TargetMode="External"/><Relationship Id="rId2378" Type="http://schemas.openxmlformats.org/officeDocument/2006/relationships/hyperlink" Target="https://twitter.com/Tiba_Schweiz/status/722002042781310976" TargetMode="External"/><Relationship Id="rId3429" Type="http://schemas.openxmlformats.org/officeDocument/2006/relationships/hyperlink" Target="https://twitter.com/PLSDE/status/722359116069543936" TargetMode="External"/><Relationship Id="rId3776" Type="http://schemas.openxmlformats.org/officeDocument/2006/relationships/hyperlink" Target="https://twitter.com/itsOWL_Cluster" TargetMode="External"/><Relationship Id="rId4827" Type="http://schemas.openxmlformats.org/officeDocument/2006/relationships/hyperlink" Target="https://twitter.com/DerKonstrukteu" TargetMode="External"/><Relationship Id="rId10214" Type="http://schemas.openxmlformats.org/officeDocument/2006/relationships/hyperlink" Target="https://twitter.com/gaadvancement/status/724368942853029888" TargetMode="External"/><Relationship Id="rId2792" Type="http://schemas.openxmlformats.org/officeDocument/2006/relationships/hyperlink" Target="https://pbs.twimg.com/profile_images/436501577856483328/tKBq2i9m_normal.jpeg" TargetMode="External"/><Relationship Id="rId3843" Type="http://schemas.openxmlformats.org/officeDocument/2006/relationships/hyperlink" Target="https://twitter.com/GSonnengott/status/722439200700764160" TargetMode="External"/><Relationship Id="rId6999" Type="http://schemas.openxmlformats.org/officeDocument/2006/relationships/hyperlink" Target="https://pbs.twimg.com/profile_images/378800000720043036/33eecd625d5bb41fcf35fcdcd9bc74a6_normal.jpeg" TargetMode="External"/><Relationship Id="rId7300" Type="http://schemas.openxmlformats.org/officeDocument/2006/relationships/hyperlink" Target="https://twitter.com/CapgeminiDE" TargetMode="External"/><Relationship Id="rId9058" Type="http://schemas.openxmlformats.org/officeDocument/2006/relationships/hyperlink" Target="https://pbs.twimg.com/profile_images/525270739453100033/S8Av1dAq_normal.jpeg" TargetMode="External"/><Relationship Id="rId764" Type="http://schemas.openxmlformats.org/officeDocument/2006/relationships/hyperlink" Target="https://twitter.com/H_IT_D" TargetMode="External"/><Relationship Id="rId1394" Type="http://schemas.openxmlformats.org/officeDocument/2006/relationships/hyperlink" Target="https://twitter.com/Arno_muc" TargetMode="External"/><Relationship Id="rId2445" Type="http://schemas.openxmlformats.org/officeDocument/2006/relationships/hyperlink" Target="https://pbs.twimg.com/profile_images/645716711723925506/t5G0qOS6_normal.jpg" TargetMode="External"/><Relationship Id="rId3910" Type="http://schemas.openxmlformats.org/officeDocument/2006/relationships/hyperlink" Target="https://pbs.twimg.com/profile_images/555327405187801088/bhizIjB-_normal.png" TargetMode="External"/><Relationship Id="rId9472" Type="http://schemas.openxmlformats.org/officeDocument/2006/relationships/hyperlink" Target="https://pbs.twimg.com/profile_images/420844205607362560/p085f4o7_normal.png" TargetMode="External"/><Relationship Id="rId417" Type="http://schemas.openxmlformats.org/officeDocument/2006/relationships/hyperlink" Target="https://pbs.twimg.com/profile_images/502402188295946240/rN3wbNyn_normal.jpeg" TargetMode="External"/><Relationship Id="rId831" Type="http://schemas.openxmlformats.org/officeDocument/2006/relationships/hyperlink" Target="https://twitter.com/josebaghdad" TargetMode="External"/><Relationship Id="rId1047" Type="http://schemas.openxmlformats.org/officeDocument/2006/relationships/hyperlink" Target="https://pbs.twimg.com/profile_images/718175389890310145/GX8DLe_h_normal.jpg" TargetMode="External"/><Relationship Id="rId1461" Type="http://schemas.openxmlformats.org/officeDocument/2006/relationships/hyperlink" Target="https://pbs.twimg.com/profile_images/455995985139736576/WOdlo17m_normal.jpeg" TargetMode="External"/><Relationship Id="rId2512" Type="http://schemas.openxmlformats.org/officeDocument/2006/relationships/hyperlink" Target="https://pbs.twimg.com/profile_images/719496030753058818/CmYAO08k_normal.jpg" TargetMode="External"/><Relationship Id="rId5668" Type="http://schemas.openxmlformats.org/officeDocument/2006/relationships/hyperlink" Target="https://twitter.com/watumudeveku/status/722909720898461697" TargetMode="External"/><Relationship Id="rId6719" Type="http://schemas.openxmlformats.org/officeDocument/2006/relationships/hyperlink" Target="https://twitter.com/Gruendercoaches/status/723164854169800704" TargetMode="External"/><Relationship Id="rId8074" Type="http://schemas.openxmlformats.org/officeDocument/2006/relationships/hyperlink" Target="https://pbs.twimg.com/profile_images/600969802908356609/3JqGMg38_normal.png" TargetMode="External"/><Relationship Id="rId9125" Type="http://schemas.openxmlformats.org/officeDocument/2006/relationships/hyperlink" Target="https://twitter.com/Gruendercoaches" TargetMode="External"/><Relationship Id="rId1114" Type="http://schemas.openxmlformats.org/officeDocument/2006/relationships/hyperlink" Target="https://twitter.com/THMtweets" TargetMode="External"/><Relationship Id="rId4684" Type="http://schemas.openxmlformats.org/officeDocument/2006/relationships/hyperlink" Target="https://twitter.com/OP_Magazin/status/722710852802113536" TargetMode="External"/><Relationship Id="rId5735" Type="http://schemas.openxmlformats.org/officeDocument/2006/relationships/hyperlink" Target="https://pbs.twimg.com/profile_images/645716711723925506/t5G0qOS6_normal.jpg" TargetMode="External"/><Relationship Id="rId7090" Type="http://schemas.openxmlformats.org/officeDocument/2006/relationships/hyperlink" Target="https://twitter.com/MindCommerce" TargetMode="External"/><Relationship Id="rId8141" Type="http://schemas.openxmlformats.org/officeDocument/2006/relationships/hyperlink" Target="https://twitter.com/INDIZbot" TargetMode="External"/><Relationship Id="rId10071" Type="http://schemas.openxmlformats.org/officeDocument/2006/relationships/hyperlink" Target="https://pbs.twimg.com/profile_images/268961250/_5464740_normal.JPG" TargetMode="External"/><Relationship Id="rId3286" Type="http://schemas.openxmlformats.org/officeDocument/2006/relationships/hyperlink" Target="https://twitter.com/SHC_GmbH" TargetMode="External"/><Relationship Id="rId4337" Type="http://schemas.openxmlformats.org/officeDocument/2006/relationships/hyperlink" Target="https://pbs.twimg.com/profile_images/645716711723925506/t5G0qOS6_normal.jpg" TargetMode="External"/><Relationship Id="rId3353" Type="http://schemas.openxmlformats.org/officeDocument/2006/relationships/hyperlink" Target="https://twitter.com/MarianKoeller/status/722352876455124992" TargetMode="External"/><Relationship Id="rId4751" Type="http://schemas.openxmlformats.org/officeDocument/2006/relationships/hyperlink" Target="https://pbs.twimg.com/profile_images/645716711723925506/t5G0qOS6_normal.jpg" TargetMode="External"/><Relationship Id="rId5802" Type="http://schemas.openxmlformats.org/officeDocument/2006/relationships/hyperlink" Target="https://twitter.com/INDIZbot" TargetMode="External"/><Relationship Id="rId8958" Type="http://schemas.openxmlformats.org/officeDocument/2006/relationships/hyperlink" Target="https://pbs.twimg.com/profile_images/647699835118817280/Em18Kfoc_normal.jpg" TargetMode="External"/><Relationship Id="rId274" Type="http://schemas.openxmlformats.org/officeDocument/2006/relationships/hyperlink" Target="https://twitter.com/Tim_Caesar" TargetMode="External"/><Relationship Id="rId3006" Type="http://schemas.openxmlformats.org/officeDocument/2006/relationships/hyperlink" Target="https://twitter.com/INDIZbot/status/722281785397223424" TargetMode="External"/><Relationship Id="rId4404" Type="http://schemas.openxmlformats.org/officeDocument/2006/relationships/hyperlink" Target="https://twitter.com/bigdata_insider" TargetMode="External"/><Relationship Id="rId7974" Type="http://schemas.openxmlformats.org/officeDocument/2006/relationships/hyperlink" Target="https://twitter.com/WinfriedFelser/status/723475123198636032" TargetMode="External"/><Relationship Id="rId3420" Type="http://schemas.openxmlformats.org/officeDocument/2006/relationships/hyperlink" Target="https://twitter.com/MarianKoeller/status/722357932420177920" TargetMode="External"/><Relationship Id="rId6576" Type="http://schemas.openxmlformats.org/officeDocument/2006/relationships/hyperlink" Target="https://twitter.com/IoTMinded" TargetMode="External"/><Relationship Id="rId6990" Type="http://schemas.openxmlformats.org/officeDocument/2006/relationships/hyperlink" Target="https://pbs.twimg.com/profile_images/645716711723925506/t5G0qOS6_normal.jpg" TargetMode="External"/><Relationship Id="rId7627" Type="http://schemas.openxmlformats.org/officeDocument/2006/relationships/hyperlink" Target="https://twitter.com/VDI_News/status/723419546669867009" TargetMode="External"/><Relationship Id="rId341" Type="http://schemas.openxmlformats.org/officeDocument/2006/relationships/hyperlink" Target="https://twitter.com/bamitav/status/720555339691737088" TargetMode="External"/><Relationship Id="rId2022" Type="http://schemas.openxmlformats.org/officeDocument/2006/relationships/hyperlink" Target="https://twitter.com/digitalperiod" TargetMode="External"/><Relationship Id="rId5178" Type="http://schemas.openxmlformats.org/officeDocument/2006/relationships/hyperlink" Target="https://pbs.twimg.com/profile_images/719480494468030465/TQqK9N_3_normal.jpg" TargetMode="External"/><Relationship Id="rId5592" Type="http://schemas.openxmlformats.org/officeDocument/2006/relationships/hyperlink" Target="https://twitter.com/ThomasMannIT" TargetMode="External"/><Relationship Id="rId6229" Type="http://schemas.openxmlformats.org/officeDocument/2006/relationships/hyperlink" Target="https://twitter.com/tuevnord" TargetMode="External"/><Relationship Id="rId6643" Type="http://schemas.openxmlformats.org/officeDocument/2006/relationships/hyperlink" Target="https://twitter.com/GTAI_com/status/723155662524547077" TargetMode="External"/><Relationship Id="rId9799" Type="http://schemas.openxmlformats.org/officeDocument/2006/relationships/hyperlink" Target="https://twitter.com/buendnisZdI" TargetMode="External"/><Relationship Id="rId1788" Type="http://schemas.openxmlformats.org/officeDocument/2006/relationships/hyperlink" Target="https://pbs.twimg.com/profile_images/524497009311354882/cGr5KIAg_normal.jpeg" TargetMode="External"/><Relationship Id="rId2839" Type="http://schemas.openxmlformats.org/officeDocument/2006/relationships/hyperlink" Target="https://twitter.com/LReehten/status/722134765583867906" TargetMode="External"/><Relationship Id="rId4194" Type="http://schemas.openxmlformats.org/officeDocument/2006/relationships/hyperlink" Target="https://twitter.com/LReehten" TargetMode="External"/><Relationship Id="rId5245" Type="http://schemas.openxmlformats.org/officeDocument/2006/relationships/hyperlink" Target="http://inqa-audit.de/" TargetMode="External"/><Relationship Id="rId6710" Type="http://schemas.openxmlformats.org/officeDocument/2006/relationships/hyperlink" Target="https://twitter.com/ProgressSW_DE/status/723163991220985856" TargetMode="External"/><Relationship Id="rId9866" Type="http://schemas.openxmlformats.org/officeDocument/2006/relationships/hyperlink" Target="https://twitter.com/Bitkom_I40/status/724272963823001600" TargetMode="External"/><Relationship Id="rId4261" Type="http://schemas.openxmlformats.org/officeDocument/2006/relationships/hyperlink" Target="https://twitter.com/H_IT_D/status/722628903714467840" TargetMode="External"/><Relationship Id="rId5312" Type="http://schemas.openxmlformats.org/officeDocument/2006/relationships/hyperlink" Target="https://twitter.com/INDIZbot/status/722789709357981696" TargetMode="External"/><Relationship Id="rId8468" Type="http://schemas.openxmlformats.org/officeDocument/2006/relationships/hyperlink" Target="https://twitter.com/kommoptimierer/status/723594730047705093" TargetMode="External"/><Relationship Id="rId9519" Type="http://schemas.openxmlformats.org/officeDocument/2006/relationships/hyperlink" Target="https://twitter.com/PASSnews/status/724193689338187777" TargetMode="External"/><Relationship Id="rId1508" Type="http://schemas.openxmlformats.org/officeDocument/2006/relationships/hyperlink" Target="https://twitter.com/tomweisz/status/721051674421379072" TargetMode="External"/><Relationship Id="rId1855" Type="http://schemas.openxmlformats.org/officeDocument/2006/relationships/hyperlink" Target="https://twitter.com/_lfactory" TargetMode="External"/><Relationship Id="rId2906" Type="http://schemas.openxmlformats.org/officeDocument/2006/relationships/hyperlink" Target="https://twitter.com/INDIZbot" TargetMode="External"/><Relationship Id="rId7484" Type="http://schemas.openxmlformats.org/officeDocument/2006/relationships/hyperlink" Target="https://pbs.twimg.com/profile_images/572399545279971328/fEGOYeng_normal.jpeg" TargetMode="External"/><Relationship Id="rId8535" Type="http://schemas.openxmlformats.org/officeDocument/2006/relationships/hyperlink" Target="https://pbs.twimg.com/profile_images/685944795546664961/PUMi74do_normal.jpg" TargetMode="External"/><Relationship Id="rId8882" Type="http://schemas.openxmlformats.org/officeDocument/2006/relationships/hyperlink" Target="https://twitter.com/CSGermany/status/723848167838625793" TargetMode="External"/><Relationship Id="rId9933" Type="http://schemas.openxmlformats.org/officeDocument/2006/relationships/hyperlink" Target="https://pbs.twimg.com/profile_images/677499340886265856/Tv7B4r_x_normal.jpg" TargetMode="External"/><Relationship Id="rId1922" Type="http://schemas.openxmlformats.org/officeDocument/2006/relationships/hyperlink" Target="https://twitter.com/Rhartschmidt" TargetMode="External"/><Relationship Id="rId6086" Type="http://schemas.openxmlformats.org/officeDocument/2006/relationships/hyperlink" Target="https://twitter.com/MoradSalehi" TargetMode="External"/><Relationship Id="rId7137" Type="http://schemas.openxmlformats.org/officeDocument/2006/relationships/hyperlink" Target="https://pbs.twimg.com/profile_images/669853588152283137/mqKB9aP__normal.jpg" TargetMode="External"/><Relationship Id="rId7551" Type="http://schemas.openxmlformats.org/officeDocument/2006/relationships/hyperlink" Target="https://twitter.com/_Logistra_" TargetMode="External"/><Relationship Id="rId8602" Type="http://schemas.openxmlformats.org/officeDocument/2006/relationships/hyperlink" Target="https://twitter.com/INDIZbot" TargetMode="External"/><Relationship Id="rId10118" Type="http://schemas.openxmlformats.org/officeDocument/2006/relationships/hyperlink" Target="https://twitter.com/DirkSchaar/status/724336866070302720" TargetMode="External"/><Relationship Id="rId2696" Type="http://schemas.openxmlformats.org/officeDocument/2006/relationships/hyperlink" Target="https://pbs.twimg.com/profile_images/2206886263/jautomatise_logo_normal.png" TargetMode="External"/><Relationship Id="rId3747" Type="http://schemas.openxmlformats.org/officeDocument/2006/relationships/hyperlink" Target="https://twitter.com/JETZT_PRde/status/722416887242600448" TargetMode="External"/><Relationship Id="rId6153" Type="http://schemas.openxmlformats.org/officeDocument/2006/relationships/hyperlink" Target="https://twitter.com/ECKELMANN_AG" TargetMode="External"/><Relationship Id="rId7204" Type="http://schemas.openxmlformats.org/officeDocument/2006/relationships/hyperlink" Target="https://twitter.com/neerajdeuskar79" TargetMode="External"/><Relationship Id="rId668" Type="http://schemas.openxmlformats.org/officeDocument/2006/relationships/hyperlink" Target="https://twitter.com/INDIZbot" TargetMode="External"/><Relationship Id="rId1298" Type="http://schemas.openxmlformats.org/officeDocument/2006/relationships/hyperlink" Target="https://twitter.com/INDIZbot/status/720947650829422592" TargetMode="External"/><Relationship Id="rId2349" Type="http://schemas.openxmlformats.org/officeDocument/2006/relationships/hyperlink" Target="https://pbs.twimg.com/profile_images/438597769180094464/3KS08yHc_normal.jpeg" TargetMode="External"/><Relationship Id="rId2763" Type="http://schemas.openxmlformats.org/officeDocument/2006/relationships/hyperlink" Target="https://twitter.com/nextDBI" TargetMode="External"/><Relationship Id="rId3814" Type="http://schemas.openxmlformats.org/officeDocument/2006/relationships/hyperlink" Target="https://pbs.twimg.com/profile_images/645716711723925506/t5G0qOS6_normal.jpg" TargetMode="External"/><Relationship Id="rId6220" Type="http://schemas.openxmlformats.org/officeDocument/2006/relationships/hyperlink" Target="https://twitter.com/JETZT_PRde" TargetMode="External"/><Relationship Id="rId9376" Type="http://schemas.openxmlformats.org/officeDocument/2006/relationships/hyperlink" Target="https://pbs.twimg.com/profile_images/3382064129/c8704527a56747df8e78cc48e86c3d9d_normal.jpeg" TargetMode="External"/><Relationship Id="rId9790" Type="http://schemas.openxmlformats.org/officeDocument/2006/relationships/hyperlink" Target="https://twitter.com/martinruskowski" TargetMode="External"/><Relationship Id="rId735" Type="http://schemas.openxmlformats.org/officeDocument/2006/relationships/hyperlink" Target="https://twitter.com/INDIZbot/status/720691054425587712" TargetMode="External"/><Relationship Id="rId1365" Type="http://schemas.openxmlformats.org/officeDocument/2006/relationships/hyperlink" Target="https://pbs.twimg.com/profile_images/456341504751964160/Cdptz2iN_normal.jpeg" TargetMode="External"/><Relationship Id="rId2416" Type="http://schemas.openxmlformats.org/officeDocument/2006/relationships/hyperlink" Target="https://twitter.com/HELLRIEGEL" TargetMode="External"/><Relationship Id="rId8392" Type="http://schemas.openxmlformats.org/officeDocument/2006/relationships/hyperlink" Target="https://twitter.com/deviceWISEM2M/status/723552737410031617" TargetMode="External"/><Relationship Id="rId9029" Type="http://schemas.openxmlformats.org/officeDocument/2006/relationships/hyperlink" Target="https://twitter.com/IT2Industry/status/723913114236923908" TargetMode="External"/><Relationship Id="rId9443" Type="http://schemas.openxmlformats.org/officeDocument/2006/relationships/hyperlink" Target="https://twitter.com/patriciaduques4" TargetMode="External"/><Relationship Id="rId1018" Type="http://schemas.openxmlformats.org/officeDocument/2006/relationships/hyperlink" Target="https://twitter.com/markherten" TargetMode="External"/><Relationship Id="rId1432" Type="http://schemas.openxmlformats.org/officeDocument/2006/relationships/hyperlink" Target="https://twitter.com/innovationbawue/status/720996336108232704" TargetMode="External"/><Relationship Id="rId2830" Type="http://schemas.openxmlformats.org/officeDocument/2006/relationships/hyperlink" Target="https://twitter.com/LReehten/status/722134540102316032" TargetMode="External"/><Relationship Id="rId4588" Type="http://schemas.openxmlformats.org/officeDocument/2006/relationships/hyperlink" Target="https://twitter.com/DKEAktuell/status/722707600899497984" TargetMode="External"/><Relationship Id="rId5639" Type="http://schemas.openxmlformats.org/officeDocument/2006/relationships/hyperlink" Target="https://pbs.twimg.com/profile_images/530100288472903680/89b39upH_normal.jpeg" TargetMode="External"/><Relationship Id="rId5986" Type="http://schemas.openxmlformats.org/officeDocument/2006/relationships/hyperlink" Target="https://pbs.twimg.com/profile_images/3625979673/acb661eae563d818836eb138c74e91f7_normal.jpeg" TargetMode="External"/><Relationship Id="rId8045" Type="http://schemas.openxmlformats.org/officeDocument/2006/relationships/hyperlink" Target="https://twitter.com/KMWEprecision" TargetMode="External"/><Relationship Id="rId71" Type="http://schemas.openxmlformats.org/officeDocument/2006/relationships/hyperlink" Target="https://twitter.com/JuliaSeverins/status/720507031166316545" TargetMode="External"/><Relationship Id="rId802" Type="http://schemas.openxmlformats.org/officeDocument/2006/relationships/hyperlink" Target="https://twitter.com/m_biscarrat/status/720731121290502148" TargetMode="External"/><Relationship Id="rId7061" Type="http://schemas.openxmlformats.org/officeDocument/2006/relationships/hyperlink" Target="https://twitter.com/MickLangdale/status/723249763890651136" TargetMode="External"/><Relationship Id="rId8112" Type="http://schemas.openxmlformats.org/officeDocument/2006/relationships/hyperlink" Target="https://twitter.com/INDIZbot/status/723496869448540160" TargetMode="External"/><Relationship Id="rId9510" Type="http://schemas.openxmlformats.org/officeDocument/2006/relationships/hyperlink" Target="https://twitter.com/RussellKMills/status/724193442193129472" TargetMode="External"/><Relationship Id="rId4655" Type="http://schemas.openxmlformats.org/officeDocument/2006/relationships/hyperlink" Target="https://pbs.twimg.com/profile_images/718453542210703360/gxKMOQIw_normal.jpg" TargetMode="External"/><Relationship Id="rId5706" Type="http://schemas.openxmlformats.org/officeDocument/2006/relationships/hyperlink" Target="https://twitter.com/mhaller1979" TargetMode="External"/><Relationship Id="rId10042" Type="http://schemas.openxmlformats.org/officeDocument/2006/relationships/hyperlink" Target="https://twitter.com/cschaale" TargetMode="External"/><Relationship Id="rId178" Type="http://schemas.openxmlformats.org/officeDocument/2006/relationships/hyperlink" Target="https://twitter.com/NavasGestion" TargetMode="External"/><Relationship Id="rId3257" Type="http://schemas.openxmlformats.org/officeDocument/2006/relationships/hyperlink" Target="https://twitter.com/INDIZbot/status/722331692518752256" TargetMode="External"/><Relationship Id="rId3671" Type="http://schemas.openxmlformats.org/officeDocument/2006/relationships/hyperlink" Target="https://twitter.com/Derdack" TargetMode="External"/><Relationship Id="rId4308" Type="http://schemas.openxmlformats.org/officeDocument/2006/relationships/hyperlink" Target="https://twitter.com/INDIZbot" TargetMode="External"/><Relationship Id="rId4722" Type="http://schemas.openxmlformats.org/officeDocument/2006/relationships/hyperlink" Target="https://twitter.com/Industrie_40" TargetMode="External"/><Relationship Id="rId7878" Type="http://schemas.openxmlformats.org/officeDocument/2006/relationships/hyperlink" Target="https://pbs.twimg.com/profile_images/705699220699877377/SxIhCs53_normal.jpg" TargetMode="External"/><Relationship Id="rId8929" Type="http://schemas.openxmlformats.org/officeDocument/2006/relationships/hyperlink" Target="https://twitter.com/Bitkom" TargetMode="External"/><Relationship Id="rId592" Type="http://schemas.openxmlformats.org/officeDocument/2006/relationships/hyperlink" Target="https://pbs.twimg.com/profile_images/567384025568776192/u-T3fEX2_normal.jpeg" TargetMode="External"/><Relationship Id="rId2273" Type="http://schemas.openxmlformats.org/officeDocument/2006/relationships/hyperlink" Target="https://pbs.twimg.com/profile_images/543856389802561537/ir0-Sw0y_normal.png" TargetMode="External"/><Relationship Id="rId3324" Type="http://schemas.openxmlformats.org/officeDocument/2006/relationships/hyperlink" Target="https://pbs.twimg.com/profile_images/701004613206433792/o4DJfA8-_normal.jpg" TargetMode="External"/><Relationship Id="rId6894" Type="http://schemas.openxmlformats.org/officeDocument/2006/relationships/hyperlink" Target="https://pbs.twimg.com/profile_images/624966917669974016/Sl2SOVQ0_normal.jpg" TargetMode="External"/><Relationship Id="rId7945" Type="http://schemas.openxmlformats.org/officeDocument/2006/relationships/hyperlink" Target="https://pbs.twimg.com/profile_images/1310051384/all-e_punkte_normal.jpg" TargetMode="External"/><Relationship Id="rId245" Type="http://schemas.openxmlformats.org/officeDocument/2006/relationships/hyperlink" Target="https://twitter.com/PASSnews/status/720537084264607744" TargetMode="External"/><Relationship Id="rId2340" Type="http://schemas.openxmlformats.org/officeDocument/2006/relationships/hyperlink" Target="https://pbs.twimg.com/profile_images/458888137326882816/oGjpHLOK_normal.png" TargetMode="External"/><Relationship Id="rId5496" Type="http://schemas.openxmlformats.org/officeDocument/2006/relationships/hyperlink" Target="https://twitter.com/EskenSaskia" TargetMode="External"/><Relationship Id="rId6547" Type="http://schemas.openxmlformats.org/officeDocument/2006/relationships/hyperlink" Target="https://pbs.twimg.com/profile_images/699950408555438081/ulccnzAr_normal.jpg" TargetMode="External"/><Relationship Id="rId312" Type="http://schemas.openxmlformats.org/officeDocument/2006/relationships/hyperlink" Target="https://pbs.twimg.com/profile_images/695227740136587265/5eHVsAlx_normal.png" TargetMode="External"/><Relationship Id="rId4098" Type="http://schemas.openxmlformats.org/officeDocument/2006/relationships/hyperlink" Target="https://twitter.com/LudwigVCI" TargetMode="External"/><Relationship Id="rId5149" Type="http://schemas.openxmlformats.org/officeDocument/2006/relationships/hyperlink" Target="https://twitter.com/ahk_frankreich" TargetMode="External"/><Relationship Id="rId5563" Type="http://schemas.openxmlformats.org/officeDocument/2006/relationships/hyperlink" Target="https://twitter.com/AMETRAInge/status/722853171811495936" TargetMode="External"/><Relationship Id="rId6961" Type="http://schemas.openxmlformats.org/officeDocument/2006/relationships/hyperlink" Target="https://twitter.com/pfisterer_ralf" TargetMode="External"/><Relationship Id="rId9020" Type="http://schemas.openxmlformats.org/officeDocument/2006/relationships/hyperlink" Target="https://twitter.com/siemensindustry/status/723911148270157824" TargetMode="External"/><Relationship Id="rId4165" Type="http://schemas.openxmlformats.org/officeDocument/2006/relationships/hyperlink" Target="https://twitter.com/LReehten/status/722514437463220226" TargetMode="External"/><Relationship Id="rId5216" Type="http://schemas.openxmlformats.org/officeDocument/2006/relationships/hyperlink" Target="https://pbs.twimg.com/profile_images/1696353623/293271_10150382599031103_777251102_9693277_1829558054_n_normal.jpg" TargetMode="External"/><Relationship Id="rId6614" Type="http://schemas.openxmlformats.org/officeDocument/2006/relationships/hyperlink" Target="https://pbs.twimg.com/profile_images/2732840679/00399ec85301d5d9a996b8a5c34bf3ca_normal.png" TargetMode="External"/><Relationship Id="rId1759" Type="http://schemas.openxmlformats.org/officeDocument/2006/relationships/hyperlink" Target="https://twitter.com/openHPI" TargetMode="External"/><Relationship Id="rId3181" Type="http://schemas.openxmlformats.org/officeDocument/2006/relationships/hyperlink" Target="http://ingenieurkarriere.de/" TargetMode="External"/><Relationship Id="rId5630" Type="http://schemas.openxmlformats.org/officeDocument/2006/relationships/hyperlink" Target="https://pbs.twimg.com/profile_images/530100288472903680/89b39upH_normal.jpeg" TargetMode="External"/><Relationship Id="rId8786" Type="http://schemas.openxmlformats.org/officeDocument/2006/relationships/hyperlink" Target="https://twitter.com/DanielKueng/status/723812005556158464" TargetMode="External"/><Relationship Id="rId9837" Type="http://schemas.openxmlformats.org/officeDocument/2006/relationships/hyperlink" Target="https://pbs.twimg.com/profile_images/698877978822995969/MF_OL2e9_normal.jpg" TargetMode="External"/><Relationship Id="rId1826" Type="http://schemas.openxmlformats.org/officeDocument/2006/relationships/hyperlink" Target="https://twitter.com/INDIZbot/status/721425719830704128" TargetMode="External"/><Relationship Id="rId4232" Type="http://schemas.openxmlformats.org/officeDocument/2006/relationships/hyperlink" Target="https://pbs.twimg.com/profile_images/703148147543920640/eaxyCVcC_normal.jpg" TargetMode="External"/><Relationship Id="rId7388" Type="http://schemas.openxmlformats.org/officeDocument/2006/relationships/hyperlink" Target="https://twitter.com/MindCommerce" TargetMode="External"/><Relationship Id="rId8439" Type="http://schemas.openxmlformats.org/officeDocument/2006/relationships/hyperlink" Target="https://pbs.twimg.com/profile_images/723056722634371072/L0JFDAVN_normal.jpg" TargetMode="External"/><Relationship Id="rId8853" Type="http://schemas.openxmlformats.org/officeDocument/2006/relationships/hyperlink" Target="https://pbs.twimg.com/profile_images/645716711723925506/t5G0qOS6_normal.jpg" TargetMode="External"/><Relationship Id="rId9904" Type="http://schemas.openxmlformats.org/officeDocument/2006/relationships/hyperlink" Target="https://twitter.com/INDIZbot" TargetMode="External"/><Relationship Id="rId3998" Type="http://schemas.openxmlformats.org/officeDocument/2006/relationships/hyperlink" Target="https://twitter.com/aguittard" TargetMode="External"/><Relationship Id="rId7455" Type="http://schemas.openxmlformats.org/officeDocument/2006/relationships/hyperlink" Target="https://twitter.com/CapgeminiDE" TargetMode="External"/><Relationship Id="rId8506" Type="http://schemas.openxmlformats.org/officeDocument/2006/relationships/hyperlink" Target="https://twitter.com/Wibbow" TargetMode="External"/><Relationship Id="rId8920" Type="http://schemas.openxmlformats.org/officeDocument/2006/relationships/hyperlink" Target="https://twitter.com/_damoca" TargetMode="External"/><Relationship Id="rId6057" Type="http://schemas.openxmlformats.org/officeDocument/2006/relationships/hyperlink" Target="https://twitter.com/LWalendy/status/723073569589063680" TargetMode="External"/><Relationship Id="rId6471" Type="http://schemas.openxmlformats.org/officeDocument/2006/relationships/hyperlink" Target="https://twitter.com/Waaiema/status/723130761554104320" TargetMode="External"/><Relationship Id="rId7108" Type="http://schemas.openxmlformats.org/officeDocument/2006/relationships/hyperlink" Target="https://twitter.com/INDIZbot" TargetMode="External"/><Relationship Id="rId7522" Type="http://schemas.openxmlformats.org/officeDocument/2006/relationships/hyperlink" Target="https://twitter.com/PapaVise/status/723412179311988736" TargetMode="External"/><Relationship Id="rId986" Type="http://schemas.openxmlformats.org/officeDocument/2006/relationships/hyperlink" Target="https://twitter.com/TheAuditCompany/status/720880517613096961" TargetMode="External"/><Relationship Id="rId2667" Type="http://schemas.openxmlformats.org/officeDocument/2006/relationships/hyperlink" Target="https://twitter.com/lutzrach" TargetMode="External"/><Relationship Id="rId3718" Type="http://schemas.openxmlformats.org/officeDocument/2006/relationships/hyperlink" Target="https://pbs.twimg.com/profile_images/649572788148285440/Sxl5vTa3_normal.jpg" TargetMode="External"/><Relationship Id="rId5073" Type="http://schemas.openxmlformats.org/officeDocument/2006/relationships/hyperlink" Target="https://pbs.twimg.com/profile_images/687630441893900288/RvOaRxIg_normal.jpg" TargetMode="External"/><Relationship Id="rId6124" Type="http://schemas.openxmlformats.org/officeDocument/2006/relationships/hyperlink" Target="https://twitter.com/INDIZbot/status/723076770233200640" TargetMode="External"/><Relationship Id="rId9694" Type="http://schemas.openxmlformats.org/officeDocument/2006/relationships/hyperlink" Target="https://pbs.twimg.com/profile_images/645716711723925506/t5G0qOS6_normal.jpg" TargetMode="External"/><Relationship Id="rId639" Type="http://schemas.openxmlformats.org/officeDocument/2006/relationships/hyperlink" Target="https://twitter.com/FranBlanSAP/status/720648812319154176" TargetMode="External"/><Relationship Id="rId1269" Type="http://schemas.openxmlformats.org/officeDocument/2006/relationships/hyperlink" Target="https://pbs.twimg.com/profile_images/685327213/Apandia_normal.gif" TargetMode="External"/><Relationship Id="rId5140" Type="http://schemas.openxmlformats.org/officeDocument/2006/relationships/hyperlink" Target="https://twitter.com/INDIZbot" TargetMode="External"/><Relationship Id="rId8296" Type="http://schemas.openxmlformats.org/officeDocument/2006/relationships/hyperlink" Target="https://twitter.com/H_IT_D/status/723527245508157440" TargetMode="External"/><Relationship Id="rId9347" Type="http://schemas.openxmlformats.org/officeDocument/2006/relationships/hyperlink" Target="https://twitter.com/INDIZbot" TargetMode="External"/><Relationship Id="rId1683" Type="http://schemas.openxmlformats.org/officeDocument/2006/relationships/hyperlink" Target="https://pbs.twimg.com/profile_images/711615435905441793/OmwlvWZY_normal.jpg" TargetMode="External"/><Relationship Id="rId2734" Type="http://schemas.openxmlformats.org/officeDocument/2006/relationships/hyperlink" Target="https://twitter.com/jcb_tweet/status/722107459268161537" TargetMode="External"/><Relationship Id="rId9761" Type="http://schemas.openxmlformats.org/officeDocument/2006/relationships/hyperlink" Target="https://twitter.com/INDIZbot/status/724244293297291264" TargetMode="External"/><Relationship Id="rId706" Type="http://schemas.openxmlformats.org/officeDocument/2006/relationships/hyperlink" Target="https://pbs.twimg.com/profile_images/378800000753233896/be7abfe2b94083c25a106659b5859136_normal.jpeg" TargetMode="External"/><Relationship Id="rId1336" Type="http://schemas.openxmlformats.org/officeDocument/2006/relationships/hyperlink" Target="https://twitter.com/ThibautRey2_0" TargetMode="External"/><Relationship Id="rId1750" Type="http://schemas.openxmlformats.org/officeDocument/2006/relationships/hyperlink" Target="https://twitter.com/Tiba_Schweiz" TargetMode="External"/><Relationship Id="rId2801" Type="http://schemas.openxmlformats.org/officeDocument/2006/relationships/hyperlink" Target="https://pbs.twimg.com/profile_images/276489012/delmas_hailey_01_normal.jpg" TargetMode="External"/><Relationship Id="rId5957" Type="http://schemas.openxmlformats.org/officeDocument/2006/relationships/hyperlink" Target="https://twitter.com/Bitkom_I40" TargetMode="External"/><Relationship Id="rId8016" Type="http://schemas.openxmlformats.org/officeDocument/2006/relationships/hyperlink" Target="https://twitter.com/H_IT_D/status/723478613069197312" TargetMode="External"/><Relationship Id="rId8363" Type="http://schemas.openxmlformats.org/officeDocument/2006/relationships/hyperlink" Target="https://pbs.twimg.com/profile_images/662723326096224256/5V4KH9_O_normal.jpg" TargetMode="External"/><Relationship Id="rId9414" Type="http://schemas.openxmlformats.org/officeDocument/2006/relationships/hyperlink" Target="https://twitter.com/Vuillermoz_P/status/724173116453314561" TargetMode="External"/><Relationship Id="rId10293" Type="http://schemas.openxmlformats.org/officeDocument/2006/relationships/hyperlink" Target="https://pbs.twimg.com/profile_images/1336102736/AR69190_normal.jpg" TargetMode="External"/><Relationship Id="rId42" Type="http://schemas.openxmlformats.org/officeDocument/2006/relationships/hyperlink" Target="https://pbs.twimg.com/profile_images/667337830734143488/jSGGr2Ft_normal.jpg" TargetMode="External"/><Relationship Id="rId1403" Type="http://schemas.openxmlformats.org/officeDocument/2006/relationships/hyperlink" Target="https://twitter.com/SixP4ck3r" TargetMode="External"/><Relationship Id="rId4559" Type="http://schemas.openxmlformats.org/officeDocument/2006/relationships/hyperlink" Target="https://pbs.twimg.com/profile_images/572722352144666624/2G6VnJJx_normal.jpeg" TargetMode="External"/><Relationship Id="rId4973" Type="http://schemas.openxmlformats.org/officeDocument/2006/relationships/hyperlink" Target="https://pbs.twimg.com/profile_images/452796717688029186/3LJDW1UT_normal.jpeg" TargetMode="External"/><Relationship Id="rId8430" Type="http://schemas.openxmlformats.org/officeDocument/2006/relationships/hyperlink" Target="https://pbs.twimg.com/profile_images/1684373225/Joe_Guy_normal.jpg" TargetMode="External"/><Relationship Id="rId3575" Type="http://schemas.openxmlformats.org/officeDocument/2006/relationships/hyperlink" Target="https://twitter.com/hkloepper" TargetMode="External"/><Relationship Id="rId4626" Type="http://schemas.openxmlformats.org/officeDocument/2006/relationships/hyperlink" Target="https://twitter.com/mluebbecke" TargetMode="External"/><Relationship Id="rId7032" Type="http://schemas.openxmlformats.org/officeDocument/2006/relationships/hyperlink" Target="https://pbs.twimg.com/profile_images/588981131996966912/55KBnYR7_normal.jpg" TargetMode="External"/><Relationship Id="rId10013" Type="http://schemas.openxmlformats.org/officeDocument/2006/relationships/hyperlink" Target="https://twitter.com/automatisierer/status/724299201933352960" TargetMode="External"/><Relationship Id="rId496" Type="http://schemas.openxmlformats.org/officeDocument/2006/relationships/hyperlink" Target="https://pbs.twimg.com/profile_images/681576688258576389/mxs8SoHc_normal.png" TargetMode="External"/><Relationship Id="rId2177" Type="http://schemas.openxmlformats.org/officeDocument/2006/relationships/hyperlink" Target="https://twitter.com/mbesch/status/721956585216598016" TargetMode="External"/><Relationship Id="rId2591" Type="http://schemas.openxmlformats.org/officeDocument/2006/relationships/hyperlink" Target="https://twitter.com/JETZT_PRde/status/722065658226339840" TargetMode="External"/><Relationship Id="rId3228" Type="http://schemas.openxmlformats.org/officeDocument/2006/relationships/hyperlink" Target="https://pbs.twimg.com/profile_images/566986293888835584/_uYTcau__normal.png" TargetMode="External"/><Relationship Id="rId3642" Type="http://schemas.openxmlformats.org/officeDocument/2006/relationships/hyperlink" Target="https://twitter.com/Balluff/status/722394274453708800" TargetMode="External"/><Relationship Id="rId6798" Type="http://schemas.openxmlformats.org/officeDocument/2006/relationships/hyperlink" Target="https://pbs.twimg.com/profile_images/576811691255599105/UYnWKLB6_normal.jpeg" TargetMode="External"/><Relationship Id="rId7849" Type="http://schemas.openxmlformats.org/officeDocument/2006/relationships/hyperlink" Target="https://twitter.com/ReboredoPedro" TargetMode="External"/><Relationship Id="rId149" Type="http://schemas.openxmlformats.org/officeDocument/2006/relationships/hyperlink" Target="https://twitter.com/3D_Genuity/status/720520712960765952" TargetMode="External"/><Relationship Id="rId563" Type="http://schemas.openxmlformats.org/officeDocument/2006/relationships/hyperlink" Target="https://twitter.com/logistiknews" TargetMode="External"/><Relationship Id="rId1193" Type="http://schemas.openxmlformats.org/officeDocument/2006/relationships/hyperlink" Target="https://twitter.com/ASUG_BI/status/720917900618571776" TargetMode="External"/><Relationship Id="rId2244" Type="http://schemas.openxmlformats.org/officeDocument/2006/relationships/hyperlink" Target="https://pbs.twimg.com/profile_images/525238384826916865/_iZAE1sU_normal.jpeg" TargetMode="External"/><Relationship Id="rId9271" Type="http://schemas.openxmlformats.org/officeDocument/2006/relationships/hyperlink" Target="https://pbs.twimg.com/profile_images/663668561366245376/2ovYiiJf_normal.jpg" TargetMode="External"/><Relationship Id="rId216" Type="http://schemas.openxmlformats.org/officeDocument/2006/relationships/hyperlink" Target="https://pbs.twimg.com/profile_images/1863161460/SW_Bild_normal.JPG" TargetMode="External"/><Relationship Id="rId1260" Type="http://schemas.openxmlformats.org/officeDocument/2006/relationships/hyperlink" Target="https://pbs.twimg.com/profile_images/712650491361157121/__DqibYq_normal.jpg" TargetMode="External"/><Relationship Id="rId6865" Type="http://schemas.openxmlformats.org/officeDocument/2006/relationships/hyperlink" Target="https://twitter.com/INDIZbot" TargetMode="External"/><Relationship Id="rId7916" Type="http://schemas.openxmlformats.org/officeDocument/2006/relationships/hyperlink" Target="https://twitter.com/osanten/status/723462535656144896" TargetMode="External"/><Relationship Id="rId630" Type="http://schemas.openxmlformats.org/officeDocument/2006/relationships/hyperlink" Target="https://twitter.com/awesigs/status/720646748570574848" TargetMode="External"/><Relationship Id="rId2311" Type="http://schemas.openxmlformats.org/officeDocument/2006/relationships/hyperlink" Target="http://ingenieur.de/" TargetMode="External"/><Relationship Id="rId4069" Type="http://schemas.openxmlformats.org/officeDocument/2006/relationships/hyperlink" Target="https://pbs.twimg.com/profile_images/662723326096224256/5V4KH9_O_normal.jpg" TargetMode="External"/><Relationship Id="rId5467" Type="http://schemas.openxmlformats.org/officeDocument/2006/relationships/hyperlink" Target="https://twitter.com/H_IT_D/status/722812966031138816" TargetMode="External"/><Relationship Id="rId5881" Type="http://schemas.openxmlformats.org/officeDocument/2006/relationships/hyperlink" Target="https://pbs.twimg.com/profile_images/448785978165968896/SQOcI8cJ_normal.png" TargetMode="External"/><Relationship Id="rId6518" Type="http://schemas.openxmlformats.org/officeDocument/2006/relationships/hyperlink" Target="https://twitter.com/INDIZbot" TargetMode="External"/><Relationship Id="rId6932" Type="http://schemas.openxmlformats.org/officeDocument/2006/relationships/hyperlink" Target="https://twitter.com/INDIZbot/status/723192504774963200" TargetMode="External"/><Relationship Id="rId4483" Type="http://schemas.openxmlformats.org/officeDocument/2006/relationships/hyperlink" Target="https://twitter.com/Westfalenlob" TargetMode="External"/><Relationship Id="rId5534" Type="http://schemas.openxmlformats.org/officeDocument/2006/relationships/hyperlink" Target="https://pbs.twimg.com/profile_images/639837071213993984/W3GFbdQL_normal.png" TargetMode="External"/><Relationship Id="rId3085" Type="http://schemas.openxmlformats.org/officeDocument/2006/relationships/hyperlink" Target="https://twitter.com/StipoNad/status/722312300863074305" TargetMode="External"/><Relationship Id="rId4136" Type="http://schemas.openxmlformats.org/officeDocument/2006/relationships/hyperlink" Target="https://pbs.twimg.com/profile_images/623849156159868928/BetFDR_i_normal.jpg" TargetMode="External"/><Relationship Id="rId4550" Type="http://schemas.openxmlformats.org/officeDocument/2006/relationships/hyperlink" Target="https://pbs.twimg.com/profile_images/645716711723925506/t5G0qOS6_normal.jpg" TargetMode="External"/><Relationship Id="rId5601" Type="http://schemas.openxmlformats.org/officeDocument/2006/relationships/hyperlink" Target="https://twitter.com/kommoptimierer" TargetMode="External"/><Relationship Id="rId8757" Type="http://schemas.openxmlformats.org/officeDocument/2006/relationships/hyperlink" Target="https://pbs.twimg.com/profile_images/687354058798137344/Vzvo0AAu_normal.jpg" TargetMode="External"/><Relationship Id="rId9808" Type="http://schemas.openxmlformats.org/officeDocument/2006/relationships/hyperlink" Target="https://twitter.com/MesseJournalist" TargetMode="External"/><Relationship Id="rId3152" Type="http://schemas.openxmlformats.org/officeDocument/2006/relationships/hyperlink" Target="https://pbs.twimg.com/profile_images/515113341606309888/jm5A2fjM_normal.jpeg" TargetMode="External"/><Relationship Id="rId4203" Type="http://schemas.openxmlformats.org/officeDocument/2006/relationships/hyperlink" Target="https://twitter.com/INDIZbot" TargetMode="External"/><Relationship Id="rId7359" Type="http://schemas.openxmlformats.org/officeDocument/2006/relationships/hyperlink" Target="https://twitter.com/IT2Industry/status/723402444193964032" TargetMode="External"/><Relationship Id="rId7773" Type="http://schemas.openxmlformats.org/officeDocument/2006/relationships/hyperlink" Target="https://twitter.com/Samarelli75" TargetMode="External"/><Relationship Id="rId8824" Type="http://schemas.openxmlformats.org/officeDocument/2006/relationships/hyperlink" Target="https://twitter.com/INDIZbot" TargetMode="External"/><Relationship Id="rId6375" Type="http://schemas.openxmlformats.org/officeDocument/2006/relationships/hyperlink" Target="https://twitter.com/TechXB/status/723117235624116225" TargetMode="External"/><Relationship Id="rId7426" Type="http://schemas.openxmlformats.org/officeDocument/2006/relationships/hyperlink" Target="https://twitter.com/rajesh266" TargetMode="External"/><Relationship Id="rId140" Type="http://schemas.openxmlformats.org/officeDocument/2006/relationships/hyperlink" Target="https://twitter.com/H_IT_D/status/720518815587565568" TargetMode="External"/><Relationship Id="rId3969" Type="http://schemas.openxmlformats.org/officeDocument/2006/relationships/hyperlink" Target="https://twitter.com/VR_Nachrichten/status/722462571996049408" TargetMode="External"/><Relationship Id="rId5391" Type="http://schemas.openxmlformats.org/officeDocument/2006/relationships/hyperlink" Target="https://twitter.com/ITK_OWL/status/722797541398601728" TargetMode="External"/><Relationship Id="rId6028" Type="http://schemas.openxmlformats.org/officeDocument/2006/relationships/hyperlink" Target="https://pbs.twimg.com/profile_images/576038384629469184/KCHV0Anq_normal.png" TargetMode="External"/><Relationship Id="rId7840" Type="http://schemas.openxmlformats.org/officeDocument/2006/relationships/hyperlink" Target="https://twitter.com/INDIZbot" TargetMode="External"/><Relationship Id="rId9598" Type="http://schemas.openxmlformats.org/officeDocument/2006/relationships/hyperlink" Target="https://pbs.twimg.com/profile_images/664870663304384512/Kiuf736S_normal.jpg" TargetMode="External"/><Relationship Id="rId6" Type="http://schemas.openxmlformats.org/officeDocument/2006/relationships/hyperlink" Target="https://pbs.twimg.com/profile_images/666899981706596352/tDP71eXm_normal.jpg" TargetMode="External"/><Relationship Id="rId2985" Type="http://schemas.openxmlformats.org/officeDocument/2006/relationships/hyperlink" Target="https://twitter.com/davidgreeny1/status/722260710051418114" TargetMode="External"/><Relationship Id="rId5044" Type="http://schemas.openxmlformats.org/officeDocument/2006/relationships/hyperlink" Target="https://twitter.com/SHC_GmbH" TargetMode="External"/><Relationship Id="rId6442" Type="http://schemas.openxmlformats.org/officeDocument/2006/relationships/hyperlink" Target="https://pbs.twimg.com/profile_images/600969802908356609/3JqGMg38_normal.png" TargetMode="External"/><Relationship Id="rId957" Type="http://schemas.openxmlformats.org/officeDocument/2006/relationships/hyperlink" Target="https://pbs.twimg.com/profile_images/693010392457613312/Rc-X9TLT_normal.jpg" TargetMode="External"/><Relationship Id="rId1587" Type="http://schemas.openxmlformats.org/officeDocument/2006/relationships/hyperlink" Target="https://pbs.twimg.com/profile_images/666911961599315968/aP7ID_qm_normal.png" TargetMode="External"/><Relationship Id="rId2638" Type="http://schemas.openxmlformats.org/officeDocument/2006/relationships/hyperlink" Target="https://pbs.twimg.com/profile_images/458898668217585664/llSPBSxP_normal.jpeg" TargetMode="External"/><Relationship Id="rId9665" Type="http://schemas.openxmlformats.org/officeDocument/2006/relationships/hyperlink" Target="https://twitter.com/FrankTobiasBaur" TargetMode="External"/><Relationship Id="rId1654" Type="http://schemas.openxmlformats.org/officeDocument/2006/relationships/hyperlink" Target="https://twitter.com/IoTMinded" TargetMode="External"/><Relationship Id="rId2705" Type="http://schemas.openxmlformats.org/officeDocument/2006/relationships/hyperlink" Target="https://pbs.twimg.com/profile_images/686153219328872448/sWdOqu2g_normal.jpg" TargetMode="External"/><Relationship Id="rId4060" Type="http://schemas.openxmlformats.org/officeDocument/2006/relationships/hyperlink" Target="https://pbs.twimg.com/profile_images/713021101106995200/w4EIzjMN_normal.jpg" TargetMode="External"/><Relationship Id="rId5111" Type="http://schemas.openxmlformats.org/officeDocument/2006/relationships/hyperlink" Target="https://twitter.com/IoTMinded/status/722759857351344128" TargetMode="External"/><Relationship Id="rId8267" Type="http://schemas.openxmlformats.org/officeDocument/2006/relationships/hyperlink" Target="https://pbs.twimg.com/profile_images/669853588152283137/mqKB9aP__normal.jpg" TargetMode="External"/><Relationship Id="rId8681" Type="http://schemas.openxmlformats.org/officeDocument/2006/relationships/hyperlink" Target="https://twitter.com/INDIZbot/status/723783996883255296" TargetMode="External"/><Relationship Id="rId9318" Type="http://schemas.openxmlformats.org/officeDocument/2006/relationships/hyperlink" Target="https://twitter.com/sas_d/status/724138305147813888" TargetMode="External"/><Relationship Id="rId9732" Type="http://schemas.openxmlformats.org/officeDocument/2006/relationships/hyperlink" Target="https://twitter.com/INDIZbot" TargetMode="External"/><Relationship Id="rId10197" Type="http://schemas.openxmlformats.org/officeDocument/2006/relationships/hyperlink" Target="https://pbs.twimg.com/profile_images/518189608098869249/udoveSaH_normal.jpeg" TargetMode="External"/><Relationship Id="rId1307" Type="http://schemas.openxmlformats.org/officeDocument/2006/relationships/hyperlink" Target="https://twitter.com/ROKAutoCHIT/status/720952375981133824" TargetMode="External"/><Relationship Id="rId1721" Type="http://schemas.openxmlformats.org/officeDocument/2006/relationships/hyperlink" Target="https://twitter.com/INDIZbot/status/721327710312742913" TargetMode="External"/><Relationship Id="rId4877" Type="http://schemas.openxmlformats.org/officeDocument/2006/relationships/hyperlink" Target="https://pbs.twimg.com/profile_images/641488437963542528/ImZ4D7sS_normal.jpg" TargetMode="External"/><Relationship Id="rId5928" Type="http://schemas.openxmlformats.org/officeDocument/2006/relationships/hyperlink" Target="https://twitter.com/H_IT_D/status/723062174227132417" TargetMode="External"/><Relationship Id="rId7283" Type="http://schemas.openxmlformats.org/officeDocument/2006/relationships/hyperlink" Target="https://twitter.com/LNI40/status/723391614928855041" TargetMode="External"/><Relationship Id="rId8334" Type="http://schemas.openxmlformats.org/officeDocument/2006/relationships/hyperlink" Target="https://twitter.com/lukaspfeiffer" TargetMode="External"/><Relationship Id="rId10264" Type="http://schemas.openxmlformats.org/officeDocument/2006/relationships/hyperlink" Target="https://twitter.com/JpIndustryNews" TargetMode="External"/><Relationship Id="rId13" Type="http://schemas.openxmlformats.org/officeDocument/2006/relationships/hyperlink" Target="https://twitter.com/MichaGUERIN" TargetMode="External"/><Relationship Id="rId3479" Type="http://schemas.openxmlformats.org/officeDocument/2006/relationships/hyperlink" Target="https://twitter.com/Bitkom_I40" TargetMode="External"/><Relationship Id="rId7350" Type="http://schemas.openxmlformats.org/officeDocument/2006/relationships/hyperlink" Target="https://twitter.com/INDIZbot/status/723401291616002051" TargetMode="External"/><Relationship Id="rId8401" Type="http://schemas.openxmlformats.org/officeDocument/2006/relationships/hyperlink" Target="http://telematik-markt.de/" TargetMode="External"/><Relationship Id="rId2495" Type="http://schemas.openxmlformats.org/officeDocument/2006/relationships/hyperlink" Target="https://twitter.com/verlinked/status/722047122720165888" TargetMode="External"/><Relationship Id="rId3893" Type="http://schemas.openxmlformats.org/officeDocument/2006/relationships/hyperlink" Target="https://twitter.com/OliverS2010" TargetMode="External"/><Relationship Id="rId4944" Type="http://schemas.openxmlformats.org/officeDocument/2006/relationships/hyperlink" Target="https://twitter.com/kommoptimierer" TargetMode="External"/><Relationship Id="rId7003" Type="http://schemas.openxmlformats.org/officeDocument/2006/relationships/hyperlink" Target="https://twitter.com/computerdoktor" TargetMode="External"/><Relationship Id="rId10331" Type="http://schemas.openxmlformats.org/officeDocument/2006/relationships/hyperlink" Target="https://twitter.com/3dindustries/status/724468793884422144" TargetMode="External"/><Relationship Id="rId467" Type="http://schemas.openxmlformats.org/officeDocument/2006/relationships/hyperlink" Target="https://twitter.com/abasERP" TargetMode="External"/><Relationship Id="rId1097" Type="http://schemas.openxmlformats.org/officeDocument/2006/relationships/hyperlink" Target="https://twitter.com/INDIZbot/status/720899809692028928" TargetMode="External"/><Relationship Id="rId2148" Type="http://schemas.openxmlformats.org/officeDocument/2006/relationships/hyperlink" Target="https://pbs.twimg.com/profile_images/648137141999017989/QfJy2m6F_normal.png" TargetMode="External"/><Relationship Id="rId3546" Type="http://schemas.openxmlformats.org/officeDocument/2006/relationships/hyperlink" Target="https://twitter.com/INDIZbot/status/722374665616887808" TargetMode="External"/><Relationship Id="rId3960" Type="http://schemas.openxmlformats.org/officeDocument/2006/relationships/hyperlink" Target="https://twitter.com/Rhenatic/status/722461750155677698" TargetMode="External"/><Relationship Id="rId9175" Type="http://schemas.openxmlformats.org/officeDocument/2006/relationships/hyperlink" Target="https://pbs.twimg.com/profile_images/502517483262443520/36kKzSvE_normal.jpeg" TargetMode="External"/><Relationship Id="rId881" Type="http://schemas.openxmlformats.org/officeDocument/2006/relationships/hyperlink" Target="https://pbs.twimg.com/profile_images/661569725550469124/-Uzw8rQt_normal.jpg" TargetMode="External"/><Relationship Id="rId2562" Type="http://schemas.openxmlformats.org/officeDocument/2006/relationships/hyperlink" Target="https://twitter.com/INDIZbot" TargetMode="External"/><Relationship Id="rId3613" Type="http://schemas.openxmlformats.org/officeDocument/2006/relationships/hyperlink" Target="https://pbs.twimg.com/profile_images/692972607147241475/7hLZ4f9M_normal.jpg" TargetMode="External"/><Relationship Id="rId6769" Type="http://schemas.openxmlformats.org/officeDocument/2006/relationships/hyperlink" Target="https://twitter.com/mohamedanis" TargetMode="External"/><Relationship Id="rId534" Type="http://schemas.openxmlformats.org/officeDocument/2006/relationships/hyperlink" Target="https://twitter.com/jsbond/status/720614816524734465" TargetMode="External"/><Relationship Id="rId1164" Type="http://schemas.openxmlformats.org/officeDocument/2006/relationships/hyperlink" Target="https://pbs.twimg.com/profile_images/608288196506456064/4N_hoRll_normal.png" TargetMode="External"/><Relationship Id="rId2215" Type="http://schemas.openxmlformats.org/officeDocument/2006/relationships/hyperlink" Target="https://twitter.com/Angela_Josephs" TargetMode="External"/><Relationship Id="rId5785" Type="http://schemas.openxmlformats.org/officeDocument/2006/relationships/hyperlink" Target="https://twitter.com/VDI_News/status/723041087632334849" TargetMode="External"/><Relationship Id="rId6836" Type="http://schemas.openxmlformats.org/officeDocument/2006/relationships/hyperlink" Target="https://twitter.com/DCExperten/status/723179253823606784" TargetMode="External"/><Relationship Id="rId8191" Type="http://schemas.openxmlformats.org/officeDocument/2006/relationships/hyperlink" Target="https://twitter.com/INDIZbot/status/723509870708690945" TargetMode="External"/><Relationship Id="rId9242" Type="http://schemas.openxmlformats.org/officeDocument/2006/relationships/hyperlink" Target="https://twitter.com/RIC_GRANAD0S" TargetMode="External"/><Relationship Id="rId601" Type="http://schemas.openxmlformats.org/officeDocument/2006/relationships/hyperlink" Target="https://pbs.twimg.com/profile_images/690957065490161664/Nat2upS4_normal.jpg" TargetMode="External"/><Relationship Id="rId1231" Type="http://schemas.openxmlformats.org/officeDocument/2006/relationships/hyperlink" Target="https://twitter.com/verlinked" TargetMode="External"/><Relationship Id="rId4387" Type="http://schemas.openxmlformats.org/officeDocument/2006/relationships/hyperlink" Target="https://twitter.com/LesolSA/status/722685128829485056" TargetMode="External"/><Relationship Id="rId5438" Type="http://schemas.openxmlformats.org/officeDocument/2006/relationships/hyperlink" Target="https://pbs.twimg.com/profile_images/664500546099912704/hBqsuX6w_normal.jpg" TargetMode="External"/><Relationship Id="rId5852" Type="http://schemas.openxmlformats.org/officeDocument/2006/relationships/hyperlink" Target="https://twitter.com/INDIZbot" TargetMode="External"/><Relationship Id="rId4454" Type="http://schemas.openxmlformats.org/officeDocument/2006/relationships/hyperlink" Target="https://twitter.com/hjvsch/status/722696188303175680" TargetMode="External"/><Relationship Id="rId5505" Type="http://schemas.openxmlformats.org/officeDocument/2006/relationships/hyperlink" Target="https://twitter.com/INDIZbot" TargetMode="External"/><Relationship Id="rId6903" Type="http://schemas.openxmlformats.org/officeDocument/2006/relationships/hyperlink" Target="https://pbs.twimg.com/profile_images/1860086699/antoine.thomas-gerard_normal.jpg" TargetMode="External"/><Relationship Id="rId3056" Type="http://schemas.openxmlformats.org/officeDocument/2006/relationships/hyperlink" Target="https://pbs.twimg.com/profile_images/542216146800234497/U-yDAvbZ_normal.png" TargetMode="External"/><Relationship Id="rId3470" Type="http://schemas.openxmlformats.org/officeDocument/2006/relationships/hyperlink" Target="https://twitter.com/BILZ_DE" TargetMode="External"/><Relationship Id="rId4107" Type="http://schemas.openxmlformats.org/officeDocument/2006/relationships/hyperlink" Target="https://twitter.com/Angela_Josephs" TargetMode="External"/><Relationship Id="rId391" Type="http://schemas.openxmlformats.org/officeDocument/2006/relationships/hyperlink" Target="https://twitter.com/ZVEIorg" TargetMode="External"/><Relationship Id="rId2072" Type="http://schemas.openxmlformats.org/officeDocument/2006/relationships/hyperlink" Target="https://pbs.twimg.com/profile_images/592943995879297024/UjTKpVKt_normal.png" TargetMode="External"/><Relationship Id="rId3123" Type="http://schemas.openxmlformats.org/officeDocument/2006/relationships/hyperlink" Target="https://twitter.com/LReehten" TargetMode="External"/><Relationship Id="rId4521" Type="http://schemas.openxmlformats.org/officeDocument/2006/relationships/hyperlink" Target="https://twitter.com/ZVEIorg" TargetMode="External"/><Relationship Id="rId6279" Type="http://schemas.openxmlformats.org/officeDocument/2006/relationships/hyperlink" Target="https://twitter.com/prxpragma/status/723101523018809344" TargetMode="External"/><Relationship Id="rId7677" Type="http://schemas.openxmlformats.org/officeDocument/2006/relationships/hyperlink" Target="https://twitter.com/s_w_weyer" TargetMode="External"/><Relationship Id="rId8728" Type="http://schemas.openxmlformats.org/officeDocument/2006/relationships/hyperlink" Target="https://twitter.com/verlinked" TargetMode="External"/><Relationship Id="rId6693" Type="http://schemas.openxmlformats.org/officeDocument/2006/relationships/hyperlink" Target="https://pbs.twimg.com/profile_images/694165875960717312/CoEHMkw6_normal.png" TargetMode="External"/><Relationship Id="rId7744" Type="http://schemas.openxmlformats.org/officeDocument/2006/relationships/hyperlink" Target="https://twitter.com/WakeUpMob/status/723429991346638848" TargetMode="External"/><Relationship Id="rId2889" Type="http://schemas.openxmlformats.org/officeDocument/2006/relationships/hyperlink" Target="https://twitter.com/mfritz_fhg/status/722149470159417344" TargetMode="External"/><Relationship Id="rId5295" Type="http://schemas.openxmlformats.org/officeDocument/2006/relationships/hyperlink" Target="https://pbs.twimg.com/profile_images/601673968551075840/MnulnKkj_normal.png" TargetMode="External"/><Relationship Id="rId6346" Type="http://schemas.openxmlformats.org/officeDocument/2006/relationships/hyperlink" Target="https://twitter.com/ROKAutomationAT" TargetMode="External"/><Relationship Id="rId6760" Type="http://schemas.openxmlformats.org/officeDocument/2006/relationships/hyperlink" Target="https://twitter.com/nitinkolwadkar" TargetMode="External"/><Relationship Id="rId7811" Type="http://schemas.openxmlformats.org/officeDocument/2006/relationships/hyperlink" Target="https://twitter.com/viermac/status/723440002827329536" TargetMode="External"/><Relationship Id="rId111" Type="http://schemas.openxmlformats.org/officeDocument/2006/relationships/hyperlink" Target="https://pbs.twimg.com/profile_images/672817485134045185/q-VTXmOg_normal.jpg" TargetMode="External"/><Relationship Id="rId2956" Type="http://schemas.openxmlformats.org/officeDocument/2006/relationships/hyperlink" Target="https://pbs.twimg.com/profile_images/645716711723925506/t5G0qOS6_normal.jpg" TargetMode="External"/><Relationship Id="rId5362" Type="http://schemas.openxmlformats.org/officeDocument/2006/relationships/hyperlink" Target="https://pbs.twimg.com/profile_images/645716711723925506/t5G0qOS6_normal.jpg" TargetMode="External"/><Relationship Id="rId6413" Type="http://schemas.openxmlformats.org/officeDocument/2006/relationships/hyperlink" Target="https://twitter.com/fhnw_i4ds" TargetMode="External"/><Relationship Id="rId9569" Type="http://schemas.openxmlformats.org/officeDocument/2006/relationships/hyperlink" Target="https://twitter.com/MiceliMarcello" TargetMode="External"/><Relationship Id="rId9983" Type="http://schemas.openxmlformats.org/officeDocument/2006/relationships/hyperlink" Target="https://twitter.com/INDIZbot/status/724292109260476417" TargetMode="External"/><Relationship Id="rId928" Type="http://schemas.openxmlformats.org/officeDocument/2006/relationships/hyperlink" Target="https://twitter.com/VDMAonline/status/720869360458305536" TargetMode="External"/><Relationship Id="rId1558" Type="http://schemas.openxmlformats.org/officeDocument/2006/relationships/hyperlink" Target="https://twitter.com/MatteoSeghezzi" TargetMode="External"/><Relationship Id="rId2609" Type="http://schemas.openxmlformats.org/officeDocument/2006/relationships/hyperlink" Target="https://twitter.com/INDIZbot/status/722067761304834049" TargetMode="External"/><Relationship Id="rId5015" Type="http://schemas.openxmlformats.org/officeDocument/2006/relationships/hyperlink" Target="https://twitter.com/UweKubach/status/722748874570481664" TargetMode="External"/><Relationship Id="rId8585" Type="http://schemas.openxmlformats.org/officeDocument/2006/relationships/hyperlink" Target="https://twitter.com/ProdMgrNet/status/723758786167578625" TargetMode="External"/><Relationship Id="rId9636" Type="http://schemas.openxmlformats.org/officeDocument/2006/relationships/hyperlink" Target="https://twitter.com/Paderbornersj/status/724224029603835904" TargetMode="External"/><Relationship Id="rId1972" Type="http://schemas.openxmlformats.org/officeDocument/2006/relationships/hyperlink" Target="https://twitter.com/verlinked/status/721684663001939971" TargetMode="External"/><Relationship Id="rId4031" Type="http://schemas.openxmlformats.org/officeDocument/2006/relationships/hyperlink" Target="https://twitter.com/INDIZbot" TargetMode="External"/><Relationship Id="rId7187" Type="http://schemas.openxmlformats.org/officeDocument/2006/relationships/hyperlink" Target="https://twitter.com/Evolutivist/status/723373319689363457" TargetMode="External"/><Relationship Id="rId8238" Type="http://schemas.openxmlformats.org/officeDocument/2006/relationships/hyperlink" Target="https://twitter.com/hzl_fk" TargetMode="External"/><Relationship Id="rId10168" Type="http://schemas.openxmlformats.org/officeDocument/2006/relationships/hyperlink" Target="https://twitter.com/INDIZbot" TargetMode="External"/><Relationship Id="rId1625" Type="http://schemas.openxmlformats.org/officeDocument/2006/relationships/hyperlink" Target="https://twitter.com/virtualgarry/status/721249707994058752" TargetMode="External"/><Relationship Id="rId7254" Type="http://schemas.openxmlformats.org/officeDocument/2006/relationships/hyperlink" Target="https://pbs.twimg.com/profile_images/604338428227010560/6jzSa8us_normal.png" TargetMode="External"/><Relationship Id="rId8305" Type="http://schemas.openxmlformats.org/officeDocument/2006/relationships/hyperlink" Target="https://twitter.com/WSWMUC/status/723528810587627520" TargetMode="External"/><Relationship Id="rId8652" Type="http://schemas.openxmlformats.org/officeDocument/2006/relationships/hyperlink" Target="https://pbs.twimg.com/profile_images/412571371193913344/5ICZcXXO_normal.jpeg" TargetMode="External"/><Relationship Id="rId9703" Type="http://schemas.openxmlformats.org/officeDocument/2006/relationships/hyperlink" Target="https://pbs.twimg.com/profile_images/2619086509/ld3z97zhhdbs2essw7s9_normal.jpeg" TargetMode="External"/><Relationship Id="rId3797" Type="http://schemas.openxmlformats.org/officeDocument/2006/relationships/hyperlink" Target="https://twitter.com/H_IT_D" TargetMode="External"/><Relationship Id="rId4848" Type="http://schemas.openxmlformats.org/officeDocument/2006/relationships/hyperlink" Target="https://twitter.com/Gensearch_GER" TargetMode="External"/><Relationship Id="rId10235" Type="http://schemas.openxmlformats.org/officeDocument/2006/relationships/hyperlink" Target="https://twitter.com/H_IT_D/status/724379330084638720" TargetMode="External"/><Relationship Id="rId2399" Type="http://schemas.openxmlformats.org/officeDocument/2006/relationships/hyperlink" Target="https://twitter.com/H_IT_D/status/722010642048155648" TargetMode="External"/><Relationship Id="rId3864" Type="http://schemas.openxmlformats.org/officeDocument/2006/relationships/hyperlink" Target="https://twitter.com/HolgerPaul66/status/722444255155916801" TargetMode="External"/><Relationship Id="rId4915" Type="http://schemas.openxmlformats.org/officeDocument/2006/relationships/hyperlink" Target="https://twitter.com/Industrie2025/status/722735267493318656" TargetMode="External"/><Relationship Id="rId6270" Type="http://schemas.openxmlformats.org/officeDocument/2006/relationships/hyperlink" Target="https://twitter.com/WTI_FfM/status/723098361356677120" TargetMode="External"/><Relationship Id="rId7321" Type="http://schemas.openxmlformats.org/officeDocument/2006/relationships/hyperlink" Target="https://pbs.twimg.com/profile_images/645716711723925506/t5G0qOS6_normal.jpg" TargetMode="External"/><Relationship Id="rId10302" Type="http://schemas.openxmlformats.org/officeDocument/2006/relationships/hyperlink" Target="https://pbs.twimg.com/profile_images/662723326096224256/5V4KH9_O_normal.jpg" TargetMode="External"/><Relationship Id="rId785" Type="http://schemas.openxmlformats.org/officeDocument/2006/relationships/hyperlink" Target="https://twitter.com/hermvdbeek" TargetMode="External"/><Relationship Id="rId2466" Type="http://schemas.openxmlformats.org/officeDocument/2006/relationships/hyperlink" Target="https://pbs.twimg.com/profile_images/685327213/Apandia_normal.gif" TargetMode="External"/><Relationship Id="rId2880" Type="http://schemas.openxmlformats.org/officeDocument/2006/relationships/hyperlink" Target="https://pbs.twimg.com/profile_images/378800000469654535/d6e6590d04309613d6212d9faa51241b_normal.jpeg" TargetMode="External"/><Relationship Id="rId3517" Type="http://schemas.openxmlformats.org/officeDocument/2006/relationships/hyperlink" Target="https://pbs.twimg.com/profile_images/595629691249233920/PnZxF5UO_normal.jpg" TargetMode="External"/><Relationship Id="rId3931" Type="http://schemas.openxmlformats.org/officeDocument/2006/relationships/hyperlink" Target="https://pbs.twimg.com/profile_images/419443300631064576/z6p0EaBD_normal.jpeg" TargetMode="External"/><Relationship Id="rId9079" Type="http://schemas.openxmlformats.org/officeDocument/2006/relationships/hyperlink" Target="https://pbs.twimg.com/profile_images/412569658013659136/d9TwrZXg_normal.jpeg" TargetMode="External"/><Relationship Id="rId9493" Type="http://schemas.openxmlformats.org/officeDocument/2006/relationships/hyperlink" Target="https://pbs.twimg.com/profile_images/593054907936186369/zjxLhMTm_normal.jpg" TargetMode="External"/><Relationship Id="rId438" Type="http://schemas.openxmlformats.org/officeDocument/2006/relationships/hyperlink" Target="https://pbs.twimg.com/profile_images/713459590608855041/fYp1lxGW_normal.jpg" TargetMode="External"/><Relationship Id="rId852" Type="http://schemas.openxmlformats.org/officeDocument/2006/relationships/hyperlink" Target="https://twitter.com/DrBorisOtto" TargetMode="External"/><Relationship Id="rId1068" Type="http://schemas.openxmlformats.org/officeDocument/2006/relationships/hyperlink" Target="https://pbs.twimg.com/profile_images/635427906156687360/0vmdK-xU_normal.jpg" TargetMode="External"/><Relationship Id="rId1482" Type="http://schemas.openxmlformats.org/officeDocument/2006/relationships/hyperlink" Target="https://pbs.twimg.com/profile_images/524497009311354882/cGr5KIAg_normal.jpeg" TargetMode="External"/><Relationship Id="rId2119" Type="http://schemas.openxmlformats.org/officeDocument/2006/relationships/hyperlink" Target="https://twitter.com/ScopeOnline/status/721932275550707712" TargetMode="External"/><Relationship Id="rId2533" Type="http://schemas.openxmlformats.org/officeDocument/2006/relationships/hyperlink" Target="https://twitter.com/derPaddy/status/722054093938810880" TargetMode="External"/><Relationship Id="rId5689" Type="http://schemas.openxmlformats.org/officeDocument/2006/relationships/hyperlink" Target="https://twitter.com/H_IT_D/status/722938963174887424" TargetMode="External"/><Relationship Id="rId8095" Type="http://schemas.openxmlformats.org/officeDocument/2006/relationships/hyperlink" Target="https://pbs.twimg.com/profile_images/667622351345950720/HAHOiaMn_normal.jpg" TargetMode="External"/><Relationship Id="rId9146" Type="http://schemas.openxmlformats.org/officeDocument/2006/relationships/hyperlink" Target="https://twitter.com/sallyafrank" TargetMode="External"/><Relationship Id="rId9560" Type="http://schemas.openxmlformats.org/officeDocument/2006/relationships/hyperlink" Target="https://twitter.com/QuickFindsIn" TargetMode="External"/><Relationship Id="rId505" Type="http://schemas.openxmlformats.org/officeDocument/2006/relationships/hyperlink" Target="https://pbs.twimg.com/profile_images/595629691249233920/PnZxF5UO_normal.jpg" TargetMode="External"/><Relationship Id="rId1135" Type="http://schemas.openxmlformats.org/officeDocument/2006/relationships/hyperlink" Target="https://twitter.com/INDIZbot" TargetMode="External"/><Relationship Id="rId8162" Type="http://schemas.openxmlformats.org/officeDocument/2006/relationships/hyperlink" Target="https://twitter.com/INDIZbot" TargetMode="External"/><Relationship Id="rId9213" Type="http://schemas.openxmlformats.org/officeDocument/2006/relationships/hyperlink" Target="https://twitter.com/db_theblizz/status/723981188159946754" TargetMode="External"/><Relationship Id="rId10092" Type="http://schemas.openxmlformats.org/officeDocument/2006/relationships/hyperlink" Target="https://pbs.twimg.com/profile_images/612275728835547136/Bu0GljvX_normal.jpg" TargetMode="External"/><Relationship Id="rId1202" Type="http://schemas.openxmlformats.org/officeDocument/2006/relationships/hyperlink" Target="https://twitter.com/FACTS4WORKERS/status/720921636669689856" TargetMode="External"/><Relationship Id="rId2600" Type="http://schemas.openxmlformats.org/officeDocument/2006/relationships/hyperlink" Target="https://twitter.com/INDIZbot/status/722067579532091392" TargetMode="External"/><Relationship Id="rId4358" Type="http://schemas.openxmlformats.org/officeDocument/2006/relationships/hyperlink" Target="https://pbs.twimg.com/profile_images/597697532958011392/kZeBXJZV_normal.png" TargetMode="External"/><Relationship Id="rId5409" Type="http://schemas.openxmlformats.org/officeDocument/2006/relationships/hyperlink" Target="https://twitter.com/JanFirsching/status/722798848918294529" TargetMode="External"/><Relationship Id="rId5756" Type="http://schemas.openxmlformats.org/officeDocument/2006/relationships/hyperlink" Target="https://pbs.twimg.com/profile_images/714369025355202560/vNKUaCLA_normal.jpg" TargetMode="External"/><Relationship Id="rId6807" Type="http://schemas.openxmlformats.org/officeDocument/2006/relationships/hyperlink" Target="https://pbs.twimg.com/profile_images/2201583254/image_normal.jpg" TargetMode="External"/><Relationship Id="rId4772" Type="http://schemas.openxmlformats.org/officeDocument/2006/relationships/hyperlink" Target="https://pbs.twimg.com/profile_images/572722352144666624/2G6VnJJx_normal.jpeg" TargetMode="External"/><Relationship Id="rId5823" Type="http://schemas.openxmlformats.org/officeDocument/2006/relationships/hyperlink" Target="https://pbs.twimg.com/profile_images/647052308170297344/Q29AIuZ__normal.jpg" TargetMode="External"/><Relationship Id="rId8979" Type="http://schemas.openxmlformats.org/officeDocument/2006/relationships/hyperlink" Target="https://pbs.twimg.com/profile_images/647914710881443840/oKXFSWYI_normal.jpg" TargetMode="External"/><Relationship Id="rId295" Type="http://schemas.openxmlformats.org/officeDocument/2006/relationships/hyperlink" Target="https://twitter.com/blaudoux" TargetMode="External"/><Relationship Id="rId3374" Type="http://schemas.openxmlformats.org/officeDocument/2006/relationships/hyperlink" Target="https://twitter.com/INDIZbot" TargetMode="External"/><Relationship Id="rId4425" Type="http://schemas.openxmlformats.org/officeDocument/2006/relationships/hyperlink" Target="https://twitter.com/ConstanzeKrehl" TargetMode="External"/><Relationship Id="rId7995" Type="http://schemas.openxmlformats.org/officeDocument/2006/relationships/hyperlink" Target="https://twitter.com/davidphotiade/status/723477031279824903" TargetMode="External"/><Relationship Id="rId2390" Type="http://schemas.openxmlformats.org/officeDocument/2006/relationships/hyperlink" Target="https://twitter.com/akquinet/status/722009788931026944" TargetMode="External"/><Relationship Id="rId3027" Type="http://schemas.openxmlformats.org/officeDocument/2006/relationships/hyperlink" Target="https://twitter.com/SchneiderElecDE" TargetMode="External"/><Relationship Id="rId3441" Type="http://schemas.openxmlformats.org/officeDocument/2006/relationships/hyperlink" Target="https://twitter.com/IoTMinded/status/722359798637981696" TargetMode="External"/><Relationship Id="rId6597" Type="http://schemas.openxmlformats.org/officeDocument/2006/relationships/hyperlink" Target="https://twitter.com/MelanieMoll1" TargetMode="External"/><Relationship Id="rId7648" Type="http://schemas.openxmlformats.org/officeDocument/2006/relationships/hyperlink" Target="https://twitter.com/INDIZbot/status/723421765209182208" TargetMode="External"/><Relationship Id="rId362" Type="http://schemas.openxmlformats.org/officeDocument/2006/relationships/hyperlink" Target="https://twitter.com/LeenenNils/status/720563420102332417" TargetMode="External"/><Relationship Id="rId2043" Type="http://schemas.openxmlformats.org/officeDocument/2006/relationships/hyperlink" Target="https://twitter.com/INDIZbot" TargetMode="External"/><Relationship Id="rId5199" Type="http://schemas.openxmlformats.org/officeDocument/2006/relationships/hyperlink" Target="https://twitter.com/Bitkom" TargetMode="External"/><Relationship Id="rId6664" Type="http://schemas.openxmlformats.org/officeDocument/2006/relationships/hyperlink" Target="https://twitter.com/VDEpolitik" TargetMode="External"/><Relationship Id="rId7715" Type="http://schemas.openxmlformats.org/officeDocument/2006/relationships/hyperlink" Target="https://pbs.twimg.com/profile_images/716951093406728192/N9bkGpwE_normal.jpg" TargetMode="External"/><Relationship Id="rId9070" Type="http://schemas.openxmlformats.org/officeDocument/2006/relationships/hyperlink" Target="https://pbs.twimg.com/profile_images/638459791808069633/jsEpsj5-_normal.jpg" TargetMode="External"/><Relationship Id="rId2110" Type="http://schemas.openxmlformats.org/officeDocument/2006/relationships/hyperlink" Target="https://twitter.com/ScopeOnline/status/721930674077364224" TargetMode="External"/><Relationship Id="rId5266" Type="http://schemas.openxmlformats.org/officeDocument/2006/relationships/hyperlink" Target="https://twitter.com/Ralf_Kuder" TargetMode="External"/><Relationship Id="rId5680" Type="http://schemas.openxmlformats.org/officeDocument/2006/relationships/hyperlink" Target="https://twitter.com/mhaller1979/status/722927599953969153" TargetMode="External"/><Relationship Id="rId6317" Type="http://schemas.openxmlformats.org/officeDocument/2006/relationships/hyperlink" Target="https://pbs.twimg.com/profile_images/573131119459090433/chvdSZ_E_normal.png" TargetMode="External"/><Relationship Id="rId9887" Type="http://schemas.openxmlformats.org/officeDocument/2006/relationships/hyperlink" Target="https://twitter.com/tuevnordpolitik/status/724275229061685248" TargetMode="External"/><Relationship Id="rId4282" Type="http://schemas.openxmlformats.org/officeDocument/2006/relationships/hyperlink" Target="https://twitter.com/ptrs_stein/status/722648739131846656" TargetMode="External"/><Relationship Id="rId5333" Type="http://schemas.openxmlformats.org/officeDocument/2006/relationships/hyperlink" Target="https://twitter.com/AfD_Fraktion_HH/status/722791773307678720" TargetMode="External"/><Relationship Id="rId6731" Type="http://schemas.openxmlformats.org/officeDocument/2006/relationships/hyperlink" Target="https://twitter.com/SGE/status/723166372847558656" TargetMode="External"/><Relationship Id="rId8489" Type="http://schemas.openxmlformats.org/officeDocument/2006/relationships/hyperlink" Target="https://twitter.com/INDIZbot/status/723600048693612545" TargetMode="External"/><Relationship Id="rId1876" Type="http://schemas.openxmlformats.org/officeDocument/2006/relationships/hyperlink" Target="https://pbs.twimg.com/profile_images/670627985410625536/8zMkHCVp_normal.jpg" TargetMode="External"/><Relationship Id="rId2927" Type="http://schemas.openxmlformats.org/officeDocument/2006/relationships/hyperlink" Target="https://twitter.com/TSchipanski" TargetMode="External"/><Relationship Id="rId9954" Type="http://schemas.openxmlformats.org/officeDocument/2006/relationships/hyperlink" Target="https://pbs.twimg.com/profile_images/635707143199571968/qylbWwZ3_normal.jpg" TargetMode="External"/><Relationship Id="rId1529" Type="http://schemas.openxmlformats.org/officeDocument/2006/relationships/hyperlink" Target="https://twitter.com/MauMatt/status/721058053337051136" TargetMode="External"/><Relationship Id="rId1943" Type="http://schemas.openxmlformats.org/officeDocument/2006/relationships/hyperlink" Target="https://twitter.com/INDIZbot" TargetMode="External"/><Relationship Id="rId5400" Type="http://schemas.openxmlformats.org/officeDocument/2006/relationships/hyperlink" Target="https://twitter.com/OasysSW/status/722798030571737088" TargetMode="External"/><Relationship Id="rId8556" Type="http://schemas.openxmlformats.org/officeDocument/2006/relationships/hyperlink" Target="https://pbs.twimg.com/profile_images/692017435269054464/uFlgRwyV_normal.jpg" TargetMode="External"/><Relationship Id="rId8970" Type="http://schemas.openxmlformats.org/officeDocument/2006/relationships/hyperlink" Target="https://pbs.twimg.com/profile_images/702049280098443264/NIaxL0xT_normal.png" TargetMode="External"/><Relationship Id="rId9607" Type="http://schemas.openxmlformats.org/officeDocument/2006/relationships/hyperlink" Target="https://pbs.twimg.com/profile_images/518189608098869249/udoveSaH_normal.jpeg" TargetMode="External"/><Relationship Id="rId4002" Type="http://schemas.openxmlformats.org/officeDocument/2006/relationships/hyperlink" Target="https://twitter.com/sinanick1/status/722467158329008128" TargetMode="External"/><Relationship Id="rId7158" Type="http://schemas.openxmlformats.org/officeDocument/2006/relationships/hyperlink" Target="https://pbs.twimg.com/profile_images/645716711723925506/t5G0qOS6_normal.jpg" TargetMode="External"/><Relationship Id="rId7572" Type="http://schemas.openxmlformats.org/officeDocument/2006/relationships/hyperlink" Target="https://twitter.com/SEWEURODRIVE" TargetMode="External"/><Relationship Id="rId8209" Type="http://schemas.openxmlformats.org/officeDocument/2006/relationships/hyperlink" Target="https://twitter.com/bgebot/status/723511745646612480" TargetMode="External"/><Relationship Id="rId8623" Type="http://schemas.openxmlformats.org/officeDocument/2006/relationships/hyperlink" Target="https://twitter.com/INDIZbot" TargetMode="External"/><Relationship Id="rId10139" Type="http://schemas.openxmlformats.org/officeDocument/2006/relationships/hyperlink" Target="https://twitter.com/max_streibl/status/724345509650026497" TargetMode="External"/><Relationship Id="rId3768" Type="http://schemas.openxmlformats.org/officeDocument/2006/relationships/hyperlink" Target="https://twitter.com/croXXing_IBD/status/722419990314553344" TargetMode="External"/><Relationship Id="rId4819" Type="http://schemas.openxmlformats.org/officeDocument/2006/relationships/hyperlink" Target="https://twitter.com/Bosch_BCDS/status/722722071646707712" TargetMode="External"/><Relationship Id="rId6174" Type="http://schemas.openxmlformats.org/officeDocument/2006/relationships/hyperlink" Target="https://twitter.com/LReehten" TargetMode="External"/><Relationship Id="rId7225" Type="http://schemas.openxmlformats.org/officeDocument/2006/relationships/hyperlink" Target="https://twitter.com/v_reichardt" TargetMode="External"/><Relationship Id="rId10206" Type="http://schemas.openxmlformats.org/officeDocument/2006/relationships/hyperlink" Target="https://pbs.twimg.com/profile_images/604852979888353280/bPLJGs-u_normal.jpg" TargetMode="External"/><Relationship Id="rId689" Type="http://schemas.openxmlformats.org/officeDocument/2006/relationships/hyperlink" Target="https://twitter.com/JCGeorghiou" TargetMode="External"/><Relationship Id="rId2784" Type="http://schemas.openxmlformats.org/officeDocument/2006/relationships/hyperlink" Target="https://twitter.com/CloudJobFair" TargetMode="External"/><Relationship Id="rId5190" Type="http://schemas.openxmlformats.org/officeDocument/2006/relationships/hyperlink" Target="http://startupradio.de/" TargetMode="External"/><Relationship Id="rId6241" Type="http://schemas.openxmlformats.org/officeDocument/2006/relationships/hyperlink" Target="https://twitter.com/OliverS2010" TargetMode="External"/><Relationship Id="rId9397" Type="http://schemas.openxmlformats.org/officeDocument/2006/relationships/hyperlink" Target="https://pbs.twimg.com/profile_images/645716711723925506/t5G0qOS6_normal.jpg" TargetMode="External"/><Relationship Id="rId756" Type="http://schemas.openxmlformats.org/officeDocument/2006/relationships/hyperlink" Target="https://twitter.com/PTMAkademie/status/720701324669685761" TargetMode="External"/><Relationship Id="rId1386" Type="http://schemas.openxmlformats.org/officeDocument/2006/relationships/hyperlink" Target="https://twitter.com/INDIZbot/status/720985763660304384" TargetMode="External"/><Relationship Id="rId2437" Type="http://schemas.openxmlformats.org/officeDocument/2006/relationships/hyperlink" Target="https://twitter.com/prxagentur" TargetMode="External"/><Relationship Id="rId3835" Type="http://schemas.openxmlformats.org/officeDocument/2006/relationships/hyperlink" Target="https://pbs.twimg.com/profile_images/645716711723925506/t5G0qOS6_normal.jpg" TargetMode="External"/><Relationship Id="rId9464" Type="http://schemas.openxmlformats.org/officeDocument/2006/relationships/hyperlink" Target="https://twitter.com/INDIZbot" TargetMode="External"/><Relationship Id="rId409" Type="http://schemas.openxmlformats.org/officeDocument/2006/relationships/hyperlink" Target="https://twitter.com/IFS_D_A_CH" TargetMode="External"/><Relationship Id="rId1039" Type="http://schemas.openxmlformats.org/officeDocument/2006/relationships/hyperlink" Target="https://twitter.com/confare" TargetMode="External"/><Relationship Id="rId2851" Type="http://schemas.openxmlformats.org/officeDocument/2006/relationships/hyperlink" Target="https://twitter.com/Law_Bolthausen/status/722138168506589184" TargetMode="External"/><Relationship Id="rId3902" Type="http://schemas.openxmlformats.org/officeDocument/2006/relationships/hyperlink" Target="https://twitter.com/Rhenatic" TargetMode="External"/><Relationship Id="rId8066" Type="http://schemas.openxmlformats.org/officeDocument/2006/relationships/hyperlink" Target="https://twitter.com/AnalytikaByCim" TargetMode="External"/><Relationship Id="rId9117" Type="http://schemas.openxmlformats.org/officeDocument/2006/relationships/hyperlink" Target="https://twitter.com/hasford_/status/723948375176019969" TargetMode="External"/><Relationship Id="rId92" Type="http://schemas.openxmlformats.org/officeDocument/2006/relationships/hyperlink" Target="https://twitter.com/MarioReinsch/status/720510373376471040" TargetMode="External"/><Relationship Id="rId823" Type="http://schemas.openxmlformats.org/officeDocument/2006/relationships/hyperlink" Target="https://twitter.com/condet020274/status/720806721535479809" TargetMode="External"/><Relationship Id="rId1453" Type="http://schemas.openxmlformats.org/officeDocument/2006/relationships/hyperlink" Target="https://twitter.com/H_IT_D" TargetMode="External"/><Relationship Id="rId2504" Type="http://schemas.openxmlformats.org/officeDocument/2006/relationships/hyperlink" Target="https://twitter.com/MTaege/status/722049376680570880" TargetMode="External"/><Relationship Id="rId7082" Type="http://schemas.openxmlformats.org/officeDocument/2006/relationships/hyperlink" Target="https://twitter.com/INDIZbot/status/723250743998857217" TargetMode="External"/><Relationship Id="rId8480" Type="http://schemas.openxmlformats.org/officeDocument/2006/relationships/hyperlink" Target="https://twitter.com/pmpoulin/status/723599137439014912" TargetMode="External"/><Relationship Id="rId9531" Type="http://schemas.openxmlformats.org/officeDocument/2006/relationships/hyperlink" Target="https://twitter.com/herg4711/status/724194863298818048" TargetMode="External"/><Relationship Id="rId1106" Type="http://schemas.openxmlformats.org/officeDocument/2006/relationships/hyperlink" Target="https://twitter.com/een_at/status/720900902220079104" TargetMode="External"/><Relationship Id="rId1520" Type="http://schemas.openxmlformats.org/officeDocument/2006/relationships/hyperlink" Target="https://twitter.com/Databanque/status/721057045823160321" TargetMode="External"/><Relationship Id="rId4676" Type="http://schemas.openxmlformats.org/officeDocument/2006/relationships/hyperlink" Target="https://pbs.twimg.com/profile_images/573131119459090433/chvdSZ_E_normal.png" TargetMode="External"/><Relationship Id="rId5727" Type="http://schemas.openxmlformats.org/officeDocument/2006/relationships/hyperlink" Target="https://twitter.com/kommoptimierer" TargetMode="External"/><Relationship Id="rId8133" Type="http://schemas.openxmlformats.org/officeDocument/2006/relationships/hyperlink" Target="https://twitter.com/BoschPresse/status/723499149010804737" TargetMode="External"/><Relationship Id="rId10063" Type="http://schemas.openxmlformats.org/officeDocument/2006/relationships/hyperlink" Target="https://twitter.com/IngVersteher" TargetMode="External"/><Relationship Id="rId3278" Type="http://schemas.openxmlformats.org/officeDocument/2006/relationships/hyperlink" Target="https://twitter.com/CONSILIOGmbH/status/722338184210857984" TargetMode="External"/><Relationship Id="rId3692" Type="http://schemas.openxmlformats.org/officeDocument/2006/relationships/hyperlink" Target="https://twitter.com/INDIZbot" TargetMode="External"/><Relationship Id="rId4329" Type="http://schemas.openxmlformats.org/officeDocument/2006/relationships/hyperlink" Target="https://twitter.com/Atos_DE" TargetMode="External"/><Relationship Id="rId4743" Type="http://schemas.openxmlformats.org/officeDocument/2006/relationships/hyperlink" Target="https://twitter.com/Industrie_40" TargetMode="External"/><Relationship Id="rId7899" Type="http://schemas.openxmlformats.org/officeDocument/2006/relationships/hyperlink" Target="https://pbs.twimg.com/profile_images/596283853507010560/rOqlbvhj_normal.jpg" TargetMode="External"/><Relationship Id="rId8200" Type="http://schemas.openxmlformats.org/officeDocument/2006/relationships/hyperlink" Target="https://twitter.com/H_IT_D/status/723510941984268288" TargetMode="External"/><Relationship Id="rId10130" Type="http://schemas.openxmlformats.org/officeDocument/2006/relationships/hyperlink" Target="https://twitter.com/msftmfg/status/724342148745859076" TargetMode="External"/><Relationship Id="rId199" Type="http://schemas.openxmlformats.org/officeDocument/2006/relationships/hyperlink" Target="https://twitter.com/Bitkom" TargetMode="External"/><Relationship Id="rId2294" Type="http://schemas.openxmlformats.org/officeDocument/2006/relationships/hyperlink" Target="https://pbs.twimg.com/profile_images/656084414661840897/KVbUEpYC_normal.jpg" TargetMode="External"/><Relationship Id="rId3345" Type="http://schemas.openxmlformats.org/officeDocument/2006/relationships/hyperlink" Target="https://pbs.twimg.com/profile_images/448785058711601152/lLXOAUVA_normal.png" TargetMode="External"/><Relationship Id="rId266" Type="http://schemas.openxmlformats.org/officeDocument/2006/relationships/hyperlink" Target="https://twitter.com/CapgeminiDE/status/720538413624074240" TargetMode="External"/><Relationship Id="rId680" Type="http://schemas.openxmlformats.org/officeDocument/2006/relationships/hyperlink" Target="https://twitter.com/FlashTweet" TargetMode="External"/><Relationship Id="rId2361" Type="http://schemas.openxmlformats.org/officeDocument/2006/relationships/hyperlink" Target="https://pbs.twimg.com/profile_images/532532270788128768/ubrFTMd7_normal.jpeg" TargetMode="External"/><Relationship Id="rId3412" Type="http://schemas.openxmlformats.org/officeDocument/2006/relationships/hyperlink" Target="https://pbs.twimg.com/profile_images/494911375034945537/txB_J-VC_normal.jpeg" TargetMode="External"/><Relationship Id="rId4810" Type="http://schemas.openxmlformats.org/officeDocument/2006/relationships/hyperlink" Target="https://twitter.com/AppianDE/status/722721818608594944" TargetMode="External"/><Relationship Id="rId6568" Type="http://schemas.openxmlformats.org/officeDocument/2006/relationships/hyperlink" Target="http://paper.li/" TargetMode="External"/><Relationship Id="rId7619" Type="http://schemas.openxmlformats.org/officeDocument/2006/relationships/hyperlink" Target="https://pbs.twimg.com/profile_images/707877685721231360/0WBLwHQ-_normal.jpg" TargetMode="External"/><Relationship Id="rId7966" Type="http://schemas.openxmlformats.org/officeDocument/2006/relationships/hyperlink" Target="https://pbs.twimg.com/profile_images/619439854275952640/NO5busxw_normal.jpg" TargetMode="External"/><Relationship Id="rId333" Type="http://schemas.openxmlformats.org/officeDocument/2006/relationships/hyperlink" Target="https://pbs.twimg.com/profile_images/574936239398240256/ExVwnQj9_normal.png" TargetMode="External"/><Relationship Id="rId2014" Type="http://schemas.openxmlformats.org/officeDocument/2006/relationships/hyperlink" Target="https://twitter.com/Lenze_FR/status/721723546033106944" TargetMode="External"/><Relationship Id="rId6982" Type="http://schemas.openxmlformats.org/officeDocument/2006/relationships/hyperlink" Target="https://twitter.com/BGMSystemhaus" TargetMode="External"/><Relationship Id="rId9041" Type="http://schemas.openxmlformats.org/officeDocument/2006/relationships/hyperlink" Target="https://twitter.com/Biwi81" TargetMode="External"/><Relationship Id="rId1030" Type="http://schemas.openxmlformats.org/officeDocument/2006/relationships/hyperlink" Target="https://twitter.com/INDIZbot" TargetMode="External"/><Relationship Id="rId4186" Type="http://schemas.openxmlformats.org/officeDocument/2006/relationships/hyperlink" Target="https://twitter.com/LReehten/status/722516473642659840" TargetMode="External"/><Relationship Id="rId5584" Type="http://schemas.openxmlformats.org/officeDocument/2006/relationships/hyperlink" Target="https://twitter.com/kommoptimierer/status/722862408184786945" TargetMode="External"/><Relationship Id="rId6635" Type="http://schemas.openxmlformats.org/officeDocument/2006/relationships/hyperlink" Target="https://pbs.twimg.com/profile_images/631021673857290240/dsNYkRwd_normal.jpg" TargetMode="External"/><Relationship Id="rId400" Type="http://schemas.openxmlformats.org/officeDocument/2006/relationships/hyperlink" Target="https://twitter.com/opengateitalia" TargetMode="External"/><Relationship Id="rId5237" Type="http://schemas.openxmlformats.org/officeDocument/2006/relationships/hyperlink" Target="https://pbs.twimg.com/profile_images/1281536153/KID_Logo_gro__normal.jpg" TargetMode="External"/><Relationship Id="rId5651" Type="http://schemas.openxmlformats.org/officeDocument/2006/relationships/hyperlink" Target="https://pbs.twimg.com/profile_images/594934750122536960/nG4kmfDF_normal.jpg" TargetMode="External"/><Relationship Id="rId6702" Type="http://schemas.openxmlformats.org/officeDocument/2006/relationships/hyperlink" Target="https://pbs.twimg.com/profile_images/615797525040136192/CKF9-v_o_normal.jpg" TargetMode="External"/><Relationship Id="rId9858" Type="http://schemas.openxmlformats.org/officeDocument/2006/relationships/hyperlink" Target="https://pbs.twimg.com/profile_images/695227740136587265/5eHVsAlx_normal.png" TargetMode="External"/><Relationship Id="rId1847" Type="http://schemas.openxmlformats.org/officeDocument/2006/relationships/hyperlink" Target="https://twitter.com/IPI_SUP/status/721579703551700992" TargetMode="External"/><Relationship Id="rId4253" Type="http://schemas.openxmlformats.org/officeDocument/2006/relationships/hyperlink" Target="https://pbs.twimg.com/profile_images/662723326096224256/5V4KH9_O_normal.jpg" TargetMode="External"/><Relationship Id="rId5304" Type="http://schemas.openxmlformats.org/officeDocument/2006/relationships/hyperlink" Target="https://pbs.twimg.com/profile_images/541146126158536704/IYardufS_normal.jpeg" TargetMode="External"/><Relationship Id="rId8874" Type="http://schemas.openxmlformats.org/officeDocument/2006/relationships/hyperlink" Target="https://pbs.twimg.com/profile_images/518189608098869249/udoveSaH_normal.jpeg" TargetMode="External"/><Relationship Id="rId9925" Type="http://schemas.openxmlformats.org/officeDocument/2006/relationships/hyperlink" Target="https://twitter.com/INDIZbot" TargetMode="External"/><Relationship Id="rId4320" Type="http://schemas.openxmlformats.org/officeDocument/2006/relationships/hyperlink" Target="https://twitter.com/Gruendercoaches" TargetMode="External"/><Relationship Id="rId7476" Type="http://schemas.openxmlformats.org/officeDocument/2006/relationships/hyperlink" Target="https://twitter.com/christophwitte" TargetMode="External"/><Relationship Id="rId7890" Type="http://schemas.openxmlformats.org/officeDocument/2006/relationships/hyperlink" Target="https://pbs.twimg.com/profile_images/666911961599315968/aP7ID_qm_normal.png" TargetMode="External"/><Relationship Id="rId8527" Type="http://schemas.openxmlformats.org/officeDocument/2006/relationships/hyperlink" Target="https://twitter.com/Robert__Jansen" TargetMode="External"/><Relationship Id="rId190" Type="http://schemas.openxmlformats.org/officeDocument/2006/relationships/hyperlink" Target="https://twitter.com/lasercongress" TargetMode="External"/><Relationship Id="rId1914" Type="http://schemas.openxmlformats.org/officeDocument/2006/relationships/hyperlink" Target="https://twitter.com/Lean_john/status/721626941695127552" TargetMode="External"/><Relationship Id="rId6078" Type="http://schemas.openxmlformats.org/officeDocument/2006/relationships/hyperlink" Target="https://twitter.com/IDKOMPASS/status/723074062390456321" TargetMode="External"/><Relationship Id="rId6492" Type="http://schemas.openxmlformats.org/officeDocument/2006/relationships/hyperlink" Target="https://twitter.com/SBH_Germany/status/723133530331447296" TargetMode="External"/><Relationship Id="rId7129" Type="http://schemas.openxmlformats.org/officeDocument/2006/relationships/hyperlink" Target="https://twitter.com/openHPI" TargetMode="External"/><Relationship Id="rId7543" Type="http://schemas.openxmlformats.org/officeDocument/2006/relationships/hyperlink" Target="https://twitter.com/PapaVise/status/723413851329290242" TargetMode="External"/><Relationship Id="rId8941" Type="http://schemas.openxmlformats.org/officeDocument/2006/relationships/hyperlink" Target="https://twitter.com/virtual_escapes" TargetMode="External"/><Relationship Id="rId5094" Type="http://schemas.openxmlformats.org/officeDocument/2006/relationships/hyperlink" Target="https://pbs.twimg.com/profile_images/694530943139315712/TQHmYxMT_normal.png" TargetMode="External"/><Relationship Id="rId6145" Type="http://schemas.openxmlformats.org/officeDocument/2006/relationships/hyperlink" Target="https://twitter.com/catkinEU/status/723079846415323137" TargetMode="External"/><Relationship Id="rId2688" Type="http://schemas.openxmlformats.org/officeDocument/2006/relationships/hyperlink" Target="https://twitter.com/H_IT_D" TargetMode="External"/><Relationship Id="rId3739" Type="http://schemas.openxmlformats.org/officeDocument/2006/relationships/hyperlink" Target="https://pbs.twimg.com/profile_images/645716711723925506/t5G0qOS6_normal.jpg" TargetMode="External"/><Relationship Id="rId5161" Type="http://schemas.openxmlformats.org/officeDocument/2006/relationships/hyperlink" Target="https://twitter.com/ahk_frankreich" TargetMode="External"/><Relationship Id="rId7610" Type="http://schemas.openxmlformats.org/officeDocument/2006/relationships/hyperlink" Target="https://pbs.twimg.com/profile_images/715969231968473089/wpPBpd5d_normal.jpg" TargetMode="External"/><Relationship Id="rId2755" Type="http://schemas.openxmlformats.org/officeDocument/2006/relationships/hyperlink" Target="https://twitter.com/katekor11/status/722113484373286913" TargetMode="External"/><Relationship Id="rId3806" Type="http://schemas.openxmlformats.org/officeDocument/2006/relationships/hyperlink" Target="https://twitter.com/KreativNetzBW" TargetMode="External"/><Relationship Id="rId6212" Type="http://schemas.openxmlformats.org/officeDocument/2006/relationships/hyperlink" Target="https://twitter.com/APRIOR24/status/723088245349703680" TargetMode="External"/><Relationship Id="rId9368" Type="http://schemas.openxmlformats.org/officeDocument/2006/relationships/hyperlink" Target="https://twitter.com/SlavisaTavic" TargetMode="External"/><Relationship Id="rId9782" Type="http://schemas.openxmlformats.org/officeDocument/2006/relationships/hyperlink" Target="https://twitter.com/verlinked/status/724251602819764224" TargetMode="External"/><Relationship Id="rId727" Type="http://schemas.openxmlformats.org/officeDocument/2006/relationships/hyperlink" Target="https://pbs.twimg.com/profile_images/1161922354/bge-bot-big-twitterversion2_normal.png" TargetMode="External"/><Relationship Id="rId1357" Type="http://schemas.openxmlformats.org/officeDocument/2006/relationships/hyperlink" Target="https://twitter.com/Thomas_Heimann" TargetMode="External"/><Relationship Id="rId1771" Type="http://schemas.openxmlformats.org/officeDocument/2006/relationships/hyperlink" Target="https://twitter.com/iotsecurity2" TargetMode="External"/><Relationship Id="rId2408" Type="http://schemas.openxmlformats.org/officeDocument/2006/relationships/hyperlink" Target="https://twitter.com/MeinGeldMedien/status/722017013909057536" TargetMode="External"/><Relationship Id="rId2822" Type="http://schemas.openxmlformats.org/officeDocument/2006/relationships/hyperlink" Target="https://pbs.twimg.com/profile_images/623849156159868928/BetFDR_i_normal.jpg" TargetMode="External"/><Relationship Id="rId5978" Type="http://schemas.openxmlformats.org/officeDocument/2006/relationships/hyperlink" Target="https://twitter.com/BitkomResearch" TargetMode="External"/><Relationship Id="rId8384" Type="http://schemas.openxmlformats.org/officeDocument/2006/relationships/hyperlink" Target="https://pbs.twimg.com/profile_images/1234499388/n367104918594_7014_normal.jpg" TargetMode="External"/><Relationship Id="rId9435" Type="http://schemas.openxmlformats.org/officeDocument/2006/relationships/hyperlink" Target="https://twitter.com/kommunikationsm/status/724174861715820544" TargetMode="External"/><Relationship Id="rId63" Type="http://schemas.openxmlformats.org/officeDocument/2006/relationships/hyperlink" Target="https://pbs.twimg.com/profile_images/1654309791/P1090797_normal.JPG" TargetMode="External"/><Relationship Id="rId1424" Type="http://schemas.openxmlformats.org/officeDocument/2006/relationships/hyperlink" Target="https://twitter.com/AMETRAInge" TargetMode="External"/><Relationship Id="rId4994" Type="http://schemas.openxmlformats.org/officeDocument/2006/relationships/hyperlink" Target="https://twitter.com/INDIZbot/status/722747295888973825" TargetMode="External"/><Relationship Id="rId8037" Type="http://schemas.openxmlformats.org/officeDocument/2006/relationships/hyperlink" Target="https://twitter.com/observaitress/status/723484476198797312" TargetMode="External"/><Relationship Id="rId8451" Type="http://schemas.openxmlformats.org/officeDocument/2006/relationships/hyperlink" Target="https://pbs.twimg.com/profile_images/645716711723925506/t5G0qOS6_normal.jpg" TargetMode="External"/><Relationship Id="rId9502" Type="http://schemas.openxmlformats.org/officeDocument/2006/relationships/hyperlink" Target="https://pbs.twimg.com/profile_images/667101652479029249/acksmKgE_normal.png" TargetMode="External"/><Relationship Id="rId3596" Type="http://schemas.openxmlformats.org/officeDocument/2006/relationships/hyperlink" Target="https://twitter.com/Der_Betriebslei" TargetMode="External"/><Relationship Id="rId4647" Type="http://schemas.openxmlformats.org/officeDocument/2006/relationships/hyperlink" Target="https://twitter.com/sensorplustest" TargetMode="External"/><Relationship Id="rId7053" Type="http://schemas.openxmlformats.org/officeDocument/2006/relationships/hyperlink" Target="https://pbs.twimg.com/profile_images/709490937043492865/GYoQPOCZ_normal.jpg" TargetMode="External"/><Relationship Id="rId8104" Type="http://schemas.openxmlformats.org/officeDocument/2006/relationships/hyperlink" Target="https://pbs.twimg.com/profile_images/2181612837/Johann_normal.jpg" TargetMode="External"/><Relationship Id="rId10034" Type="http://schemas.openxmlformats.org/officeDocument/2006/relationships/hyperlink" Target="https://twitter.com/RahmanNow/status/724304097046835200" TargetMode="External"/><Relationship Id="rId2198" Type="http://schemas.openxmlformats.org/officeDocument/2006/relationships/hyperlink" Target="https://twitter.com/nextDBI/status/721959003727773696" TargetMode="External"/><Relationship Id="rId3249" Type="http://schemas.openxmlformats.org/officeDocument/2006/relationships/hyperlink" Target="https://pbs.twimg.com/profile_images/672794348442877952/m6Is-Nrc_normal.jpg" TargetMode="External"/><Relationship Id="rId7120" Type="http://schemas.openxmlformats.org/officeDocument/2006/relationships/hyperlink" Target="https://twitter.com/LudgerKrusenba1" TargetMode="External"/><Relationship Id="rId584" Type="http://schemas.openxmlformats.org/officeDocument/2006/relationships/hyperlink" Target="https://twitter.com/INDIZbot" TargetMode="External"/><Relationship Id="rId2265" Type="http://schemas.openxmlformats.org/officeDocument/2006/relationships/hyperlink" Target="https://twitter.com/Leader_LR" TargetMode="External"/><Relationship Id="rId3663" Type="http://schemas.openxmlformats.org/officeDocument/2006/relationships/hyperlink" Target="https://twitter.com/IoTMinded/status/722396038678646784" TargetMode="External"/><Relationship Id="rId4714" Type="http://schemas.openxmlformats.org/officeDocument/2006/relationships/hyperlink" Target="https://twitter.com/INDIZbot/status/722712025667866624" TargetMode="External"/><Relationship Id="rId9292" Type="http://schemas.openxmlformats.org/officeDocument/2006/relationships/hyperlink" Target="https://pbs.twimg.com/profile_images/645716711723925506/t5G0qOS6_normal.jpg" TargetMode="External"/><Relationship Id="rId10101" Type="http://schemas.openxmlformats.org/officeDocument/2006/relationships/hyperlink" Target="https://pbs.twimg.com/profile_images/1154310723/Frank_Naujoks-por-hoch_min_normal.JPG" TargetMode="External"/><Relationship Id="rId237" Type="http://schemas.openxmlformats.org/officeDocument/2006/relationships/hyperlink" Target="https://pbs.twimg.com/profile_images/600279861282869249/IpIJ3MKX_normal.png" TargetMode="External"/><Relationship Id="rId3316" Type="http://schemas.openxmlformats.org/officeDocument/2006/relationships/hyperlink" Target="https://twitter.com/kommoptimierer" TargetMode="External"/><Relationship Id="rId3730" Type="http://schemas.openxmlformats.org/officeDocument/2006/relationships/hyperlink" Target="https://pbs.twimg.com/profile_images/672007271753338880/vC18hLkb_normal.jpg" TargetMode="External"/><Relationship Id="rId6886" Type="http://schemas.openxmlformats.org/officeDocument/2006/relationships/hyperlink" Target="https://twitter.com/awesigs" TargetMode="External"/><Relationship Id="rId7937" Type="http://schemas.openxmlformats.org/officeDocument/2006/relationships/hyperlink" Target="https://twitter.com/Nirak71/status/723470345622159360" TargetMode="External"/><Relationship Id="rId651" Type="http://schemas.openxmlformats.org/officeDocument/2006/relationships/hyperlink" Target="https://twitter.com/francoisdex/status/720652232329469952" TargetMode="External"/><Relationship Id="rId1281" Type="http://schemas.openxmlformats.org/officeDocument/2006/relationships/hyperlink" Target="https://pbs.twimg.com/profile_images/570155338691670016/l3TwS87m_normal.jpeg" TargetMode="External"/><Relationship Id="rId2332" Type="http://schemas.openxmlformats.org/officeDocument/2006/relationships/hyperlink" Target="https://twitter.com/verlinked" TargetMode="External"/><Relationship Id="rId5488" Type="http://schemas.openxmlformats.org/officeDocument/2006/relationships/hyperlink" Target="https://twitter.com/bamitav/status/722817737584607234" TargetMode="External"/><Relationship Id="rId6539" Type="http://schemas.openxmlformats.org/officeDocument/2006/relationships/hyperlink" Target="https://twitter.com/RiemenspergerF" TargetMode="External"/><Relationship Id="rId6953" Type="http://schemas.openxmlformats.org/officeDocument/2006/relationships/hyperlink" Target="https://twitter.com/GiebelRalph/status/723203287030353920" TargetMode="External"/><Relationship Id="rId304" Type="http://schemas.openxmlformats.org/officeDocument/2006/relationships/hyperlink" Target="https://twitter.com/INDIZbot" TargetMode="External"/><Relationship Id="rId5555" Type="http://schemas.openxmlformats.org/officeDocument/2006/relationships/hyperlink" Target="https://pbs.twimg.com/profile_images/472122304088924160/kQxIVFut_normal.jpeg" TargetMode="External"/><Relationship Id="rId6606" Type="http://schemas.openxmlformats.org/officeDocument/2006/relationships/hyperlink" Target="https://twitter.com/AXACH_Media" TargetMode="External"/><Relationship Id="rId9012" Type="http://schemas.openxmlformats.org/officeDocument/2006/relationships/hyperlink" Target="https://pbs.twimg.com/profile_images/704767814406643712/VcnCdfke_normal.jpg" TargetMode="External"/><Relationship Id="rId1001" Type="http://schemas.openxmlformats.org/officeDocument/2006/relationships/hyperlink" Target="https://twitter.com/MEArbeitgeber/status/720883123219607552" TargetMode="External"/><Relationship Id="rId4157" Type="http://schemas.openxmlformats.org/officeDocument/2006/relationships/hyperlink" Target="https://pbs.twimg.com/profile_images/623849156159868928/BetFDR_i_normal.jpg" TargetMode="External"/><Relationship Id="rId4571" Type="http://schemas.openxmlformats.org/officeDocument/2006/relationships/hyperlink" Target="https://pbs.twimg.com/profile_images/615797525040136192/CKF9-v_o_normal.jpg" TargetMode="External"/><Relationship Id="rId5208" Type="http://schemas.openxmlformats.org/officeDocument/2006/relationships/hyperlink" Target="https://twitter.com/Ronald_Heinze" TargetMode="External"/><Relationship Id="rId5622" Type="http://schemas.openxmlformats.org/officeDocument/2006/relationships/hyperlink" Target="https://twitter.com/vemdiearbeitgeb" TargetMode="External"/><Relationship Id="rId8778" Type="http://schemas.openxmlformats.org/officeDocument/2006/relationships/hyperlink" Target="https://pbs.twimg.com/profile_images/645716711723925506/t5G0qOS6_normal.jpg" TargetMode="External"/><Relationship Id="rId9829" Type="http://schemas.openxmlformats.org/officeDocument/2006/relationships/hyperlink" Target="https://twitter.com/PlantEngMag" TargetMode="External"/><Relationship Id="rId3173" Type="http://schemas.openxmlformats.org/officeDocument/2006/relationships/hyperlink" Target="https://pbs.twimg.com/profile_images/680778003320823808/b26OKg1A_normal.jpg" TargetMode="External"/><Relationship Id="rId4224" Type="http://schemas.openxmlformats.org/officeDocument/2006/relationships/hyperlink" Target="https://twitter.com/INDIZbot" TargetMode="External"/><Relationship Id="rId1818" Type="http://schemas.openxmlformats.org/officeDocument/2006/relationships/hyperlink" Target="https://pbs.twimg.com/profile_images/665959206017761280/ppTc9DLM_normal.png" TargetMode="External"/><Relationship Id="rId3240" Type="http://schemas.openxmlformats.org/officeDocument/2006/relationships/hyperlink" Target="https://pbs.twimg.com/profile_images/707473583296135170/yLZIZvjp_normal.jpg" TargetMode="External"/><Relationship Id="rId6396" Type="http://schemas.openxmlformats.org/officeDocument/2006/relationships/hyperlink" Target="https://twitter.com/MetalEcoCity/status/723118856986750976" TargetMode="External"/><Relationship Id="rId7794" Type="http://schemas.openxmlformats.org/officeDocument/2006/relationships/hyperlink" Target="https://pbs.twimg.com/profile_images/541146126158536704/IYardufS_normal.jpeg" TargetMode="External"/><Relationship Id="rId8845" Type="http://schemas.openxmlformats.org/officeDocument/2006/relationships/hyperlink" Target="https://twitter.com/automatisierer" TargetMode="External"/><Relationship Id="rId161" Type="http://schemas.openxmlformats.org/officeDocument/2006/relationships/hyperlink" Target="https://twitter.com/scnews_de/status/720521604019654656" TargetMode="External"/><Relationship Id="rId6049" Type="http://schemas.openxmlformats.org/officeDocument/2006/relationships/hyperlink" Target="https://pbs.twimg.com/profile_images/619429467434434560/ywWYiH5V_normal.jpg" TargetMode="External"/><Relationship Id="rId7447" Type="http://schemas.openxmlformats.org/officeDocument/2006/relationships/hyperlink" Target="https://twitter.com/INDIZbot/status/723406272624611329" TargetMode="External"/><Relationship Id="rId7861" Type="http://schemas.openxmlformats.org/officeDocument/2006/relationships/hyperlink" Target="https://twitter.com/Pilz_INT" TargetMode="External"/><Relationship Id="rId8912" Type="http://schemas.openxmlformats.org/officeDocument/2006/relationships/hyperlink" Target="https://twitter.com/deviceWISEM2M/status/723861737666154496" TargetMode="External"/><Relationship Id="rId6463" Type="http://schemas.openxmlformats.org/officeDocument/2006/relationships/hyperlink" Target="https://pbs.twimg.com/profile_images/471312276767535104/TIanhngf_normal.jpeg" TargetMode="External"/><Relationship Id="rId7514" Type="http://schemas.openxmlformats.org/officeDocument/2006/relationships/hyperlink" Target="https://pbs.twimg.com/profile_images/604338428227010560/6jzSa8us_normal.png" TargetMode="External"/><Relationship Id="rId978" Type="http://schemas.openxmlformats.org/officeDocument/2006/relationships/hyperlink" Target="https://pbs.twimg.com/profile_images/645716711723925506/t5G0qOS6_normal.jpg" TargetMode="External"/><Relationship Id="rId2659" Type="http://schemas.openxmlformats.org/officeDocument/2006/relationships/hyperlink" Target="https://twitter.com/BoschGlobal/status/722081764303310848" TargetMode="External"/><Relationship Id="rId5065" Type="http://schemas.openxmlformats.org/officeDocument/2006/relationships/hyperlink" Target="https://twitter.com/mGuardcom" TargetMode="External"/><Relationship Id="rId6116" Type="http://schemas.openxmlformats.org/officeDocument/2006/relationships/hyperlink" Target="https://pbs.twimg.com/profile_images/719800651530821632/YzeSH6er_normal.jpg" TargetMode="External"/><Relationship Id="rId6530" Type="http://schemas.openxmlformats.org/officeDocument/2006/relationships/hyperlink" Target="https://twitter.com/MindCommerce" TargetMode="External"/><Relationship Id="rId9686" Type="http://schemas.openxmlformats.org/officeDocument/2006/relationships/hyperlink" Target="https://twitter.com/UVNMeinecke" TargetMode="External"/><Relationship Id="rId1675" Type="http://schemas.openxmlformats.org/officeDocument/2006/relationships/hyperlink" Target="https://twitter.com/INDIZbot" TargetMode="External"/><Relationship Id="rId2726" Type="http://schemas.openxmlformats.org/officeDocument/2006/relationships/hyperlink" Target="https://pbs.twimg.com/profile_images/700593402220392448/latFpFg9_normal.jpg" TargetMode="External"/><Relationship Id="rId4081" Type="http://schemas.openxmlformats.org/officeDocument/2006/relationships/hyperlink" Target="https://twitter.com/CapgeminiDE/status/722498881628606464" TargetMode="External"/><Relationship Id="rId5132" Type="http://schemas.openxmlformats.org/officeDocument/2006/relationships/hyperlink" Target="https://twitter.com/ATstandards/status/722761997058592768" TargetMode="External"/><Relationship Id="rId8288" Type="http://schemas.openxmlformats.org/officeDocument/2006/relationships/hyperlink" Target="https://pbs.twimg.com/profile_images/659081933557661696/ws31ev-y_normal.png" TargetMode="External"/><Relationship Id="rId9339" Type="http://schemas.openxmlformats.org/officeDocument/2006/relationships/hyperlink" Target="https://twitter.com/TUslaender/status/724146127193432064" TargetMode="External"/><Relationship Id="rId9753" Type="http://schemas.openxmlformats.org/officeDocument/2006/relationships/hyperlink" Target="https://pbs.twimg.com/profile_images/467633700562141184/epYfiO63_normal.jpeg" TargetMode="External"/><Relationship Id="rId1328" Type="http://schemas.openxmlformats.org/officeDocument/2006/relationships/hyperlink" Target="https://twitter.com/OJaeger/status/720960196462387201" TargetMode="External"/><Relationship Id="rId8355" Type="http://schemas.openxmlformats.org/officeDocument/2006/relationships/hyperlink" Target="https://twitter.com/DukDaffe" TargetMode="External"/><Relationship Id="rId9406" Type="http://schemas.openxmlformats.org/officeDocument/2006/relationships/hyperlink" Target="https://pbs.twimg.com/profile_images/721423009114931200/0w9BDsO3_normal.jpg" TargetMode="External"/><Relationship Id="rId1742" Type="http://schemas.openxmlformats.org/officeDocument/2006/relationships/hyperlink" Target="https://twitter.com/Tiba_Schweiz/status/721346187190792192" TargetMode="External"/><Relationship Id="rId4898" Type="http://schemas.openxmlformats.org/officeDocument/2006/relationships/hyperlink" Target="https://pbs.twimg.com/profile_images/631516878830178304/X8gApwdt_normal.jpg" TargetMode="External"/><Relationship Id="rId5949" Type="http://schemas.openxmlformats.org/officeDocument/2006/relationships/hyperlink" Target="https://twitter.com/BoschPresse/status/723065027306115072" TargetMode="External"/><Relationship Id="rId7371" Type="http://schemas.openxmlformats.org/officeDocument/2006/relationships/hyperlink" Target="https://twitter.com/INDIZbot/status/723403834723180545" TargetMode="External"/><Relationship Id="rId8008" Type="http://schemas.openxmlformats.org/officeDocument/2006/relationships/hyperlink" Target="https://pbs.twimg.com/profile_images/593771436461977601/JLe43OHw_normal.png" TargetMode="External"/><Relationship Id="rId9820" Type="http://schemas.openxmlformats.org/officeDocument/2006/relationships/hyperlink" Target="https://twitter.com/MaikPlischke" TargetMode="External"/><Relationship Id="rId10285" Type="http://schemas.openxmlformats.org/officeDocument/2006/relationships/hyperlink" Target="https://twitter.com/peterunterwegs" TargetMode="External"/><Relationship Id="rId34" Type="http://schemas.openxmlformats.org/officeDocument/2006/relationships/hyperlink" Target="https://twitter.com/mbaukarriere" TargetMode="External"/><Relationship Id="rId4965" Type="http://schemas.openxmlformats.org/officeDocument/2006/relationships/hyperlink" Target="https://twitter.com/projectepos" TargetMode="External"/><Relationship Id="rId7024" Type="http://schemas.openxmlformats.org/officeDocument/2006/relationships/hyperlink" Target="https://twitter.com/flashlight1405" TargetMode="External"/><Relationship Id="rId8422" Type="http://schemas.openxmlformats.org/officeDocument/2006/relationships/hyperlink" Target="https://twitter.com/DohmeyerK" TargetMode="External"/><Relationship Id="rId3567" Type="http://schemas.openxmlformats.org/officeDocument/2006/relationships/hyperlink" Target="https://twitter.com/INDIZbot/status/722377245701095428" TargetMode="External"/><Relationship Id="rId3981" Type="http://schemas.openxmlformats.org/officeDocument/2006/relationships/hyperlink" Target="https://twitter.com/TIMECODEX/status/722465673105031168" TargetMode="External"/><Relationship Id="rId4618" Type="http://schemas.openxmlformats.org/officeDocument/2006/relationships/hyperlink" Target="https://twitter.com/INDIZbot/status/722709174090604544" TargetMode="External"/><Relationship Id="rId10005" Type="http://schemas.openxmlformats.org/officeDocument/2006/relationships/hyperlink" Target="https://pbs.twimg.com/profile_images/596283853507010560/rOqlbvhj_normal.jpg" TargetMode="External"/><Relationship Id="rId488" Type="http://schemas.openxmlformats.org/officeDocument/2006/relationships/hyperlink" Target="https://twitter.com/BolognaFiere" TargetMode="External"/><Relationship Id="rId2169" Type="http://schemas.openxmlformats.org/officeDocument/2006/relationships/hyperlink" Target="https://pbs.twimg.com/profile_images/560799766007664640/lsjqv0TW_normal.jpeg" TargetMode="External"/><Relationship Id="rId2583" Type="http://schemas.openxmlformats.org/officeDocument/2006/relationships/hyperlink" Target="https://pbs.twimg.com/profile_images/723407487395713024/0hZv7R8S_normal.jpg" TargetMode="External"/><Relationship Id="rId3634" Type="http://schemas.openxmlformats.org/officeDocument/2006/relationships/hyperlink" Target="https://pbs.twimg.com/profile_images/560799766007664640/lsjqv0TW_normal.jpeg" TargetMode="External"/><Relationship Id="rId6040" Type="http://schemas.openxmlformats.org/officeDocument/2006/relationships/hyperlink" Target="https://pbs.twimg.com/profile_images/699901160942149632/lf7nX7j1_normal.jpg" TargetMode="External"/><Relationship Id="rId9196" Type="http://schemas.openxmlformats.org/officeDocument/2006/relationships/hyperlink" Target="https://pbs.twimg.com/profile_images/2181612837/Johann_normal.jpg" TargetMode="External"/><Relationship Id="rId555" Type="http://schemas.openxmlformats.org/officeDocument/2006/relationships/hyperlink" Target="https://twitter.com/iDigitalTrends/status/720618153609400321" TargetMode="External"/><Relationship Id="rId1185" Type="http://schemas.openxmlformats.org/officeDocument/2006/relationships/hyperlink" Target="https://pbs.twimg.com/profile_images/511887094579343360/p8leXtYW_normal.jpeg" TargetMode="External"/><Relationship Id="rId2236" Type="http://schemas.openxmlformats.org/officeDocument/2006/relationships/hyperlink" Target="https://twitter.com/BGarciaSchmidt" TargetMode="External"/><Relationship Id="rId2650" Type="http://schemas.openxmlformats.org/officeDocument/2006/relationships/hyperlink" Target="https://twitter.com/bengolder/status/722078094232809473" TargetMode="External"/><Relationship Id="rId3701" Type="http://schemas.openxmlformats.org/officeDocument/2006/relationships/hyperlink" Target="https://twitter.com/CSAGroup_Europa" TargetMode="External"/><Relationship Id="rId6857" Type="http://schemas.openxmlformats.org/officeDocument/2006/relationships/hyperlink" Target="https://twitter.com/wisskonzept/status/723179631340314624" TargetMode="External"/><Relationship Id="rId7908" Type="http://schemas.openxmlformats.org/officeDocument/2006/relationships/hyperlink" Target="https://pbs.twimg.com/profile_images/645716711723925506/t5G0qOS6_normal.jpg" TargetMode="External"/><Relationship Id="rId9263" Type="http://schemas.openxmlformats.org/officeDocument/2006/relationships/hyperlink" Target="https://twitter.com/MartinGaedt" TargetMode="External"/><Relationship Id="rId208" Type="http://schemas.openxmlformats.org/officeDocument/2006/relationships/hyperlink" Target="https://twitter.com/neitzelsecuweb" TargetMode="External"/><Relationship Id="rId622" Type="http://schemas.openxmlformats.org/officeDocument/2006/relationships/hyperlink" Target="https://pbs.twimg.com/profile_images/469026236916715520/DY-tlJ0c_normal.jpeg" TargetMode="External"/><Relationship Id="rId1252" Type="http://schemas.openxmlformats.org/officeDocument/2006/relationships/hyperlink" Target="https://twitter.com/INDIZbot" TargetMode="External"/><Relationship Id="rId2303" Type="http://schemas.openxmlformats.org/officeDocument/2006/relationships/hyperlink" Target="https://pbs.twimg.com/profile_images/710750672581484545/n4dPcodC_normal.jpg" TargetMode="External"/><Relationship Id="rId5459" Type="http://schemas.openxmlformats.org/officeDocument/2006/relationships/hyperlink" Target="https://pbs.twimg.com/profile_images/578551032625672192/aO-Yyvjx_normal.jpeg" TargetMode="External"/><Relationship Id="rId9330" Type="http://schemas.openxmlformats.org/officeDocument/2006/relationships/hyperlink" Target="https://twitter.com/INDIZbot/status/724143633167949824" TargetMode="External"/><Relationship Id="rId4475" Type="http://schemas.openxmlformats.org/officeDocument/2006/relationships/hyperlink" Target="https://twitter.com/Tiba_Schweiz/status/722697751167963136" TargetMode="External"/><Relationship Id="rId5873" Type="http://schemas.openxmlformats.org/officeDocument/2006/relationships/hyperlink" Target="https://twitter.com/bamitav" TargetMode="External"/><Relationship Id="rId6924" Type="http://schemas.openxmlformats.org/officeDocument/2006/relationships/hyperlink" Target="https://pbs.twimg.com/profile_images/662723326096224256/5V4KH9_O_normal.jpg" TargetMode="External"/><Relationship Id="rId3077" Type="http://schemas.openxmlformats.org/officeDocument/2006/relationships/hyperlink" Target="https://pbs.twimg.com/profile_images/649160019590684676/25rXh6pN_normal.jpg" TargetMode="External"/><Relationship Id="rId4128" Type="http://schemas.openxmlformats.org/officeDocument/2006/relationships/hyperlink" Target="https://twitter.com/LReehten" TargetMode="External"/><Relationship Id="rId5526" Type="http://schemas.openxmlformats.org/officeDocument/2006/relationships/hyperlink" Target="https://twitter.com/acatech_de" TargetMode="External"/><Relationship Id="rId5940" Type="http://schemas.openxmlformats.org/officeDocument/2006/relationships/hyperlink" Target="https://twitter.com/itmeetsindustry/status/723064110443683840" TargetMode="External"/><Relationship Id="rId2093" Type="http://schemas.openxmlformats.org/officeDocument/2006/relationships/hyperlink" Target="https://pbs.twimg.com/profile_images/541146126158536704/IYardufS_normal.jpeg" TargetMode="External"/><Relationship Id="rId3491" Type="http://schemas.openxmlformats.org/officeDocument/2006/relationships/hyperlink" Target="https://twitter.com/tuevnordpolitik" TargetMode="External"/><Relationship Id="rId4542" Type="http://schemas.openxmlformats.org/officeDocument/2006/relationships/hyperlink" Target="https://twitter.com/GOettingerEU" TargetMode="External"/><Relationship Id="rId7698" Type="http://schemas.openxmlformats.org/officeDocument/2006/relationships/hyperlink" Target="https://twitter.com/JETZT_PRde" TargetMode="External"/><Relationship Id="rId8749" Type="http://schemas.openxmlformats.org/officeDocument/2006/relationships/hyperlink" Target="https://twitter.com/Brainport_Ind" TargetMode="External"/><Relationship Id="rId3144" Type="http://schemas.openxmlformats.org/officeDocument/2006/relationships/hyperlink" Target="https://twitter.com/LReehten" TargetMode="External"/><Relationship Id="rId7765" Type="http://schemas.openxmlformats.org/officeDocument/2006/relationships/hyperlink" Target="https://twitter.com/BakerMcGER/status/723431077361029121" TargetMode="External"/><Relationship Id="rId8816" Type="http://schemas.openxmlformats.org/officeDocument/2006/relationships/hyperlink" Target="https://twitter.com/roncza/status/723824021591171072" TargetMode="External"/><Relationship Id="rId2160" Type="http://schemas.openxmlformats.org/officeDocument/2006/relationships/hyperlink" Target="https://pbs.twimg.com/profile_images/378800000732095310/37ab974996c9a200327301623007a55d_normal.png" TargetMode="External"/><Relationship Id="rId3211" Type="http://schemas.openxmlformats.org/officeDocument/2006/relationships/hyperlink" Target="https://twitter.com/1ironbark1" TargetMode="External"/><Relationship Id="rId6367" Type="http://schemas.openxmlformats.org/officeDocument/2006/relationships/hyperlink" Target="https://pbs.twimg.com/profile_images/471312276767535104/TIanhngf_normal.jpeg" TargetMode="External"/><Relationship Id="rId6781" Type="http://schemas.openxmlformats.org/officeDocument/2006/relationships/hyperlink" Target="https://twitter.com/RonaldSchlager" TargetMode="External"/><Relationship Id="rId7418" Type="http://schemas.openxmlformats.org/officeDocument/2006/relationships/hyperlink" Target="https://twitter.com/Martina_Palm/status/723405677742317569" TargetMode="External"/><Relationship Id="rId7832" Type="http://schemas.openxmlformats.org/officeDocument/2006/relationships/hyperlink" Target="https://twitter.com/SGE/status/723445894813736960" TargetMode="External"/><Relationship Id="rId132" Type="http://schemas.openxmlformats.org/officeDocument/2006/relationships/hyperlink" Target="https://pbs.twimg.com/profile_images/661090811535192064/8bnMYUx7_normal.jpg" TargetMode="External"/><Relationship Id="rId5383" Type="http://schemas.openxmlformats.org/officeDocument/2006/relationships/hyperlink" Target="https://pbs.twimg.com/profile_images/1720535585/eh11_normal.jpg" TargetMode="External"/><Relationship Id="rId6434" Type="http://schemas.openxmlformats.org/officeDocument/2006/relationships/hyperlink" Target="https://twitter.com/dstankowski" TargetMode="External"/><Relationship Id="rId1579" Type="http://schemas.openxmlformats.org/officeDocument/2006/relationships/hyperlink" Target="https://twitter.com/BGarciaSchmidt" TargetMode="External"/><Relationship Id="rId2977" Type="http://schemas.openxmlformats.org/officeDocument/2006/relationships/hyperlink" Target="https://pbs.twimg.com/profile_images/499257180009529344/CSWhr7LZ_normal.jpeg" TargetMode="External"/><Relationship Id="rId5036" Type="http://schemas.openxmlformats.org/officeDocument/2006/relationships/hyperlink" Target="https://twitter.com/INDIZbot/status/722749817181642752" TargetMode="External"/><Relationship Id="rId5450" Type="http://schemas.openxmlformats.org/officeDocument/2006/relationships/hyperlink" Target="https://pbs.twimg.com/profile_images/712401306082795521/Y0gvhjUD_normal.jpg" TargetMode="External"/><Relationship Id="rId949" Type="http://schemas.openxmlformats.org/officeDocument/2006/relationships/hyperlink" Target="https://twitter.com/EnergyDemand/status/720872459646291968" TargetMode="External"/><Relationship Id="rId1993" Type="http://schemas.openxmlformats.org/officeDocument/2006/relationships/hyperlink" Target="https://twitter.com/b_spokeB/status/721706431393701888" TargetMode="External"/><Relationship Id="rId4052" Type="http://schemas.openxmlformats.org/officeDocument/2006/relationships/hyperlink" Target="https://twitter.com/Vision_Laser" TargetMode="External"/><Relationship Id="rId5103" Type="http://schemas.openxmlformats.org/officeDocument/2006/relationships/hyperlink" Target="https://pbs.twimg.com/profile_images/591951396217327616/HbcCX2zX_normal.png" TargetMode="External"/><Relationship Id="rId6501" Type="http://schemas.openxmlformats.org/officeDocument/2006/relationships/hyperlink" Target="https://twitter.com/DerKonstrukteu/status/723133753644572672" TargetMode="External"/><Relationship Id="rId8259" Type="http://schemas.openxmlformats.org/officeDocument/2006/relationships/hyperlink" Target="https://twitter.com/BF_Deutschland" TargetMode="External"/><Relationship Id="rId9657" Type="http://schemas.openxmlformats.org/officeDocument/2006/relationships/hyperlink" Target="https://twitter.com/thyssenkrupp/status/724227072198098949" TargetMode="External"/><Relationship Id="rId1646" Type="http://schemas.openxmlformats.org/officeDocument/2006/relationships/hyperlink" Target="https://twitter.com/Subauftrag/status/721261854044123136" TargetMode="External"/><Relationship Id="rId8673" Type="http://schemas.openxmlformats.org/officeDocument/2006/relationships/hyperlink" Target="https://pbs.twimg.com/profile_images/609375510158774272/P5glOk4b_normal.jpg" TargetMode="External"/><Relationship Id="rId9724" Type="http://schemas.openxmlformats.org/officeDocument/2006/relationships/hyperlink" Target="https://pbs.twimg.com/profile_images/378800000461229603/54dcc490f17c8812011cde76385f9b9d_normal.jpeg" TargetMode="External"/><Relationship Id="rId10189" Type="http://schemas.openxmlformats.org/officeDocument/2006/relationships/hyperlink" Target="https://twitter.com/MelitaDelic" TargetMode="External"/><Relationship Id="rId1713" Type="http://schemas.openxmlformats.org/officeDocument/2006/relationships/hyperlink" Target="https://pbs.twimg.com/profile_images/722385992343285760/ww8YLZ2q_normal.jpg" TargetMode="External"/><Relationship Id="rId4869" Type="http://schemas.openxmlformats.org/officeDocument/2006/relationships/hyperlink" Target="https://twitter.com/AGiesenNRW" TargetMode="External"/><Relationship Id="rId7275" Type="http://schemas.openxmlformats.org/officeDocument/2006/relationships/hyperlink" Target="https://pbs.twimg.com/profile_images/663376145715363840/LG0s3Yst_normal.png" TargetMode="External"/><Relationship Id="rId8326" Type="http://schemas.openxmlformats.org/officeDocument/2006/relationships/hyperlink" Target="https://twitter.com/tracymgay/status/723536006457122816" TargetMode="External"/><Relationship Id="rId8740" Type="http://schemas.openxmlformats.org/officeDocument/2006/relationships/hyperlink" Target="https://twitter.com/mirko_ross" TargetMode="External"/><Relationship Id="rId10256" Type="http://schemas.openxmlformats.org/officeDocument/2006/relationships/hyperlink" Target="https://twitter.com/AlbertoMunoz/status/724420904944439296" TargetMode="External"/><Relationship Id="rId3885" Type="http://schemas.openxmlformats.org/officeDocument/2006/relationships/hyperlink" Target="https://twitter.com/INDIZbot/status/722449966959091712" TargetMode="External"/><Relationship Id="rId4936" Type="http://schemas.openxmlformats.org/officeDocument/2006/relationships/hyperlink" Target="https://twitter.com/CKoaser/status/722740231561158657" TargetMode="External"/><Relationship Id="rId6291" Type="http://schemas.openxmlformats.org/officeDocument/2006/relationships/hyperlink" Target="https://twitter.com/verlinked/status/723104087462404097" TargetMode="External"/><Relationship Id="rId7342" Type="http://schemas.openxmlformats.org/officeDocument/2006/relationships/hyperlink" Target="https://pbs.twimg.com/profile_images/619429467434434560/ywWYiH5V_normal.jpg" TargetMode="External"/><Relationship Id="rId10323" Type="http://schemas.openxmlformats.org/officeDocument/2006/relationships/hyperlink" Target="https://pbs.twimg.com/profile_images/664791397116026880/JzTJUnHj_normal.png" TargetMode="External"/><Relationship Id="rId2487" Type="http://schemas.openxmlformats.org/officeDocument/2006/relationships/hyperlink" Target="https://pbs.twimg.com/profile_images/1908899611/SAP_TW_StandardLogo_022311_normal.jpg" TargetMode="External"/><Relationship Id="rId3538" Type="http://schemas.openxmlformats.org/officeDocument/2006/relationships/hyperlink" Target="https://pbs.twimg.com/profile_images/448785058711601152/lLXOAUVA_normal.png" TargetMode="External"/><Relationship Id="rId459" Type="http://schemas.openxmlformats.org/officeDocument/2006/relationships/hyperlink" Target="https://pbs.twimg.com/profile_images/722385992343285760/ww8YLZ2q_normal.jpg" TargetMode="External"/><Relationship Id="rId873" Type="http://schemas.openxmlformats.org/officeDocument/2006/relationships/hyperlink" Target="https://twitter.com/SALIM__S" TargetMode="External"/><Relationship Id="rId1089" Type="http://schemas.openxmlformats.org/officeDocument/2006/relationships/hyperlink" Target="https://pbs.twimg.com/profile_images/541146126158536704/IYardufS_normal.jpeg" TargetMode="External"/><Relationship Id="rId2554" Type="http://schemas.openxmlformats.org/officeDocument/2006/relationships/hyperlink" Target="https://twitter.com/WAGOKontakttech/status/722058789663465472" TargetMode="External"/><Relationship Id="rId3952" Type="http://schemas.openxmlformats.org/officeDocument/2006/relationships/hyperlink" Target="https://pbs.twimg.com/profile_images/419443300631064576/z6p0EaBD_normal.jpeg" TargetMode="External"/><Relationship Id="rId6011" Type="http://schemas.openxmlformats.org/officeDocument/2006/relationships/hyperlink" Target="https://twitter.com/SY_HCL" TargetMode="External"/><Relationship Id="rId9167" Type="http://schemas.openxmlformats.org/officeDocument/2006/relationships/hyperlink" Target="https://twitter.com/kat2812" TargetMode="External"/><Relationship Id="rId9581" Type="http://schemas.openxmlformats.org/officeDocument/2006/relationships/hyperlink" Target="https://twitter.com/OOgbukagu" TargetMode="External"/><Relationship Id="rId526" Type="http://schemas.openxmlformats.org/officeDocument/2006/relationships/hyperlink" Target="https://pbs.twimg.com/profile_images/378800000740380059/fd2425e08af8db5b2d2cfa181f5efc97_normal.jpeg" TargetMode="External"/><Relationship Id="rId1156" Type="http://schemas.openxmlformats.org/officeDocument/2006/relationships/hyperlink" Target="https://twitter.com/echolotGruppe" TargetMode="External"/><Relationship Id="rId2207" Type="http://schemas.openxmlformats.org/officeDocument/2006/relationships/hyperlink" Target="https://twitter.com/catkinEU/status/721961923043016704" TargetMode="External"/><Relationship Id="rId3605" Type="http://schemas.openxmlformats.org/officeDocument/2006/relationships/hyperlink" Target="https://twitter.com/CanarioAcosado" TargetMode="External"/><Relationship Id="rId8183" Type="http://schemas.openxmlformats.org/officeDocument/2006/relationships/hyperlink" Target="https://twitter.com/INDIZbot" TargetMode="External"/><Relationship Id="rId9234" Type="http://schemas.openxmlformats.org/officeDocument/2006/relationships/hyperlink" Target="https://twitter.com/colbytylerford/status/724028179816562688" TargetMode="External"/><Relationship Id="rId940" Type="http://schemas.openxmlformats.org/officeDocument/2006/relationships/hyperlink" Target="https://twitter.com/retotrinkler/status/720871166517256192" TargetMode="External"/><Relationship Id="rId1570" Type="http://schemas.openxmlformats.org/officeDocument/2006/relationships/hyperlink" Target="https://twitter.com/messeworldwide" TargetMode="External"/><Relationship Id="rId2621" Type="http://schemas.openxmlformats.org/officeDocument/2006/relationships/hyperlink" Target="http://startupradio.de/" TargetMode="External"/><Relationship Id="rId5777" Type="http://schemas.openxmlformats.org/officeDocument/2006/relationships/hyperlink" Target="https://pbs.twimg.com/profile_images/378800000073107689/42be2e11591e72a4201ea41030ecef16_normal.jpeg" TargetMode="External"/><Relationship Id="rId6828" Type="http://schemas.openxmlformats.org/officeDocument/2006/relationships/hyperlink" Target="https://pbs.twimg.com/profile_images/502879276103106561/xVCdCAlQ_normal.jpeg" TargetMode="External"/><Relationship Id="rId1223" Type="http://schemas.openxmlformats.org/officeDocument/2006/relationships/hyperlink" Target="https://twitter.com/Apandia/status/720928430770900992" TargetMode="External"/><Relationship Id="rId4379" Type="http://schemas.openxmlformats.org/officeDocument/2006/relationships/hyperlink" Target="https://pbs.twimg.com/profile_images/623849156159868928/BetFDR_i_normal.jpg" TargetMode="External"/><Relationship Id="rId4793" Type="http://schemas.openxmlformats.org/officeDocument/2006/relationships/hyperlink" Target="https://pbs.twimg.com/profile_images/645716711723925506/t5G0qOS6_normal.jpg" TargetMode="External"/><Relationship Id="rId5844" Type="http://schemas.openxmlformats.org/officeDocument/2006/relationships/hyperlink" Target="https://twitter.com/TRUMPF_News/status/723052545275469824" TargetMode="External"/><Relationship Id="rId8250" Type="http://schemas.openxmlformats.org/officeDocument/2006/relationships/hyperlink" Target="https://twitter.com/dumslaff" TargetMode="External"/><Relationship Id="rId9301" Type="http://schemas.openxmlformats.org/officeDocument/2006/relationships/hyperlink" Target="https://pbs.twimg.com/profile_images/378800000109288008/2974a4a19e33d0106f232f48d87756ef_normal.jpeg" TargetMode="External"/><Relationship Id="rId10180" Type="http://schemas.openxmlformats.org/officeDocument/2006/relationships/hyperlink" Target="https://twitter.com/unbelievable_m" TargetMode="External"/><Relationship Id="rId3395" Type="http://schemas.openxmlformats.org/officeDocument/2006/relationships/hyperlink" Target="https://twitter.com/mbaukarriere" TargetMode="External"/><Relationship Id="rId4446" Type="http://schemas.openxmlformats.org/officeDocument/2006/relationships/hyperlink" Target="http://ctrlq.org/maps/address/" TargetMode="External"/><Relationship Id="rId4860" Type="http://schemas.openxmlformats.org/officeDocument/2006/relationships/hyperlink" Target="https://twitter.com/cccsoftwaregmbh" TargetMode="External"/><Relationship Id="rId5911" Type="http://schemas.openxmlformats.org/officeDocument/2006/relationships/hyperlink" Target="https://pbs.twimg.com/profile_images/711938400417419264/wOo1VTyR_normal.jpg" TargetMode="External"/><Relationship Id="rId3048" Type="http://schemas.openxmlformats.org/officeDocument/2006/relationships/hyperlink" Target="https://twitter.com/ChrisSpahnADP" TargetMode="External"/><Relationship Id="rId3462" Type="http://schemas.openxmlformats.org/officeDocument/2006/relationships/hyperlink" Target="https://twitter.com/BILZ_DE/status/722363057058549761" TargetMode="External"/><Relationship Id="rId4513" Type="http://schemas.openxmlformats.org/officeDocument/2006/relationships/hyperlink" Target="https://twitter.com/MEBerufe_Info/status/722701114941050880" TargetMode="External"/><Relationship Id="rId7669" Type="http://schemas.openxmlformats.org/officeDocument/2006/relationships/hyperlink" Target="https://twitter.com/NicolasChulot/status/723424964628500481" TargetMode="External"/><Relationship Id="rId383" Type="http://schemas.openxmlformats.org/officeDocument/2006/relationships/hyperlink" Target="https://twitter.com/zen_mfg/status/720570318503428096" TargetMode="External"/><Relationship Id="rId2064" Type="http://schemas.openxmlformats.org/officeDocument/2006/relationships/hyperlink" Target="https://twitter.com/INDIZbot" TargetMode="External"/><Relationship Id="rId3115" Type="http://schemas.openxmlformats.org/officeDocument/2006/relationships/hyperlink" Target="https://twitter.com/steffi_kow/status/722314465035874304" TargetMode="External"/><Relationship Id="rId6685" Type="http://schemas.openxmlformats.org/officeDocument/2006/relationships/hyperlink" Target="https://twitter.com/croXXing_IBD" TargetMode="External"/><Relationship Id="rId9091" Type="http://schemas.openxmlformats.org/officeDocument/2006/relationships/hyperlink" Target="https://pbs.twimg.com/profile_images/615797525040136192/CKF9-v_o_normal.jpg" TargetMode="External"/><Relationship Id="rId450" Type="http://schemas.openxmlformats.org/officeDocument/2006/relationships/hyperlink" Target="https://pbs.twimg.com/profile_images/645716711723925506/t5G0qOS6_normal.jpg" TargetMode="External"/><Relationship Id="rId1080" Type="http://schemas.openxmlformats.org/officeDocument/2006/relationships/hyperlink" Target="https://pbs.twimg.com/profile_images/695227740136587265/5eHVsAlx_normal.png" TargetMode="External"/><Relationship Id="rId2131" Type="http://schemas.openxmlformats.org/officeDocument/2006/relationships/hyperlink" Target="https://twitter.com/UL_Commercial" TargetMode="External"/><Relationship Id="rId5287" Type="http://schemas.openxmlformats.org/officeDocument/2006/relationships/hyperlink" Target="https://twitter.com/croXXing_IBD" TargetMode="External"/><Relationship Id="rId6338" Type="http://schemas.openxmlformats.org/officeDocument/2006/relationships/hyperlink" Target="https://twitter.com/BeuthBonus/status/723114760800206848" TargetMode="External"/><Relationship Id="rId7736" Type="http://schemas.openxmlformats.org/officeDocument/2006/relationships/hyperlink" Target="https://pbs.twimg.com/profile_images/378800000181509745/cc2ac55b1f8cf6de6ab7c9ea96eae6fa_normal.png" TargetMode="External"/><Relationship Id="rId103" Type="http://schemas.openxmlformats.org/officeDocument/2006/relationships/hyperlink" Target="https://twitter.com/INDIZbot" TargetMode="External"/><Relationship Id="rId6752" Type="http://schemas.openxmlformats.org/officeDocument/2006/relationships/hyperlink" Target="https://twitter.com/TammoSchwindt/status/723168087994949632" TargetMode="External"/><Relationship Id="rId7803" Type="http://schemas.openxmlformats.org/officeDocument/2006/relationships/hyperlink" Target="https://pbs.twimg.com/profile_images/1244176961/2011-02-14_160904_normal.jpg" TargetMode="External"/><Relationship Id="rId1897" Type="http://schemas.openxmlformats.org/officeDocument/2006/relationships/hyperlink" Target="https://pbs.twimg.com/profile_images/645921258018725888/K6K3dJyf_normal.jpg" TargetMode="External"/><Relationship Id="rId2948" Type="http://schemas.openxmlformats.org/officeDocument/2006/relationships/hyperlink" Target="https://twitter.com/id_wettbewerbe" TargetMode="External"/><Relationship Id="rId5354" Type="http://schemas.openxmlformats.org/officeDocument/2006/relationships/hyperlink" Target="http://ideenwerkbw.de/" TargetMode="External"/><Relationship Id="rId6405" Type="http://schemas.openxmlformats.org/officeDocument/2006/relationships/hyperlink" Target="https://twitter.com/einkauf_mgmt/status/723120055089647617" TargetMode="External"/><Relationship Id="rId9975" Type="http://schemas.openxmlformats.org/officeDocument/2006/relationships/hyperlink" Target="https://pbs.twimg.com/profile_images/602304216468738049/_0sb-3oB_normal.jpg" TargetMode="External"/><Relationship Id="rId1964" Type="http://schemas.openxmlformats.org/officeDocument/2006/relationships/hyperlink" Target="https://pbs.twimg.com/profile_images/645716711723925506/t5G0qOS6_normal.jpg" TargetMode="External"/><Relationship Id="rId4370" Type="http://schemas.openxmlformats.org/officeDocument/2006/relationships/hyperlink" Target="https://pbs.twimg.com/profile_images/645716711723925506/t5G0qOS6_normal.jpg" TargetMode="External"/><Relationship Id="rId5007" Type="http://schemas.openxmlformats.org/officeDocument/2006/relationships/hyperlink" Target="https://pbs.twimg.com/profile_images/3726440228/9ba49ccb938cf571b195e3e83a4e1327_normal.jpeg" TargetMode="External"/><Relationship Id="rId5421" Type="http://schemas.openxmlformats.org/officeDocument/2006/relationships/hyperlink" Target="https://twitter.com/Databanque/status/722799744754429952" TargetMode="External"/><Relationship Id="rId8577" Type="http://schemas.openxmlformats.org/officeDocument/2006/relationships/hyperlink" Target="https://pbs.twimg.com/profile_images/661569725550469124/-Uzw8rQt_normal.jpg" TargetMode="External"/><Relationship Id="rId8991" Type="http://schemas.openxmlformats.org/officeDocument/2006/relationships/hyperlink" Target="https://pbs.twimg.com/profile_images/496265067118075904/A2MFKnFv_normal.jpeg" TargetMode="External"/><Relationship Id="rId9628" Type="http://schemas.openxmlformats.org/officeDocument/2006/relationships/hyperlink" Target="https://pbs.twimg.com/profile_images/710998412557213696/35ck8XjS_normal.jpg" TargetMode="External"/><Relationship Id="rId1617" Type="http://schemas.openxmlformats.org/officeDocument/2006/relationships/hyperlink" Target="https://pbs.twimg.com/profile_images/662237330028240896/0SuYDCo1_normal.jpg" TargetMode="External"/><Relationship Id="rId4023" Type="http://schemas.openxmlformats.org/officeDocument/2006/relationships/hyperlink" Target="https://twitter.com/Alpict/status/722475134645321728" TargetMode="External"/><Relationship Id="rId7179" Type="http://schemas.openxmlformats.org/officeDocument/2006/relationships/hyperlink" Target="https://pbs.twimg.com/profile_images/1182335615/Foto_Stefan_D_ring_normal.jpg" TargetMode="External"/><Relationship Id="rId7593" Type="http://schemas.openxmlformats.org/officeDocument/2006/relationships/hyperlink" Target="https://twitter.com/TechTargetDE" TargetMode="External"/><Relationship Id="rId8644" Type="http://schemas.openxmlformats.org/officeDocument/2006/relationships/hyperlink" Target="https://twitter.com/INDIZbot" TargetMode="External"/><Relationship Id="rId3789" Type="http://schemas.openxmlformats.org/officeDocument/2006/relationships/hyperlink" Target="https://twitter.com/BayrleU/status/722425439604629504" TargetMode="External"/><Relationship Id="rId6195" Type="http://schemas.openxmlformats.org/officeDocument/2006/relationships/hyperlink" Target="https://twitter.com/APRIOR24" TargetMode="External"/><Relationship Id="rId7246" Type="http://schemas.openxmlformats.org/officeDocument/2006/relationships/hyperlink" Target="https://twitter.com/we_online" TargetMode="External"/><Relationship Id="rId7660" Type="http://schemas.openxmlformats.org/officeDocument/2006/relationships/hyperlink" Target="https://twitter.com/joworf/status/723423400065003520" TargetMode="External"/><Relationship Id="rId10227" Type="http://schemas.openxmlformats.org/officeDocument/2006/relationships/hyperlink" Target="https://pbs.twimg.com/profile_images/614706754518130688/WFWO9x9i_normal.jpg" TargetMode="External"/><Relationship Id="rId6262" Type="http://schemas.openxmlformats.org/officeDocument/2006/relationships/hyperlink" Target="https://twitter.com/INDIZbot" TargetMode="External"/><Relationship Id="rId7313" Type="http://schemas.openxmlformats.org/officeDocument/2006/relationships/hyperlink" Target="https://twitter.com/m_biscarrat/status/723398586558349312" TargetMode="External"/><Relationship Id="rId8711" Type="http://schemas.openxmlformats.org/officeDocument/2006/relationships/hyperlink" Target="https://twitter.com/Siliconavatar/status/723794096482037760" TargetMode="External"/><Relationship Id="rId3856" Type="http://schemas.openxmlformats.org/officeDocument/2006/relationships/hyperlink" Target="https://pbs.twimg.com/profile_images/718892133357330432/9mvpJR26_normal.jpg" TargetMode="External"/><Relationship Id="rId4907" Type="http://schemas.openxmlformats.org/officeDocument/2006/relationships/hyperlink" Target="https://pbs.twimg.com/profile_images/572721926804488192/AGAGHTgy_normal.jpeg" TargetMode="External"/><Relationship Id="rId777" Type="http://schemas.openxmlformats.org/officeDocument/2006/relationships/hyperlink" Target="https://twitter.com/Lean_john/status/720716268362444800" TargetMode="External"/><Relationship Id="rId2458" Type="http://schemas.openxmlformats.org/officeDocument/2006/relationships/hyperlink" Target="https://twitter.com/turenne1611" TargetMode="External"/><Relationship Id="rId2872" Type="http://schemas.openxmlformats.org/officeDocument/2006/relationships/hyperlink" Target="https://twitter.com/kommoptimierer" TargetMode="External"/><Relationship Id="rId3509" Type="http://schemas.openxmlformats.org/officeDocument/2006/relationships/hyperlink" Target="https://twitter.com/SAP_IoT" TargetMode="External"/><Relationship Id="rId3923" Type="http://schemas.openxmlformats.org/officeDocument/2006/relationships/hyperlink" Target="https://twitter.com/insm" TargetMode="External"/><Relationship Id="rId8087" Type="http://schemas.openxmlformats.org/officeDocument/2006/relationships/hyperlink" Target="https://twitter.com/BoschPresse" TargetMode="External"/><Relationship Id="rId9485" Type="http://schemas.openxmlformats.org/officeDocument/2006/relationships/hyperlink" Target="https://twitter.com/INDIZbot" TargetMode="External"/><Relationship Id="rId844" Type="http://schemas.openxmlformats.org/officeDocument/2006/relationships/hyperlink" Target="https://twitter.com/bastihollmann/status/720844059137290240" TargetMode="External"/><Relationship Id="rId1474" Type="http://schemas.openxmlformats.org/officeDocument/2006/relationships/hyperlink" Target="https://twitter.com/ThomasSchulzGE" TargetMode="External"/><Relationship Id="rId2525" Type="http://schemas.openxmlformats.org/officeDocument/2006/relationships/hyperlink" Target="https://pbs.twimg.com/profile_images/561137710287425536/htHMwCBr_normal.png" TargetMode="External"/><Relationship Id="rId9138" Type="http://schemas.openxmlformats.org/officeDocument/2006/relationships/hyperlink" Target="https://twitter.com/msftmfg/status/723953339449376769" TargetMode="External"/><Relationship Id="rId9552" Type="http://schemas.openxmlformats.org/officeDocument/2006/relationships/hyperlink" Target="https://twitter.com/ICV_llc/status/724202554133979136" TargetMode="External"/><Relationship Id="rId911" Type="http://schemas.openxmlformats.org/officeDocument/2006/relationships/hyperlink" Target="https://pbs.twimg.com/profile_images/645716711723925506/t5G0qOS6_normal.jpg" TargetMode="External"/><Relationship Id="rId1127" Type="http://schemas.openxmlformats.org/officeDocument/2006/relationships/hyperlink" Target="https://twitter.com/Frank_Reinelt/status/720904005820551168" TargetMode="External"/><Relationship Id="rId1541" Type="http://schemas.openxmlformats.org/officeDocument/2006/relationships/hyperlink" Target="https://twitter.com/IndieGameDevBot/status/721067746407092228" TargetMode="External"/><Relationship Id="rId4697" Type="http://schemas.openxmlformats.org/officeDocument/2006/relationships/hyperlink" Target="https://pbs.twimg.com/profile_images/541146126158536704/IYardufS_normal.jpeg" TargetMode="External"/><Relationship Id="rId5748" Type="http://schemas.openxmlformats.org/officeDocument/2006/relationships/hyperlink" Target="https://twitter.com/Schulrat" TargetMode="External"/><Relationship Id="rId8154" Type="http://schemas.openxmlformats.org/officeDocument/2006/relationships/hyperlink" Target="https://twitter.com/TanjCar/status/723500742401757185" TargetMode="External"/><Relationship Id="rId9205" Type="http://schemas.openxmlformats.org/officeDocument/2006/relationships/hyperlink" Target="https://pbs.twimg.com/profile_images/645716711723925506/t5G0qOS6_normal.jpg" TargetMode="External"/><Relationship Id="rId10084" Type="http://schemas.openxmlformats.org/officeDocument/2006/relationships/hyperlink" Target="https://twitter.com/joegonett" TargetMode="External"/><Relationship Id="rId3299" Type="http://schemas.openxmlformats.org/officeDocument/2006/relationships/hyperlink" Target="https://twitter.com/catkinEU/status/722346023058735104" TargetMode="External"/><Relationship Id="rId4764" Type="http://schemas.openxmlformats.org/officeDocument/2006/relationships/hyperlink" Target="https://twitter.com/_NewSearch_" TargetMode="External"/><Relationship Id="rId7170" Type="http://schemas.openxmlformats.org/officeDocument/2006/relationships/hyperlink" Target="https://pbs.twimg.com/profile_images/1827233338/Pat_P._no_glass.twitter_normal.jpg" TargetMode="External"/><Relationship Id="rId8221" Type="http://schemas.openxmlformats.org/officeDocument/2006/relationships/hyperlink" Target="https://twitter.com/dictaJet/status/723512990436364288" TargetMode="External"/><Relationship Id="rId10151" Type="http://schemas.openxmlformats.org/officeDocument/2006/relationships/hyperlink" Target="https://twitter.com/Philip_W_Morris/status/724348538596016132" TargetMode="External"/><Relationship Id="rId3366" Type="http://schemas.openxmlformats.org/officeDocument/2006/relationships/hyperlink" Target="https://pbs.twimg.com/profile_images/3226296920/d40b6c4b5828d58c93f77d0e966b13be_normal.jpeg" TargetMode="External"/><Relationship Id="rId4417" Type="http://schemas.openxmlformats.org/officeDocument/2006/relationships/hyperlink" Target="https://twitter.com/INDIZbot/status/722689333791207424" TargetMode="External"/><Relationship Id="rId5815" Type="http://schemas.openxmlformats.org/officeDocument/2006/relationships/hyperlink" Target="https://twitter.com/H_IT_D" TargetMode="External"/><Relationship Id="rId287" Type="http://schemas.openxmlformats.org/officeDocument/2006/relationships/hyperlink" Target="https://twitter.com/Tim_Caesar/status/720543636597915648" TargetMode="External"/><Relationship Id="rId2382" Type="http://schemas.openxmlformats.org/officeDocument/2006/relationships/hyperlink" Target="https://pbs.twimg.com/profile_images/706811232695750657/fVFQauFe_normal.jpg" TargetMode="External"/><Relationship Id="rId3019" Type="http://schemas.openxmlformats.org/officeDocument/2006/relationships/hyperlink" Target="https://twitter.com/H_IT_D/status/722293290037436416" TargetMode="External"/><Relationship Id="rId3780" Type="http://schemas.openxmlformats.org/officeDocument/2006/relationships/hyperlink" Target="https://twitter.com/ITK_OWL/status/722424805480378370" TargetMode="External"/><Relationship Id="rId4831" Type="http://schemas.openxmlformats.org/officeDocument/2006/relationships/hyperlink" Target="https://twitter.com/VhUHessen/status/722722725488435201" TargetMode="External"/><Relationship Id="rId7987" Type="http://schemas.openxmlformats.org/officeDocument/2006/relationships/hyperlink" Target="https://pbs.twimg.com/profile_images/672007271753338880/vC18hLkb_normal.jpg" TargetMode="External"/><Relationship Id="rId354" Type="http://schemas.openxmlformats.org/officeDocument/2006/relationships/hyperlink" Target="https://pbs.twimg.com/profile_images/553105273720561665/EBknbLOh_normal.jpeg" TargetMode="External"/><Relationship Id="rId2035" Type="http://schemas.openxmlformats.org/officeDocument/2006/relationships/hyperlink" Target="https://twitter.com/culturbureau/status/721755111471587328" TargetMode="External"/><Relationship Id="rId3433" Type="http://schemas.openxmlformats.org/officeDocument/2006/relationships/hyperlink" Target="https://pbs.twimg.com/profile_images/460738896184086528/pZMN1aQW_normal.png" TargetMode="External"/><Relationship Id="rId6589" Type="http://schemas.openxmlformats.org/officeDocument/2006/relationships/hyperlink" Target="https://twitter.com/SalesforceDE/status/723146780267941888" TargetMode="External"/><Relationship Id="rId9062" Type="http://schemas.openxmlformats.org/officeDocument/2006/relationships/hyperlink" Target="https://twitter.com/iris_musiol" TargetMode="External"/><Relationship Id="rId3500" Type="http://schemas.openxmlformats.org/officeDocument/2006/relationships/hyperlink" Target="https://twitter.com/ECOWARRIORSS" TargetMode="External"/><Relationship Id="rId6656" Type="http://schemas.openxmlformats.org/officeDocument/2006/relationships/hyperlink" Target="https://twitter.com/uwepfeil/status/723156953258663937" TargetMode="External"/><Relationship Id="rId7707" Type="http://schemas.openxmlformats.org/officeDocument/2006/relationships/hyperlink" Target="https://twitter.com/MeinGeldMedien" TargetMode="External"/><Relationship Id="rId421" Type="http://schemas.openxmlformats.org/officeDocument/2006/relationships/hyperlink" Target="https://twitter.com/celebalcorp" TargetMode="External"/><Relationship Id="rId1051" Type="http://schemas.openxmlformats.org/officeDocument/2006/relationships/hyperlink" Target="https://twitter.com/werliefertwas" TargetMode="External"/><Relationship Id="rId2102" Type="http://schemas.openxmlformats.org/officeDocument/2006/relationships/hyperlink" Target="https://pbs.twimg.com/profile_images/542205461139705857/rG0aBulP_normal.png" TargetMode="External"/><Relationship Id="rId5258" Type="http://schemas.openxmlformats.org/officeDocument/2006/relationships/hyperlink" Target="https://twitter.com/packagingJ/status/722776092956733441" TargetMode="External"/><Relationship Id="rId5672" Type="http://schemas.openxmlformats.org/officeDocument/2006/relationships/hyperlink" Target="https://pbs.twimg.com/profile_images/645716711723925506/t5G0qOS6_normal.jpg" TargetMode="External"/><Relationship Id="rId6309" Type="http://schemas.openxmlformats.org/officeDocument/2006/relationships/hyperlink" Target="https://twitter.com/LWalendy" TargetMode="External"/><Relationship Id="rId6723" Type="http://schemas.openxmlformats.org/officeDocument/2006/relationships/hyperlink" Target="https://pbs.twimg.com/profile_images/471312276767535104/TIanhngf_normal.jpeg" TargetMode="External"/><Relationship Id="rId9879" Type="http://schemas.openxmlformats.org/officeDocument/2006/relationships/hyperlink" Target="https://pbs.twimg.com/profile_images/645716711723925506/t5G0qOS6_normal.jpg" TargetMode="External"/><Relationship Id="rId1868" Type="http://schemas.openxmlformats.org/officeDocument/2006/relationships/hyperlink" Target="https://twitter.com/INDIZbot" TargetMode="External"/><Relationship Id="rId4274" Type="http://schemas.openxmlformats.org/officeDocument/2006/relationships/hyperlink" Target="https://pbs.twimg.com/profile_images/591951396217327616/HbcCX2zX_normal.png" TargetMode="External"/><Relationship Id="rId5325" Type="http://schemas.openxmlformats.org/officeDocument/2006/relationships/hyperlink" Target="https://pbs.twimg.com/profile_images/2619086509/ld3z97zhhdbs2essw7s9_normal.jpeg" TargetMode="External"/><Relationship Id="rId8895" Type="http://schemas.openxmlformats.org/officeDocument/2006/relationships/hyperlink" Target="https://pbs.twimg.com/profile_images/479147477975588864/z94n3mRF_normal.jpeg" TargetMode="External"/><Relationship Id="rId2919" Type="http://schemas.openxmlformats.org/officeDocument/2006/relationships/hyperlink" Target="https://twitter.com/INDIZbot/status/722170890595778560" TargetMode="External"/><Relationship Id="rId3290" Type="http://schemas.openxmlformats.org/officeDocument/2006/relationships/hyperlink" Target="https://twitter.com/H_IT_D/status/722341993037205504" TargetMode="External"/><Relationship Id="rId4341" Type="http://schemas.openxmlformats.org/officeDocument/2006/relationships/hyperlink" Target="https://twitter.com/INDIZbot" TargetMode="External"/><Relationship Id="rId7497" Type="http://schemas.openxmlformats.org/officeDocument/2006/relationships/hyperlink" Target="https://twitter.com/View85" TargetMode="External"/><Relationship Id="rId8548" Type="http://schemas.openxmlformats.org/officeDocument/2006/relationships/hyperlink" Target="https://twitter.com/TLinn_Visionico" TargetMode="External"/><Relationship Id="rId9946" Type="http://schemas.openxmlformats.org/officeDocument/2006/relationships/hyperlink" Target="https://twitter.com/WKerner" TargetMode="External"/><Relationship Id="rId1935" Type="http://schemas.openxmlformats.org/officeDocument/2006/relationships/hyperlink" Target="https://twitter.com/PiotrDrago/status/721652827085533184" TargetMode="External"/><Relationship Id="rId6099" Type="http://schemas.openxmlformats.org/officeDocument/2006/relationships/hyperlink" Target="https://twitter.com/Angela_Josephs/status/723074324144504832" TargetMode="External"/><Relationship Id="rId8962" Type="http://schemas.openxmlformats.org/officeDocument/2006/relationships/hyperlink" Target="https://twitter.com/hannover_messe" TargetMode="External"/><Relationship Id="rId3010" Type="http://schemas.openxmlformats.org/officeDocument/2006/relationships/hyperlink" Target="https://twitter.com/ASPhotoProject/status/722285451663523840" TargetMode="External"/><Relationship Id="rId6166" Type="http://schemas.openxmlformats.org/officeDocument/2006/relationships/hyperlink" Target="https://twitter.com/THINK_ING/status/723082751138652160" TargetMode="External"/><Relationship Id="rId7564" Type="http://schemas.openxmlformats.org/officeDocument/2006/relationships/hyperlink" Target="https://twitter.com/Angela_Josephs/status/723414211615821824" TargetMode="External"/><Relationship Id="rId8615" Type="http://schemas.openxmlformats.org/officeDocument/2006/relationships/hyperlink" Target="https://twitter.com/MeinGeldMedien/status/723768549223882752" TargetMode="External"/><Relationship Id="rId6580" Type="http://schemas.openxmlformats.org/officeDocument/2006/relationships/hyperlink" Target="https://twitter.com/DKEAktuell/status/723145421070192640" TargetMode="External"/><Relationship Id="rId7217" Type="http://schemas.openxmlformats.org/officeDocument/2006/relationships/hyperlink" Target="https://twitter.com/foresight_lab/status/723385114722357249" TargetMode="External"/><Relationship Id="rId7631" Type="http://schemas.openxmlformats.org/officeDocument/2006/relationships/hyperlink" Target="https://pbs.twimg.com/profile_images/603699032804859904/lb5IMG5x_normal.jpg" TargetMode="External"/><Relationship Id="rId2776" Type="http://schemas.openxmlformats.org/officeDocument/2006/relationships/hyperlink" Target="https://twitter.com/SYSCONmedia/status/722116297509761024" TargetMode="External"/><Relationship Id="rId3827" Type="http://schemas.openxmlformats.org/officeDocument/2006/relationships/hyperlink" Target="https://twitter.com/markherten" TargetMode="External"/><Relationship Id="rId5182" Type="http://schemas.openxmlformats.org/officeDocument/2006/relationships/hyperlink" Target="https://twitter.com/S_Koebernick" TargetMode="External"/><Relationship Id="rId6233" Type="http://schemas.openxmlformats.org/officeDocument/2006/relationships/hyperlink" Target="https://twitter.com/JETZT_PRde/status/723090646139969536" TargetMode="External"/><Relationship Id="rId9389" Type="http://schemas.openxmlformats.org/officeDocument/2006/relationships/hyperlink" Target="https://twitter.com/IFCEBERT" TargetMode="External"/><Relationship Id="rId748" Type="http://schemas.openxmlformats.org/officeDocument/2006/relationships/hyperlink" Target="https://pbs.twimg.com/profile_images/676700631248166912/ZVQvTezj_normal.png" TargetMode="External"/><Relationship Id="rId1378" Type="http://schemas.openxmlformats.org/officeDocument/2006/relationships/hyperlink" Target="https://pbs.twimg.com/profile_images/662723326096224256/5V4KH9_O_normal.jpg" TargetMode="External"/><Relationship Id="rId1792" Type="http://schemas.openxmlformats.org/officeDocument/2006/relationships/hyperlink" Target="https://twitter.com/changetokaizen" TargetMode="External"/><Relationship Id="rId2429" Type="http://schemas.openxmlformats.org/officeDocument/2006/relationships/hyperlink" Target="https://twitter.com/KubitzTassilo/status/722024002756210690" TargetMode="External"/><Relationship Id="rId2843" Type="http://schemas.openxmlformats.org/officeDocument/2006/relationships/hyperlink" Target="https://pbs.twimg.com/profile_images/566986293888835584/_uYTcau__normal.png" TargetMode="External"/><Relationship Id="rId5999" Type="http://schemas.openxmlformats.org/officeDocument/2006/relationships/hyperlink" Target="https://twitter.com/Apandia" TargetMode="External"/><Relationship Id="rId6300" Type="http://schemas.openxmlformats.org/officeDocument/2006/relationships/hyperlink" Target="https://twitter.com/KlemensRoth/status/723105354943500288" TargetMode="External"/><Relationship Id="rId9456" Type="http://schemas.openxmlformats.org/officeDocument/2006/relationships/hyperlink" Target="https://twitter.com/MartinGaedt/status/724176814390829056" TargetMode="External"/><Relationship Id="rId9870" Type="http://schemas.openxmlformats.org/officeDocument/2006/relationships/hyperlink" Target="https://pbs.twimg.com/profile_images/528332865/fj_normal.jpg" TargetMode="External"/><Relationship Id="rId84" Type="http://schemas.openxmlformats.org/officeDocument/2006/relationships/hyperlink" Target="https://pbs.twimg.com/profile_images/645716711723925506/t5G0qOS6_normal.jpg" TargetMode="External"/><Relationship Id="rId815" Type="http://schemas.openxmlformats.org/officeDocument/2006/relationships/hyperlink" Target="https://pbs.twimg.com/profile_images/662723326096224256/5V4KH9_O_normal.jpg" TargetMode="External"/><Relationship Id="rId1445" Type="http://schemas.openxmlformats.org/officeDocument/2006/relationships/hyperlink" Target="https://twitter.com/TUV_IT/status/721005513358643202" TargetMode="External"/><Relationship Id="rId8058" Type="http://schemas.openxmlformats.org/officeDocument/2006/relationships/hyperlink" Target="https://twitter.com/LReehten/status/723487612057620480" TargetMode="External"/><Relationship Id="rId8472" Type="http://schemas.openxmlformats.org/officeDocument/2006/relationships/hyperlink" Target="https://pbs.twimg.com/profile_images/486066079261655040/uyhY_MQH_normal.jpeg" TargetMode="External"/><Relationship Id="rId9109" Type="http://schemas.openxmlformats.org/officeDocument/2006/relationships/hyperlink" Target="https://pbs.twimg.com/profile_images/681580230549585920/44kC2r0f_normal.png" TargetMode="External"/><Relationship Id="rId9523" Type="http://schemas.openxmlformats.org/officeDocument/2006/relationships/hyperlink" Target="https://pbs.twimg.com/profile_images/709356351768686592/BWnChYSq_normal.jpg" TargetMode="External"/><Relationship Id="rId2910" Type="http://schemas.openxmlformats.org/officeDocument/2006/relationships/hyperlink" Target="https://twitter.com/thomas_leubner/status/722161382020526081" TargetMode="External"/><Relationship Id="rId7074" Type="http://schemas.openxmlformats.org/officeDocument/2006/relationships/hyperlink" Target="https://pbs.twimg.com/profile_images/2994151206/72e14517d19cb49aa35fe3019df8b048_normal.jpeg" TargetMode="External"/><Relationship Id="rId8125" Type="http://schemas.openxmlformats.org/officeDocument/2006/relationships/hyperlink" Target="https://pbs.twimg.com/profile_images/481333142238679040/ErykRvBG_normal.png" TargetMode="External"/><Relationship Id="rId1512" Type="http://schemas.openxmlformats.org/officeDocument/2006/relationships/hyperlink" Target="https://pbs.twimg.com/profile_images/692728796336754690/RKiqJiFN_normal.jpg" TargetMode="External"/><Relationship Id="rId4668" Type="http://schemas.openxmlformats.org/officeDocument/2006/relationships/hyperlink" Target="https://twitter.com/Bitkom_I40" TargetMode="External"/><Relationship Id="rId5719" Type="http://schemas.openxmlformats.org/officeDocument/2006/relationships/hyperlink" Target="https://twitter.com/INDIZbot/status/722970907967426560" TargetMode="External"/><Relationship Id="rId6090" Type="http://schemas.openxmlformats.org/officeDocument/2006/relationships/hyperlink" Target="https://twitter.com/INDIZbot/status/723074209182830592" TargetMode="External"/><Relationship Id="rId7141" Type="http://schemas.openxmlformats.org/officeDocument/2006/relationships/hyperlink" Target="https://twitter.com/apetrongari" TargetMode="External"/><Relationship Id="rId10055" Type="http://schemas.openxmlformats.org/officeDocument/2006/relationships/hyperlink" Target="https://twitter.com/LilianaGorla/status/724314043838783488" TargetMode="External"/><Relationship Id="rId3684" Type="http://schemas.openxmlformats.org/officeDocument/2006/relationships/hyperlink" Target="https://twitter.com/ATKrakow/status/722405895309762560" TargetMode="External"/><Relationship Id="rId4735" Type="http://schemas.openxmlformats.org/officeDocument/2006/relationships/hyperlink" Target="https://twitter.com/prxagentur/status/722715627727818752" TargetMode="External"/><Relationship Id="rId10122" Type="http://schemas.openxmlformats.org/officeDocument/2006/relationships/hyperlink" Target="https://pbs.twimg.com/profile_images/627495276333273088/HU6O-APP_normal.jpg" TargetMode="External"/><Relationship Id="rId2286" Type="http://schemas.openxmlformats.org/officeDocument/2006/relationships/hyperlink" Target="https://twitter.com/UweKubach" TargetMode="External"/><Relationship Id="rId3337" Type="http://schemas.openxmlformats.org/officeDocument/2006/relationships/hyperlink" Target="https://twitter.com/Autonomik40" TargetMode="External"/><Relationship Id="rId3751" Type="http://schemas.openxmlformats.org/officeDocument/2006/relationships/hyperlink" Target="https://pbs.twimg.com/profile_images/3151814681/889304b58206053d6f22bd0b52344369_normal.jpeg" TargetMode="External"/><Relationship Id="rId4802" Type="http://schemas.openxmlformats.org/officeDocument/2006/relationships/hyperlink" Target="https://pbs.twimg.com/profile_images/718175389890310145/GX8DLe_h_normal.jpg" TargetMode="External"/><Relationship Id="rId7958" Type="http://schemas.openxmlformats.org/officeDocument/2006/relationships/hyperlink" Target="https://twitter.com/Robert_Weber_" TargetMode="External"/><Relationship Id="rId258" Type="http://schemas.openxmlformats.org/officeDocument/2006/relationships/hyperlink" Target="https://pbs.twimg.com/profile_images/645716711723925506/t5G0qOS6_normal.jpg" TargetMode="External"/><Relationship Id="rId672" Type="http://schemas.openxmlformats.org/officeDocument/2006/relationships/hyperlink" Target="https://twitter.com/FabLabLondon/status/720662554373197824" TargetMode="External"/><Relationship Id="rId2353" Type="http://schemas.openxmlformats.org/officeDocument/2006/relationships/hyperlink" Target="https://twitter.com/Jo_H123" TargetMode="External"/><Relationship Id="rId3404" Type="http://schemas.openxmlformats.org/officeDocument/2006/relationships/hyperlink" Target="https://twitter.com/OP_Magazin" TargetMode="External"/><Relationship Id="rId6974" Type="http://schemas.openxmlformats.org/officeDocument/2006/relationships/hyperlink" Target="https://twitter.com/nfoerster/status/723220410221862912" TargetMode="External"/><Relationship Id="rId9380" Type="http://schemas.openxmlformats.org/officeDocument/2006/relationships/hyperlink" Target="https://twitter.com/INDIZbot" TargetMode="External"/><Relationship Id="rId325" Type="http://schemas.openxmlformats.org/officeDocument/2006/relationships/hyperlink" Target="https://twitter.com/dorn_v" TargetMode="External"/><Relationship Id="rId2006" Type="http://schemas.openxmlformats.org/officeDocument/2006/relationships/hyperlink" Target="https://pbs.twimg.com/profile_images/645716711723925506/t5G0qOS6_normal.jpg" TargetMode="External"/><Relationship Id="rId2420" Type="http://schemas.openxmlformats.org/officeDocument/2006/relationships/hyperlink" Target="https://twitter.com/kommoptimierer/status/722018091618598912" TargetMode="External"/><Relationship Id="rId5576" Type="http://schemas.openxmlformats.org/officeDocument/2006/relationships/hyperlink" Target="https://pbs.twimg.com/profile_images/592208932988264449/bM2abhue_normal.png" TargetMode="External"/><Relationship Id="rId6627" Type="http://schemas.openxmlformats.org/officeDocument/2006/relationships/hyperlink" Target="https://twitter.com/MindCommerce" TargetMode="External"/><Relationship Id="rId9033" Type="http://schemas.openxmlformats.org/officeDocument/2006/relationships/hyperlink" Target="https://twitter.com/MindCommerce/status/723914537863360512" TargetMode="External"/><Relationship Id="rId1022" Type="http://schemas.openxmlformats.org/officeDocument/2006/relationships/hyperlink" Target="https://twitter.com/VDC_Fellbach/status/720885707946872833" TargetMode="External"/><Relationship Id="rId4178" Type="http://schemas.openxmlformats.org/officeDocument/2006/relationships/hyperlink" Target="https://pbs.twimg.com/profile_images/623849156159868928/BetFDR_i_normal.jpg" TargetMode="External"/><Relationship Id="rId4592" Type="http://schemas.openxmlformats.org/officeDocument/2006/relationships/hyperlink" Target="https://pbs.twimg.com/profile_images/709648582048157696/BnZ5RzQA_normal.jpg" TargetMode="External"/><Relationship Id="rId5229" Type="http://schemas.openxmlformats.org/officeDocument/2006/relationships/hyperlink" Target="https://twitter.com/Markenartikler" TargetMode="External"/><Relationship Id="rId5990" Type="http://schemas.openxmlformats.org/officeDocument/2006/relationships/hyperlink" Target="https://twitter.com/TUI_InfoTec" TargetMode="External"/><Relationship Id="rId9100" Type="http://schemas.openxmlformats.org/officeDocument/2006/relationships/hyperlink" Target="https://pbs.twimg.com/profile_images/601673968551075840/MnulnKkj_normal.png" TargetMode="External"/><Relationship Id="rId3194" Type="http://schemas.openxmlformats.org/officeDocument/2006/relationships/hyperlink" Target="https://twitter.com/INDIZbot/status/722321620950458368" TargetMode="External"/><Relationship Id="rId4245" Type="http://schemas.openxmlformats.org/officeDocument/2006/relationships/hyperlink" Target="https://twitter.com/fduesterbeck" TargetMode="External"/><Relationship Id="rId5643" Type="http://schemas.openxmlformats.org/officeDocument/2006/relationships/hyperlink" Target="https://twitter.com/prxpragma" TargetMode="External"/><Relationship Id="rId8799" Type="http://schemas.openxmlformats.org/officeDocument/2006/relationships/hyperlink" Target="https://pbs.twimg.com/profile_images/613736257013829633/hZjw40vm_normal.jpg" TargetMode="External"/><Relationship Id="rId1839" Type="http://schemas.openxmlformats.org/officeDocument/2006/relationships/hyperlink" Target="https://pbs.twimg.com/profile_images/566986293888835584/_uYTcau__normal.png" TargetMode="External"/><Relationship Id="rId5710" Type="http://schemas.openxmlformats.org/officeDocument/2006/relationships/hyperlink" Target="https://twitter.com/INDIZbot/status/722955806426144768" TargetMode="External"/><Relationship Id="rId8866" Type="http://schemas.openxmlformats.org/officeDocument/2006/relationships/hyperlink" Target="https://twitter.com/INDIZbot" TargetMode="External"/><Relationship Id="rId9917" Type="http://schemas.openxmlformats.org/officeDocument/2006/relationships/hyperlink" Target="https://twitter.com/Balluff/status/724277629218631680" TargetMode="External"/><Relationship Id="rId182" Type="http://schemas.openxmlformats.org/officeDocument/2006/relationships/hyperlink" Target="https://twitter.com/INDIZbot/status/720525129743261696" TargetMode="External"/><Relationship Id="rId1906" Type="http://schemas.openxmlformats.org/officeDocument/2006/relationships/hyperlink" Target="https://pbs.twimg.com/profile_images/677512659554672640/2jnhRYHY_normal.jpg" TargetMode="External"/><Relationship Id="rId3261" Type="http://schemas.openxmlformats.org/officeDocument/2006/relationships/hyperlink" Target="https://pbs.twimg.com/profile_images/578538983602417665/OKEpeUFp_normal.png" TargetMode="External"/><Relationship Id="rId4312" Type="http://schemas.openxmlformats.org/officeDocument/2006/relationships/hyperlink" Target="https://twitter.com/INDIZbot/status/722661610049912836" TargetMode="External"/><Relationship Id="rId7468" Type="http://schemas.openxmlformats.org/officeDocument/2006/relationships/hyperlink" Target="https://twitter.com/HilgerVoss/status/723408234212544515" TargetMode="External"/><Relationship Id="rId7882" Type="http://schemas.openxmlformats.org/officeDocument/2006/relationships/hyperlink" Target="https://twitter.com/stephanie_reitz" TargetMode="External"/><Relationship Id="rId8519" Type="http://schemas.openxmlformats.org/officeDocument/2006/relationships/hyperlink" Target="https://twitter.com/INDIZbot/status/723615232569020417" TargetMode="External"/><Relationship Id="rId8933" Type="http://schemas.openxmlformats.org/officeDocument/2006/relationships/hyperlink" Target="https://twitter.com/_damoca/status/723867419501039618" TargetMode="External"/><Relationship Id="rId6484" Type="http://schemas.openxmlformats.org/officeDocument/2006/relationships/hyperlink" Target="https://pbs.twimg.com/profile_images/1158852239/CH_4_241_normal.jpg" TargetMode="External"/><Relationship Id="rId7535" Type="http://schemas.openxmlformats.org/officeDocument/2006/relationships/hyperlink" Target="https://pbs.twimg.com/profile_images/378800000756770506/ec883914de9f4b2f3cd0acea75bbad08_normal.png" TargetMode="External"/><Relationship Id="rId999" Type="http://schemas.openxmlformats.org/officeDocument/2006/relationships/hyperlink" Target="https://pbs.twimg.com/profile_images/378800000106181928/1a04a42f111dbef8009dee7b7a2cbb25_normal.jpeg" TargetMode="External"/><Relationship Id="rId5086" Type="http://schemas.openxmlformats.org/officeDocument/2006/relationships/hyperlink" Target="https://twitter.com/MSFT_Politik" TargetMode="External"/><Relationship Id="rId6137" Type="http://schemas.openxmlformats.org/officeDocument/2006/relationships/hyperlink" Target="https://pbs.twimg.com/profile_images/557581621725908992/S7PfOb5r_normal.png" TargetMode="External"/><Relationship Id="rId6551" Type="http://schemas.openxmlformats.org/officeDocument/2006/relationships/hyperlink" Target="https://twitter.com/INDIZbot" TargetMode="External"/><Relationship Id="rId7602" Type="http://schemas.openxmlformats.org/officeDocument/2006/relationships/hyperlink" Target="https://twitter.com/MartinGaedt" TargetMode="External"/><Relationship Id="rId1696" Type="http://schemas.openxmlformats.org/officeDocument/2006/relationships/hyperlink" Target="https://twitter.com/JETZT_PRde" TargetMode="External"/><Relationship Id="rId5153" Type="http://schemas.openxmlformats.org/officeDocument/2006/relationships/hyperlink" Target="https://twitter.com/packagingJ/status/722763015737765888" TargetMode="External"/><Relationship Id="rId6204" Type="http://schemas.openxmlformats.org/officeDocument/2006/relationships/hyperlink" Target="https://twitter.com/JETZT_PRde" TargetMode="External"/><Relationship Id="rId1349" Type="http://schemas.openxmlformats.org/officeDocument/2006/relationships/hyperlink" Target="https://twitter.com/PureChrifu/status/720971472123129856" TargetMode="External"/><Relationship Id="rId2747" Type="http://schemas.openxmlformats.org/officeDocument/2006/relationships/hyperlink" Target="https://pbs.twimg.com/profile_images/436501577856483328/tKBq2i9m_normal.jpeg" TargetMode="External"/><Relationship Id="rId5220" Type="http://schemas.openxmlformats.org/officeDocument/2006/relationships/hyperlink" Target="https://twitter.com/RFIDDirectory" TargetMode="External"/><Relationship Id="rId8376" Type="http://schemas.openxmlformats.org/officeDocument/2006/relationships/hyperlink" Target="https://twitter.com/Dekuijp" TargetMode="External"/><Relationship Id="rId9774" Type="http://schemas.openxmlformats.org/officeDocument/2006/relationships/hyperlink" Target="https://pbs.twimg.com/profile_images/696770120769761281/vlTP9A_7_normal.jpg" TargetMode="External"/><Relationship Id="rId719" Type="http://schemas.openxmlformats.org/officeDocument/2006/relationships/hyperlink" Target="https://twitter.com/corischindlbeck" TargetMode="External"/><Relationship Id="rId1763" Type="http://schemas.openxmlformats.org/officeDocument/2006/relationships/hyperlink" Target="https://twitter.com/INDIZbot/status/721357779315855361" TargetMode="External"/><Relationship Id="rId2814" Type="http://schemas.openxmlformats.org/officeDocument/2006/relationships/hyperlink" Target="https://twitter.com/pfisterer_ralf" TargetMode="External"/><Relationship Id="rId8029" Type="http://schemas.openxmlformats.org/officeDocument/2006/relationships/hyperlink" Target="https://pbs.twimg.com/profile_images/669469688653565953/fKiQOv5w_normal.png" TargetMode="External"/><Relationship Id="rId8790" Type="http://schemas.openxmlformats.org/officeDocument/2006/relationships/hyperlink" Target="https://pbs.twimg.com/profile_images/685894100067991553/nISPLP0O_normal.jpg" TargetMode="External"/><Relationship Id="rId9427" Type="http://schemas.openxmlformats.org/officeDocument/2006/relationships/hyperlink" Target="https://pbs.twimg.com/profile_images/645716711723925506/t5G0qOS6_normal.jpg" TargetMode="External"/><Relationship Id="rId9841" Type="http://schemas.openxmlformats.org/officeDocument/2006/relationships/hyperlink" Target="https://twitter.com/LNI40" TargetMode="External"/><Relationship Id="rId55" Type="http://schemas.openxmlformats.org/officeDocument/2006/relationships/hyperlink" Target="https://twitter.com/ChrisSpahnADP" TargetMode="External"/><Relationship Id="rId1416" Type="http://schemas.openxmlformats.org/officeDocument/2006/relationships/hyperlink" Target="https://twitter.com/INDIZbot/status/720993135292194816" TargetMode="External"/><Relationship Id="rId1830" Type="http://schemas.openxmlformats.org/officeDocument/2006/relationships/hyperlink" Target="https://pbs.twimg.com/profile_images/652277358229979136/ZjpUNUgc_normal.png" TargetMode="External"/><Relationship Id="rId4986" Type="http://schemas.openxmlformats.org/officeDocument/2006/relationships/hyperlink" Target="https://pbs.twimg.com/profile_images/459666685952151552/oULR8mG1_normal.png" TargetMode="External"/><Relationship Id="rId7392" Type="http://schemas.openxmlformats.org/officeDocument/2006/relationships/hyperlink" Target="https://twitter.com/MindCommerce/status/723404353093038080" TargetMode="External"/><Relationship Id="rId8443" Type="http://schemas.openxmlformats.org/officeDocument/2006/relationships/hyperlink" Target="https://twitter.com/heikevangeel" TargetMode="External"/><Relationship Id="rId3588" Type="http://schemas.openxmlformats.org/officeDocument/2006/relationships/hyperlink" Target="https://twitter.com/DerKonstrukteu/status/722380096590516224" TargetMode="External"/><Relationship Id="rId4639" Type="http://schemas.openxmlformats.org/officeDocument/2006/relationships/hyperlink" Target="https://twitter.com/BitkomResearch/status/722709438352777216" TargetMode="External"/><Relationship Id="rId7045" Type="http://schemas.openxmlformats.org/officeDocument/2006/relationships/hyperlink" Target="https://twitter.com/tomweisz" TargetMode="External"/><Relationship Id="rId8510" Type="http://schemas.openxmlformats.org/officeDocument/2006/relationships/hyperlink" Target="https://twitter.com/thomasbuerger2/status/723608151770181632" TargetMode="External"/><Relationship Id="rId10026" Type="http://schemas.openxmlformats.org/officeDocument/2006/relationships/hyperlink" Target="https://abs.twimg.com/sticky/default_profile_images/default_profile_2_normal.png" TargetMode="External"/><Relationship Id="rId3655" Type="http://schemas.openxmlformats.org/officeDocument/2006/relationships/hyperlink" Target="https://pbs.twimg.com/profile_images/645716711723925506/t5G0qOS6_normal.jpg" TargetMode="External"/><Relationship Id="rId4706" Type="http://schemas.openxmlformats.org/officeDocument/2006/relationships/hyperlink" Target="https://pbs.twimg.com/profile_images/720402539955560448/s_pUNvlD_normal.jpg" TargetMode="External"/><Relationship Id="rId6061" Type="http://schemas.openxmlformats.org/officeDocument/2006/relationships/hyperlink" Target="https://pbs.twimg.com/profile_images/1666247023/Logo1_normal.jpg" TargetMode="External"/><Relationship Id="rId7112" Type="http://schemas.openxmlformats.org/officeDocument/2006/relationships/hyperlink" Target="https://twitter.com/INDIZbot/status/723262875796668416" TargetMode="External"/><Relationship Id="rId576" Type="http://schemas.openxmlformats.org/officeDocument/2006/relationships/hyperlink" Target="https://twitter.com/Becker_AnnaLisa/status/720631633343356929" TargetMode="External"/><Relationship Id="rId990" Type="http://schemas.openxmlformats.org/officeDocument/2006/relationships/hyperlink" Target="https://pbs.twimg.com/profile_images/604338428227010560/6jzSa8us_normal.png" TargetMode="External"/><Relationship Id="rId2257" Type="http://schemas.openxmlformats.org/officeDocument/2006/relationships/hyperlink" Target="https://pbs.twimg.com/profile_images/719538951988592641/7lKnB2dG_normal.jpg" TargetMode="External"/><Relationship Id="rId2671" Type="http://schemas.openxmlformats.org/officeDocument/2006/relationships/hyperlink" Target="https://twitter.com/INDIZbot/status/722082545425326081" TargetMode="External"/><Relationship Id="rId3308" Type="http://schemas.openxmlformats.org/officeDocument/2006/relationships/hyperlink" Target="https://twitter.com/thomas_leubner/status/722347680148688896" TargetMode="External"/><Relationship Id="rId9284" Type="http://schemas.openxmlformats.org/officeDocument/2006/relationships/hyperlink" Target="https://twitter.com/DoreenJacobi1" TargetMode="External"/><Relationship Id="rId229" Type="http://schemas.openxmlformats.org/officeDocument/2006/relationships/hyperlink" Target="https://twitter.com/Apandia" TargetMode="External"/><Relationship Id="rId643" Type="http://schemas.openxmlformats.org/officeDocument/2006/relationships/hyperlink" Target="https://pbs.twimg.com/profile_images/527810716611260416/_hbIRCwV_normal.jpeg" TargetMode="External"/><Relationship Id="rId1273" Type="http://schemas.openxmlformats.org/officeDocument/2006/relationships/hyperlink" Target="https://twitter.com/RobelMesfun" TargetMode="External"/><Relationship Id="rId2324" Type="http://schemas.openxmlformats.org/officeDocument/2006/relationships/hyperlink" Target="https://twitter.com/AndreasKaemmer/status/721984366038093824" TargetMode="External"/><Relationship Id="rId3722" Type="http://schemas.openxmlformats.org/officeDocument/2006/relationships/hyperlink" Target="https://twitter.com/Gruendercoaches" TargetMode="External"/><Relationship Id="rId6878" Type="http://schemas.openxmlformats.org/officeDocument/2006/relationships/hyperlink" Target="https://twitter.com/INDIZbot/status/723180194568245248" TargetMode="External"/><Relationship Id="rId7929" Type="http://schemas.openxmlformats.org/officeDocument/2006/relationships/hyperlink" Target="https://pbs.twimg.com/profile_images/722385992343285760/ww8YLZ2q_normal.jpg" TargetMode="External"/><Relationship Id="rId9351" Type="http://schemas.openxmlformats.org/officeDocument/2006/relationships/hyperlink" Target="https://twitter.com/GTAI_com/status/724149693396205568" TargetMode="External"/><Relationship Id="rId5894" Type="http://schemas.openxmlformats.org/officeDocument/2006/relationships/hyperlink" Target="https://twitter.com/ITK_OWL" TargetMode="External"/><Relationship Id="rId6945" Type="http://schemas.openxmlformats.org/officeDocument/2006/relationships/hyperlink" Target="https://pbs.twimg.com/profile_images/646411181574496256/r7iNbDud_normal.jpg" TargetMode="External"/><Relationship Id="rId9004" Type="http://schemas.openxmlformats.org/officeDocument/2006/relationships/hyperlink" Target="https://twitter.com/gpodagrosi" TargetMode="External"/><Relationship Id="rId710" Type="http://schemas.openxmlformats.org/officeDocument/2006/relationships/hyperlink" Target="https://twitter.com/tuessl" TargetMode="External"/><Relationship Id="rId1340" Type="http://schemas.openxmlformats.org/officeDocument/2006/relationships/hyperlink" Target="https://twitter.com/PSIPENTA/status/720964639786405888" TargetMode="External"/><Relationship Id="rId3098" Type="http://schemas.openxmlformats.org/officeDocument/2006/relationships/hyperlink" Target="https://pbs.twimg.com/profile_images/463222772026449920/5iGLiTR2_normal.jpeg" TargetMode="External"/><Relationship Id="rId4496" Type="http://schemas.openxmlformats.org/officeDocument/2006/relationships/hyperlink" Target="https://pbs.twimg.com/profile_images/662199310969360384/A66r-VNa_normal.jpg" TargetMode="External"/><Relationship Id="rId5547" Type="http://schemas.openxmlformats.org/officeDocument/2006/relationships/hyperlink" Target="https://twitter.com/H_IT_D" TargetMode="External"/><Relationship Id="rId5961" Type="http://schemas.openxmlformats.org/officeDocument/2006/relationships/hyperlink" Target="https://twitter.com/croXXing_IBD/status/723065718024097792" TargetMode="External"/><Relationship Id="rId4149" Type="http://schemas.openxmlformats.org/officeDocument/2006/relationships/hyperlink" Target="https://twitter.com/INDIZbot" TargetMode="External"/><Relationship Id="rId4563" Type="http://schemas.openxmlformats.org/officeDocument/2006/relationships/hyperlink" Target="https://twitter.com/Bitkom_I40" TargetMode="External"/><Relationship Id="rId5614" Type="http://schemas.openxmlformats.org/officeDocument/2006/relationships/hyperlink" Target="https://twitter.com/QuickFindsIn/status/722889581473849344" TargetMode="External"/><Relationship Id="rId8020" Type="http://schemas.openxmlformats.org/officeDocument/2006/relationships/hyperlink" Target="https://pbs.twimg.com/profile_images/566986293888835584/_uYTcau__normal.png" TargetMode="External"/><Relationship Id="rId3165" Type="http://schemas.openxmlformats.org/officeDocument/2006/relationships/hyperlink" Target="https://twitter.com/TanjaMB" TargetMode="External"/><Relationship Id="rId4216" Type="http://schemas.openxmlformats.org/officeDocument/2006/relationships/hyperlink" Target="https://twitter.com/textilmode/status/722524744554266628" TargetMode="External"/><Relationship Id="rId4630" Type="http://schemas.openxmlformats.org/officeDocument/2006/relationships/hyperlink" Target="https://twitter.com/GlobalSign_DE/status/722709360678465537" TargetMode="External"/><Relationship Id="rId7786" Type="http://schemas.openxmlformats.org/officeDocument/2006/relationships/hyperlink" Target="https://twitter.com/akquinet_Ind40" TargetMode="External"/><Relationship Id="rId8837" Type="http://schemas.openxmlformats.org/officeDocument/2006/relationships/hyperlink" Target="https://twitter.com/JuergenAnke/status/723832072440299520" TargetMode="External"/><Relationship Id="rId2181" Type="http://schemas.openxmlformats.org/officeDocument/2006/relationships/hyperlink" Target="https://pbs.twimg.com/profile_images/645716711723925506/t5G0qOS6_normal.jpg" TargetMode="External"/><Relationship Id="rId3232" Type="http://schemas.openxmlformats.org/officeDocument/2006/relationships/hyperlink" Target="https://twitter.com/ke_NEXT" TargetMode="External"/><Relationship Id="rId6388" Type="http://schemas.openxmlformats.org/officeDocument/2006/relationships/hyperlink" Target="https://pbs.twimg.com/profile_images/471312276767535104/TIanhngf_normal.jpeg" TargetMode="External"/><Relationship Id="rId7439" Type="http://schemas.openxmlformats.org/officeDocument/2006/relationships/hyperlink" Target="https://twitter.com/innovationbawue" TargetMode="External"/><Relationship Id="rId153" Type="http://schemas.openxmlformats.org/officeDocument/2006/relationships/hyperlink" Target="https://pbs.twimg.com/profile_images/581023313683734528/7tF2bCnO_normal.png" TargetMode="External"/><Relationship Id="rId6455" Type="http://schemas.openxmlformats.org/officeDocument/2006/relationships/hyperlink" Target="https://twitter.com/IoTMinded" TargetMode="External"/><Relationship Id="rId7853" Type="http://schemas.openxmlformats.org/officeDocument/2006/relationships/hyperlink" Target="https://twitter.com/aboutschuldt/status/723449728780783616" TargetMode="External"/><Relationship Id="rId8904" Type="http://schemas.openxmlformats.org/officeDocument/2006/relationships/hyperlink" Target="https://pbs.twimg.com/profile_images/659008633972240385/dfzvFsKZ_normal.png" TargetMode="External"/><Relationship Id="rId220" Type="http://schemas.openxmlformats.org/officeDocument/2006/relationships/hyperlink" Target="https://twitter.com/INDIZbot" TargetMode="External"/><Relationship Id="rId2998" Type="http://schemas.openxmlformats.org/officeDocument/2006/relationships/hyperlink" Target="https://pbs.twimg.com/profile_images/480533400743182336/w7vvPFUY_normal.png" TargetMode="External"/><Relationship Id="rId5057" Type="http://schemas.openxmlformats.org/officeDocument/2006/relationships/hyperlink" Target="https://twitter.com/NeleReimers/status/722752625037287425" TargetMode="External"/><Relationship Id="rId6108" Type="http://schemas.openxmlformats.org/officeDocument/2006/relationships/hyperlink" Target="https://twitter.com/HESSENMETALL/status/723074522077904896" TargetMode="External"/><Relationship Id="rId7506" Type="http://schemas.openxmlformats.org/officeDocument/2006/relationships/hyperlink" Target="https://twitter.com/INDIZbot" TargetMode="External"/><Relationship Id="rId7920" Type="http://schemas.openxmlformats.org/officeDocument/2006/relationships/hyperlink" Target="https://pbs.twimg.com/profile_images/662723326096224256/5V4KH9_O_normal.jpg" TargetMode="External"/><Relationship Id="rId4073" Type="http://schemas.openxmlformats.org/officeDocument/2006/relationships/hyperlink" Target="https://pbs.twimg.com/profile_images/678323426101215233/5d5jmRF4_normal.png" TargetMode="External"/><Relationship Id="rId5471" Type="http://schemas.openxmlformats.org/officeDocument/2006/relationships/hyperlink" Target="https://pbs.twimg.com/profile_images/640925612421414912/bO2Nzo73_normal.jpg" TargetMode="External"/><Relationship Id="rId6522" Type="http://schemas.openxmlformats.org/officeDocument/2006/relationships/hyperlink" Target="https://twitter.com/INDIZbot/status/723134719001526273" TargetMode="External"/><Relationship Id="rId9678" Type="http://schemas.openxmlformats.org/officeDocument/2006/relationships/hyperlink" Target="https://twitter.com/MSEnterpriseDE/status/724230287752835072" TargetMode="External"/><Relationship Id="rId1667" Type="http://schemas.openxmlformats.org/officeDocument/2006/relationships/hyperlink" Target="https://twitter.com/TheDavidCairns/status/721269406437871617" TargetMode="External"/><Relationship Id="rId2718" Type="http://schemas.openxmlformats.org/officeDocument/2006/relationships/hyperlink" Target="https://twitter.com/iamGuruprasadS" TargetMode="External"/><Relationship Id="rId5124" Type="http://schemas.openxmlformats.org/officeDocument/2006/relationships/hyperlink" Target="https://pbs.twimg.com/profile_images/672343322632024064/4z8q3pp4_normal.jpg" TargetMode="External"/><Relationship Id="rId8694" Type="http://schemas.openxmlformats.org/officeDocument/2006/relationships/hyperlink" Target="https://pbs.twimg.com/profile_images/636836616263311360/-akWmcev_normal.png" TargetMode="External"/><Relationship Id="rId9745" Type="http://schemas.openxmlformats.org/officeDocument/2006/relationships/hyperlink" Target="https://twitter.com/RolandDuerre/status/724241181870292993" TargetMode="External"/><Relationship Id="rId1734" Type="http://schemas.openxmlformats.org/officeDocument/2006/relationships/hyperlink" Target="https://pbs.twimg.com/profile_images/579069422062686209/ZOtLRysD_normal.jpeg" TargetMode="External"/><Relationship Id="rId4140" Type="http://schemas.openxmlformats.org/officeDocument/2006/relationships/hyperlink" Target="https://twitter.com/LReehten" TargetMode="External"/><Relationship Id="rId7296" Type="http://schemas.openxmlformats.org/officeDocument/2006/relationships/hyperlink" Target="https://pbs.twimg.com/profile_images/645716711723925506/t5G0qOS6_normal.jpg" TargetMode="External"/><Relationship Id="rId8347" Type="http://schemas.openxmlformats.org/officeDocument/2006/relationships/hyperlink" Target="https://twitter.com/LReehten/status/723539021377507330" TargetMode="External"/><Relationship Id="rId8761" Type="http://schemas.openxmlformats.org/officeDocument/2006/relationships/hyperlink" Target="https://twitter.com/BerndHops" TargetMode="External"/><Relationship Id="rId9812" Type="http://schemas.openxmlformats.org/officeDocument/2006/relationships/hyperlink" Target="https://twitter.com/Balluff/status/724261849949151232" TargetMode="External"/><Relationship Id="rId10277" Type="http://schemas.openxmlformats.org/officeDocument/2006/relationships/hyperlink" Target="https://twitter.com/MarkusPeter/status/724452934055002112" TargetMode="External"/><Relationship Id="rId26" Type="http://schemas.openxmlformats.org/officeDocument/2006/relationships/hyperlink" Target="https://twitter.com/Svenastheimer/status/720500790184525824" TargetMode="External"/><Relationship Id="rId7363" Type="http://schemas.openxmlformats.org/officeDocument/2006/relationships/hyperlink" Target="https://pbs.twimg.com/profile_images/603699032804859904/lb5IMG5x_normal.jpg" TargetMode="External"/><Relationship Id="rId8414" Type="http://schemas.openxmlformats.org/officeDocument/2006/relationships/hyperlink" Target="https://twitter.com/Philip_W_Morris/status/723562402265063424" TargetMode="External"/><Relationship Id="rId1801" Type="http://schemas.openxmlformats.org/officeDocument/2006/relationships/hyperlink" Target="https://twitter.com/ralf_zwitschert" TargetMode="External"/><Relationship Id="rId3559" Type="http://schemas.openxmlformats.org/officeDocument/2006/relationships/hyperlink" Target="https://pbs.twimg.com/profile_images/448785978165968896/SQOcI8cJ_normal.png" TargetMode="External"/><Relationship Id="rId4957" Type="http://schemas.openxmlformats.org/officeDocument/2006/relationships/hyperlink" Target="https://twitter.com/AltenaTCS/status/722743548664279040" TargetMode="External"/><Relationship Id="rId7016" Type="http://schemas.openxmlformats.org/officeDocument/2006/relationships/hyperlink" Target="https://twitter.com/Angelinux3000/status/723233777422458880" TargetMode="External"/><Relationship Id="rId7430" Type="http://schemas.openxmlformats.org/officeDocument/2006/relationships/hyperlink" Target="http://ideenwerkbw.de/" TargetMode="External"/><Relationship Id="rId10344" Type="http://schemas.openxmlformats.org/officeDocument/2006/relationships/hyperlink" Target="https://pbs.twimg.com/profile_images/717605975033831424/z66K0Oon_normal.jpg" TargetMode="External"/><Relationship Id="rId3973" Type="http://schemas.openxmlformats.org/officeDocument/2006/relationships/hyperlink" Target="https://pbs.twimg.com/profile_images/600279861282869249/IpIJ3MKX_normal.png" TargetMode="External"/><Relationship Id="rId6032" Type="http://schemas.openxmlformats.org/officeDocument/2006/relationships/hyperlink" Target="https://twitter.com/HolgerSchmidt" TargetMode="External"/><Relationship Id="rId9188" Type="http://schemas.openxmlformats.org/officeDocument/2006/relationships/hyperlink" Target="https://twitter.com/Plastipolis" TargetMode="External"/><Relationship Id="rId894" Type="http://schemas.openxmlformats.org/officeDocument/2006/relationships/hyperlink" Target="https://twitter.com/samuel_vuadens" TargetMode="External"/><Relationship Id="rId1177" Type="http://schemas.openxmlformats.org/officeDocument/2006/relationships/hyperlink" Target="https://twitter.com/Silex_France" TargetMode="External"/><Relationship Id="rId2575" Type="http://schemas.openxmlformats.org/officeDocument/2006/relationships/hyperlink" Target="https://twitter.com/INDIZbot" TargetMode="External"/><Relationship Id="rId3626" Type="http://schemas.openxmlformats.org/officeDocument/2006/relationships/hyperlink" Target="https://twitter.com/INDIZbot" TargetMode="External"/><Relationship Id="rId547" Type="http://schemas.openxmlformats.org/officeDocument/2006/relationships/hyperlink" Target="https://pbs.twimg.com/profile_images/659433862364307458/Mi7JDgeJ_normal.jpg" TargetMode="External"/><Relationship Id="rId961" Type="http://schemas.openxmlformats.org/officeDocument/2006/relationships/hyperlink" Target="https://twitter.com/FlashTweet" TargetMode="External"/><Relationship Id="rId1591" Type="http://schemas.openxmlformats.org/officeDocument/2006/relationships/hyperlink" Target="https://twitter.com/INDIZbot" TargetMode="External"/><Relationship Id="rId2228" Type="http://schemas.openxmlformats.org/officeDocument/2006/relationships/hyperlink" Target="https://twitter.com/business_ruhr/status/721967589166084096" TargetMode="External"/><Relationship Id="rId2642" Type="http://schemas.openxmlformats.org/officeDocument/2006/relationships/hyperlink" Target="https://twitter.com/Michaelhams" TargetMode="External"/><Relationship Id="rId5798" Type="http://schemas.openxmlformats.org/officeDocument/2006/relationships/hyperlink" Target="https://pbs.twimg.com/profile_images/572722352144666624/2G6VnJJx_normal.jpeg" TargetMode="External"/><Relationship Id="rId6849" Type="http://schemas.openxmlformats.org/officeDocument/2006/relationships/hyperlink" Target="https://pbs.twimg.com/profile_images/463724092034523136/f9D5ppnk_normal.jpeg" TargetMode="External"/><Relationship Id="rId9255" Type="http://schemas.openxmlformats.org/officeDocument/2006/relationships/hyperlink" Target="https://twitter.com/GhadaElAlfi/status/724090961903509504" TargetMode="External"/><Relationship Id="rId614" Type="http://schemas.openxmlformats.org/officeDocument/2006/relationships/hyperlink" Target="https://twitter.com/IT_Connection" TargetMode="External"/><Relationship Id="rId1244" Type="http://schemas.openxmlformats.org/officeDocument/2006/relationships/hyperlink" Target="https://twitter.com/conosco/status/720932065106141184" TargetMode="External"/><Relationship Id="rId5865" Type="http://schemas.openxmlformats.org/officeDocument/2006/relationships/hyperlink" Target="https://twitter.com/itsOWL_Cluster/status/723055981697982464" TargetMode="External"/><Relationship Id="rId6916" Type="http://schemas.openxmlformats.org/officeDocument/2006/relationships/hyperlink" Target="https://twitter.com/WassenhovenUG" TargetMode="External"/><Relationship Id="rId8271" Type="http://schemas.openxmlformats.org/officeDocument/2006/relationships/hyperlink" Target="https://twitter.com/croXXing_IBD" TargetMode="External"/><Relationship Id="rId9322" Type="http://schemas.openxmlformats.org/officeDocument/2006/relationships/hyperlink" Target="https://pbs.twimg.com/profile_images/645716711723925506/t5G0qOS6_normal.jpg" TargetMode="External"/><Relationship Id="rId1311" Type="http://schemas.openxmlformats.org/officeDocument/2006/relationships/hyperlink" Target="https://pbs.twimg.com/profile_images/473759721023758338/3CcJL-Vq_normal.jpeg" TargetMode="External"/><Relationship Id="rId4467" Type="http://schemas.openxmlformats.org/officeDocument/2006/relationships/hyperlink" Target="https://pbs.twimg.com/profile_images/378800000613624199/4e7df2f6ed26025ae62df3645a2dc6e0_normal.png" TargetMode="External"/><Relationship Id="rId4881" Type="http://schemas.openxmlformats.org/officeDocument/2006/relationships/hyperlink" Target="https://twitter.com/m_biscarrat" TargetMode="External"/><Relationship Id="rId5518" Type="http://schemas.openxmlformats.org/officeDocument/2006/relationships/hyperlink" Target="https://twitter.com/INDIZbot/status/722832661941772288" TargetMode="External"/><Relationship Id="rId3069" Type="http://schemas.openxmlformats.org/officeDocument/2006/relationships/hyperlink" Target="https://twitter.com/BoschSI" TargetMode="External"/><Relationship Id="rId3483" Type="http://schemas.openxmlformats.org/officeDocument/2006/relationships/hyperlink" Target="https://twitter.com/markherten/status/722364898798346242" TargetMode="External"/><Relationship Id="rId4534" Type="http://schemas.openxmlformats.org/officeDocument/2006/relationships/hyperlink" Target="https://twitter.com/BSAHbiz/status/722702739994714112" TargetMode="External"/><Relationship Id="rId5932" Type="http://schemas.openxmlformats.org/officeDocument/2006/relationships/hyperlink" Target="https://pbs.twimg.com/profile_images/719878563600691201/rtZLKfp__normal.jpg" TargetMode="External"/><Relationship Id="rId2085" Type="http://schemas.openxmlformats.org/officeDocument/2006/relationships/hyperlink" Target="https://twitter.com/INDIZbot" TargetMode="External"/><Relationship Id="rId3136" Type="http://schemas.openxmlformats.org/officeDocument/2006/relationships/hyperlink" Target="https://twitter.com/LReehten/status/722314856834142208" TargetMode="External"/><Relationship Id="rId471" Type="http://schemas.openxmlformats.org/officeDocument/2006/relationships/hyperlink" Target="https://twitter.com/cmerhy/status/720600049391136768" TargetMode="External"/><Relationship Id="rId2152" Type="http://schemas.openxmlformats.org/officeDocument/2006/relationships/hyperlink" Target="https://twitter.com/BISGeV" TargetMode="External"/><Relationship Id="rId3550" Type="http://schemas.openxmlformats.org/officeDocument/2006/relationships/hyperlink" Target="https://pbs.twimg.com/profile_images/691230711764893697/RnVw8ft4_normal.jpg" TargetMode="External"/><Relationship Id="rId4601" Type="http://schemas.openxmlformats.org/officeDocument/2006/relationships/hyperlink" Target="https://pbs.twimg.com/profile_images/617379223972499456/mB9LBMsl_normal.jpg" TargetMode="External"/><Relationship Id="rId7757" Type="http://schemas.openxmlformats.org/officeDocument/2006/relationships/hyperlink" Target="https://pbs.twimg.com/profile_images/701005531578822658/NQEqvycB_normal.png" TargetMode="External"/><Relationship Id="rId8808" Type="http://schemas.openxmlformats.org/officeDocument/2006/relationships/hyperlink" Target="https://pbs.twimg.com/profile_images/597736386381352960/cF4axGNr_normal.png" TargetMode="External"/><Relationship Id="rId124" Type="http://schemas.openxmlformats.org/officeDocument/2006/relationships/hyperlink" Target="https://twitter.com/SchneiderElecDE" TargetMode="External"/><Relationship Id="rId3203" Type="http://schemas.openxmlformats.org/officeDocument/2006/relationships/hyperlink" Target="https://twitter.com/mbesch/status/722322651621027840" TargetMode="External"/><Relationship Id="rId6359" Type="http://schemas.openxmlformats.org/officeDocument/2006/relationships/hyperlink" Target="https://twitter.com/SHC_GmbH/status/723116434134421504" TargetMode="External"/><Relationship Id="rId6773" Type="http://schemas.openxmlformats.org/officeDocument/2006/relationships/hyperlink" Target="https://twitter.com/SchneiderElecDE/status/723169049023115266" TargetMode="External"/><Relationship Id="rId7824" Type="http://schemas.openxmlformats.org/officeDocument/2006/relationships/hyperlink" Target="https://pbs.twimg.com/profile_images/667280858798100481/FrPnpui4_normal.png" TargetMode="External"/><Relationship Id="rId2969" Type="http://schemas.openxmlformats.org/officeDocument/2006/relationships/hyperlink" Target="https://twitter.com/APGuha" TargetMode="External"/><Relationship Id="rId5375" Type="http://schemas.openxmlformats.org/officeDocument/2006/relationships/hyperlink" Target="https://twitter.com/H_IT_D" TargetMode="External"/><Relationship Id="rId6426" Type="http://schemas.openxmlformats.org/officeDocument/2006/relationships/hyperlink" Target="https://twitter.com/AbockAngela/status/723123067879350272" TargetMode="External"/><Relationship Id="rId6840" Type="http://schemas.openxmlformats.org/officeDocument/2006/relationships/hyperlink" Target="https://pbs.twimg.com/profile_images/691079266042265601/fpQ651r9_normal.jpg" TargetMode="External"/><Relationship Id="rId9996" Type="http://schemas.openxmlformats.org/officeDocument/2006/relationships/hyperlink" Target="https://pbs.twimg.com/profile_images/663959200318529537/vd2w1roy_normal.jpg" TargetMode="External"/><Relationship Id="rId1985" Type="http://schemas.openxmlformats.org/officeDocument/2006/relationships/hyperlink" Target="https://pbs.twimg.com/profile_images/645716711723925506/t5G0qOS6_normal.jpg" TargetMode="External"/><Relationship Id="rId4391" Type="http://schemas.openxmlformats.org/officeDocument/2006/relationships/hyperlink" Target="https://pbs.twimg.com/profile_images/378800000181509745/cc2ac55b1f8cf6de6ab7c9ea96eae6fa_normal.png" TargetMode="External"/><Relationship Id="rId5028" Type="http://schemas.openxmlformats.org/officeDocument/2006/relationships/hyperlink" Target="https://pbs.twimg.com/profile_images/3726440228/9ba49ccb938cf571b195e3e83a4e1327_normal.jpeg" TargetMode="External"/><Relationship Id="rId5442" Type="http://schemas.openxmlformats.org/officeDocument/2006/relationships/hyperlink" Target="https://twitter.com/INDIZbot" TargetMode="External"/><Relationship Id="rId8598" Type="http://schemas.openxmlformats.org/officeDocument/2006/relationships/hyperlink" Target="https://pbs.twimg.com/profile_images/495214827963297793/ZW7qWnoK_normal.jpeg" TargetMode="External"/><Relationship Id="rId9649" Type="http://schemas.openxmlformats.org/officeDocument/2006/relationships/hyperlink" Target="https://pbs.twimg.com/profile_images/2869245274/630f76a528817f2fed7c9aa0afafe163_normal.png" TargetMode="External"/><Relationship Id="rId1638" Type="http://schemas.openxmlformats.org/officeDocument/2006/relationships/hyperlink" Target="https://pbs.twimg.com/profile_images/661326923038093312/ZK89SxJW_normal.jpg" TargetMode="External"/><Relationship Id="rId4044" Type="http://schemas.openxmlformats.org/officeDocument/2006/relationships/hyperlink" Target="https://twitter.com/ines_oppermann/status/722484396763324416" TargetMode="External"/><Relationship Id="rId8665" Type="http://schemas.openxmlformats.org/officeDocument/2006/relationships/hyperlink" Target="https://twitter.com/CapgeminiDE" TargetMode="External"/><Relationship Id="rId3060" Type="http://schemas.openxmlformats.org/officeDocument/2006/relationships/hyperlink" Target="https://twitter.com/INDIZbot" TargetMode="External"/><Relationship Id="rId4111" Type="http://schemas.openxmlformats.org/officeDocument/2006/relationships/hyperlink" Target="https://twitter.com/kommoptimierer/status/722507564659957760" TargetMode="External"/><Relationship Id="rId7267" Type="http://schemas.openxmlformats.org/officeDocument/2006/relationships/hyperlink" Target="https://twitter.com/KaiserMgmt" TargetMode="External"/><Relationship Id="rId8318" Type="http://schemas.openxmlformats.org/officeDocument/2006/relationships/hyperlink" Target="https://pbs.twimg.com/profile_images/680763185599803392/bxdR1tub_normal.jpg" TargetMode="External"/><Relationship Id="rId9716" Type="http://schemas.openxmlformats.org/officeDocument/2006/relationships/hyperlink" Target="https://twitter.com/INDIZbot" TargetMode="External"/><Relationship Id="rId1705" Type="http://schemas.openxmlformats.org/officeDocument/2006/relationships/hyperlink" Target="https://twitter.com/M_van_Dalen" TargetMode="External"/><Relationship Id="rId6283" Type="http://schemas.openxmlformats.org/officeDocument/2006/relationships/hyperlink" Target="https://pbs.twimg.com/profile_images/471312276767535104/TIanhngf_normal.jpeg" TargetMode="External"/><Relationship Id="rId7681" Type="http://schemas.openxmlformats.org/officeDocument/2006/relationships/hyperlink" Target="https://twitter.com/Rhenatic/status/723426091851882496" TargetMode="External"/><Relationship Id="rId8732" Type="http://schemas.openxmlformats.org/officeDocument/2006/relationships/hyperlink" Target="https://twitter.com/INDIZbot/status/723799046515773440" TargetMode="External"/><Relationship Id="rId10248" Type="http://schemas.openxmlformats.org/officeDocument/2006/relationships/hyperlink" Target="https://pbs.twimg.com/profile_images/673724922460430337/KsyXOSmW_normal.jpg" TargetMode="External"/><Relationship Id="rId3877" Type="http://schemas.openxmlformats.org/officeDocument/2006/relationships/hyperlink" Target="https://pbs.twimg.com/profile_images/718892133357330432/9mvpJR26_normal.jpg" TargetMode="External"/><Relationship Id="rId4928" Type="http://schemas.openxmlformats.org/officeDocument/2006/relationships/hyperlink" Target="https://pbs.twimg.com/profile_images/648593220293816325/eB4MGPgs_normal.jpg" TargetMode="External"/><Relationship Id="rId7334" Type="http://schemas.openxmlformats.org/officeDocument/2006/relationships/hyperlink" Target="https://twitter.com/sandimschuh" TargetMode="External"/><Relationship Id="rId10315" Type="http://schemas.openxmlformats.org/officeDocument/2006/relationships/hyperlink" Target="https://twitter.com/INDIZbot" TargetMode="External"/><Relationship Id="rId798" Type="http://schemas.openxmlformats.org/officeDocument/2006/relationships/hyperlink" Target="https://twitter.com/IT2Industry/status/720727138379382784" TargetMode="External"/><Relationship Id="rId2479" Type="http://schemas.openxmlformats.org/officeDocument/2006/relationships/hyperlink" Target="https://twitter.com/JETZT_PRde" TargetMode="External"/><Relationship Id="rId2893" Type="http://schemas.openxmlformats.org/officeDocument/2006/relationships/hyperlink" Target="https://pbs.twimg.com/profile_images/645716711723925506/t5G0qOS6_normal.jpg" TargetMode="External"/><Relationship Id="rId3944" Type="http://schemas.openxmlformats.org/officeDocument/2006/relationships/hyperlink" Target="https://twitter.com/Rhenatic" TargetMode="External"/><Relationship Id="rId6350" Type="http://schemas.openxmlformats.org/officeDocument/2006/relationships/hyperlink" Target="https://twitter.com/ROKAutoCHDE/status/723115350703796224" TargetMode="External"/><Relationship Id="rId7401" Type="http://schemas.openxmlformats.org/officeDocument/2006/relationships/hyperlink" Target="https://twitter.com/Wolf_Har/status/723404919013670913" TargetMode="External"/><Relationship Id="rId865" Type="http://schemas.openxmlformats.org/officeDocument/2006/relationships/hyperlink" Target="https://twitter.com/hirschtec/status/720853546766184448" TargetMode="External"/><Relationship Id="rId1495" Type="http://schemas.openxmlformats.org/officeDocument/2006/relationships/hyperlink" Target="https://twitter.com/INDIZbot" TargetMode="External"/><Relationship Id="rId2546" Type="http://schemas.openxmlformats.org/officeDocument/2006/relationships/hyperlink" Target="https://pbs.twimg.com/profile_images/2576159086/x3og0hhz2d60d9embrsg_normal.jpeg" TargetMode="External"/><Relationship Id="rId2960" Type="http://schemas.openxmlformats.org/officeDocument/2006/relationships/hyperlink" Target="https://twitter.com/MelanieVogel_" TargetMode="External"/><Relationship Id="rId6003" Type="http://schemas.openxmlformats.org/officeDocument/2006/relationships/hyperlink" Target="https://twitter.com/kklive/status/723070021069582336" TargetMode="External"/><Relationship Id="rId9159" Type="http://schemas.openxmlformats.org/officeDocument/2006/relationships/hyperlink" Target="https://twitter.com/kommoptimierer/status/723957117967843328" TargetMode="External"/><Relationship Id="rId9573" Type="http://schemas.openxmlformats.org/officeDocument/2006/relationships/hyperlink" Target="https://twitter.com/RiemenspergerF/status/724208888334135296" TargetMode="External"/><Relationship Id="rId518" Type="http://schemas.openxmlformats.org/officeDocument/2006/relationships/hyperlink" Target="https://twitter.com/relayr_cloud" TargetMode="External"/><Relationship Id="rId932" Type="http://schemas.openxmlformats.org/officeDocument/2006/relationships/hyperlink" Target="https://pbs.twimg.com/profile_images/550881746330218496/d6oxhtaL_normal.jpeg" TargetMode="External"/><Relationship Id="rId1148" Type="http://schemas.openxmlformats.org/officeDocument/2006/relationships/hyperlink" Target="https://twitter.com/INDIZbot/status/720907300911898624" TargetMode="External"/><Relationship Id="rId1562" Type="http://schemas.openxmlformats.org/officeDocument/2006/relationships/hyperlink" Target="https://twitter.com/alexicondor/status/721094999652360192" TargetMode="External"/><Relationship Id="rId2613" Type="http://schemas.openxmlformats.org/officeDocument/2006/relationships/hyperlink" Target="https://pbs.twimg.com/profile_images/593011135428882432/BGMPkrwp_normal.jpg" TargetMode="External"/><Relationship Id="rId5769" Type="http://schemas.openxmlformats.org/officeDocument/2006/relationships/hyperlink" Target="https://twitter.com/AnnKatrin_K" TargetMode="External"/><Relationship Id="rId8175" Type="http://schemas.openxmlformats.org/officeDocument/2006/relationships/hyperlink" Target="https://twitter.com/betarepublik/status/723509039909470208" TargetMode="External"/><Relationship Id="rId9226" Type="http://schemas.openxmlformats.org/officeDocument/2006/relationships/hyperlink" Target="https://pbs.twimg.com/profile_images/543161217645178880/JQuBT7KS_normal.png" TargetMode="External"/><Relationship Id="rId9640" Type="http://schemas.openxmlformats.org/officeDocument/2006/relationships/hyperlink" Target="https://pbs.twimg.com/profile_images/645716711723925506/t5G0qOS6_normal.jpg" TargetMode="External"/><Relationship Id="rId1215" Type="http://schemas.openxmlformats.org/officeDocument/2006/relationships/hyperlink" Target="https://pbs.twimg.com/profile_images/459666685952151552/oULR8mG1_normal.png" TargetMode="External"/><Relationship Id="rId7191" Type="http://schemas.openxmlformats.org/officeDocument/2006/relationships/hyperlink" Target="https://pbs.twimg.com/profile_images/645716711723925506/t5G0qOS6_normal.jpg" TargetMode="External"/><Relationship Id="rId8242" Type="http://schemas.openxmlformats.org/officeDocument/2006/relationships/hyperlink" Target="https://twitter.com/Bitkom/status/723519767911489536" TargetMode="External"/><Relationship Id="rId3387" Type="http://schemas.openxmlformats.org/officeDocument/2006/relationships/hyperlink" Target="https://twitter.com/liisabarclay/status/722355305032626176" TargetMode="External"/><Relationship Id="rId4785" Type="http://schemas.openxmlformats.org/officeDocument/2006/relationships/hyperlink" Target="https://twitter.com/RichardRALFS" TargetMode="External"/><Relationship Id="rId5836" Type="http://schemas.openxmlformats.org/officeDocument/2006/relationships/hyperlink" Target="https://pbs.twimg.com/profile_images/699724829713428484/rUT0r7Dq_normal.jpg" TargetMode="External"/><Relationship Id="rId10172" Type="http://schemas.openxmlformats.org/officeDocument/2006/relationships/hyperlink" Target="https://twitter.com/Frank_Reinelt/status/724352870125047808" TargetMode="External"/><Relationship Id="rId4438" Type="http://schemas.openxmlformats.org/officeDocument/2006/relationships/hyperlink" Target="https://twitter.com/equeoGmbH/status/722691839527096320" TargetMode="External"/><Relationship Id="rId4852" Type="http://schemas.openxmlformats.org/officeDocument/2006/relationships/hyperlink" Target="https://twitter.com/zen_mfg/status/722725633311272961" TargetMode="External"/><Relationship Id="rId5903" Type="http://schemas.openxmlformats.org/officeDocument/2006/relationships/hyperlink" Target="https://twitter.com/foresight_lab" TargetMode="External"/><Relationship Id="rId3454" Type="http://schemas.openxmlformats.org/officeDocument/2006/relationships/hyperlink" Target="https://pbs.twimg.com/profile_images/666882458365747201/5M4Foej-_normal.jpg" TargetMode="External"/><Relationship Id="rId4505" Type="http://schemas.openxmlformats.org/officeDocument/2006/relationships/hyperlink" Target="https://pbs.twimg.com/profile_images/443336398787977216/P5ha3qOJ_normal.jpeg" TargetMode="External"/><Relationship Id="rId375" Type="http://schemas.openxmlformats.org/officeDocument/2006/relationships/hyperlink" Target="https://pbs.twimg.com/profile_images/541146126158536704/IYardufS_normal.jpeg" TargetMode="External"/><Relationship Id="rId2056" Type="http://schemas.openxmlformats.org/officeDocument/2006/relationships/hyperlink" Target="https://twitter.com/_DanielB/status/721788439516024833" TargetMode="External"/><Relationship Id="rId2470" Type="http://schemas.openxmlformats.org/officeDocument/2006/relationships/hyperlink" Target="https://twitter.com/MenoldBezler" TargetMode="External"/><Relationship Id="rId3107" Type="http://schemas.openxmlformats.org/officeDocument/2006/relationships/hyperlink" Target="https://pbs.twimg.com/profile_images/623849156159868928/BetFDR_i_normal.jpg" TargetMode="External"/><Relationship Id="rId3521" Type="http://schemas.openxmlformats.org/officeDocument/2006/relationships/hyperlink" Target="https://twitter.com/KubitzTassilo" TargetMode="External"/><Relationship Id="rId6677" Type="http://schemas.openxmlformats.org/officeDocument/2006/relationships/hyperlink" Target="https://twitter.com/effectification/status/723158493541326848" TargetMode="External"/><Relationship Id="rId7728" Type="http://schemas.openxmlformats.org/officeDocument/2006/relationships/hyperlink" Target="https://twitter.com/fmalatier" TargetMode="External"/><Relationship Id="rId9083" Type="http://schemas.openxmlformats.org/officeDocument/2006/relationships/hyperlink" Target="https://twitter.com/CentaUK" TargetMode="External"/><Relationship Id="rId442" Type="http://schemas.openxmlformats.org/officeDocument/2006/relationships/hyperlink" Target="https://twitter.com/EDV_Twitt" TargetMode="External"/><Relationship Id="rId1072" Type="http://schemas.openxmlformats.org/officeDocument/2006/relationships/hyperlink" Target="https://twitter.com/IGMetall" TargetMode="External"/><Relationship Id="rId2123" Type="http://schemas.openxmlformats.org/officeDocument/2006/relationships/hyperlink" Target="https://pbs.twimg.com/profile_images/709444980553740288/Xds-Aan6_normal.jpg" TargetMode="External"/><Relationship Id="rId5279" Type="http://schemas.openxmlformats.org/officeDocument/2006/relationships/hyperlink" Target="https://twitter.com/lotsizeone/status/722780419561631745" TargetMode="External"/><Relationship Id="rId5693" Type="http://schemas.openxmlformats.org/officeDocument/2006/relationships/hyperlink" Target="https://pbs.twimg.com/profile_images/662969927985405952/Ufa-12SJ_normal.jpg" TargetMode="External"/><Relationship Id="rId6744" Type="http://schemas.openxmlformats.org/officeDocument/2006/relationships/hyperlink" Target="https://pbs.twimg.com/profile_images/471312276767535104/TIanhngf_normal.jpeg" TargetMode="External"/><Relationship Id="rId9150" Type="http://schemas.openxmlformats.org/officeDocument/2006/relationships/hyperlink" Target="https://twitter.com/MarinerLLC/status/723955899044343809" TargetMode="External"/><Relationship Id="rId4295" Type="http://schemas.openxmlformats.org/officeDocument/2006/relationships/hyperlink" Target="https://pbs.twimg.com/profile_images/722098538604281856/CcBxk1_M_normal.jpg" TargetMode="External"/><Relationship Id="rId5346" Type="http://schemas.openxmlformats.org/officeDocument/2006/relationships/hyperlink" Target="https://pbs.twimg.com/profile_images/615797525040136192/CKF9-v_o_normal.jpg" TargetMode="External"/><Relationship Id="rId1889" Type="http://schemas.openxmlformats.org/officeDocument/2006/relationships/hyperlink" Target="https://twitter.com/INDIZbot" TargetMode="External"/><Relationship Id="rId4362" Type="http://schemas.openxmlformats.org/officeDocument/2006/relationships/hyperlink" Target="https://twitter.com/JBause" TargetMode="External"/><Relationship Id="rId5760" Type="http://schemas.openxmlformats.org/officeDocument/2006/relationships/hyperlink" Target="https://twitter.com/CapgeminiDE" TargetMode="External"/><Relationship Id="rId6811" Type="http://schemas.openxmlformats.org/officeDocument/2006/relationships/hyperlink" Target="https://twitter.com/KingsandeepSa" TargetMode="External"/><Relationship Id="rId9967" Type="http://schemas.openxmlformats.org/officeDocument/2006/relationships/hyperlink" Target="https://twitter.com/RiemenspergerF" TargetMode="External"/><Relationship Id="rId1956" Type="http://schemas.openxmlformats.org/officeDocument/2006/relationships/hyperlink" Target="https://twitter.com/H_IT_D" TargetMode="External"/><Relationship Id="rId4015" Type="http://schemas.openxmlformats.org/officeDocument/2006/relationships/hyperlink" Target="https://pbs.twimg.com/profile_images/1611096832/logo2_normal.png" TargetMode="External"/><Relationship Id="rId5413" Type="http://schemas.openxmlformats.org/officeDocument/2006/relationships/hyperlink" Target="https://pbs.twimg.com/profile_images/434355223109189632/WBPtiY7E_normal.png" TargetMode="External"/><Relationship Id="rId8569" Type="http://schemas.openxmlformats.org/officeDocument/2006/relationships/hyperlink" Target="https://twitter.com/RTHurth" TargetMode="External"/><Relationship Id="rId8983" Type="http://schemas.openxmlformats.org/officeDocument/2006/relationships/hyperlink" Target="https://twitter.com/bamitav" TargetMode="External"/><Relationship Id="rId1609" Type="http://schemas.openxmlformats.org/officeDocument/2006/relationships/hyperlink" Target="https://twitter.com/Aurelien_T_K" TargetMode="External"/><Relationship Id="rId7585" Type="http://schemas.openxmlformats.org/officeDocument/2006/relationships/hyperlink" Target="https://twitter.com/INDIZbot/status/723416795567132672" TargetMode="External"/><Relationship Id="rId8636" Type="http://schemas.openxmlformats.org/officeDocument/2006/relationships/hyperlink" Target="https://twitter.com/feelingstones/status/723773300539674624" TargetMode="External"/><Relationship Id="rId3031" Type="http://schemas.openxmlformats.org/officeDocument/2006/relationships/hyperlink" Target="https://twitter.com/INDIZbot/status/722304007742582785" TargetMode="External"/><Relationship Id="rId6187" Type="http://schemas.openxmlformats.org/officeDocument/2006/relationships/hyperlink" Target="https://twitter.com/LReehten/status/723085949400281088" TargetMode="External"/><Relationship Id="rId7238" Type="http://schemas.openxmlformats.org/officeDocument/2006/relationships/hyperlink" Target="https://twitter.com/INDIZbot/status/723386244663648256" TargetMode="External"/><Relationship Id="rId7652" Type="http://schemas.openxmlformats.org/officeDocument/2006/relationships/hyperlink" Target="https://pbs.twimg.com/profile_images/704719602014679040/mJ2zg355_normal.jpg" TargetMode="External"/><Relationship Id="rId8703" Type="http://schemas.openxmlformats.org/officeDocument/2006/relationships/hyperlink" Target="https://pbs.twimg.com/profile_images/636836616263311360/-akWmcev_normal.png" TargetMode="External"/><Relationship Id="rId10219" Type="http://schemas.openxmlformats.org/officeDocument/2006/relationships/hyperlink" Target="https://twitter.com/h_scoshield" TargetMode="External"/><Relationship Id="rId2797" Type="http://schemas.openxmlformats.org/officeDocument/2006/relationships/hyperlink" Target="https://twitter.com/WebRTCSummit/status/722123258661888001" TargetMode="External"/><Relationship Id="rId3848" Type="http://schemas.openxmlformats.org/officeDocument/2006/relationships/hyperlink" Target="https://twitter.com/LutzVA" TargetMode="External"/><Relationship Id="rId6254" Type="http://schemas.openxmlformats.org/officeDocument/2006/relationships/hyperlink" Target="https://twitter.com/H_IT_D/status/723093706723598336" TargetMode="External"/><Relationship Id="rId7305" Type="http://schemas.openxmlformats.org/officeDocument/2006/relationships/hyperlink" Target="https://pbs.twimg.com/profile_images/430737987626733568/zsJ5yUk8_normal.jpeg" TargetMode="External"/><Relationship Id="rId769" Type="http://schemas.openxmlformats.org/officeDocument/2006/relationships/hyperlink" Target="https://pbs.twimg.com/profile_images/638673774603321344/HCV91gN7_normal.jpg" TargetMode="External"/><Relationship Id="rId1399" Type="http://schemas.openxmlformats.org/officeDocument/2006/relationships/hyperlink" Target="https://pbs.twimg.com/profile_images/566986293888835584/_uYTcau__normal.png" TargetMode="External"/><Relationship Id="rId5270" Type="http://schemas.openxmlformats.org/officeDocument/2006/relationships/hyperlink" Target="https://twitter.com/NRWinEU/status/722778912145731584" TargetMode="External"/><Relationship Id="rId6321" Type="http://schemas.openxmlformats.org/officeDocument/2006/relationships/hyperlink" Target="https://twitter.com/Alpict" TargetMode="External"/><Relationship Id="rId9477" Type="http://schemas.openxmlformats.org/officeDocument/2006/relationships/hyperlink" Target="https://twitter.com/tuevnordpolitik/status/724186158750638081" TargetMode="External"/><Relationship Id="rId1466" Type="http://schemas.openxmlformats.org/officeDocument/2006/relationships/hyperlink" Target="https://twitter.com/ThomasSchulzGE/status/721019486380367873" TargetMode="External"/><Relationship Id="rId2864" Type="http://schemas.openxmlformats.org/officeDocument/2006/relationships/hyperlink" Target="https://pbs.twimg.com/profile_images/603207435290050560/cAWnUmOg_normal.jpg" TargetMode="External"/><Relationship Id="rId3915" Type="http://schemas.openxmlformats.org/officeDocument/2006/relationships/hyperlink" Target="https://twitter.com/Alpict/status/722457468010422273" TargetMode="External"/><Relationship Id="rId8079" Type="http://schemas.openxmlformats.org/officeDocument/2006/relationships/hyperlink" Target="https://twitter.com/CKotschy/status/723491640950841345" TargetMode="External"/><Relationship Id="rId8493" Type="http://schemas.openxmlformats.org/officeDocument/2006/relationships/hyperlink" Target="https://pbs.twimg.com/profile_images/698375438155059201/CHH9GkNn_normal.jpg" TargetMode="External"/><Relationship Id="rId9891" Type="http://schemas.openxmlformats.org/officeDocument/2006/relationships/hyperlink" Target="https://pbs.twimg.com/profile_images/695227740136587265/5eHVsAlx_normal.png" TargetMode="External"/><Relationship Id="rId836" Type="http://schemas.openxmlformats.org/officeDocument/2006/relationships/hyperlink" Target="https://pbs.twimg.com/profile_images/378800000730237374/61248132aea1de8788bfabe0f46145e3_normal.jpeg" TargetMode="External"/><Relationship Id="rId1119" Type="http://schemas.openxmlformats.org/officeDocument/2006/relationships/hyperlink" Target="https://pbs.twimg.com/profile_images/434788311308054528/SqZ-cQzT_normal.jpeg" TargetMode="External"/><Relationship Id="rId1880" Type="http://schemas.openxmlformats.org/officeDocument/2006/relationships/hyperlink" Target="https://twitter.com/MDBlanchfield" TargetMode="External"/><Relationship Id="rId2517" Type="http://schemas.openxmlformats.org/officeDocument/2006/relationships/hyperlink" Target="https://twitter.com/matthiaslechner/status/722050878295793664" TargetMode="External"/><Relationship Id="rId2931" Type="http://schemas.openxmlformats.org/officeDocument/2006/relationships/hyperlink" Target="https://twitter.com/ClaudiaFeusi/status/722180040482549761" TargetMode="External"/><Relationship Id="rId7095" Type="http://schemas.openxmlformats.org/officeDocument/2006/relationships/hyperlink" Target="https://pbs.twimg.com/profile_images/1359656656/Portrait-NK-APC_normal.jpg" TargetMode="External"/><Relationship Id="rId8146" Type="http://schemas.openxmlformats.org/officeDocument/2006/relationships/hyperlink" Target="https://pbs.twimg.com/profile_images/524497009311354882/cGr5KIAg_normal.jpeg" TargetMode="External"/><Relationship Id="rId9544" Type="http://schemas.openxmlformats.org/officeDocument/2006/relationships/hyperlink" Target="https://pbs.twimg.com/profile_images/662723326096224256/5V4KH9_O_normal.jpg" TargetMode="External"/><Relationship Id="rId903" Type="http://schemas.openxmlformats.org/officeDocument/2006/relationships/hyperlink" Target="https://twitter.com/nicolaikr" TargetMode="External"/><Relationship Id="rId1533" Type="http://schemas.openxmlformats.org/officeDocument/2006/relationships/hyperlink" Target="https://pbs.twimg.com/profile_images/548030384030507008/utABqhj9_normal.png" TargetMode="External"/><Relationship Id="rId4689" Type="http://schemas.openxmlformats.org/officeDocument/2006/relationships/hyperlink" Target="https://twitter.com/wertfinder" TargetMode="External"/><Relationship Id="rId8560" Type="http://schemas.openxmlformats.org/officeDocument/2006/relationships/hyperlink" Target="https://twitter.com/BigDataTweetBot" TargetMode="External"/><Relationship Id="rId9611" Type="http://schemas.openxmlformats.org/officeDocument/2006/relationships/hyperlink" Target="https://twitter.com/Evetse" TargetMode="External"/><Relationship Id="rId10076" Type="http://schemas.openxmlformats.org/officeDocument/2006/relationships/hyperlink" Target="https://twitter.com/INDIZbot/status/724322304818339840" TargetMode="External"/><Relationship Id="rId1600" Type="http://schemas.openxmlformats.org/officeDocument/2006/relationships/hyperlink" Target="https://twitter.com/tcerisier_johan" TargetMode="External"/><Relationship Id="rId4756" Type="http://schemas.openxmlformats.org/officeDocument/2006/relationships/hyperlink" Target="https://twitter.com/INDIZbot/status/722716841521582080" TargetMode="External"/><Relationship Id="rId5807" Type="http://schemas.openxmlformats.org/officeDocument/2006/relationships/hyperlink" Target="http://scoop.it/" TargetMode="External"/><Relationship Id="rId7162" Type="http://schemas.openxmlformats.org/officeDocument/2006/relationships/hyperlink" Target="https://twitter.com/JohnRiversToo" TargetMode="External"/><Relationship Id="rId8213" Type="http://schemas.openxmlformats.org/officeDocument/2006/relationships/hyperlink" Target="https://pbs.twimg.com/profile_images/693906469004169216/gsA8ZTTm_normal.png" TargetMode="External"/><Relationship Id="rId10143" Type="http://schemas.openxmlformats.org/officeDocument/2006/relationships/hyperlink" Target="https://pbs.twimg.com/profile_images/588196149665865728/jmm9bQ6G_normal.jpg" TargetMode="External"/><Relationship Id="rId3358" Type="http://schemas.openxmlformats.org/officeDocument/2006/relationships/hyperlink" Target="https://twitter.com/DerKonstrukteu" TargetMode="External"/><Relationship Id="rId3772" Type="http://schemas.openxmlformats.org/officeDocument/2006/relationships/hyperlink" Target="https://pbs.twimg.com/profile_images/561208179355185153/11KDu7Gt_normal.png" TargetMode="External"/><Relationship Id="rId4409" Type="http://schemas.openxmlformats.org/officeDocument/2006/relationships/hyperlink" Target="https://pbs.twimg.com/profile_images/3542998130/5e65449daa56d18e9aab7f6535dc25fc_normal.jpeg" TargetMode="External"/><Relationship Id="rId4823" Type="http://schemas.openxmlformats.org/officeDocument/2006/relationships/hyperlink" Target="https://pbs.twimg.com/profile_images/645716711723925506/t5G0qOS6_normal.jpg" TargetMode="External"/><Relationship Id="rId7979" Type="http://schemas.openxmlformats.org/officeDocument/2006/relationships/hyperlink" Target="https://twitter.com/prxagentur" TargetMode="External"/><Relationship Id="rId10210" Type="http://schemas.openxmlformats.org/officeDocument/2006/relationships/hyperlink" Target="https://twitter.com/roomeezon" TargetMode="External"/><Relationship Id="rId279" Type="http://schemas.openxmlformats.org/officeDocument/2006/relationships/hyperlink" Target="https://pbs.twimg.com/profile_images/545571840358227968/nU5Ag3e7_normal.jpeg" TargetMode="External"/><Relationship Id="rId693" Type="http://schemas.openxmlformats.org/officeDocument/2006/relationships/hyperlink" Target="https://twitter.com/HWachtersbach/status/720679503362670592" TargetMode="External"/><Relationship Id="rId2374" Type="http://schemas.openxmlformats.org/officeDocument/2006/relationships/hyperlink" Target="https://twitter.com/OpenMarketingTV" TargetMode="External"/><Relationship Id="rId3425" Type="http://schemas.openxmlformats.org/officeDocument/2006/relationships/hyperlink" Target="https://twitter.com/SDhapi" TargetMode="External"/><Relationship Id="rId346" Type="http://schemas.openxmlformats.org/officeDocument/2006/relationships/hyperlink" Target="https://twitter.com/gpodagrosi" TargetMode="External"/><Relationship Id="rId760" Type="http://schemas.openxmlformats.org/officeDocument/2006/relationships/hyperlink" Target="https://pbs.twimg.com/profile_images/541146126158536704/IYardufS_normal.jpeg" TargetMode="External"/><Relationship Id="rId1390" Type="http://schemas.openxmlformats.org/officeDocument/2006/relationships/hyperlink" Target="https://pbs.twimg.com/profile_images/594881927875792896/eBXa7re-_normal.jpg" TargetMode="External"/><Relationship Id="rId2027" Type="http://schemas.openxmlformats.org/officeDocument/2006/relationships/hyperlink" Target="https://pbs.twimg.com/profile_images/705485928823955460/6bOzIJq9_normal.jpg" TargetMode="External"/><Relationship Id="rId2441" Type="http://schemas.openxmlformats.org/officeDocument/2006/relationships/hyperlink" Target="https://twitter.com/twassmann/status/722027032444608513" TargetMode="External"/><Relationship Id="rId5597" Type="http://schemas.openxmlformats.org/officeDocument/2006/relationships/hyperlink" Target="https://pbs.twimg.com/profile_images/541146126158536704/IYardufS_normal.jpeg" TargetMode="External"/><Relationship Id="rId6995" Type="http://schemas.openxmlformats.org/officeDocument/2006/relationships/hyperlink" Target="https://twitter.com/Beckers_Beste/status/723225518234017796" TargetMode="External"/><Relationship Id="rId9054" Type="http://schemas.openxmlformats.org/officeDocument/2006/relationships/hyperlink" Target="https://twitter.com/mindrockets/status/723924416279748608" TargetMode="External"/><Relationship Id="rId413" Type="http://schemas.openxmlformats.org/officeDocument/2006/relationships/hyperlink" Target="https://twitter.com/z_eisberg/status/720586693859012608" TargetMode="External"/><Relationship Id="rId1043" Type="http://schemas.openxmlformats.org/officeDocument/2006/relationships/hyperlink" Target="https://twitter.com/ScopeOnline/status/720888746116128768" TargetMode="External"/><Relationship Id="rId4199" Type="http://schemas.openxmlformats.org/officeDocument/2006/relationships/hyperlink" Target="https://pbs.twimg.com/profile_images/645716711723925506/t5G0qOS6_normal.jpg" TargetMode="External"/><Relationship Id="rId6648" Type="http://schemas.openxmlformats.org/officeDocument/2006/relationships/hyperlink" Target="https://twitter.com/Bitkom" TargetMode="External"/><Relationship Id="rId8070" Type="http://schemas.openxmlformats.org/officeDocument/2006/relationships/hyperlink" Target="https://twitter.com/LReehten/status/723489178974060544" TargetMode="External"/><Relationship Id="rId9121" Type="http://schemas.openxmlformats.org/officeDocument/2006/relationships/hyperlink" Target="https://pbs.twimg.com/profile_images/541146126158536704/IYardufS_normal.jpeg" TargetMode="External"/><Relationship Id="rId5664" Type="http://schemas.openxmlformats.org/officeDocument/2006/relationships/hyperlink" Target="https://twitter.com/RolandBent" TargetMode="External"/><Relationship Id="rId6715" Type="http://schemas.openxmlformats.org/officeDocument/2006/relationships/hyperlink" Target="https://twitter.com/JBause" TargetMode="External"/><Relationship Id="rId1110" Type="http://schemas.openxmlformats.org/officeDocument/2006/relationships/hyperlink" Target="https://pbs.twimg.com/profile_images/676325832600743936/gCXpokOx_normal.jpg" TargetMode="External"/><Relationship Id="rId4266" Type="http://schemas.openxmlformats.org/officeDocument/2006/relationships/hyperlink" Target="https://twitter.com/Jo_H123" TargetMode="External"/><Relationship Id="rId4680" Type="http://schemas.openxmlformats.org/officeDocument/2006/relationships/hyperlink" Target="https://twitter.com/antriebstech" TargetMode="External"/><Relationship Id="rId5317" Type="http://schemas.openxmlformats.org/officeDocument/2006/relationships/hyperlink" Target="https://twitter.com/INDIZbot" TargetMode="External"/><Relationship Id="rId5731" Type="http://schemas.openxmlformats.org/officeDocument/2006/relationships/hyperlink" Target="https://twitter.com/kommoptimierer/status/723013503859060737" TargetMode="External"/><Relationship Id="rId8887" Type="http://schemas.openxmlformats.org/officeDocument/2006/relationships/hyperlink" Target="https://twitter.com/mueller_karsten" TargetMode="External"/><Relationship Id="rId9938" Type="http://schemas.openxmlformats.org/officeDocument/2006/relationships/hyperlink" Target="https://twitter.com/JackNehlig/status/724282588727140352" TargetMode="External"/><Relationship Id="rId1927" Type="http://schemas.openxmlformats.org/officeDocument/2006/relationships/hyperlink" Target="https://pbs.twimg.com/profile_images/710178864778121216/Eq8vGVB9_normal.jpg" TargetMode="External"/><Relationship Id="rId3282" Type="http://schemas.openxmlformats.org/officeDocument/2006/relationships/hyperlink" Target="https://pbs.twimg.com/profile_images/516911536900542464/CNMiu3f9_normal.jpeg" TargetMode="External"/><Relationship Id="rId4333" Type="http://schemas.openxmlformats.org/officeDocument/2006/relationships/hyperlink" Target="https://twitter.com/MarioReinsch/status/722676134912114688" TargetMode="External"/><Relationship Id="rId7489" Type="http://schemas.openxmlformats.org/officeDocument/2006/relationships/hyperlink" Target="https://twitter.com/INDIZbot/status/723409116983492608" TargetMode="External"/><Relationship Id="rId8954" Type="http://schemas.openxmlformats.org/officeDocument/2006/relationships/hyperlink" Target="https://twitter.com/neilmead/status/723871802359951360" TargetMode="External"/><Relationship Id="rId4400" Type="http://schemas.openxmlformats.org/officeDocument/2006/relationships/hyperlink" Target="https://pbs.twimg.com/profile_images/573489564871888896/kGBNOLsh_normal.png" TargetMode="External"/><Relationship Id="rId7556" Type="http://schemas.openxmlformats.org/officeDocument/2006/relationships/hyperlink" Target="https://pbs.twimg.com/profile_images/378800000642092644/15f6a42d761faf5b6c93058c94a43e63_normal.jpeg" TargetMode="External"/><Relationship Id="rId8607" Type="http://schemas.openxmlformats.org/officeDocument/2006/relationships/hyperlink" Target="https://pbs.twimg.com/profile_images/645716711723925506/t5G0qOS6_normal.jpg" TargetMode="External"/><Relationship Id="rId270" Type="http://schemas.openxmlformats.org/officeDocument/2006/relationships/hyperlink" Target="https://pbs.twimg.com/profile_images/713084835712143360/xWrADVIr_normal.jpg" TargetMode="External"/><Relationship Id="rId3002" Type="http://schemas.openxmlformats.org/officeDocument/2006/relationships/hyperlink" Target="https://twitter.com/DerKonstrukteu" TargetMode="External"/><Relationship Id="rId6158" Type="http://schemas.openxmlformats.org/officeDocument/2006/relationships/hyperlink" Target="https://pbs.twimg.com/profile_images/666267785098616832/qQ9r56p0_normal.jpg" TargetMode="External"/><Relationship Id="rId6572" Type="http://schemas.openxmlformats.org/officeDocument/2006/relationships/hyperlink" Target="https://pbs.twimg.com/profile_images/662723326096224256/5V4KH9_O_normal.jpg" TargetMode="External"/><Relationship Id="rId7209" Type="http://schemas.openxmlformats.org/officeDocument/2006/relationships/hyperlink" Target="https://pbs.twimg.com/profile_images/596396295734095872/eMgDT91Y_normal.jpg" TargetMode="External"/><Relationship Id="rId7970" Type="http://schemas.openxmlformats.org/officeDocument/2006/relationships/hyperlink" Target="https://twitter.com/INDIZbot" TargetMode="External"/><Relationship Id="rId5174" Type="http://schemas.openxmlformats.org/officeDocument/2006/relationships/hyperlink" Target="https://twitter.com/DCAI4online/status/722765535058890752" TargetMode="External"/><Relationship Id="rId6225" Type="http://schemas.openxmlformats.org/officeDocument/2006/relationships/hyperlink" Target="https://pbs.twimg.com/profile_images/499907997418532865/R4wRstHe_normal.jpeg" TargetMode="External"/><Relationship Id="rId7623" Type="http://schemas.openxmlformats.org/officeDocument/2006/relationships/hyperlink" Target="https://twitter.com/BitkomResearch" TargetMode="External"/><Relationship Id="rId2768" Type="http://schemas.openxmlformats.org/officeDocument/2006/relationships/hyperlink" Target="https://pbs.twimg.com/profile_images/706163879768776704/s2JFtdJh_normal.jpg" TargetMode="External"/><Relationship Id="rId3819" Type="http://schemas.openxmlformats.org/officeDocument/2006/relationships/hyperlink" Target="https://twitter.com/Amista79/status/722430860906143745" TargetMode="External"/><Relationship Id="rId9795" Type="http://schemas.openxmlformats.org/officeDocument/2006/relationships/hyperlink" Target="https://pbs.twimg.com/profile_images/709444980553740288/Xds-Aan6_normal.jpg" TargetMode="External"/><Relationship Id="rId1784" Type="http://schemas.openxmlformats.org/officeDocument/2006/relationships/hyperlink" Target="https://twitter.com/INDIZbot/status/721398144219684868" TargetMode="External"/><Relationship Id="rId2835" Type="http://schemas.openxmlformats.org/officeDocument/2006/relationships/hyperlink" Target="https://twitter.com/LReehten" TargetMode="External"/><Relationship Id="rId4190" Type="http://schemas.openxmlformats.org/officeDocument/2006/relationships/hyperlink" Target="https://pbs.twimg.com/profile_images/623849156159868928/BetFDR_i_normal.jpg" TargetMode="External"/><Relationship Id="rId5241" Type="http://schemas.openxmlformats.org/officeDocument/2006/relationships/hyperlink" Target="https://twitter.com/acatech_de" TargetMode="External"/><Relationship Id="rId8397" Type="http://schemas.openxmlformats.org/officeDocument/2006/relationships/hyperlink" Target="https://twitter.com/INDIZbot" TargetMode="External"/><Relationship Id="rId9448" Type="http://schemas.openxmlformats.org/officeDocument/2006/relationships/hyperlink" Target="https://pbs.twimg.com/profile_images/588663919/IMGP2781_normal.JPG" TargetMode="External"/><Relationship Id="rId9862" Type="http://schemas.openxmlformats.org/officeDocument/2006/relationships/hyperlink" Target="https://twitter.com/catkinEU" TargetMode="External"/><Relationship Id="rId76" Type="http://schemas.openxmlformats.org/officeDocument/2006/relationships/hyperlink" Target="https://twitter.com/PwC_France" TargetMode="External"/><Relationship Id="rId807" Type="http://schemas.openxmlformats.org/officeDocument/2006/relationships/hyperlink" Target="https://twitter.com/JulienGre38" TargetMode="External"/><Relationship Id="rId1437" Type="http://schemas.openxmlformats.org/officeDocument/2006/relationships/hyperlink" Target="https://twitter.com/HTxA" TargetMode="External"/><Relationship Id="rId1851" Type="http://schemas.openxmlformats.org/officeDocument/2006/relationships/hyperlink" Target="https://pbs.twimg.com/profile_images/463005839918247936/Ui2bf9cw_normal.jpeg" TargetMode="External"/><Relationship Id="rId2902" Type="http://schemas.openxmlformats.org/officeDocument/2006/relationships/hyperlink" Target="https://pbs.twimg.com/profile_images/541146126158536704/IYardufS_normal.jpeg" TargetMode="External"/><Relationship Id="rId8464" Type="http://schemas.openxmlformats.org/officeDocument/2006/relationships/hyperlink" Target="https://twitter.com/INDIZbot" TargetMode="External"/><Relationship Id="rId9515" Type="http://schemas.openxmlformats.org/officeDocument/2006/relationships/hyperlink" Target="https://twitter.com/NoreigaEmelia" TargetMode="External"/><Relationship Id="rId1504" Type="http://schemas.openxmlformats.org/officeDocument/2006/relationships/hyperlink" Target="https://twitter.com/JulienGre38" TargetMode="External"/><Relationship Id="rId7066" Type="http://schemas.openxmlformats.org/officeDocument/2006/relationships/hyperlink" Target="https://twitter.com/INDIZbot" TargetMode="External"/><Relationship Id="rId7480" Type="http://schemas.openxmlformats.org/officeDocument/2006/relationships/hyperlink" Target="https://twitter.com/it_rebellen/status/723409063736807424" TargetMode="External"/><Relationship Id="rId8117" Type="http://schemas.openxmlformats.org/officeDocument/2006/relationships/hyperlink" Target="https://twitter.com/Women_Digital" TargetMode="External"/><Relationship Id="rId8531" Type="http://schemas.openxmlformats.org/officeDocument/2006/relationships/hyperlink" Target="https://twitter.com/JeffersonjobsUK/status/723637346290245632" TargetMode="External"/><Relationship Id="rId10047" Type="http://schemas.openxmlformats.org/officeDocument/2006/relationships/hyperlink" Target="https://pbs.twimg.com/profile_images/723831481982803970/IcBb-LU4_normal.jpg" TargetMode="External"/><Relationship Id="rId3676" Type="http://schemas.openxmlformats.org/officeDocument/2006/relationships/hyperlink" Target="https://pbs.twimg.com/profile_images/685327213/Apandia_normal.gif" TargetMode="External"/><Relationship Id="rId6082" Type="http://schemas.openxmlformats.org/officeDocument/2006/relationships/hyperlink" Target="https://pbs.twimg.com/profile_images/645716711723925506/t5G0qOS6_normal.jpg" TargetMode="External"/><Relationship Id="rId7133" Type="http://schemas.openxmlformats.org/officeDocument/2006/relationships/hyperlink" Target="https://twitter.com/INDIZbot/status/723275412017688576" TargetMode="External"/><Relationship Id="rId597" Type="http://schemas.openxmlformats.org/officeDocument/2006/relationships/hyperlink" Target="https://twitter.com/AutotaskGmbH/status/720634031377944579" TargetMode="External"/><Relationship Id="rId2278" Type="http://schemas.openxmlformats.org/officeDocument/2006/relationships/hyperlink" Target="https://twitter.com/SASdmexco/status/721978246808604672" TargetMode="External"/><Relationship Id="rId3329" Type="http://schemas.openxmlformats.org/officeDocument/2006/relationships/hyperlink" Target="https://twitter.com/AxoomDe/status/722349458789412864" TargetMode="External"/><Relationship Id="rId4727" Type="http://schemas.openxmlformats.org/officeDocument/2006/relationships/hyperlink" Target="https://pbs.twimg.com/profile_images/479685308884078592/aR3HWF5y_normal.jpeg" TargetMode="External"/><Relationship Id="rId7200" Type="http://schemas.openxmlformats.org/officeDocument/2006/relationships/hyperlink" Target="https://pbs.twimg.com/profile_images/648870164297965568/7muw2QvW_normal.jpg" TargetMode="External"/><Relationship Id="rId10114" Type="http://schemas.openxmlformats.org/officeDocument/2006/relationships/hyperlink" Target="https://twitter.com/MartinGaedt" TargetMode="External"/><Relationship Id="rId1294" Type="http://schemas.openxmlformats.org/officeDocument/2006/relationships/hyperlink" Target="https://twitter.com/INDIZbot" TargetMode="External"/><Relationship Id="rId2692" Type="http://schemas.openxmlformats.org/officeDocument/2006/relationships/hyperlink" Target="https://twitter.com/INDIZbot/status/722087656604246016" TargetMode="External"/><Relationship Id="rId3743" Type="http://schemas.openxmlformats.org/officeDocument/2006/relationships/hyperlink" Target="https://twitter.com/Bitkom" TargetMode="External"/><Relationship Id="rId6899" Type="http://schemas.openxmlformats.org/officeDocument/2006/relationships/hyperlink" Target="https://twitter.com/awesigs/status/723182413531242496" TargetMode="External"/><Relationship Id="rId664" Type="http://schemas.openxmlformats.org/officeDocument/2006/relationships/hyperlink" Target="https://pbs.twimg.com/profile_images/714825688344301568/KnFnw6t6_normal.jpg" TargetMode="External"/><Relationship Id="rId2345" Type="http://schemas.openxmlformats.org/officeDocument/2006/relationships/hyperlink" Target="https://twitter.com/AndreHD20/status/721987001285746688" TargetMode="External"/><Relationship Id="rId3810" Type="http://schemas.openxmlformats.org/officeDocument/2006/relationships/hyperlink" Target="https://twitter.com/SPDEuropa/status/722430021357461504" TargetMode="External"/><Relationship Id="rId6966" Type="http://schemas.openxmlformats.org/officeDocument/2006/relationships/hyperlink" Target="https://pbs.twimg.com/profile_images/645716711723925506/t5G0qOS6_normal.jpg" TargetMode="External"/><Relationship Id="rId9372" Type="http://schemas.openxmlformats.org/officeDocument/2006/relationships/hyperlink" Target="https://twitter.com/verlinked/status/724161010827857921" TargetMode="External"/><Relationship Id="rId317" Type="http://schemas.openxmlformats.org/officeDocument/2006/relationships/hyperlink" Target="https://twitter.com/derVITM/status/720548358893518848" TargetMode="External"/><Relationship Id="rId731" Type="http://schemas.openxmlformats.org/officeDocument/2006/relationships/hyperlink" Target="https://twitter.com/paoloigna1" TargetMode="External"/><Relationship Id="rId1361" Type="http://schemas.openxmlformats.org/officeDocument/2006/relationships/hyperlink" Target="https://twitter.com/CapgeminiDE/status/720975177107038209" TargetMode="External"/><Relationship Id="rId2412" Type="http://schemas.openxmlformats.org/officeDocument/2006/relationships/hyperlink" Target="https://pbs.twimg.com/profile_images/645716711723925506/t5G0qOS6_normal.jpg" TargetMode="External"/><Relationship Id="rId5568" Type="http://schemas.openxmlformats.org/officeDocument/2006/relationships/hyperlink" Target="https://twitter.com/Louis55225271" TargetMode="External"/><Relationship Id="rId5982" Type="http://schemas.openxmlformats.org/officeDocument/2006/relationships/hyperlink" Target="https://twitter.com/einkauf_mgmt/status/723067350652579840" TargetMode="External"/><Relationship Id="rId6619" Type="http://schemas.openxmlformats.org/officeDocument/2006/relationships/hyperlink" Target="https://twitter.com/SGE/status/723150812550193152" TargetMode="External"/><Relationship Id="rId9025" Type="http://schemas.openxmlformats.org/officeDocument/2006/relationships/hyperlink" Target="https://twitter.com/MachineryMktmag" TargetMode="External"/><Relationship Id="rId1014" Type="http://schemas.openxmlformats.org/officeDocument/2006/relationships/hyperlink" Target="https://pbs.twimg.com/profile_images/1655244498/Lenze_RGB_400x400px_normal.jpg" TargetMode="External"/><Relationship Id="rId4584" Type="http://schemas.openxmlformats.org/officeDocument/2006/relationships/hyperlink" Target="https://twitter.com/ElkeStei" TargetMode="External"/><Relationship Id="rId5635" Type="http://schemas.openxmlformats.org/officeDocument/2006/relationships/hyperlink" Target="https://twitter.com/APGuha/status/722892899952697345" TargetMode="External"/><Relationship Id="rId8041" Type="http://schemas.openxmlformats.org/officeDocument/2006/relationships/hyperlink" Target="https://pbs.twimg.com/profile_images/721292749069291520/oMrDhdql_normal.jpg" TargetMode="External"/><Relationship Id="rId3186" Type="http://schemas.openxmlformats.org/officeDocument/2006/relationships/hyperlink" Target="https://pbs.twimg.com/profile_images/590945003289059328/J0FpdmyS_normal.png" TargetMode="External"/><Relationship Id="rId4237" Type="http://schemas.openxmlformats.org/officeDocument/2006/relationships/hyperlink" Target="https://twitter.com/INDIZbot/status/722543491600027648" TargetMode="External"/><Relationship Id="rId4651" Type="http://schemas.openxmlformats.org/officeDocument/2006/relationships/hyperlink" Target="https://twitter.com/DKEAktuell/status/722709816590917632" TargetMode="External"/><Relationship Id="rId3253" Type="http://schemas.openxmlformats.org/officeDocument/2006/relationships/hyperlink" Target="https://twitter.com/SebZilch" TargetMode="External"/><Relationship Id="rId4304" Type="http://schemas.openxmlformats.org/officeDocument/2006/relationships/hyperlink" Target="https://pbs.twimg.com/profile_images/498942077325963264/l5q550Kh_normal.jpeg" TargetMode="External"/><Relationship Id="rId5702" Type="http://schemas.openxmlformats.org/officeDocument/2006/relationships/hyperlink" Target="https://pbs.twimg.com/profile_images/645716711723925506/t5G0qOS6_normal.jpg" TargetMode="External"/><Relationship Id="rId8858" Type="http://schemas.openxmlformats.org/officeDocument/2006/relationships/hyperlink" Target="https://twitter.com/KStepping/status/723843774804287488" TargetMode="External"/><Relationship Id="rId9909" Type="http://schemas.openxmlformats.org/officeDocument/2006/relationships/hyperlink" Target="https://pbs.twimg.com/profile_images/645716711723925506/t5G0qOS6_normal.jpg" TargetMode="External"/><Relationship Id="rId174" Type="http://schemas.openxmlformats.org/officeDocument/2006/relationships/hyperlink" Target="https://pbs.twimg.com/profile_images/609375510158774272/P5glOk4b_normal.jpg" TargetMode="External"/><Relationship Id="rId7874" Type="http://schemas.openxmlformats.org/officeDocument/2006/relationships/hyperlink" Target="https://twitter.com/wisskonzept/status/723451528821018624" TargetMode="External"/><Relationship Id="rId8925" Type="http://schemas.openxmlformats.org/officeDocument/2006/relationships/hyperlink" Target="https://pbs.twimg.com/profile_images/704767814406643712/VcnCdfke_normal.jpg" TargetMode="External"/><Relationship Id="rId241" Type="http://schemas.openxmlformats.org/officeDocument/2006/relationships/hyperlink" Target="https://twitter.com/AllemagneDiplo" TargetMode="External"/><Relationship Id="rId3320" Type="http://schemas.openxmlformats.org/officeDocument/2006/relationships/hyperlink" Target="https://twitter.com/INDIZbot/status/722349306825543681" TargetMode="External"/><Relationship Id="rId5078" Type="http://schemas.openxmlformats.org/officeDocument/2006/relationships/hyperlink" Target="https://twitter.com/sepemindustries/status/722755048011239427" TargetMode="External"/><Relationship Id="rId6476" Type="http://schemas.openxmlformats.org/officeDocument/2006/relationships/hyperlink" Target="https://twitter.com/SGE" TargetMode="External"/><Relationship Id="rId6890" Type="http://schemas.openxmlformats.org/officeDocument/2006/relationships/hyperlink" Target="https://twitter.com/IMechE/status/723181311222001664" TargetMode="External"/><Relationship Id="rId7527" Type="http://schemas.openxmlformats.org/officeDocument/2006/relationships/hyperlink" Target="https://twitter.com/PapaVise" TargetMode="External"/><Relationship Id="rId7941" Type="http://schemas.openxmlformats.org/officeDocument/2006/relationships/hyperlink" Target="https://pbs.twimg.com/profile_images/664442346432540672/42-gzHf9_normal.jpg" TargetMode="External"/><Relationship Id="rId5492" Type="http://schemas.openxmlformats.org/officeDocument/2006/relationships/hyperlink" Target="https://pbs.twimg.com/profile_images/699724829713428484/rUT0r7Dq_normal.jpg" TargetMode="External"/><Relationship Id="rId6129" Type="http://schemas.openxmlformats.org/officeDocument/2006/relationships/hyperlink" Target="https://twitter.com/Scheer_GmbH" TargetMode="External"/><Relationship Id="rId6543" Type="http://schemas.openxmlformats.org/officeDocument/2006/relationships/hyperlink" Target="https://twitter.com/Databanque/status/723135871176724480" TargetMode="External"/><Relationship Id="rId9699" Type="http://schemas.openxmlformats.org/officeDocument/2006/relationships/hyperlink" Target="https://twitter.com/RuthIliana46/status/724232666179096576" TargetMode="External"/><Relationship Id="rId1688" Type="http://schemas.openxmlformats.org/officeDocument/2006/relationships/hyperlink" Target="https://twitter.com/JulienGre38/status/721279585556553728" TargetMode="External"/><Relationship Id="rId2739" Type="http://schemas.openxmlformats.org/officeDocument/2006/relationships/hyperlink" Target="https://twitter.com/RahmanNow" TargetMode="External"/><Relationship Id="rId4094" Type="http://schemas.openxmlformats.org/officeDocument/2006/relationships/hyperlink" Target="https://pbs.twimg.com/profile_images/645716711723925506/t5G0qOS6_normal.jpg" TargetMode="External"/><Relationship Id="rId5145" Type="http://schemas.openxmlformats.org/officeDocument/2006/relationships/hyperlink" Target="https://pbs.twimg.com/profile_images/645716711723925506/t5G0qOS6_normal.jpg" TargetMode="External"/><Relationship Id="rId6610" Type="http://schemas.openxmlformats.org/officeDocument/2006/relationships/hyperlink" Target="https://twitter.com/kommoptimierer/status/723150552855617536" TargetMode="External"/><Relationship Id="rId9766" Type="http://schemas.openxmlformats.org/officeDocument/2006/relationships/hyperlink" Target="https://twitter.com/Bitkom_I40" TargetMode="External"/><Relationship Id="rId1755" Type="http://schemas.openxmlformats.org/officeDocument/2006/relationships/hyperlink" Target="https://pbs.twimg.com/profile_images/707651451284287488/OJug5o2o_normal.jpg" TargetMode="External"/><Relationship Id="rId4161" Type="http://schemas.openxmlformats.org/officeDocument/2006/relationships/hyperlink" Target="https://twitter.com/LReehten" TargetMode="External"/><Relationship Id="rId5212" Type="http://schemas.openxmlformats.org/officeDocument/2006/relationships/hyperlink" Target="https://twitter.com/PolarionNews_de/status/722769432825597952" TargetMode="External"/><Relationship Id="rId8368" Type="http://schemas.openxmlformats.org/officeDocument/2006/relationships/hyperlink" Target="https://twitter.com/cybus_io/status/723545529586724865" TargetMode="External"/><Relationship Id="rId8782" Type="http://schemas.openxmlformats.org/officeDocument/2006/relationships/hyperlink" Target="https://twitter.com/j_beenen" TargetMode="External"/><Relationship Id="rId9419" Type="http://schemas.openxmlformats.org/officeDocument/2006/relationships/hyperlink" Target="https://twitter.com/slxlearning" TargetMode="External"/><Relationship Id="rId10298" Type="http://schemas.openxmlformats.org/officeDocument/2006/relationships/hyperlink" Target="https://twitter.com/cvoigt_roboyo/status/724456731900805124" TargetMode="External"/><Relationship Id="rId1408" Type="http://schemas.openxmlformats.org/officeDocument/2006/relationships/hyperlink" Target="https://pbs.twimg.com/profile_images/692024942196563968/kvuTJRyx_normal.jpg" TargetMode="External"/><Relationship Id="rId2806" Type="http://schemas.openxmlformats.org/officeDocument/2006/relationships/hyperlink" Target="https://twitter.com/AndyBaldauf/status/722128835009998848" TargetMode="External"/><Relationship Id="rId7384" Type="http://schemas.openxmlformats.org/officeDocument/2006/relationships/hyperlink" Target="https://pbs.twimg.com/profile_images/490060130231132160/qLmnir1s_normal.jpeg" TargetMode="External"/><Relationship Id="rId8435" Type="http://schemas.openxmlformats.org/officeDocument/2006/relationships/hyperlink" Target="https://twitter.com/sallyafrank/status/723565026641063936" TargetMode="External"/><Relationship Id="rId9833" Type="http://schemas.openxmlformats.org/officeDocument/2006/relationships/hyperlink" Target="https://twitter.com/alternacomm/status/724269896247435264" TargetMode="External"/><Relationship Id="rId47" Type="http://schemas.openxmlformats.org/officeDocument/2006/relationships/hyperlink" Target="https://twitter.com/FYoupi/status/720504647778222080" TargetMode="External"/><Relationship Id="rId1822" Type="http://schemas.openxmlformats.org/officeDocument/2006/relationships/hyperlink" Target="https://twitter.com/OJaeger" TargetMode="External"/><Relationship Id="rId4978" Type="http://schemas.openxmlformats.org/officeDocument/2006/relationships/hyperlink" Target="https://twitter.com/m_biscarrat/status/722745618477793280" TargetMode="External"/><Relationship Id="rId7037" Type="http://schemas.openxmlformats.org/officeDocument/2006/relationships/hyperlink" Target="https://twitter.com/RSchu12/status/723244683284086785" TargetMode="External"/><Relationship Id="rId9900" Type="http://schemas.openxmlformats.org/officeDocument/2006/relationships/hyperlink" Target="https://pbs.twimg.com/profile_images/723407487395713024/0hZv7R8S_normal.jpg" TargetMode="External"/><Relationship Id="rId3994" Type="http://schemas.openxmlformats.org/officeDocument/2006/relationships/hyperlink" Target="https://pbs.twimg.com/profile_images/419443300631064576/z6p0EaBD_normal.jpeg" TargetMode="External"/><Relationship Id="rId6053" Type="http://schemas.openxmlformats.org/officeDocument/2006/relationships/hyperlink" Target="https://twitter.com/VhUHessen" TargetMode="External"/><Relationship Id="rId7451" Type="http://schemas.openxmlformats.org/officeDocument/2006/relationships/hyperlink" Target="https://pbs.twimg.com/profile_images/709647002586497024/8PZ2WUY3_normal.jpg" TargetMode="External"/><Relationship Id="rId8502" Type="http://schemas.openxmlformats.org/officeDocument/2006/relationships/hyperlink" Target="https://pbs.twimg.com/profile_images/479147477975588864/z94n3mRF_normal.jpeg" TargetMode="External"/><Relationship Id="rId10018" Type="http://schemas.openxmlformats.org/officeDocument/2006/relationships/hyperlink" Target="https://twitter.com/docbroemer" TargetMode="External"/><Relationship Id="rId2596" Type="http://schemas.openxmlformats.org/officeDocument/2006/relationships/hyperlink" Target="https://twitter.com/JETZT_PRde" TargetMode="External"/><Relationship Id="rId3647" Type="http://schemas.openxmlformats.org/officeDocument/2006/relationships/hyperlink" Target="https://twitter.com/INDIZbot" TargetMode="External"/><Relationship Id="rId7104" Type="http://schemas.openxmlformats.org/officeDocument/2006/relationships/hyperlink" Target="https://pbs.twimg.com/profile_images/663734674653622272/h2JzQVyL_normal.jpg" TargetMode="External"/><Relationship Id="rId568" Type="http://schemas.openxmlformats.org/officeDocument/2006/relationships/hyperlink" Target="https://pbs.twimg.com/profile_images/684297499461423104/URLCw8tn_normal.jpg" TargetMode="External"/><Relationship Id="rId982" Type="http://schemas.openxmlformats.org/officeDocument/2006/relationships/hyperlink" Target="https://twitter.com/rapifireio" TargetMode="External"/><Relationship Id="rId1198" Type="http://schemas.openxmlformats.org/officeDocument/2006/relationships/hyperlink" Target="https://twitter.com/DamDamCom" TargetMode="External"/><Relationship Id="rId2249" Type="http://schemas.openxmlformats.org/officeDocument/2006/relationships/hyperlink" Target="https://twitter.com/reanvent/status/721970856923148288" TargetMode="External"/><Relationship Id="rId2663" Type="http://schemas.openxmlformats.org/officeDocument/2006/relationships/hyperlink" Target="https://pbs.twimg.com/profile_images/645957961496399872/prwDlMPS_normal.jpg" TargetMode="External"/><Relationship Id="rId3714" Type="http://schemas.openxmlformats.org/officeDocument/2006/relationships/hyperlink" Target="https://twitter.com/H_IT_D/status/722410667471294466" TargetMode="External"/><Relationship Id="rId6120" Type="http://schemas.openxmlformats.org/officeDocument/2006/relationships/hyperlink" Target="https://twitter.com/Infineon" TargetMode="External"/><Relationship Id="rId9276" Type="http://schemas.openxmlformats.org/officeDocument/2006/relationships/hyperlink" Target="https://twitter.com/Angela_Josephs/status/724121445308215297" TargetMode="External"/><Relationship Id="rId9690" Type="http://schemas.openxmlformats.org/officeDocument/2006/relationships/hyperlink" Target="https://twitter.com/neerajdeuskar79/status/724231957870202881" TargetMode="External"/><Relationship Id="rId635" Type="http://schemas.openxmlformats.org/officeDocument/2006/relationships/hyperlink" Target="https://twitter.com/INDIZbot" TargetMode="External"/><Relationship Id="rId1265" Type="http://schemas.openxmlformats.org/officeDocument/2006/relationships/hyperlink" Target="https://twitter.com/INDIZbot/status/720935236863991809" TargetMode="External"/><Relationship Id="rId2316" Type="http://schemas.openxmlformats.org/officeDocument/2006/relationships/hyperlink" Target="https://pbs.twimg.com/profile_images/378800000546242905/6e86c892970e3fb7318e814d5a45b4f7_normal.png" TargetMode="External"/><Relationship Id="rId2730" Type="http://schemas.openxmlformats.org/officeDocument/2006/relationships/hyperlink" Target="https://twitter.com/QuickFindsIn" TargetMode="External"/><Relationship Id="rId5886" Type="http://schemas.openxmlformats.org/officeDocument/2006/relationships/hyperlink" Target="https://twitter.com/kion_group/status/723058916175798272" TargetMode="External"/><Relationship Id="rId8292" Type="http://schemas.openxmlformats.org/officeDocument/2006/relationships/hyperlink" Target="https://twitter.com/INDIZbot" TargetMode="External"/><Relationship Id="rId9343" Type="http://schemas.openxmlformats.org/officeDocument/2006/relationships/hyperlink" Target="https://pbs.twimg.com/profile_images/659449984572641280/UPBR3or__normal.jpg" TargetMode="External"/><Relationship Id="rId702" Type="http://schemas.openxmlformats.org/officeDocument/2006/relationships/hyperlink" Target="https://twitter.com/MOC_AllianceBD/status/720681829615984642" TargetMode="External"/><Relationship Id="rId1332" Type="http://schemas.openxmlformats.org/officeDocument/2006/relationships/hyperlink" Target="https://pbs.twimg.com/profile_images/478541586725232640/-v_7l8_E_normal.png" TargetMode="External"/><Relationship Id="rId4488" Type="http://schemas.openxmlformats.org/officeDocument/2006/relationships/hyperlink" Target="http://commun.it/" TargetMode="External"/><Relationship Id="rId5539" Type="http://schemas.openxmlformats.org/officeDocument/2006/relationships/hyperlink" Target="https://twitter.com/HOHMANN_Chris/status/722841040370208768" TargetMode="External"/><Relationship Id="rId6937" Type="http://schemas.openxmlformats.org/officeDocument/2006/relationships/hyperlink" Target="https://twitter.com/DanielDomigall" TargetMode="External"/><Relationship Id="rId9410" Type="http://schemas.openxmlformats.org/officeDocument/2006/relationships/hyperlink" Target="https://twitter.com/sms2sms" TargetMode="External"/><Relationship Id="rId5953" Type="http://schemas.openxmlformats.org/officeDocument/2006/relationships/hyperlink" Target="https://pbs.twimg.com/profile_images/723407487395713024/0hZv7R8S_normal.jpg" TargetMode="External"/><Relationship Id="rId8012" Type="http://schemas.openxmlformats.org/officeDocument/2006/relationships/hyperlink" Target="https://twitter.com/LReehten" TargetMode="External"/><Relationship Id="rId3157" Type="http://schemas.openxmlformats.org/officeDocument/2006/relationships/hyperlink" Target="https://twitter.com/foresight_lab/status/722316421003403264" TargetMode="External"/><Relationship Id="rId4555" Type="http://schemas.openxmlformats.org/officeDocument/2006/relationships/hyperlink" Target="https://twitter.com/conosco/status/722704864136929280" TargetMode="External"/><Relationship Id="rId5606" Type="http://schemas.openxmlformats.org/officeDocument/2006/relationships/hyperlink" Target="https://pbs.twimg.com/profile_images/479235073674182657/VBPTQP9b_normal.jpeg" TargetMode="External"/><Relationship Id="rId3571" Type="http://schemas.openxmlformats.org/officeDocument/2006/relationships/hyperlink" Target="https://pbs.twimg.com/profile_images/645716711723925506/t5G0qOS6_normal.jpg" TargetMode="External"/><Relationship Id="rId4208" Type="http://schemas.openxmlformats.org/officeDocument/2006/relationships/hyperlink" Target="https://pbs.twimg.com/profile_images/645716711723925506/t5G0qOS6_normal.jpg" TargetMode="External"/><Relationship Id="rId4622" Type="http://schemas.openxmlformats.org/officeDocument/2006/relationships/hyperlink" Target="https://pbs.twimg.com/profile_images/645716711723925506/t5G0qOS6_normal.jpg" TargetMode="External"/><Relationship Id="rId7778" Type="http://schemas.openxmlformats.org/officeDocument/2006/relationships/hyperlink" Target="https://pbs.twimg.com/profile_images/710982607606038528/t8IYX_cK_normal.jpg" TargetMode="External"/><Relationship Id="rId8829" Type="http://schemas.openxmlformats.org/officeDocument/2006/relationships/hyperlink" Target="https://pbs.twimg.com/profile_images/722385992343285760/ww8YLZ2q_normal.jpg" TargetMode="External"/><Relationship Id="rId492" Type="http://schemas.openxmlformats.org/officeDocument/2006/relationships/hyperlink" Target="https://twitter.com/JIJmt/status/720606335092592641" TargetMode="External"/><Relationship Id="rId2173" Type="http://schemas.openxmlformats.org/officeDocument/2006/relationships/hyperlink" Target="https://twitter.com/VDMAonline" TargetMode="External"/><Relationship Id="rId3224" Type="http://schemas.openxmlformats.org/officeDocument/2006/relationships/hyperlink" Target="https://twitter.com/H_IT_D/status/722326401471225856" TargetMode="External"/><Relationship Id="rId6794" Type="http://schemas.openxmlformats.org/officeDocument/2006/relationships/hyperlink" Target="https://twitter.com/IETYoungPros/status/723171867624890368" TargetMode="External"/><Relationship Id="rId7845" Type="http://schemas.openxmlformats.org/officeDocument/2006/relationships/hyperlink" Target="https://pbs.twimg.com/profile_images/623849156159868928/BetFDR_i_normal.jpg" TargetMode="External"/><Relationship Id="rId145" Type="http://schemas.openxmlformats.org/officeDocument/2006/relationships/hyperlink" Target="https://twitter.com/INDIZbot" TargetMode="External"/><Relationship Id="rId2240" Type="http://schemas.openxmlformats.org/officeDocument/2006/relationships/hyperlink" Target="https://twitter.com/Frank_Reinelt/status/721968405335699456" TargetMode="External"/><Relationship Id="rId5396" Type="http://schemas.openxmlformats.org/officeDocument/2006/relationships/hyperlink" Target="https://twitter.com/iisyseki" TargetMode="External"/><Relationship Id="rId6447" Type="http://schemas.openxmlformats.org/officeDocument/2006/relationships/hyperlink" Target="https://twitter.com/SAPFrance/status/723128150146822144" TargetMode="External"/><Relationship Id="rId6861" Type="http://schemas.openxmlformats.org/officeDocument/2006/relationships/hyperlink" Target="https://pbs.twimg.com/profile_images/645716711723925506/t5G0qOS6_normal.jpg" TargetMode="External"/><Relationship Id="rId212" Type="http://schemas.openxmlformats.org/officeDocument/2006/relationships/hyperlink" Target="https://twitter.com/RaphalBlanchard/status/720534045361311744" TargetMode="External"/><Relationship Id="rId5049" Type="http://schemas.openxmlformats.org/officeDocument/2006/relationships/hyperlink" Target="https://pbs.twimg.com/profile_images/3726440228/9ba49ccb938cf571b195e3e83a4e1327_normal.jpeg" TargetMode="External"/><Relationship Id="rId5463" Type="http://schemas.openxmlformats.org/officeDocument/2006/relationships/hyperlink" Target="https://twitter.com/steffi04d" TargetMode="External"/><Relationship Id="rId6514" Type="http://schemas.openxmlformats.org/officeDocument/2006/relationships/hyperlink" Target="https://pbs.twimg.com/profile_images/722385992343285760/ww8YLZ2q_normal.jpg" TargetMode="External"/><Relationship Id="rId7912" Type="http://schemas.openxmlformats.org/officeDocument/2006/relationships/hyperlink" Target="https://twitter.com/fabioteixs" TargetMode="External"/><Relationship Id="rId4065" Type="http://schemas.openxmlformats.org/officeDocument/2006/relationships/hyperlink" Target="https://twitter.com/NetClubj1/status/722492391526178818" TargetMode="External"/><Relationship Id="rId5116" Type="http://schemas.openxmlformats.org/officeDocument/2006/relationships/hyperlink" Target="https://twitter.com/Gesamtmetall" TargetMode="External"/><Relationship Id="rId1659" Type="http://schemas.openxmlformats.org/officeDocument/2006/relationships/hyperlink" Target="https://pbs.twimg.com/profile_images/657444681853198336/u2cJqzo7_normal.jpg" TargetMode="External"/><Relationship Id="rId3081" Type="http://schemas.openxmlformats.org/officeDocument/2006/relationships/hyperlink" Target="https://twitter.com/Bennuehr" TargetMode="External"/><Relationship Id="rId4132" Type="http://schemas.openxmlformats.org/officeDocument/2006/relationships/hyperlink" Target="https://twitter.com/DoreenJacobi1/status/722512552958300166" TargetMode="External"/><Relationship Id="rId5530" Type="http://schemas.openxmlformats.org/officeDocument/2006/relationships/hyperlink" Target="https://twitter.com/andre_mundo/status/722840041421193220" TargetMode="External"/><Relationship Id="rId7288" Type="http://schemas.openxmlformats.org/officeDocument/2006/relationships/hyperlink" Target="https://twitter.com/LNI40" TargetMode="External"/><Relationship Id="rId8686" Type="http://schemas.openxmlformats.org/officeDocument/2006/relationships/hyperlink" Target="https://twitter.com/INDIZbot" TargetMode="External"/><Relationship Id="rId9737" Type="http://schemas.openxmlformats.org/officeDocument/2006/relationships/hyperlink" Target="https://pbs.twimg.com/profile_images/604338428227010560/6jzSa8us_normal.png" TargetMode="External"/><Relationship Id="rId1726" Type="http://schemas.openxmlformats.org/officeDocument/2006/relationships/hyperlink" Target="https://twitter.com/INDIZbot" TargetMode="External"/><Relationship Id="rId8339" Type="http://schemas.openxmlformats.org/officeDocument/2006/relationships/hyperlink" Target="https://pbs.twimg.com/profile_images/558172566636859393/uQWpWj98_normal.jpeg" TargetMode="External"/><Relationship Id="rId8753" Type="http://schemas.openxmlformats.org/officeDocument/2006/relationships/hyperlink" Target="https://twitter.com/NikolausReuter/status/723802406572679168" TargetMode="External"/><Relationship Id="rId9804" Type="http://schemas.openxmlformats.org/officeDocument/2006/relationships/hyperlink" Target="https://pbs.twimg.com/profile_images/600009481204924416/MjO5xAdb_normal.jpg" TargetMode="External"/><Relationship Id="rId10269" Type="http://schemas.openxmlformats.org/officeDocument/2006/relationships/hyperlink" Target="https://pbs.twimg.com/profile_images/662723326096224256/5V4KH9_O_normal.jpg" TargetMode="External"/><Relationship Id="rId18" Type="http://schemas.openxmlformats.org/officeDocument/2006/relationships/hyperlink" Target="https://pbs.twimg.com/profile_images/718175389890310145/GX8DLe_h_normal.jpg" TargetMode="External"/><Relationship Id="rId3898" Type="http://schemas.openxmlformats.org/officeDocument/2006/relationships/hyperlink" Target="https://pbs.twimg.com/profile_images/1013214301/KleinesBild_normal.jpg" TargetMode="External"/><Relationship Id="rId4949" Type="http://schemas.openxmlformats.org/officeDocument/2006/relationships/hyperlink" Target="https://pbs.twimg.com/profile_images/700576331407298560/RJ0M_dZd_normal.jpg" TargetMode="External"/><Relationship Id="rId7355" Type="http://schemas.openxmlformats.org/officeDocument/2006/relationships/hyperlink" Target="https://twitter.com/webducation" TargetMode="External"/><Relationship Id="rId8406" Type="http://schemas.openxmlformats.org/officeDocument/2006/relationships/hyperlink" Target="https://pbs.twimg.com/profile_images/711580890145619968/bhoJlnA7_normal.jpg" TargetMode="External"/><Relationship Id="rId8820" Type="http://schemas.openxmlformats.org/officeDocument/2006/relationships/hyperlink" Target="https://pbs.twimg.com/profile_images/3191720682/19efed020ebf3a2098abea8c1436d948_normal.jpeg" TargetMode="External"/><Relationship Id="rId10336" Type="http://schemas.openxmlformats.org/officeDocument/2006/relationships/hyperlink" Target="https://twitter.com/ToreKeller" TargetMode="External"/><Relationship Id="rId3965" Type="http://schemas.openxmlformats.org/officeDocument/2006/relationships/hyperlink" Target="https://twitter.com/Bitkom" TargetMode="External"/><Relationship Id="rId6371" Type="http://schemas.openxmlformats.org/officeDocument/2006/relationships/hyperlink" Target="https://twitter.com/aabirkner" TargetMode="External"/><Relationship Id="rId7008" Type="http://schemas.openxmlformats.org/officeDocument/2006/relationships/hyperlink" Target="https://pbs.twimg.com/profile_images/528172647868166144/lVpOdrD8_normal.png" TargetMode="External"/><Relationship Id="rId7422" Type="http://schemas.openxmlformats.org/officeDocument/2006/relationships/hyperlink" Target="https://pbs.twimg.com/profile_images/484308591910723584/icpo-IsD_normal.jpeg" TargetMode="External"/><Relationship Id="rId886" Type="http://schemas.openxmlformats.org/officeDocument/2006/relationships/hyperlink" Target="https://twitter.com/INDIZbot/status/720856974011670529" TargetMode="External"/><Relationship Id="rId2567" Type="http://schemas.openxmlformats.org/officeDocument/2006/relationships/hyperlink" Target="https://pbs.twimg.com/profile_images/685327213/Apandia_normal.gif" TargetMode="External"/><Relationship Id="rId3618" Type="http://schemas.openxmlformats.org/officeDocument/2006/relationships/hyperlink" Target="https://twitter.com/itsOWL_Cluster/status/722384935873593344" TargetMode="External"/><Relationship Id="rId6024" Type="http://schemas.openxmlformats.org/officeDocument/2006/relationships/hyperlink" Target="https://twitter.com/Balluff_Service/status/723072455422529536" TargetMode="External"/><Relationship Id="rId9594" Type="http://schemas.openxmlformats.org/officeDocument/2006/relationships/hyperlink" Target="https://twitter.com/mpemediatwit/status/724215107677462528" TargetMode="External"/><Relationship Id="rId2" Type="http://schemas.openxmlformats.org/officeDocument/2006/relationships/hyperlink" Target="https://twitter.com/FranckAtDell/status/720494975885172736" TargetMode="External"/><Relationship Id="rId539" Type="http://schemas.openxmlformats.org/officeDocument/2006/relationships/hyperlink" Target="https://twitter.com/INDIZbot" TargetMode="External"/><Relationship Id="rId1169" Type="http://schemas.openxmlformats.org/officeDocument/2006/relationships/hyperlink" Target="https://twitter.com/Balluff/status/720911695837794304" TargetMode="External"/><Relationship Id="rId1583" Type="http://schemas.openxmlformats.org/officeDocument/2006/relationships/hyperlink" Target="https://twitter.com/CapgeminiDE/status/721232952747810817" TargetMode="External"/><Relationship Id="rId2981" Type="http://schemas.openxmlformats.org/officeDocument/2006/relationships/hyperlink" Target="https://twitter.com/catapultpr" TargetMode="External"/><Relationship Id="rId5040" Type="http://schemas.openxmlformats.org/officeDocument/2006/relationships/hyperlink" Target="https://pbs.twimg.com/profile_images/710750672581484545/n4dPcodC_normal.jpg" TargetMode="External"/><Relationship Id="rId8196" Type="http://schemas.openxmlformats.org/officeDocument/2006/relationships/hyperlink" Target="https://twitter.com/Nihonpk_ef" TargetMode="External"/><Relationship Id="rId9247" Type="http://schemas.openxmlformats.org/officeDocument/2006/relationships/hyperlink" Target="https://pbs.twimg.com/profile_images/699403300773433344/3F0h5APj_normal.jpg" TargetMode="External"/><Relationship Id="rId953" Type="http://schemas.openxmlformats.org/officeDocument/2006/relationships/hyperlink" Target="http://t.co/5fD1A6RwFj" TargetMode="External"/><Relationship Id="rId1236" Type="http://schemas.openxmlformats.org/officeDocument/2006/relationships/hyperlink" Target="https://pbs.twimg.com/profile_images/699226610428420096/jjvfJFvl_normal.png" TargetMode="External"/><Relationship Id="rId2634" Type="http://schemas.openxmlformats.org/officeDocument/2006/relationships/hyperlink" Target="https://twitter.com/INDIZbot/status/722072828288331776" TargetMode="External"/><Relationship Id="rId8263" Type="http://schemas.openxmlformats.org/officeDocument/2006/relationships/hyperlink" Target="https://twitter.com/markherten/status/723523477119090688" TargetMode="External"/><Relationship Id="rId9661" Type="http://schemas.openxmlformats.org/officeDocument/2006/relationships/hyperlink" Target="https://pbs.twimg.com/profile_images/574607405507477504/3W6b6mD4_normal.jpeg" TargetMode="External"/><Relationship Id="rId606" Type="http://schemas.openxmlformats.org/officeDocument/2006/relationships/hyperlink" Target="https://twitter.com/Pamsav1/status/720634140115210240" TargetMode="External"/><Relationship Id="rId1650" Type="http://schemas.openxmlformats.org/officeDocument/2006/relationships/hyperlink" Target="https://pbs.twimg.com/profile_images/673206992492736513/aYsJLftM_normal.png" TargetMode="External"/><Relationship Id="rId2701" Type="http://schemas.openxmlformats.org/officeDocument/2006/relationships/hyperlink" Target="https://twitter.com/Industry40/status/722093707386843136" TargetMode="External"/><Relationship Id="rId5857" Type="http://schemas.openxmlformats.org/officeDocument/2006/relationships/hyperlink" Target="https://pbs.twimg.com/profile_images/698748740811821056/qse_j83N_normal.jpg" TargetMode="External"/><Relationship Id="rId6908" Type="http://schemas.openxmlformats.org/officeDocument/2006/relationships/hyperlink" Target="https://twitter.com/croXXing_IBD/status/723186516323913728" TargetMode="External"/><Relationship Id="rId9314" Type="http://schemas.openxmlformats.org/officeDocument/2006/relationships/hyperlink" Target="https://twitter.com/INDIZbot" TargetMode="External"/><Relationship Id="rId10193" Type="http://schemas.openxmlformats.org/officeDocument/2006/relationships/hyperlink" Target="https://twitter.com/carlpalme/status/724360493889105920" TargetMode="External"/><Relationship Id="rId1303" Type="http://schemas.openxmlformats.org/officeDocument/2006/relationships/hyperlink" Target="https://twitter.com/ROKAutomationIT" TargetMode="External"/><Relationship Id="rId4459" Type="http://schemas.openxmlformats.org/officeDocument/2006/relationships/hyperlink" Target="https://twitter.com/genuanews" TargetMode="External"/><Relationship Id="rId4873" Type="http://schemas.openxmlformats.org/officeDocument/2006/relationships/hyperlink" Target="https://twitter.com/Gruendercoaches/status/722729839929794560" TargetMode="External"/><Relationship Id="rId5924" Type="http://schemas.openxmlformats.org/officeDocument/2006/relationships/hyperlink" Target="https://twitter.com/GermanIOD" TargetMode="External"/><Relationship Id="rId8330" Type="http://schemas.openxmlformats.org/officeDocument/2006/relationships/hyperlink" Target="https://pbs.twimg.com/profile_images/709490937043492865/GYoQPOCZ_normal.jpg" TargetMode="External"/><Relationship Id="rId10260" Type="http://schemas.openxmlformats.org/officeDocument/2006/relationships/hyperlink" Target="https://pbs.twimg.com/profile_images/651607188897595392/TDR4Waba_normal.jpg" TargetMode="External"/><Relationship Id="rId3475" Type="http://schemas.openxmlformats.org/officeDocument/2006/relationships/hyperlink" Target="https://pbs.twimg.com/profile_images/699912588302426112/2kZQzAuA_normal.jpg" TargetMode="External"/><Relationship Id="rId4526" Type="http://schemas.openxmlformats.org/officeDocument/2006/relationships/hyperlink" Target="https://pbs.twimg.com/profile_images/676371978190610433/e2DDyqhy_normal.png" TargetMode="External"/><Relationship Id="rId4940" Type="http://schemas.openxmlformats.org/officeDocument/2006/relationships/hyperlink" Target="https://pbs.twimg.com/profile_images/615797525040136192/CKF9-v_o_normal.jpg" TargetMode="External"/><Relationship Id="rId396" Type="http://schemas.openxmlformats.org/officeDocument/2006/relationships/hyperlink" Target="https://pbs.twimg.com/profile_images/473759721023758338/3CcJL-Vq_normal.jpeg" TargetMode="External"/><Relationship Id="rId2077" Type="http://schemas.openxmlformats.org/officeDocument/2006/relationships/hyperlink" Target="https://twitter.com/APGuha/status/721827698595667968" TargetMode="External"/><Relationship Id="rId2491" Type="http://schemas.openxmlformats.org/officeDocument/2006/relationships/hyperlink" Target="https://twitter.com/MarianKoeller" TargetMode="External"/><Relationship Id="rId3128" Type="http://schemas.openxmlformats.org/officeDocument/2006/relationships/hyperlink" Target="https://pbs.twimg.com/profile_images/623849156159868928/BetFDR_i_normal.jpg" TargetMode="External"/><Relationship Id="rId3542" Type="http://schemas.openxmlformats.org/officeDocument/2006/relationships/hyperlink" Target="https://twitter.com/INDIZbot" TargetMode="External"/><Relationship Id="rId6698" Type="http://schemas.openxmlformats.org/officeDocument/2006/relationships/hyperlink" Target="https://twitter.com/ITK_OWL/status/723162807349465088" TargetMode="External"/><Relationship Id="rId7749" Type="http://schemas.openxmlformats.org/officeDocument/2006/relationships/hyperlink" Target="https://twitter.com/conosco" TargetMode="External"/><Relationship Id="rId463" Type="http://schemas.openxmlformats.org/officeDocument/2006/relationships/hyperlink" Target="https://twitter.com/Personalpraxis" TargetMode="External"/><Relationship Id="rId1093" Type="http://schemas.openxmlformats.org/officeDocument/2006/relationships/hyperlink" Target="https://twitter.com/INDIZbot" TargetMode="External"/><Relationship Id="rId2144" Type="http://schemas.openxmlformats.org/officeDocument/2006/relationships/hyperlink" Target="https://twitter.com/handling/status/721945597599621121" TargetMode="External"/><Relationship Id="rId9171" Type="http://schemas.openxmlformats.org/officeDocument/2006/relationships/hyperlink" Target="https://twitter.com/vemdiearbeitgeb/status/723959160522575872" TargetMode="External"/><Relationship Id="rId116" Type="http://schemas.openxmlformats.org/officeDocument/2006/relationships/hyperlink" Target="https://twitter.com/shyamvaran/status/720514879908683780" TargetMode="External"/><Relationship Id="rId530" Type="http://schemas.openxmlformats.org/officeDocument/2006/relationships/hyperlink" Target="https://twitter.com/JmuellerIoT" TargetMode="External"/><Relationship Id="rId1160" Type="http://schemas.openxmlformats.org/officeDocument/2006/relationships/hyperlink" Target="https://twitter.com/Gruendercoaches/status/720909521711939584" TargetMode="External"/><Relationship Id="rId2211" Type="http://schemas.openxmlformats.org/officeDocument/2006/relationships/hyperlink" Target="https://pbs.twimg.com/profile_images/473759721023758338/3CcJL-Vq_normal.jpeg" TargetMode="External"/><Relationship Id="rId5367" Type="http://schemas.openxmlformats.org/officeDocument/2006/relationships/hyperlink" Target="https://twitter.com/croXXing_IBD/status/722795387136905216" TargetMode="External"/><Relationship Id="rId6765" Type="http://schemas.openxmlformats.org/officeDocument/2006/relationships/hyperlink" Target="https://pbs.twimg.com/profile_images/2447768381/c72zdveu8cxcv15s9782_normal.jpeg" TargetMode="External"/><Relationship Id="rId7816" Type="http://schemas.openxmlformats.org/officeDocument/2006/relationships/hyperlink" Target="https://twitter.com/markherten" TargetMode="External"/><Relationship Id="rId5781" Type="http://schemas.openxmlformats.org/officeDocument/2006/relationships/hyperlink" Target="https://twitter.com/SAPFrance" TargetMode="External"/><Relationship Id="rId6418" Type="http://schemas.openxmlformats.org/officeDocument/2006/relationships/hyperlink" Target="https://pbs.twimg.com/profile_images/587889223153270784/1kBsv0nC_normal.jpg" TargetMode="External"/><Relationship Id="rId6832" Type="http://schemas.openxmlformats.org/officeDocument/2006/relationships/hyperlink" Target="https://twitter.com/ExpertenDerIT" TargetMode="External"/><Relationship Id="rId9988" Type="http://schemas.openxmlformats.org/officeDocument/2006/relationships/hyperlink" Target="https://twitter.com/ckoptimal1" TargetMode="External"/><Relationship Id="rId1977" Type="http://schemas.openxmlformats.org/officeDocument/2006/relationships/hyperlink" Target="https://twitter.com/CmartinCg" TargetMode="External"/><Relationship Id="rId4383" Type="http://schemas.openxmlformats.org/officeDocument/2006/relationships/hyperlink" Target="https://twitter.com/tuevnord" TargetMode="External"/><Relationship Id="rId5434" Type="http://schemas.openxmlformats.org/officeDocument/2006/relationships/hyperlink" Target="http://paper.li/" TargetMode="External"/><Relationship Id="rId4036" Type="http://schemas.openxmlformats.org/officeDocument/2006/relationships/hyperlink" Target="https://pbs.twimg.com/profile_images/694817005422186497/g0reOkTh_normal.png" TargetMode="External"/><Relationship Id="rId4450" Type="http://schemas.openxmlformats.org/officeDocument/2006/relationships/hyperlink" Target="https://twitter.com/TLutzky" TargetMode="External"/><Relationship Id="rId5501" Type="http://schemas.openxmlformats.org/officeDocument/2006/relationships/hyperlink" Target="https://pbs.twimg.com/profile_images/588981131996966912/55KBnYR7_normal.jpg" TargetMode="External"/><Relationship Id="rId8657" Type="http://schemas.openxmlformats.org/officeDocument/2006/relationships/hyperlink" Target="https://twitter.com/INDIZbot/status/723778856910479360" TargetMode="External"/><Relationship Id="rId9708" Type="http://schemas.openxmlformats.org/officeDocument/2006/relationships/hyperlink" Target="https://twitter.com/VDMAonline/status/724233744354279424" TargetMode="External"/><Relationship Id="rId3052" Type="http://schemas.openxmlformats.org/officeDocument/2006/relationships/hyperlink" Target="https://twitter.com/DIVSI_Info/status/722308317092179969" TargetMode="External"/><Relationship Id="rId4103" Type="http://schemas.openxmlformats.org/officeDocument/2006/relationships/hyperlink" Target="https://pbs.twimg.com/profile_images/1220302889/image_normal.jpg" TargetMode="External"/><Relationship Id="rId7259" Type="http://schemas.openxmlformats.org/officeDocument/2006/relationships/hyperlink" Target="https://twitter.com/INDIZbot/status/723388657684508676" TargetMode="External"/><Relationship Id="rId7673" Type="http://schemas.openxmlformats.org/officeDocument/2006/relationships/hyperlink" Target="https://pbs.twimg.com/profile_images/689477529749622785/o9GKf3PS_normal.png" TargetMode="External"/><Relationship Id="rId8724" Type="http://schemas.openxmlformats.org/officeDocument/2006/relationships/hyperlink" Target="https://pbs.twimg.com/profile_images/721357383885287424/_xQQgCH3_normal.jpg" TargetMode="External"/><Relationship Id="rId6275" Type="http://schemas.openxmlformats.org/officeDocument/2006/relationships/hyperlink" Target="https://twitter.com/SGE" TargetMode="External"/><Relationship Id="rId7326" Type="http://schemas.openxmlformats.org/officeDocument/2006/relationships/hyperlink" Target="https://twitter.com/SEWEURODRIVE/status/723400329564282880" TargetMode="External"/><Relationship Id="rId3869" Type="http://schemas.openxmlformats.org/officeDocument/2006/relationships/hyperlink" Target="https://twitter.com/HolgerPaul66" TargetMode="External"/><Relationship Id="rId5291" Type="http://schemas.openxmlformats.org/officeDocument/2006/relationships/hyperlink" Target="https://twitter.com/TrendONE/status/722783909172420608" TargetMode="External"/><Relationship Id="rId6342" Type="http://schemas.openxmlformats.org/officeDocument/2006/relationships/hyperlink" Target="https://pbs.twimg.com/profile_images/645716711723925506/t5G0qOS6_normal.jpg" TargetMode="External"/><Relationship Id="rId7740" Type="http://schemas.openxmlformats.org/officeDocument/2006/relationships/hyperlink" Target="https://twitter.com/H_IT_D" TargetMode="External"/><Relationship Id="rId9498" Type="http://schemas.openxmlformats.org/officeDocument/2006/relationships/hyperlink" Target="https://twitter.com/db_theblizz/status/724191240040910851" TargetMode="External"/><Relationship Id="rId10307" Type="http://schemas.openxmlformats.org/officeDocument/2006/relationships/hyperlink" Target="https://twitter.com/amortisat/status/724458946296176640" TargetMode="External"/><Relationship Id="rId2885" Type="http://schemas.openxmlformats.org/officeDocument/2006/relationships/hyperlink" Target="https://twitter.com/mfritz_fhg" TargetMode="External"/><Relationship Id="rId3936" Type="http://schemas.openxmlformats.org/officeDocument/2006/relationships/hyperlink" Target="https://twitter.com/Stella_Vaskoudi/status/722459952711909376" TargetMode="External"/><Relationship Id="rId857" Type="http://schemas.openxmlformats.org/officeDocument/2006/relationships/hyperlink" Target="https://pbs.twimg.com/profile_images/709356351768686592/BWnChYSq_normal.jpg" TargetMode="External"/><Relationship Id="rId1487" Type="http://schemas.openxmlformats.org/officeDocument/2006/relationships/hyperlink" Target="https://twitter.com/INDIZbot/status/721030816172810240" TargetMode="External"/><Relationship Id="rId2538" Type="http://schemas.openxmlformats.org/officeDocument/2006/relationships/hyperlink" Target="https://twitter.com/pinetco" TargetMode="External"/><Relationship Id="rId2952" Type="http://schemas.openxmlformats.org/officeDocument/2006/relationships/hyperlink" Target="https://twitter.com/BigDataTweetBot/status/722200737342693376" TargetMode="External"/><Relationship Id="rId9565" Type="http://schemas.openxmlformats.org/officeDocument/2006/relationships/hyperlink" Target="https://pbs.twimg.com/profile_images/451994816889360385/SYPpc3iI_normal.jpeg" TargetMode="External"/><Relationship Id="rId924" Type="http://schemas.openxmlformats.org/officeDocument/2006/relationships/hyperlink" Target="https://twitter.com/StipoNad" TargetMode="External"/><Relationship Id="rId1554" Type="http://schemas.openxmlformats.org/officeDocument/2006/relationships/hyperlink" Target="https://pbs.twimg.com/profile_images/645716711723925506/t5G0qOS6_normal.jpg" TargetMode="External"/><Relationship Id="rId2605" Type="http://schemas.openxmlformats.org/officeDocument/2006/relationships/hyperlink" Target="https://twitter.com/JETZT_PRde" TargetMode="External"/><Relationship Id="rId5011" Type="http://schemas.openxmlformats.org/officeDocument/2006/relationships/hyperlink" Target="https://twitter.com/miss_ypsilon" TargetMode="External"/><Relationship Id="rId8167" Type="http://schemas.openxmlformats.org/officeDocument/2006/relationships/hyperlink" Target="https://pbs.twimg.com/profile_images/588277189575049216/xVVXgnJQ_normal.jpg" TargetMode="External"/><Relationship Id="rId8581" Type="http://schemas.openxmlformats.org/officeDocument/2006/relationships/hyperlink" Target="https://twitter.com/PourLesPatrons" TargetMode="External"/><Relationship Id="rId9218" Type="http://schemas.openxmlformats.org/officeDocument/2006/relationships/hyperlink" Target="https://twitter.com/Lenze_Gruppe" TargetMode="External"/><Relationship Id="rId9632" Type="http://schemas.openxmlformats.org/officeDocument/2006/relationships/hyperlink" Target="https://twitter.com/Dominik_Ortlepp" TargetMode="External"/><Relationship Id="rId10097" Type="http://schemas.openxmlformats.org/officeDocument/2006/relationships/hyperlink" Target="https://twitter.com/TLinn_Visionico/status/724328356989284352" TargetMode="External"/><Relationship Id="rId1207" Type="http://schemas.openxmlformats.org/officeDocument/2006/relationships/hyperlink" Target="https://twitter.com/tobias_goers" TargetMode="External"/><Relationship Id="rId1621" Type="http://schemas.openxmlformats.org/officeDocument/2006/relationships/hyperlink" Target="https://twitter.com/INDIZbot" TargetMode="External"/><Relationship Id="rId4777" Type="http://schemas.openxmlformats.org/officeDocument/2006/relationships/hyperlink" Target="https://twitter.com/_NewSearch_/status/722718083719237632" TargetMode="External"/><Relationship Id="rId5828" Type="http://schemas.openxmlformats.org/officeDocument/2006/relationships/hyperlink" Target="https://twitter.com/VDMAonline/status/723048490838962176" TargetMode="External"/><Relationship Id="rId7183" Type="http://schemas.openxmlformats.org/officeDocument/2006/relationships/hyperlink" Target="https://twitter.com/germanbirdy" TargetMode="External"/><Relationship Id="rId8234" Type="http://schemas.openxmlformats.org/officeDocument/2006/relationships/hyperlink" Target="https://pbs.twimg.com/profile_images/669853588152283137/mqKB9aP__normal.jpg" TargetMode="External"/><Relationship Id="rId10164" Type="http://schemas.openxmlformats.org/officeDocument/2006/relationships/hyperlink" Target="https://pbs.twimg.com/profile_images/712051810698190848/Q9cvvAkM_normal.jpg" TargetMode="External"/><Relationship Id="rId3379" Type="http://schemas.openxmlformats.org/officeDocument/2006/relationships/hyperlink" Target="https://pbs.twimg.com/profile_images/669853588152283137/mqKB9aP__normal.jpg" TargetMode="External"/><Relationship Id="rId3793" Type="http://schemas.openxmlformats.org/officeDocument/2006/relationships/hyperlink" Target="https://pbs.twimg.com/profile_images/541146126158536704/IYardufS_normal.jpeg" TargetMode="External"/><Relationship Id="rId7250" Type="http://schemas.openxmlformats.org/officeDocument/2006/relationships/hyperlink" Target="https://twitter.com/AxHoepner/status/723387459594133505" TargetMode="External"/><Relationship Id="rId8301" Type="http://schemas.openxmlformats.org/officeDocument/2006/relationships/hyperlink" Target="https://twitter.com/INDIZbot" TargetMode="External"/><Relationship Id="rId2395" Type="http://schemas.openxmlformats.org/officeDocument/2006/relationships/hyperlink" Target="https://twitter.com/birgit_buck" TargetMode="External"/><Relationship Id="rId3446" Type="http://schemas.openxmlformats.org/officeDocument/2006/relationships/hyperlink" Target="https://twitter.com/vongerberg" TargetMode="External"/><Relationship Id="rId4844" Type="http://schemas.openxmlformats.org/officeDocument/2006/relationships/hyperlink" Target="https://pbs.twimg.com/profile_images/514736619115384832/edvgJxyt_normal.png" TargetMode="External"/><Relationship Id="rId10231" Type="http://schemas.openxmlformats.org/officeDocument/2006/relationships/hyperlink" Target="https://twitter.com/EhrkeHeideMarie" TargetMode="External"/><Relationship Id="rId367" Type="http://schemas.openxmlformats.org/officeDocument/2006/relationships/hyperlink" Target="https://twitter.com/verlinked" TargetMode="External"/><Relationship Id="rId2048" Type="http://schemas.openxmlformats.org/officeDocument/2006/relationships/hyperlink" Target="https://pbs.twimg.com/profile_images/541146126158536704/IYardufS_normal.jpeg" TargetMode="External"/><Relationship Id="rId3860" Type="http://schemas.openxmlformats.org/officeDocument/2006/relationships/hyperlink" Target="https://twitter.com/H_IT_D" TargetMode="External"/><Relationship Id="rId4911" Type="http://schemas.openxmlformats.org/officeDocument/2006/relationships/hyperlink" Target="https://twitter.com/INDIZbot" TargetMode="External"/><Relationship Id="rId9075" Type="http://schemas.openxmlformats.org/officeDocument/2006/relationships/hyperlink" Target="https://twitter.com/INDIZbot/status/723929997229068288" TargetMode="External"/><Relationship Id="rId781" Type="http://schemas.openxmlformats.org/officeDocument/2006/relationships/hyperlink" Target="https://pbs.twimg.com/profile_images/491236810560114688/qHaoNgg2_normal.jpeg" TargetMode="External"/><Relationship Id="rId2462" Type="http://schemas.openxmlformats.org/officeDocument/2006/relationships/hyperlink" Target="https://twitter.com/JulieJouvencel/status/722033084896583680" TargetMode="External"/><Relationship Id="rId3513" Type="http://schemas.openxmlformats.org/officeDocument/2006/relationships/hyperlink" Target="https://twitter.com/AxoomDe/status/722368550632103940" TargetMode="External"/><Relationship Id="rId6669" Type="http://schemas.openxmlformats.org/officeDocument/2006/relationships/hyperlink" Target="https://pbs.twimg.com/profile_images/562265910606442496/obnZnoWF_normal.jpeg" TargetMode="External"/><Relationship Id="rId8091" Type="http://schemas.openxmlformats.org/officeDocument/2006/relationships/hyperlink" Target="https://twitter.com/CapgeminiDE/status/723492850969763840" TargetMode="External"/><Relationship Id="rId434" Type="http://schemas.openxmlformats.org/officeDocument/2006/relationships/hyperlink" Target="https://twitter.com/IoTMinded/status/720591681561735168" TargetMode="External"/><Relationship Id="rId1064" Type="http://schemas.openxmlformats.org/officeDocument/2006/relationships/hyperlink" Target="https://twitter.com/PwC_France/status/720893215801548800" TargetMode="External"/><Relationship Id="rId2115" Type="http://schemas.openxmlformats.org/officeDocument/2006/relationships/hyperlink" Target="https://twitter.com/INDIZbot" TargetMode="External"/><Relationship Id="rId5685" Type="http://schemas.openxmlformats.org/officeDocument/2006/relationships/hyperlink" Target="https://twitter.com/ExportArizona" TargetMode="External"/><Relationship Id="rId6736" Type="http://schemas.openxmlformats.org/officeDocument/2006/relationships/hyperlink" Target="https://twitter.com/s_rohrbach" TargetMode="External"/><Relationship Id="rId9142" Type="http://schemas.openxmlformats.org/officeDocument/2006/relationships/hyperlink" Target="https://abs.twimg.com/sticky/default_profile_images/default_profile_3_normal.png" TargetMode="External"/><Relationship Id="rId501" Type="http://schemas.openxmlformats.org/officeDocument/2006/relationships/hyperlink" Target="https://twitter.com/Aurelien_T_K/status/720608136252497920" TargetMode="External"/><Relationship Id="rId1131" Type="http://schemas.openxmlformats.org/officeDocument/2006/relationships/hyperlink" Target="https://pbs.twimg.com/profile_images/647052308170297344/Q29AIuZ__normal.jpg" TargetMode="External"/><Relationship Id="rId4287" Type="http://schemas.openxmlformats.org/officeDocument/2006/relationships/hyperlink" Target="https://twitter.com/DKEAktuell" TargetMode="External"/><Relationship Id="rId5338" Type="http://schemas.openxmlformats.org/officeDocument/2006/relationships/hyperlink" Target="https://twitter.com/JuergenGietl" TargetMode="External"/><Relationship Id="rId5752" Type="http://schemas.openxmlformats.org/officeDocument/2006/relationships/hyperlink" Target="https://twitter.com/LNI40/status/723024168153964544" TargetMode="External"/><Relationship Id="rId6803" Type="http://schemas.openxmlformats.org/officeDocument/2006/relationships/hyperlink" Target="https://twitter.com/acatech_de/status/723172202753888256" TargetMode="External"/><Relationship Id="rId9959" Type="http://schemas.openxmlformats.org/officeDocument/2006/relationships/hyperlink" Target="https://twitter.com/msftmfg/status/724285536588992514" TargetMode="External"/><Relationship Id="rId4354" Type="http://schemas.openxmlformats.org/officeDocument/2006/relationships/hyperlink" Target="https://twitter.com/MindCommerce/status/722677969186119683" TargetMode="External"/><Relationship Id="rId5405" Type="http://schemas.openxmlformats.org/officeDocument/2006/relationships/hyperlink" Target="https://twitter.com/BoschPresse" TargetMode="External"/><Relationship Id="rId1948" Type="http://schemas.openxmlformats.org/officeDocument/2006/relationships/hyperlink" Target="http://twittbot.net/" TargetMode="External"/><Relationship Id="rId3370" Type="http://schemas.openxmlformats.org/officeDocument/2006/relationships/hyperlink" Target="https://pbs.twimg.com/profile_images/443867283254149121/pKo3gK6f_normal.jpeg" TargetMode="External"/><Relationship Id="rId4007" Type="http://schemas.openxmlformats.org/officeDocument/2006/relationships/hyperlink" Target="https://twitter.com/Rhenatic" TargetMode="External"/><Relationship Id="rId4421" Type="http://schemas.openxmlformats.org/officeDocument/2006/relationships/hyperlink" Target="https://pbs.twimg.com/profile_images/2576159086/x3og0hhz2d60d9embrsg_normal.jpeg" TargetMode="External"/><Relationship Id="rId7577" Type="http://schemas.openxmlformats.org/officeDocument/2006/relationships/hyperlink" Target="https://pbs.twimg.com/profile_images/504283944099934208/aYXjwtP5_normal.jpeg" TargetMode="External"/><Relationship Id="rId8975" Type="http://schemas.openxmlformats.org/officeDocument/2006/relationships/hyperlink" Target="https://twitter.com/INDIZbot/status/723876978949033984" TargetMode="External"/><Relationship Id="rId291" Type="http://schemas.openxmlformats.org/officeDocument/2006/relationships/hyperlink" Target="https://pbs.twimg.com/profile_images/473759721023758338/3CcJL-Vq_normal.jpeg" TargetMode="External"/><Relationship Id="rId3023" Type="http://schemas.openxmlformats.org/officeDocument/2006/relationships/hyperlink" Target="https://pbs.twimg.com/profile_images/604338428227010560/6jzSa8us_normal.png" TargetMode="External"/><Relationship Id="rId6179" Type="http://schemas.openxmlformats.org/officeDocument/2006/relationships/hyperlink" Target="https://pbs.twimg.com/profile_images/717643307002646532/K0aVxfqN_normal.jpg" TargetMode="External"/><Relationship Id="rId7991" Type="http://schemas.openxmlformats.org/officeDocument/2006/relationships/hyperlink" Target="https://twitter.com/INDIZbot" TargetMode="External"/><Relationship Id="rId8628" Type="http://schemas.openxmlformats.org/officeDocument/2006/relationships/hyperlink" Target="https://pbs.twimg.com/profile_images/459292237914836993/UjzTjtRx_normal.jpeg" TargetMode="External"/><Relationship Id="rId5195" Type="http://schemas.openxmlformats.org/officeDocument/2006/relationships/hyperlink" Target="https://pbs.twimg.com/profile_images/723407487395713024/0hZv7R8S_normal.jpg" TargetMode="External"/><Relationship Id="rId6593" Type="http://schemas.openxmlformats.org/officeDocument/2006/relationships/hyperlink" Target="https://pbs.twimg.com/profile_images/3144255624/af1d7d19c80d654f74385adb99291ab1_normal.png" TargetMode="External"/><Relationship Id="rId7644" Type="http://schemas.openxmlformats.org/officeDocument/2006/relationships/hyperlink" Target="https://twitter.com/MindCommerce" TargetMode="External"/><Relationship Id="rId2789" Type="http://schemas.openxmlformats.org/officeDocument/2006/relationships/hyperlink" Target="https://pbs.twimg.com/profile_images/378800000474033051/8bdbd8614e8eaba7d1bd90912ce6ef4d_normal.jpeg" TargetMode="External"/><Relationship Id="rId6246" Type="http://schemas.openxmlformats.org/officeDocument/2006/relationships/hyperlink" Target="https://pbs.twimg.com/profile_images/648137141999017989/QfJy2m6F_normal.png" TargetMode="External"/><Relationship Id="rId6660" Type="http://schemas.openxmlformats.org/officeDocument/2006/relationships/hyperlink" Target="https://pbs.twimg.com/profile_images/619614759370014720/AS__iYuZ_normal.jpg" TargetMode="External"/><Relationship Id="rId7711" Type="http://schemas.openxmlformats.org/officeDocument/2006/relationships/hyperlink" Target="https://twitter.com/JETZT_PRde/status/723427569018634246" TargetMode="External"/><Relationship Id="rId2856" Type="http://schemas.openxmlformats.org/officeDocument/2006/relationships/hyperlink" Target="https://twitter.com/tomov_eu" TargetMode="External"/><Relationship Id="rId3907" Type="http://schemas.openxmlformats.org/officeDocument/2006/relationships/hyperlink" Target="https://pbs.twimg.com/profile_images/645716711723925506/t5G0qOS6_normal.jpg" TargetMode="External"/><Relationship Id="rId5262" Type="http://schemas.openxmlformats.org/officeDocument/2006/relationships/hyperlink" Target="https://pbs.twimg.com/profile_images/583155768666505216/fzvNGieB_normal.png" TargetMode="External"/><Relationship Id="rId6313" Type="http://schemas.openxmlformats.org/officeDocument/2006/relationships/hyperlink" Target="https://twitter.com/H_IT_D/status/723109583661604864" TargetMode="External"/><Relationship Id="rId9469" Type="http://schemas.openxmlformats.org/officeDocument/2006/relationships/hyperlink" Target="https://pbs.twimg.com/profile_images/709444980553740288/Xds-Aan6_normal.jpg" TargetMode="External"/><Relationship Id="rId9883" Type="http://schemas.openxmlformats.org/officeDocument/2006/relationships/hyperlink" Target="https://twitter.com/INDIZbot" TargetMode="External"/><Relationship Id="rId97" Type="http://schemas.openxmlformats.org/officeDocument/2006/relationships/hyperlink" Target="https://twitter.com/VDI_News" TargetMode="External"/><Relationship Id="rId828" Type="http://schemas.openxmlformats.org/officeDocument/2006/relationships/hyperlink" Target="https://twitter.com/DataCentreUG" TargetMode="External"/><Relationship Id="rId1458" Type="http://schemas.openxmlformats.org/officeDocument/2006/relationships/hyperlink" Target="https://pbs.twimg.com/profile_images/638707523160272896/YonVe2-H_normal.jpg" TargetMode="External"/><Relationship Id="rId1872" Type="http://schemas.openxmlformats.org/officeDocument/2006/relationships/hyperlink" Target="https://twitter.com/condet020274/status/721597991312887808" TargetMode="External"/><Relationship Id="rId2509" Type="http://schemas.openxmlformats.org/officeDocument/2006/relationships/hyperlink" Target="https://pbs.twimg.com/profile_images/664044971788509188/KRTH7qBq_normal.jpg" TargetMode="External"/><Relationship Id="rId8485" Type="http://schemas.openxmlformats.org/officeDocument/2006/relationships/hyperlink" Target="https://twitter.com/GregRodehueser" TargetMode="External"/><Relationship Id="rId9536" Type="http://schemas.openxmlformats.org/officeDocument/2006/relationships/hyperlink" Target="https://twitter.com/BoschGlobal" TargetMode="External"/><Relationship Id="rId1525" Type="http://schemas.openxmlformats.org/officeDocument/2006/relationships/hyperlink" Target="https://twitter.com/kommoptimierer" TargetMode="External"/><Relationship Id="rId2923" Type="http://schemas.openxmlformats.org/officeDocument/2006/relationships/hyperlink" Target="https://pbs.twimg.com/profile_images/616793252524650496/bQbxJqmz_normal.jpg" TargetMode="External"/><Relationship Id="rId7087" Type="http://schemas.openxmlformats.org/officeDocument/2006/relationships/hyperlink" Target="https://twitter.com/frankcausa" TargetMode="External"/><Relationship Id="rId8138" Type="http://schemas.openxmlformats.org/officeDocument/2006/relationships/hyperlink" Target="https://twitter.com/CapgeminiDE" TargetMode="External"/><Relationship Id="rId8552" Type="http://schemas.openxmlformats.org/officeDocument/2006/relationships/hyperlink" Target="https://twitter.com/INDIZbot/status/723715807247740928" TargetMode="External"/><Relationship Id="rId9950" Type="http://schemas.openxmlformats.org/officeDocument/2006/relationships/hyperlink" Target="https://twitter.com/AmChamGermany/status/724284117110689792" TargetMode="External"/><Relationship Id="rId10068" Type="http://schemas.openxmlformats.org/officeDocument/2006/relationships/hyperlink" Target="https://pbs.twimg.com/profile_images/645716711723925506/t5G0qOS6_normal.jpg" TargetMode="External"/><Relationship Id="rId7154" Type="http://schemas.openxmlformats.org/officeDocument/2006/relationships/hyperlink" Target="https://twitter.com/INDIZbot/status/723287994388627456" TargetMode="External"/><Relationship Id="rId8205" Type="http://schemas.openxmlformats.org/officeDocument/2006/relationships/hyperlink" Target="https://twitter.com/Bitkom_I40" TargetMode="External"/><Relationship Id="rId9603" Type="http://schemas.openxmlformats.org/officeDocument/2006/relationships/hyperlink" Target="https://twitter.com/EngineerComms/status/724218326306660352" TargetMode="External"/><Relationship Id="rId2299" Type="http://schemas.openxmlformats.org/officeDocument/2006/relationships/hyperlink" Target="https://twitter.com/INDIZbot/status/721979502407118848" TargetMode="External"/><Relationship Id="rId3697" Type="http://schemas.openxmlformats.org/officeDocument/2006/relationships/hyperlink" Target="https://pbs.twimg.com/profile_images/420931967941877760/po-pF7Nr_normal.jpeg" TargetMode="External"/><Relationship Id="rId4748" Type="http://schemas.openxmlformats.org/officeDocument/2006/relationships/hyperlink" Target="https://pbs.twimg.com/profile_images/1610234082/jwstwitter_normal.jpg" TargetMode="External"/><Relationship Id="rId10135" Type="http://schemas.openxmlformats.org/officeDocument/2006/relationships/hyperlink" Target="https://twitter.com/MarinerLLC" TargetMode="External"/><Relationship Id="rId3764" Type="http://schemas.openxmlformats.org/officeDocument/2006/relationships/hyperlink" Target="https://twitter.com/KarinZuehlke" TargetMode="External"/><Relationship Id="rId4815" Type="http://schemas.openxmlformats.org/officeDocument/2006/relationships/hyperlink" Target="https://twitter.com/UweKubach" TargetMode="External"/><Relationship Id="rId6170" Type="http://schemas.openxmlformats.org/officeDocument/2006/relationships/hyperlink" Target="https://pbs.twimg.com/profile_images/623849156159868928/BetFDR_i_normal.jpg" TargetMode="External"/><Relationship Id="rId7221" Type="http://schemas.openxmlformats.org/officeDocument/2006/relationships/hyperlink" Target="https://pbs.twimg.com/profile_images/707152829379698688/LQhLYo72_normal.jpg" TargetMode="External"/><Relationship Id="rId10202" Type="http://schemas.openxmlformats.org/officeDocument/2006/relationships/hyperlink" Target="https://twitter.com/Geschnattere/status/724368211718901760" TargetMode="External"/><Relationship Id="rId685" Type="http://schemas.openxmlformats.org/officeDocument/2006/relationships/hyperlink" Target="https://pbs.twimg.com/profile_images/711638065056456704/F8v21TMA_normal.jpg" TargetMode="External"/><Relationship Id="rId2366" Type="http://schemas.openxmlformats.org/officeDocument/2006/relationships/hyperlink" Target="https://twitter.com/mediamorfo/status/721998324002385920" TargetMode="External"/><Relationship Id="rId2780" Type="http://schemas.openxmlformats.org/officeDocument/2006/relationships/hyperlink" Target="https://pbs.twimg.com/profile_images/567384025568776192/u-T3fEX2_normal.jpeg" TargetMode="External"/><Relationship Id="rId3417" Type="http://schemas.openxmlformats.org/officeDocument/2006/relationships/hyperlink" Target="https://twitter.com/ROKAutoCHDE/status/722357856482144256" TargetMode="External"/><Relationship Id="rId3831" Type="http://schemas.openxmlformats.org/officeDocument/2006/relationships/hyperlink" Target="https://twitter.com/fabielind/status/722436502656053249" TargetMode="External"/><Relationship Id="rId6987" Type="http://schemas.openxmlformats.org/officeDocument/2006/relationships/hyperlink" Target="https://pbs.twimg.com/profile_images/541146126158536704/IYardufS_normal.jpeg" TargetMode="External"/><Relationship Id="rId9393" Type="http://schemas.openxmlformats.org/officeDocument/2006/relationships/hyperlink" Target="https://twitter.com/BigDataTweetBot/status/724171282699440128" TargetMode="External"/><Relationship Id="rId338" Type="http://schemas.openxmlformats.org/officeDocument/2006/relationships/hyperlink" Target="https://twitter.com/Brahim_M_Masri/status/720553908066787328" TargetMode="External"/><Relationship Id="rId752" Type="http://schemas.openxmlformats.org/officeDocument/2006/relationships/hyperlink" Target="https://twitter.com/ke13ds" TargetMode="External"/><Relationship Id="rId1382" Type="http://schemas.openxmlformats.org/officeDocument/2006/relationships/hyperlink" Target="https://twitter.com/SaREUSS" TargetMode="External"/><Relationship Id="rId2019" Type="http://schemas.openxmlformats.org/officeDocument/2006/relationships/hyperlink" Target="https://twitter.com/H_IT_D" TargetMode="External"/><Relationship Id="rId2433" Type="http://schemas.openxmlformats.org/officeDocument/2006/relationships/hyperlink" Target="https://pbs.twimg.com/profile_images/560799766007664640/lsjqv0TW_normal.jpeg" TargetMode="External"/><Relationship Id="rId5589" Type="http://schemas.openxmlformats.org/officeDocument/2006/relationships/hyperlink" Target="https://twitter.com/INDIZbot" TargetMode="External"/><Relationship Id="rId9046" Type="http://schemas.openxmlformats.org/officeDocument/2006/relationships/hyperlink" Target="https://pbs.twimg.com/profile_images/688491424581595136/F9UT-pH__normal.jpg" TargetMode="External"/><Relationship Id="rId9460" Type="http://schemas.openxmlformats.org/officeDocument/2006/relationships/hyperlink" Target="https://pbs.twimg.com/profile_images/709444980553740288/Xds-Aan6_normal.jpg" TargetMode="External"/><Relationship Id="rId405" Type="http://schemas.openxmlformats.org/officeDocument/2006/relationships/hyperlink" Target="https://pbs.twimg.com/profile_images/721292749069291520/oMrDhdql_normal.jpg" TargetMode="External"/><Relationship Id="rId1035" Type="http://schemas.openxmlformats.org/officeDocument/2006/relationships/hyperlink" Target="https://pbs.twimg.com/profile_images/656779070798172160/TNRHncFi_normal.jpg" TargetMode="External"/><Relationship Id="rId2500" Type="http://schemas.openxmlformats.org/officeDocument/2006/relationships/hyperlink" Target="https://twitter.com/Fraunhofer_IPA" TargetMode="External"/><Relationship Id="rId5656" Type="http://schemas.openxmlformats.org/officeDocument/2006/relationships/hyperlink" Target="https://twitter.com/prxagentur/status/722900394456645635" TargetMode="External"/><Relationship Id="rId8062" Type="http://schemas.openxmlformats.org/officeDocument/2006/relationships/hyperlink" Target="https://pbs.twimg.com/profile_images/712401306082795521/Y0gvhjUD_normal.jpg" TargetMode="External"/><Relationship Id="rId9113" Type="http://schemas.openxmlformats.org/officeDocument/2006/relationships/hyperlink" Target="https://twitter.com/INDIZbot" TargetMode="External"/><Relationship Id="rId1102" Type="http://schemas.openxmlformats.org/officeDocument/2006/relationships/hyperlink" Target="https://twitter.com/VDI_News" TargetMode="External"/><Relationship Id="rId4258" Type="http://schemas.openxmlformats.org/officeDocument/2006/relationships/hyperlink" Target="https://twitter.com/DrAlfOldman/status/722623341182320640" TargetMode="External"/><Relationship Id="rId5309" Type="http://schemas.openxmlformats.org/officeDocument/2006/relationships/hyperlink" Target="https://twitter.com/JETZT_PRde/status/722789463013785600" TargetMode="External"/><Relationship Id="rId6707" Type="http://schemas.openxmlformats.org/officeDocument/2006/relationships/hyperlink" Target="https://twitter.com/JBause/status/723163963618394112" TargetMode="External"/><Relationship Id="rId3274" Type="http://schemas.openxmlformats.org/officeDocument/2006/relationships/hyperlink" Target="https://twitter.com/kommunikationsm" TargetMode="External"/><Relationship Id="rId4672" Type="http://schemas.openxmlformats.org/officeDocument/2006/relationships/hyperlink" Target="https://twitter.com/DerKonstrukteu/status/722710535230369792" TargetMode="External"/><Relationship Id="rId5723" Type="http://schemas.openxmlformats.org/officeDocument/2006/relationships/hyperlink" Target="https://pbs.twimg.com/profile_images/633279999945121792/PAxArY72_normal.jpg" TargetMode="External"/><Relationship Id="rId8879" Type="http://schemas.openxmlformats.org/officeDocument/2006/relationships/hyperlink" Target="https://twitter.com/KUKA_RoboticsDE/status/723846719348322304" TargetMode="External"/><Relationship Id="rId195" Type="http://schemas.openxmlformats.org/officeDocument/2006/relationships/hyperlink" Target="https://pbs.twimg.com/profile_images/591951396217327616/HbcCX2zX_normal.png" TargetMode="External"/><Relationship Id="rId1919" Type="http://schemas.openxmlformats.org/officeDocument/2006/relationships/hyperlink" Target="https://twitter.com/INDIZbot" TargetMode="External"/><Relationship Id="rId4325" Type="http://schemas.openxmlformats.org/officeDocument/2006/relationships/hyperlink" Target="https://pbs.twimg.com/profile_images/560799766007664640/lsjqv0TW_normal.jpeg" TargetMode="External"/><Relationship Id="rId7895" Type="http://schemas.openxmlformats.org/officeDocument/2006/relationships/hyperlink" Target="https://twitter.com/SoftwareAG_D/status/723459712881164288" TargetMode="External"/><Relationship Id="rId8946" Type="http://schemas.openxmlformats.org/officeDocument/2006/relationships/hyperlink" Target="https://pbs.twimg.com/profile_images/378800000226687289/bfbd0587532c5aaf72b7ecdc4f40d659_normal.png" TargetMode="External"/><Relationship Id="rId2290" Type="http://schemas.openxmlformats.org/officeDocument/2006/relationships/hyperlink" Target="https://twitter.com/markherten/status/721978960188469248" TargetMode="External"/><Relationship Id="rId3341" Type="http://schemas.openxmlformats.org/officeDocument/2006/relationships/hyperlink" Target="https://twitter.com/akquinet/status/722351523343241216" TargetMode="External"/><Relationship Id="rId6497" Type="http://schemas.openxmlformats.org/officeDocument/2006/relationships/hyperlink" Target="https://twitter.com/tomov_eu" TargetMode="External"/><Relationship Id="rId7548" Type="http://schemas.openxmlformats.org/officeDocument/2006/relationships/hyperlink" Target="https://twitter.com/catkinEU" TargetMode="External"/><Relationship Id="rId7962" Type="http://schemas.openxmlformats.org/officeDocument/2006/relationships/hyperlink" Target="https://twitter.com/MoritzKlaemt/status/723473762604204032" TargetMode="External"/><Relationship Id="rId262" Type="http://schemas.openxmlformats.org/officeDocument/2006/relationships/hyperlink" Target="https://twitter.com/INDIZbot" TargetMode="External"/><Relationship Id="rId5099" Type="http://schemas.openxmlformats.org/officeDocument/2006/relationships/hyperlink" Target="https://twitter.com/Alex_Franke/status/722759641571160064" TargetMode="External"/><Relationship Id="rId6564" Type="http://schemas.openxmlformats.org/officeDocument/2006/relationships/hyperlink" Target="https://twitter.com/kmu_digital/status/723141366860124160" TargetMode="External"/><Relationship Id="rId7615" Type="http://schemas.openxmlformats.org/officeDocument/2006/relationships/hyperlink" Target="https://twitter.com/kommunikationsm/status/723418043326439424" TargetMode="External"/><Relationship Id="rId2010" Type="http://schemas.openxmlformats.org/officeDocument/2006/relationships/hyperlink" Target="https://twitter.com/openHPI" TargetMode="External"/><Relationship Id="rId5166" Type="http://schemas.openxmlformats.org/officeDocument/2006/relationships/hyperlink" Target="https://pbs.twimg.com/profile_images/585430524338053122/A23ksFUL_normal.png" TargetMode="External"/><Relationship Id="rId5580" Type="http://schemas.openxmlformats.org/officeDocument/2006/relationships/hyperlink" Target="https://twitter.com/brad_fedburn" TargetMode="External"/><Relationship Id="rId6217" Type="http://schemas.openxmlformats.org/officeDocument/2006/relationships/hyperlink" Target="https://twitter.com/gp_und_services" TargetMode="External"/><Relationship Id="rId6631" Type="http://schemas.openxmlformats.org/officeDocument/2006/relationships/hyperlink" Target="https://twitter.com/equeoGmbH/status/723152884980805632" TargetMode="External"/><Relationship Id="rId9787" Type="http://schemas.openxmlformats.org/officeDocument/2006/relationships/hyperlink" Target="https://twitter.com/catkinEU" TargetMode="External"/><Relationship Id="rId4182" Type="http://schemas.openxmlformats.org/officeDocument/2006/relationships/hyperlink" Target="https://twitter.com/LReehten" TargetMode="External"/><Relationship Id="rId5233" Type="http://schemas.openxmlformats.org/officeDocument/2006/relationships/hyperlink" Target="https://twitter.com/Ronald_Heinze/status/722771095183450112" TargetMode="External"/><Relationship Id="rId8389" Type="http://schemas.openxmlformats.org/officeDocument/2006/relationships/hyperlink" Target="https://twitter.com/PROJECTCONSULT_/status/723552123200376832" TargetMode="External"/><Relationship Id="rId1776" Type="http://schemas.openxmlformats.org/officeDocument/2006/relationships/hyperlink" Target="https://pbs.twimg.com/profile_images/619429467434434560/ywWYiH5V_normal.jpg" TargetMode="External"/><Relationship Id="rId2827" Type="http://schemas.openxmlformats.org/officeDocument/2006/relationships/hyperlink" Target="https://twitter.com/LReehten/status/722134490076823552" TargetMode="External"/><Relationship Id="rId9854" Type="http://schemas.openxmlformats.org/officeDocument/2006/relationships/hyperlink" Target="https://twitter.com/NiklasSowa/status/724271656496160768" TargetMode="External"/><Relationship Id="rId68" Type="http://schemas.openxmlformats.org/officeDocument/2006/relationships/hyperlink" Target="https://twitter.com/NeleReimers/status/720506453778427904" TargetMode="External"/><Relationship Id="rId1429" Type="http://schemas.openxmlformats.org/officeDocument/2006/relationships/hyperlink" Target="https://pbs.twimg.com/profile_images/720994279854776320/s_bilVaH_normal.jpg" TargetMode="External"/><Relationship Id="rId1843" Type="http://schemas.openxmlformats.org/officeDocument/2006/relationships/hyperlink" Target="https://twitter.com/AndreasLenzDe" TargetMode="External"/><Relationship Id="rId4999" Type="http://schemas.openxmlformats.org/officeDocument/2006/relationships/hyperlink" Target="https://twitter.com/ScheerKarriere" TargetMode="External"/><Relationship Id="rId5300" Type="http://schemas.openxmlformats.org/officeDocument/2006/relationships/hyperlink" Target="https://twitter.com/lotsize1/status/722788077333143552" TargetMode="External"/><Relationship Id="rId7058" Type="http://schemas.openxmlformats.org/officeDocument/2006/relationships/hyperlink" Target="https://twitter.com/DanielKueng/status/723249308292767744" TargetMode="External"/><Relationship Id="rId8456" Type="http://schemas.openxmlformats.org/officeDocument/2006/relationships/hyperlink" Target="https://twitter.com/BeierMichael71/status/723586201651937283" TargetMode="External"/><Relationship Id="rId8870" Type="http://schemas.openxmlformats.org/officeDocument/2006/relationships/hyperlink" Target="https://twitter.com/INDIZbot/status/723844205978722304" TargetMode="External"/><Relationship Id="rId9507" Type="http://schemas.openxmlformats.org/officeDocument/2006/relationships/hyperlink" Target="https://twitter.com/startupkanal/status/724192571724038148" TargetMode="External"/><Relationship Id="rId9921" Type="http://schemas.openxmlformats.org/officeDocument/2006/relationships/hyperlink" Target="https://pbs.twimg.com/profile_images/2701322020/1eb8ce228cf8d040b274144a49daa19a_normal.png" TargetMode="External"/><Relationship Id="rId1910" Type="http://schemas.openxmlformats.org/officeDocument/2006/relationships/hyperlink" Target="https://twitter.com/_leangame" TargetMode="External"/><Relationship Id="rId7472" Type="http://schemas.openxmlformats.org/officeDocument/2006/relationships/hyperlink" Target="https://pbs.twimg.com/profile_images/716977461079179268/JVN5NZO8_normal.jpg" TargetMode="External"/><Relationship Id="rId8109" Type="http://schemas.openxmlformats.org/officeDocument/2006/relationships/hyperlink" Target="https://twitter.com/verlinked/status/723496654955929601" TargetMode="External"/><Relationship Id="rId8523" Type="http://schemas.openxmlformats.org/officeDocument/2006/relationships/hyperlink" Target="https://pbs.twimg.com/profile_images/675119646903828486/vqpIlO9b_normal.jpg" TargetMode="External"/><Relationship Id="rId10039" Type="http://schemas.openxmlformats.org/officeDocument/2006/relationships/hyperlink" Target="https://twitter.com/INDIZbot" TargetMode="External"/><Relationship Id="rId3668" Type="http://schemas.openxmlformats.org/officeDocument/2006/relationships/hyperlink" Target="https://twitter.com/NicoSchilling" TargetMode="External"/><Relationship Id="rId4719" Type="http://schemas.openxmlformats.org/officeDocument/2006/relationships/hyperlink" Target="https://twitter.com/cerratlan" TargetMode="External"/><Relationship Id="rId6074" Type="http://schemas.openxmlformats.org/officeDocument/2006/relationships/hyperlink" Target="https://twitter.com/b2b_nachrichten" TargetMode="External"/><Relationship Id="rId7125" Type="http://schemas.openxmlformats.org/officeDocument/2006/relationships/hyperlink" Target="https://pbs.twimg.com/profile_images/645716711723925506/t5G0qOS6_normal.jpg" TargetMode="External"/><Relationship Id="rId10106" Type="http://schemas.openxmlformats.org/officeDocument/2006/relationships/hyperlink" Target="https://twitter.com/INDIZbot/status/724332592858804229" TargetMode="External"/><Relationship Id="rId589" Type="http://schemas.openxmlformats.org/officeDocument/2006/relationships/hyperlink" Target="https://pbs.twimg.com/profile_images/645716711723925506/t5G0qOS6_normal.jpg" TargetMode="External"/><Relationship Id="rId2684" Type="http://schemas.openxmlformats.org/officeDocument/2006/relationships/hyperlink" Target="https://pbs.twimg.com/profile_images/609375510158774272/P5glOk4b_normal.jpg" TargetMode="External"/><Relationship Id="rId3735" Type="http://schemas.openxmlformats.org/officeDocument/2006/relationships/hyperlink" Target="https://twitter.com/INDIZbot/status/722414743328276486" TargetMode="External"/><Relationship Id="rId5090" Type="http://schemas.openxmlformats.org/officeDocument/2006/relationships/hyperlink" Target="https://twitter.com/ke_NEXT/status/722757733527629825" TargetMode="External"/><Relationship Id="rId6141" Type="http://schemas.openxmlformats.org/officeDocument/2006/relationships/hyperlink" Target="https://twitter.com/Markenartikler" TargetMode="External"/><Relationship Id="rId9297" Type="http://schemas.openxmlformats.org/officeDocument/2006/relationships/hyperlink" Target="https://twitter.com/INDIZbot/status/724131044170014722" TargetMode="External"/><Relationship Id="rId656" Type="http://schemas.openxmlformats.org/officeDocument/2006/relationships/hyperlink" Target="https://twitter.com/maurelita" TargetMode="External"/><Relationship Id="rId1286" Type="http://schemas.openxmlformats.org/officeDocument/2006/relationships/hyperlink" Target="https://twitter.com/CapgeminiDE/status/720943443070029824" TargetMode="External"/><Relationship Id="rId2337" Type="http://schemas.openxmlformats.org/officeDocument/2006/relationships/hyperlink" Target="https://pbs.twimg.com/profile_images/645716711723925506/t5G0qOS6_normal.jpg" TargetMode="External"/><Relationship Id="rId9364" Type="http://schemas.openxmlformats.org/officeDocument/2006/relationships/hyperlink" Target="https://pbs.twimg.com/profile_images/455629070454116352/ujZ3h7Ww_normal.png" TargetMode="External"/><Relationship Id="rId309" Type="http://schemas.openxmlformats.org/officeDocument/2006/relationships/hyperlink" Target="https://pbs.twimg.com/profile_images/570939838803632128/7pCUkjlR_normal.png" TargetMode="External"/><Relationship Id="rId2751" Type="http://schemas.openxmlformats.org/officeDocument/2006/relationships/hyperlink" Target="https://twitter.com/IoTJournal" TargetMode="External"/><Relationship Id="rId3802" Type="http://schemas.openxmlformats.org/officeDocument/2006/relationships/hyperlink" Target="https://pbs.twimg.com/profile_images/636961054610849792/ZDAnLOQE_normal.jpg" TargetMode="External"/><Relationship Id="rId6958" Type="http://schemas.openxmlformats.org/officeDocument/2006/relationships/hyperlink" Target="https://twitter.com/H_IT_D" TargetMode="External"/><Relationship Id="rId8380" Type="http://schemas.openxmlformats.org/officeDocument/2006/relationships/hyperlink" Target="https://twitter.com/MindCommerce/status/723551126793105408" TargetMode="External"/><Relationship Id="rId9017" Type="http://schemas.openxmlformats.org/officeDocument/2006/relationships/hyperlink" Target="https://twitter.com/APEGOhio/status/723910620580589568" TargetMode="External"/><Relationship Id="rId723" Type="http://schemas.openxmlformats.org/officeDocument/2006/relationships/hyperlink" Target="https://twitter.com/kommoptimierer/status/720688076268380161" TargetMode="External"/><Relationship Id="rId1006" Type="http://schemas.openxmlformats.org/officeDocument/2006/relationships/hyperlink" Target="https://twitter.com/PolarionNews_de" TargetMode="External"/><Relationship Id="rId1353" Type="http://schemas.openxmlformats.org/officeDocument/2006/relationships/hyperlink" Target="https://pbs.twimg.com/profile_images/574291806998765569/PRBDNJ3u_normal.png" TargetMode="External"/><Relationship Id="rId2404" Type="http://schemas.openxmlformats.org/officeDocument/2006/relationships/hyperlink" Target="https://twitter.com/verlinked" TargetMode="External"/><Relationship Id="rId5974" Type="http://schemas.openxmlformats.org/officeDocument/2006/relationships/hyperlink" Target="https://pbs.twimg.com/profile_images/687181037000994816/jJUieqYp_normal.jpg" TargetMode="External"/><Relationship Id="rId8033" Type="http://schemas.openxmlformats.org/officeDocument/2006/relationships/hyperlink" Target="https://twitter.com/psorowka" TargetMode="External"/><Relationship Id="rId9431" Type="http://schemas.openxmlformats.org/officeDocument/2006/relationships/hyperlink" Target="https://twitter.com/kommunikationsm" TargetMode="External"/><Relationship Id="rId1420" Type="http://schemas.openxmlformats.org/officeDocument/2006/relationships/hyperlink" Target="https://pbs.twimg.com/profile_images/645716711723925506/t5G0qOS6_normal.jpg" TargetMode="External"/><Relationship Id="rId4576" Type="http://schemas.openxmlformats.org/officeDocument/2006/relationships/hyperlink" Target="https://twitter.com/MartinAtICSag/status/722706302816927749" TargetMode="External"/><Relationship Id="rId4990" Type="http://schemas.openxmlformats.org/officeDocument/2006/relationships/hyperlink" Target="https://twitter.com/INDIZbot" TargetMode="External"/><Relationship Id="rId5627" Type="http://schemas.openxmlformats.org/officeDocument/2006/relationships/hyperlink" Target="https://pbs.twimg.com/profile_images/1281327600/VEM_LOGO_1101_4c_o_Twitter_normal.jpg" TargetMode="External"/><Relationship Id="rId3178" Type="http://schemas.openxmlformats.org/officeDocument/2006/relationships/hyperlink" Target="https://twitter.com/VDMAonline/status/722319805253054464" TargetMode="External"/><Relationship Id="rId3592" Type="http://schemas.openxmlformats.org/officeDocument/2006/relationships/hyperlink" Target="https://pbs.twimg.com/profile_images/651340877881741316/uYdqY-TL_normal.jpg" TargetMode="External"/><Relationship Id="rId4229" Type="http://schemas.openxmlformats.org/officeDocument/2006/relationships/hyperlink" Target="https://pbs.twimg.com/profile_images/507446718355759104/Hjza08vg_normal.jpeg" TargetMode="External"/><Relationship Id="rId4643" Type="http://schemas.openxmlformats.org/officeDocument/2006/relationships/hyperlink" Target="https://pbs.twimg.com/profile_images/645716711723925506/t5G0qOS6_normal.jpg" TargetMode="External"/><Relationship Id="rId7799" Type="http://schemas.openxmlformats.org/officeDocument/2006/relationships/hyperlink" Target="https://twitter.com/itsOWL_Cluster/status/723436566534725634" TargetMode="External"/><Relationship Id="rId8100" Type="http://schemas.openxmlformats.org/officeDocument/2006/relationships/hyperlink" Target="https://twitter.com/H_IT_D/status/723494613164515329" TargetMode="External"/><Relationship Id="rId10030" Type="http://schemas.openxmlformats.org/officeDocument/2006/relationships/hyperlink" Target="https://twitter.com/ROBOToni" TargetMode="External"/><Relationship Id="rId2194" Type="http://schemas.openxmlformats.org/officeDocument/2006/relationships/hyperlink" Target="https://twitter.com/Balluff" TargetMode="External"/><Relationship Id="rId3245" Type="http://schemas.openxmlformats.org/officeDocument/2006/relationships/hyperlink" Target="https://twitter.com/Angela_Josephs/status/722329704510959616" TargetMode="External"/><Relationship Id="rId4710" Type="http://schemas.openxmlformats.org/officeDocument/2006/relationships/hyperlink" Target="https://twitter.com/INDIZbot" TargetMode="External"/><Relationship Id="rId7866" Type="http://schemas.openxmlformats.org/officeDocument/2006/relationships/hyperlink" Target="https://pbs.twimg.com/profile_images/436791099462402048/-2yEKEc5_normal.jpeg" TargetMode="External"/><Relationship Id="rId166" Type="http://schemas.openxmlformats.org/officeDocument/2006/relationships/hyperlink" Target="https://twitter.com/CDechoux" TargetMode="External"/><Relationship Id="rId580" Type="http://schemas.openxmlformats.org/officeDocument/2006/relationships/hyperlink" Target="https://pbs.twimg.com/profile_images/704970625748697089/GQl2pOlK_normal.jpg" TargetMode="External"/><Relationship Id="rId2261" Type="http://schemas.openxmlformats.org/officeDocument/2006/relationships/hyperlink" Target="https://pbs.twimg.com/profile_images/719538951988592641/7lKnB2dG_normal.jpg" TargetMode="External"/><Relationship Id="rId3312" Type="http://schemas.openxmlformats.org/officeDocument/2006/relationships/hyperlink" Target="https://pbs.twimg.com/profile_images/690125049806884864/ET63bOiY_normal.jpg" TargetMode="External"/><Relationship Id="rId6468" Type="http://schemas.openxmlformats.org/officeDocument/2006/relationships/hyperlink" Target="https://twitter.com/fitfor2020/status/723130727987032064" TargetMode="External"/><Relationship Id="rId7519" Type="http://schemas.openxmlformats.org/officeDocument/2006/relationships/hyperlink" Target="https://twitter.com/acatech_de/status/723412094901571584" TargetMode="External"/><Relationship Id="rId8917" Type="http://schemas.openxmlformats.org/officeDocument/2006/relationships/hyperlink" Target="https://twitter.com/laurie_cyril" TargetMode="External"/><Relationship Id="rId233" Type="http://schemas.openxmlformats.org/officeDocument/2006/relationships/hyperlink" Target="https://twitter.com/bonker82/status/720535846454226946" TargetMode="External"/><Relationship Id="rId5484" Type="http://schemas.openxmlformats.org/officeDocument/2006/relationships/hyperlink" Target="https://twitter.com/HIVBERN" TargetMode="External"/><Relationship Id="rId6882" Type="http://schemas.openxmlformats.org/officeDocument/2006/relationships/hyperlink" Target="https://pbs.twimg.com/profile_images/601673968551075840/MnulnKkj_normal.png" TargetMode="External"/><Relationship Id="rId7933" Type="http://schemas.openxmlformats.org/officeDocument/2006/relationships/hyperlink" Target="https://twitter.com/INDIZbot" TargetMode="External"/><Relationship Id="rId300" Type="http://schemas.openxmlformats.org/officeDocument/2006/relationships/hyperlink" Target="https://pbs.twimg.com/profile_images/645716711723925506/t5G0qOS6_normal.jpg" TargetMode="External"/><Relationship Id="rId4086" Type="http://schemas.openxmlformats.org/officeDocument/2006/relationships/hyperlink" Target="https://twitter.com/kommoptimierer" TargetMode="External"/><Relationship Id="rId5137" Type="http://schemas.openxmlformats.org/officeDocument/2006/relationships/hyperlink" Target="https://twitter.com/Global_Fairs" TargetMode="External"/><Relationship Id="rId6535" Type="http://schemas.openxmlformats.org/officeDocument/2006/relationships/hyperlink" Target="https://pbs.twimg.com/profile_images/698375438155059201/CHH9GkNn_normal.jpg" TargetMode="External"/><Relationship Id="rId5551" Type="http://schemas.openxmlformats.org/officeDocument/2006/relationships/hyperlink" Target="https://twitter.com/m_biscarrat/status/722845989380468736" TargetMode="External"/><Relationship Id="rId6602" Type="http://schemas.openxmlformats.org/officeDocument/2006/relationships/hyperlink" Target="https://pbs.twimg.com/profile_images/645716711723925506/t5G0qOS6_normal.jpg" TargetMode="External"/><Relationship Id="rId9758" Type="http://schemas.openxmlformats.org/officeDocument/2006/relationships/hyperlink" Target="https://twitter.com/askklaushaasis/status/724243283728293888" TargetMode="External"/><Relationship Id="rId1747" Type="http://schemas.openxmlformats.org/officeDocument/2006/relationships/hyperlink" Target="https://twitter.com/Tiba_Schweiz" TargetMode="External"/><Relationship Id="rId4153" Type="http://schemas.openxmlformats.org/officeDocument/2006/relationships/hyperlink" Target="https://twitter.com/LReehten/status/722513332297736193" TargetMode="External"/><Relationship Id="rId5204" Type="http://schemas.openxmlformats.org/officeDocument/2006/relationships/hyperlink" Target="https://pbs.twimg.com/profile_images/1801172351/logo-quadratisch-gross_normal.jpg" TargetMode="External"/><Relationship Id="rId8774" Type="http://schemas.openxmlformats.org/officeDocument/2006/relationships/hyperlink" Target="https://twitter.com/INDIZbot/status/723809122605473792" TargetMode="External"/><Relationship Id="rId9825" Type="http://schemas.openxmlformats.org/officeDocument/2006/relationships/hyperlink" Target="https://pbs.twimg.com/profile_images/592594766296182784/nGFPRgoT_normal.jpg" TargetMode="External"/><Relationship Id="rId39" Type="http://schemas.openxmlformats.org/officeDocument/2006/relationships/hyperlink" Target="https://pbs.twimg.com/profile_images/645716711723925506/t5G0qOS6_normal.jpg" TargetMode="External"/><Relationship Id="rId1814" Type="http://schemas.openxmlformats.org/officeDocument/2006/relationships/hyperlink" Target="https://twitter.com/kommoptimierer/status/721412856575574016" TargetMode="External"/><Relationship Id="rId4220" Type="http://schemas.openxmlformats.org/officeDocument/2006/relationships/hyperlink" Target="https://pbs.twimg.com/profile_images/711593602414219264/aaplvKIP_normal.jpg" TargetMode="External"/><Relationship Id="rId7376" Type="http://schemas.openxmlformats.org/officeDocument/2006/relationships/hyperlink" Target="https://twitter.com/INDIZbot" TargetMode="External"/><Relationship Id="rId7790" Type="http://schemas.openxmlformats.org/officeDocument/2006/relationships/hyperlink" Target="https://twitter.com/FM_Elektro/status/723435555166416896" TargetMode="External"/><Relationship Id="rId8427" Type="http://schemas.openxmlformats.org/officeDocument/2006/relationships/hyperlink" Target="https://pbs.twimg.com/profile_images/677499340886265856/Tv7B4r_x_normal.jpg" TargetMode="External"/><Relationship Id="rId8841" Type="http://schemas.openxmlformats.org/officeDocument/2006/relationships/hyperlink" Target="https://pbs.twimg.com/profile_images/3240744232/bb2f3bea85e6fc4af06b03c832e4a45e_normal.png" TargetMode="External"/><Relationship Id="rId6392" Type="http://schemas.openxmlformats.org/officeDocument/2006/relationships/hyperlink" Target="https://twitter.com/dictaJet" TargetMode="External"/><Relationship Id="rId7029" Type="http://schemas.openxmlformats.org/officeDocument/2006/relationships/hyperlink" Target="https://pbs.twimg.com/profile_images/541146126158536704/IYardufS_normal.jpeg" TargetMode="External"/><Relationship Id="rId7443" Type="http://schemas.openxmlformats.org/officeDocument/2006/relationships/hyperlink" Target="https://twitter.com/AndreHD20" TargetMode="External"/><Relationship Id="rId2588" Type="http://schemas.openxmlformats.org/officeDocument/2006/relationships/hyperlink" Target="https://twitter.com/BoschPresse/status/722064683268718592" TargetMode="External"/><Relationship Id="rId3986" Type="http://schemas.openxmlformats.org/officeDocument/2006/relationships/hyperlink" Target="https://twitter.com/Rhenatic" TargetMode="External"/><Relationship Id="rId6045" Type="http://schemas.openxmlformats.org/officeDocument/2006/relationships/hyperlink" Target="https://twitter.com/ZuliefermarktDE/status/723072948635078656" TargetMode="External"/><Relationship Id="rId3639" Type="http://schemas.openxmlformats.org/officeDocument/2006/relationships/hyperlink" Target="https://twitter.com/Scheer_GmbH/status/722393549443084288" TargetMode="External"/><Relationship Id="rId5061" Type="http://schemas.openxmlformats.org/officeDocument/2006/relationships/hyperlink" Target="https://pbs.twimg.com/profile_images/639810095942115329/xJWUw6Wr_normal.jpg" TargetMode="External"/><Relationship Id="rId6112" Type="http://schemas.openxmlformats.org/officeDocument/2006/relationships/hyperlink" Target="http://scoop.it/" TargetMode="External"/><Relationship Id="rId7510" Type="http://schemas.openxmlformats.org/officeDocument/2006/relationships/hyperlink" Target="https://twitter.com/FortisPR/status/723411382960459776" TargetMode="External"/><Relationship Id="rId9268" Type="http://schemas.openxmlformats.org/officeDocument/2006/relationships/hyperlink" Target="https://pbs.twimg.com/profile_images/645716711723925506/t5G0qOS6_normal.jpg" TargetMode="External"/><Relationship Id="rId974" Type="http://schemas.openxmlformats.org/officeDocument/2006/relationships/hyperlink" Target="https://twitter.com/PierreMetivier/status/720879305044045827" TargetMode="External"/><Relationship Id="rId2655" Type="http://schemas.openxmlformats.org/officeDocument/2006/relationships/hyperlink" Target="https://twitter.com/Gruendercoaches" TargetMode="External"/><Relationship Id="rId3706" Type="http://schemas.openxmlformats.org/officeDocument/2006/relationships/hyperlink" Target="https://pbs.twimg.com/profile_images/722385992343285760/ww8YLZ2q_normal.jpg" TargetMode="External"/><Relationship Id="rId9682" Type="http://schemas.openxmlformats.org/officeDocument/2006/relationships/hyperlink" Target="https://pbs.twimg.com/profile_images/562193841587896321/nfd18Y4g_normal.jpeg" TargetMode="External"/><Relationship Id="rId627" Type="http://schemas.openxmlformats.org/officeDocument/2006/relationships/hyperlink" Target="https://twitter.com/DocPeterAndrews/status/720646298190352384" TargetMode="External"/><Relationship Id="rId1257" Type="http://schemas.openxmlformats.org/officeDocument/2006/relationships/hyperlink" Target="https://pbs.twimg.com/profile_images/532532270788128768/ubrFTMd7_normal.jpeg" TargetMode="External"/><Relationship Id="rId1671" Type="http://schemas.openxmlformats.org/officeDocument/2006/relationships/hyperlink" Target="https://pbs.twimg.com/profile_images/432881440683196416/TyWZhEV0_normal.jpeg" TargetMode="External"/><Relationship Id="rId2308" Type="http://schemas.openxmlformats.org/officeDocument/2006/relationships/hyperlink" Target="https://twitter.com/acatech_de/status/721980449887776768" TargetMode="External"/><Relationship Id="rId2722" Type="http://schemas.openxmlformats.org/officeDocument/2006/relationships/hyperlink" Target="https://twitter.com/openHPI/status/722098576109801472" TargetMode="External"/><Relationship Id="rId5878" Type="http://schemas.openxmlformats.org/officeDocument/2006/relationships/hyperlink" Target="https://pbs.twimg.com/profile_images/104506457/100_0328_normal.JPG" TargetMode="External"/><Relationship Id="rId6929" Type="http://schemas.openxmlformats.org/officeDocument/2006/relationships/hyperlink" Target="https://twitter.com/INDIZbot/status/723192435589951488" TargetMode="External"/><Relationship Id="rId8284" Type="http://schemas.openxmlformats.org/officeDocument/2006/relationships/hyperlink" Target="https://twitter.com/ITK_OWL/status/723526157325484032" TargetMode="External"/><Relationship Id="rId9335" Type="http://schemas.openxmlformats.org/officeDocument/2006/relationships/hyperlink" Target="https://twitter.com/konsultwerk" TargetMode="External"/><Relationship Id="rId1324" Type="http://schemas.openxmlformats.org/officeDocument/2006/relationships/hyperlink" Target="https://twitter.com/verlinked" TargetMode="External"/><Relationship Id="rId4894" Type="http://schemas.openxmlformats.org/officeDocument/2006/relationships/hyperlink" Target="https://twitter.com/ThomasSchulzGE/status/722732107768930308" TargetMode="External"/><Relationship Id="rId5945" Type="http://schemas.openxmlformats.org/officeDocument/2006/relationships/hyperlink" Target="https://twitter.com/HTxAlive" TargetMode="External"/><Relationship Id="rId8351" Type="http://schemas.openxmlformats.org/officeDocument/2006/relationships/hyperlink" Target="https://pbs.twimg.com/profile_images/623849156159868928/BetFDR_i_normal.jpg" TargetMode="External"/><Relationship Id="rId9402" Type="http://schemas.openxmlformats.org/officeDocument/2006/relationships/hyperlink" Target="https://twitter.com/ImTunnel/status/724172340175753216" TargetMode="External"/><Relationship Id="rId10281" Type="http://schemas.openxmlformats.org/officeDocument/2006/relationships/hyperlink" Target="https://pbs.twimg.com/profile_images/645716711723925506/t5G0qOS6_normal.jpg" TargetMode="External"/><Relationship Id="rId30" Type="http://schemas.openxmlformats.org/officeDocument/2006/relationships/hyperlink" Target="https://pbs.twimg.com/profile_images/666234701145837568/owL6gS5A_normal.jpg" TargetMode="External"/><Relationship Id="rId3496" Type="http://schemas.openxmlformats.org/officeDocument/2006/relationships/hyperlink" Target="https://pbs.twimg.com/profile_images/495214827963297793/ZW7qWnoK_normal.jpeg" TargetMode="External"/><Relationship Id="rId4547" Type="http://schemas.openxmlformats.org/officeDocument/2006/relationships/hyperlink" Target="https://pbs.twimg.com/profile_images/645716711723925506/t5G0qOS6_normal.jpg" TargetMode="External"/><Relationship Id="rId8004" Type="http://schemas.openxmlformats.org/officeDocument/2006/relationships/hyperlink" Target="https://twitter.com/INDIZbot/status/723477093141635072" TargetMode="External"/><Relationship Id="rId2098" Type="http://schemas.openxmlformats.org/officeDocument/2006/relationships/hyperlink" Target="https://twitter.com/kommoptimierer/status/721927614248693760" TargetMode="External"/><Relationship Id="rId3149" Type="http://schemas.openxmlformats.org/officeDocument/2006/relationships/hyperlink" Target="https://pbs.twimg.com/profile_images/544485391860916225/UGg0IhKT_normal.png" TargetMode="External"/><Relationship Id="rId3563" Type="http://schemas.openxmlformats.org/officeDocument/2006/relationships/hyperlink" Target="https://twitter.com/INDIZbot" TargetMode="External"/><Relationship Id="rId4961" Type="http://schemas.openxmlformats.org/officeDocument/2006/relationships/hyperlink" Target="https://pbs.twimg.com/profile_images/561208179355185153/11KDu7Gt_normal.png" TargetMode="External"/><Relationship Id="rId7020" Type="http://schemas.openxmlformats.org/officeDocument/2006/relationships/hyperlink" Target="https://pbs.twimg.com/profile_images/699591789964083200/ZinQaSi0_normal.jpg" TargetMode="External"/><Relationship Id="rId484" Type="http://schemas.openxmlformats.org/officeDocument/2006/relationships/hyperlink" Target="https://pbs.twimg.com/profile_images/704596570717683712/S63wpVif_normal.jpg" TargetMode="External"/><Relationship Id="rId2165" Type="http://schemas.openxmlformats.org/officeDocument/2006/relationships/hyperlink" Target="https://twitter.com/tuevnord/status/721954198158471168" TargetMode="External"/><Relationship Id="rId3216" Type="http://schemas.openxmlformats.org/officeDocument/2006/relationships/hyperlink" Target="https://pbs.twimg.com/profile_images/659192267836551169/bhhU-FPQ_normal.png" TargetMode="External"/><Relationship Id="rId4614" Type="http://schemas.openxmlformats.org/officeDocument/2006/relationships/hyperlink" Target="https://twitter.com/ITK_OWL" TargetMode="External"/><Relationship Id="rId9192" Type="http://schemas.openxmlformats.org/officeDocument/2006/relationships/hyperlink" Target="https://twitter.com/_lfactory/status/723969203322142721" TargetMode="External"/><Relationship Id="rId10001" Type="http://schemas.openxmlformats.org/officeDocument/2006/relationships/hyperlink" Target="https://twitter.com/Philip_W_Morris/status/724298231832809473" TargetMode="External"/><Relationship Id="rId137" Type="http://schemas.openxmlformats.org/officeDocument/2006/relationships/hyperlink" Target="https://twitter.com/KreativNetzBW/status/720518298660691968" TargetMode="External"/><Relationship Id="rId3630" Type="http://schemas.openxmlformats.org/officeDocument/2006/relationships/hyperlink" Target="https://twitter.com/itsOWL_Cluster/status/722387209408638976" TargetMode="External"/><Relationship Id="rId6786" Type="http://schemas.openxmlformats.org/officeDocument/2006/relationships/hyperlink" Target="https://pbs.twimg.com/profile_images/722507600802287616/yHub8Hvx_normal.jpg" TargetMode="External"/><Relationship Id="rId7837" Type="http://schemas.openxmlformats.org/officeDocument/2006/relationships/hyperlink" Target="https://twitter.com/H_IT_D" TargetMode="External"/><Relationship Id="rId551" Type="http://schemas.openxmlformats.org/officeDocument/2006/relationships/hyperlink" Target="https://twitter.com/Global_Fairs" TargetMode="External"/><Relationship Id="rId1181" Type="http://schemas.openxmlformats.org/officeDocument/2006/relationships/hyperlink" Target="https://twitter.com/Mtl_Paris/status/720916089958436865" TargetMode="External"/><Relationship Id="rId2232" Type="http://schemas.openxmlformats.org/officeDocument/2006/relationships/hyperlink" Target="https://pbs.twimg.com/profile_images/378800000664327316/6a5c3a2d43525a9b5044906960528925_normal.jpeg" TargetMode="External"/><Relationship Id="rId5388" Type="http://schemas.openxmlformats.org/officeDocument/2006/relationships/hyperlink" Target="https://twitter.com/INDIZbot/status/722797515725266945" TargetMode="External"/><Relationship Id="rId6439" Type="http://schemas.openxmlformats.org/officeDocument/2006/relationships/hyperlink" Target="https://pbs.twimg.com/profile_images/662723326096224256/5V4KH9_O_normal.jpg" TargetMode="External"/><Relationship Id="rId6853" Type="http://schemas.openxmlformats.org/officeDocument/2006/relationships/hyperlink" Target="https://twitter.com/Bitkom" TargetMode="External"/><Relationship Id="rId7904" Type="http://schemas.openxmlformats.org/officeDocument/2006/relationships/hyperlink" Target="https://twitter.com/INDIZbot/status/723461761899343872" TargetMode="External"/><Relationship Id="rId204" Type="http://schemas.openxmlformats.org/officeDocument/2006/relationships/hyperlink" Target="https://pbs.twimg.com/profile_images/601673968551075840/MnulnKkj_normal.png" TargetMode="External"/><Relationship Id="rId1998" Type="http://schemas.openxmlformats.org/officeDocument/2006/relationships/hyperlink" Target="https://twitter.com/INDIZbot" TargetMode="External"/><Relationship Id="rId5455" Type="http://schemas.openxmlformats.org/officeDocument/2006/relationships/hyperlink" Target="https://twitter.com/giocosopress/status/722808381652779008" TargetMode="External"/><Relationship Id="rId6506" Type="http://schemas.openxmlformats.org/officeDocument/2006/relationships/hyperlink" Target="https://twitter.com/rene_ziegler" TargetMode="External"/><Relationship Id="rId6920" Type="http://schemas.openxmlformats.org/officeDocument/2006/relationships/hyperlink" Target="https://twitter.com/FERCHAU/status/723190904127926272" TargetMode="External"/><Relationship Id="rId4057" Type="http://schemas.openxmlformats.org/officeDocument/2006/relationships/hyperlink" Target="https://pbs.twimg.com/profile_images/462698709852360706/TQEmT-Fz_normal.jpeg" TargetMode="External"/><Relationship Id="rId4471" Type="http://schemas.openxmlformats.org/officeDocument/2006/relationships/hyperlink" Target="https://twitter.com/Standards_More" TargetMode="External"/><Relationship Id="rId5108" Type="http://schemas.openxmlformats.org/officeDocument/2006/relationships/hyperlink" Target="https://twitter.com/ahk_frankreich/status/722759856566853633" TargetMode="External"/><Relationship Id="rId5522" Type="http://schemas.openxmlformats.org/officeDocument/2006/relationships/hyperlink" Target="https://pbs.twimg.com/profile_images/672794348442877952/m6Is-Nrc_normal.jpg" TargetMode="External"/><Relationship Id="rId8678" Type="http://schemas.openxmlformats.org/officeDocument/2006/relationships/hyperlink" Target="https://twitter.com/INDIZbot/status/723783853639348224" TargetMode="External"/><Relationship Id="rId9729" Type="http://schemas.openxmlformats.org/officeDocument/2006/relationships/hyperlink" Target="https://twitter.com/IT2Industry/status/724236486531526657" TargetMode="External"/><Relationship Id="rId3073" Type="http://schemas.openxmlformats.org/officeDocument/2006/relationships/hyperlink" Target="https://twitter.com/BirgitNiesing/status/722309866157686784" TargetMode="External"/><Relationship Id="rId4124" Type="http://schemas.openxmlformats.org/officeDocument/2006/relationships/hyperlink" Target="https://pbs.twimg.com/profile_images/722509242385756160/5hnd3gUK_normal.jpg" TargetMode="External"/><Relationship Id="rId7694" Type="http://schemas.openxmlformats.org/officeDocument/2006/relationships/hyperlink" Target="https://pbs.twimg.com/profile_images/593011135428882432/BGMPkrwp_normal.jpg" TargetMode="External"/><Relationship Id="rId1718" Type="http://schemas.openxmlformats.org/officeDocument/2006/relationships/hyperlink" Target="https://twitter.com/FuturICT/status/721325836276731904" TargetMode="External"/><Relationship Id="rId3140" Type="http://schemas.openxmlformats.org/officeDocument/2006/relationships/hyperlink" Target="https://pbs.twimg.com/profile_images/623849156159868928/BetFDR_i_normal.jpg" TargetMode="External"/><Relationship Id="rId6296" Type="http://schemas.openxmlformats.org/officeDocument/2006/relationships/hyperlink" Target="https://twitter.com/kommoptimierer" TargetMode="External"/><Relationship Id="rId7347" Type="http://schemas.openxmlformats.org/officeDocument/2006/relationships/hyperlink" Target="https://twitter.com/INDIZbot/status/723401235307487232" TargetMode="External"/><Relationship Id="rId8745" Type="http://schemas.openxmlformats.org/officeDocument/2006/relationships/hyperlink" Target="https://pbs.twimg.com/profile_images/720569233697017856/YKCnSitZ_normal.jpg" TargetMode="External"/><Relationship Id="rId7761" Type="http://schemas.openxmlformats.org/officeDocument/2006/relationships/hyperlink" Target="https://twitter.com/Apandia" TargetMode="External"/><Relationship Id="rId8812" Type="http://schemas.openxmlformats.org/officeDocument/2006/relationships/hyperlink" Target="https://twitter.com/YasharAzad" TargetMode="External"/><Relationship Id="rId10328" Type="http://schemas.openxmlformats.org/officeDocument/2006/relationships/hyperlink" Target="https://twitter.com/juliewillemoe/status/724466553341784065" TargetMode="External"/><Relationship Id="rId3957" Type="http://schemas.openxmlformats.org/officeDocument/2006/relationships/hyperlink" Target="https://twitter.com/Rhenatic/status/722461650561994752" TargetMode="External"/><Relationship Id="rId6363" Type="http://schemas.openxmlformats.org/officeDocument/2006/relationships/hyperlink" Target="https://twitter.com/innovationbawue/status/723116507941601281" TargetMode="External"/><Relationship Id="rId7414" Type="http://schemas.openxmlformats.org/officeDocument/2006/relationships/hyperlink" Target="http://ideenwerkbw.de/" TargetMode="External"/><Relationship Id="rId878" Type="http://schemas.openxmlformats.org/officeDocument/2006/relationships/hyperlink" Target="https://pbs.twimg.com/profile_images/604338428227010560/6jzSa8us_normal.png" TargetMode="External"/><Relationship Id="rId2559" Type="http://schemas.openxmlformats.org/officeDocument/2006/relationships/hyperlink" Target="https://twitter.com/BoschPresse" TargetMode="External"/><Relationship Id="rId2973" Type="http://schemas.openxmlformats.org/officeDocument/2006/relationships/hyperlink" Target="https://twitter.com/BigDataTweetBot/status/722248627708674048" TargetMode="External"/><Relationship Id="rId6016" Type="http://schemas.openxmlformats.org/officeDocument/2006/relationships/hyperlink" Target="https://pbs.twimg.com/profile_images/479147477975588864/z94n3mRF_normal.jpeg" TargetMode="External"/><Relationship Id="rId6430" Type="http://schemas.openxmlformats.org/officeDocument/2006/relationships/hyperlink" Target="https://pbs.twimg.com/profile_images/645716711723925506/t5G0qOS6_normal.jpg" TargetMode="External"/><Relationship Id="rId9586" Type="http://schemas.openxmlformats.org/officeDocument/2006/relationships/hyperlink" Target="https://pbs.twimg.com/profile_images/565176446037934080/ifc63zPY_normal.jpeg" TargetMode="External"/><Relationship Id="rId945" Type="http://schemas.openxmlformats.org/officeDocument/2006/relationships/hyperlink" Target="https://twitter.com/digimaweb" TargetMode="External"/><Relationship Id="rId1575" Type="http://schemas.openxmlformats.org/officeDocument/2006/relationships/hyperlink" Target="https://pbs.twimg.com/profile_images/591951396217327616/HbcCX2zX_normal.png" TargetMode="External"/><Relationship Id="rId2626" Type="http://schemas.openxmlformats.org/officeDocument/2006/relationships/hyperlink" Target="https://pbs.twimg.com/profile_images/610423333008576512/7Zk5ZYOd_normal.jpg" TargetMode="External"/><Relationship Id="rId5032" Type="http://schemas.openxmlformats.org/officeDocument/2006/relationships/hyperlink" Target="https://twitter.com/INDIZbot" TargetMode="External"/><Relationship Id="rId8188" Type="http://schemas.openxmlformats.org/officeDocument/2006/relationships/hyperlink" Target="http://scoop.it/" TargetMode="External"/><Relationship Id="rId9239" Type="http://schemas.openxmlformats.org/officeDocument/2006/relationships/hyperlink" Target="https://twitter.com/Philip_W_Morris" TargetMode="External"/><Relationship Id="rId9653" Type="http://schemas.openxmlformats.org/officeDocument/2006/relationships/hyperlink" Target="https://twitter.com/INDIZbot" TargetMode="External"/><Relationship Id="rId1228" Type="http://schemas.openxmlformats.org/officeDocument/2006/relationships/hyperlink" Target="https://twitter.com/BeierMichael71" TargetMode="External"/><Relationship Id="rId4798" Type="http://schemas.openxmlformats.org/officeDocument/2006/relationships/hyperlink" Target="https://twitter.com/INDIZbot/status/722719604875870208" TargetMode="External"/><Relationship Id="rId8255" Type="http://schemas.openxmlformats.org/officeDocument/2006/relationships/hyperlink" Target="https://pbs.twimg.com/profile_images/601673968551075840/MnulnKkj_normal.png" TargetMode="External"/><Relationship Id="rId9306" Type="http://schemas.openxmlformats.org/officeDocument/2006/relationships/hyperlink" Target="https://twitter.com/INDIZbot/status/724133561998147584" TargetMode="External"/><Relationship Id="rId10185" Type="http://schemas.openxmlformats.org/officeDocument/2006/relationships/hyperlink" Target="https://pbs.twimg.com/profile_images/675784786321891329/PVScaDr-_normal.jpg" TargetMode="External"/><Relationship Id="rId1642" Type="http://schemas.openxmlformats.org/officeDocument/2006/relationships/hyperlink" Target="https://twitter.com/kommoptimierer" TargetMode="External"/><Relationship Id="rId5849" Type="http://schemas.openxmlformats.org/officeDocument/2006/relationships/hyperlink" Target="https://twitter.com/Apandia" TargetMode="External"/><Relationship Id="rId7271" Type="http://schemas.openxmlformats.org/officeDocument/2006/relationships/hyperlink" Target="https://twitter.com/SASGYS/status/723390242502283265" TargetMode="External"/><Relationship Id="rId8322" Type="http://schemas.openxmlformats.org/officeDocument/2006/relationships/hyperlink" Target="https://twitter.com/catkinEU" TargetMode="External"/><Relationship Id="rId9720" Type="http://schemas.openxmlformats.org/officeDocument/2006/relationships/hyperlink" Target="https://twitter.com/CarstenDierig/status/724234604832526336" TargetMode="External"/><Relationship Id="rId4865" Type="http://schemas.openxmlformats.org/officeDocument/2006/relationships/hyperlink" Target="https://pbs.twimg.com/profile_images/687630441893900288/RvOaRxIg_normal.jpg" TargetMode="External"/><Relationship Id="rId5916" Type="http://schemas.openxmlformats.org/officeDocument/2006/relationships/hyperlink" Target="https://twitter.com/SICK_Karriere/status/723061248426913793" TargetMode="External"/><Relationship Id="rId10252" Type="http://schemas.openxmlformats.org/officeDocument/2006/relationships/hyperlink" Target="https://twitter.com/JeffRConnolly" TargetMode="External"/><Relationship Id="rId388" Type="http://schemas.openxmlformats.org/officeDocument/2006/relationships/hyperlink" Target="https://twitter.com/cdoerflinger" TargetMode="External"/><Relationship Id="rId2069" Type="http://schemas.openxmlformats.org/officeDocument/2006/relationships/hyperlink" Target="https://pbs.twimg.com/profile_images/541146126158536704/IYardufS_normal.jpeg" TargetMode="External"/><Relationship Id="rId3467" Type="http://schemas.openxmlformats.org/officeDocument/2006/relationships/hyperlink" Target="https://twitter.com/Apandia" TargetMode="External"/><Relationship Id="rId3881" Type="http://schemas.openxmlformats.org/officeDocument/2006/relationships/hyperlink" Target="https://twitter.com/noemiebond" TargetMode="External"/><Relationship Id="rId4518" Type="http://schemas.openxmlformats.org/officeDocument/2006/relationships/hyperlink" Target="https://twitter.com/Gruendercoaches" TargetMode="External"/><Relationship Id="rId4932" Type="http://schemas.openxmlformats.org/officeDocument/2006/relationships/hyperlink" Target="https://twitter.com/Bitkom_I40" TargetMode="External"/><Relationship Id="rId9096" Type="http://schemas.openxmlformats.org/officeDocument/2006/relationships/hyperlink" Target="https://twitter.com/ITK_OWL/status/723938967435890689" TargetMode="External"/><Relationship Id="rId2483" Type="http://schemas.openxmlformats.org/officeDocument/2006/relationships/hyperlink" Target="https://twitter.com/BoschPresse/status/722043282709213184" TargetMode="External"/><Relationship Id="rId3534" Type="http://schemas.openxmlformats.org/officeDocument/2006/relationships/hyperlink" Target="https://twitter.com/B_Stratton1/status/722373396194050048" TargetMode="External"/><Relationship Id="rId455" Type="http://schemas.openxmlformats.org/officeDocument/2006/relationships/hyperlink" Target="https://twitter.com/quickfindseotip/status/720597479167623169" TargetMode="External"/><Relationship Id="rId1085" Type="http://schemas.openxmlformats.org/officeDocument/2006/relationships/hyperlink" Target="https://twitter.com/verlinked/status/720899497690202112" TargetMode="External"/><Relationship Id="rId2136" Type="http://schemas.openxmlformats.org/officeDocument/2006/relationships/hyperlink" Target="https://pbs.twimg.com/profile_images/458696399211606016/rUZELqAc_normal.jpeg" TargetMode="External"/><Relationship Id="rId2550" Type="http://schemas.openxmlformats.org/officeDocument/2006/relationships/hyperlink" Target="https://twitter.com/BoschPresse" TargetMode="External"/><Relationship Id="rId3601" Type="http://schemas.openxmlformats.org/officeDocument/2006/relationships/hyperlink" Target="https://pbs.twimg.com/profile_images/645716711723925506/t5G0qOS6_normal.jpg" TargetMode="External"/><Relationship Id="rId6757" Type="http://schemas.openxmlformats.org/officeDocument/2006/relationships/hyperlink" Target="https://twitter.com/Infosys" TargetMode="External"/><Relationship Id="rId7808" Type="http://schemas.openxmlformats.org/officeDocument/2006/relationships/hyperlink" Target="https://twitter.com/akquinet/status/723439668302241793" TargetMode="External"/><Relationship Id="rId9163" Type="http://schemas.openxmlformats.org/officeDocument/2006/relationships/hyperlink" Target="https://pbs.twimg.com/profile_images/2994151206/72e14517d19cb49aa35fe3019df8b048_normal.jpeg" TargetMode="External"/><Relationship Id="rId108" Type="http://schemas.openxmlformats.org/officeDocument/2006/relationships/hyperlink" Target="https://pbs.twimg.com/profile_images/656779070798172160/TNRHncFi_normal.jpg" TargetMode="External"/><Relationship Id="rId522" Type="http://schemas.openxmlformats.org/officeDocument/2006/relationships/hyperlink" Target="https://twitter.com/akquinet/status/720614526656344065" TargetMode="External"/><Relationship Id="rId1152" Type="http://schemas.openxmlformats.org/officeDocument/2006/relationships/hyperlink" Target="https://pbs.twimg.com/profile_images/645716711723925506/t5G0qOS6_normal.jpg" TargetMode="External"/><Relationship Id="rId2203" Type="http://schemas.openxmlformats.org/officeDocument/2006/relationships/hyperlink" Target="https://twitter.com/SHC_GmbH" TargetMode="External"/><Relationship Id="rId5359" Type="http://schemas.openxmlformats.org/officeDocument/2006/relationships/hyperlink" Target="https://pbs.twimg.com/profile_images/645716711723925506/t5G0qOS6_normal.jpg" TargetMode="External"/><Relationship Id="rId5773" Type="http://schemas.openxmlformats.org/officeDocument/2006/relationships/hyperlink" Target="https://twitter.com/GTAI_com/status/723036196625108992" TargetMode="External"/><Relationship Id="rId9230" Type="http://schemas.openxmlformats.org/officeDocument/2006/relationships/hyperlink" Target="https://twitter.com/MarinerLLC" TargetMode="External"/><Relationship Id="rId4375" Type="http://schemas.openxmlformats.org/officeDocument/2006/relationships/hyperlink" Target="https://twitter.com/AltenaTCS/status/722683440794058752" TargetMode="External"/><Relationship Id="rId5426" Type="http://schemas.openxmlformats.org/officeDocument/2006/relationships/hyperlink" Target="https://twitter.com/Global_Fairs" TargetMode="External"/><Relationship Id="rId6824" Type="http://schemas.openxmlformats.org/officeDocument/2006/relationships/hyperlink" Target="https://twitter.com/pechardscheck/status/723178619179126784" TargetMode="External"/><Relationship Id="rId1969" Type="http://schemas.openxmlformats.org/officeDocument/2006/relationships/hyperlink" Target="https://twitter.com/MartaBalan/status/721676222418145281" TargetMode="External"/><Relationship Id="rId4028" Type="http://schemas.openxmlformats.org/officeDocument/2006/relationships/hyperlink" Target="https://twitter.com/H_IT_D" TargetMode="External"/><Relationship Id="rId5840" Type="http://schemas.openxmlformats.org/officeDocument/2006/relationships/hyperlink" Target="https://twitter.com/handling" TargetMode="External"/><Relationship Id="rId8996" Type="http://schemas.openxmlformats.org/officeDocument/2006/relationships/hyperlink" Target="https://twitter.com/fitfor2020/status/723886315167748097" TargetMode="External"/><Relationship Id="rId3391" Type="http://schemas.openxmlformats.org/officeDocument/2006/relationships/hyperlink" Target="https://pbs.twimg.com/profile_images/3365928668/0be3c948c467aa211bb97ca74eb11472_normal.jpeg" TargetMode="External"/><Relationship Id="rId4442" Type="http://schemas.openxmlformats.org/officeDocument/2006/relationships/hyperlink" Target="https://pbs.twimg.com/profile_images/705302839937990656/1KfW5-Ht_normal.jpg" TargetMode="External"/><Relationship Id="rId7598" Type="http://schemas.openxmlformats.org/officeDocument/2006/relationships/hyperlink" Target="https://pbs.twimg.com/profile_images/3758783658/6f76e2753821fd7888cef817739545ee_normal.jpeg" TargetMode="External"/><Relationship Id="rId8649" Type="http://schemas.openxmlformats.org/officeDocument/2006/relationships/hyperlink" Target="https://pbs.twimg.com/profile_images/669193589495345152/nJYiWy7H_normal.jpg" TargetMode="External"/><Relationship Id="rId3044" Type="http://schemas.openxmlformats.org/officeDocument/2006/relationships/hyperlink" Target="https://pbs.twimg.com/profile_images/690957065490161664/Nat2upS4_normal.jpg" TargetMode="External"/><Relationship Id="rId7665" Type="http://schemas.openxmlformats.org/officeDocument/2006/relationships/hyperlink" Target="https://twitter.com/ChrisSpahnADP" TargetMode="External"/><Relationship Id="rId8716" Type="http://schemas.openxmlformats.org/officeDocument/2006/relationships/hyperlink" Target="https://twitter.com/ralf_nick" TargetMode="External"/><Relationship Id="rId2060" Type="http://schemas.openxmlformats.org/officeDocument/2006/relationships/hyperlink" Target="https://pbs.twimg.com/profile_images/718861442347311105/ot-bEQgV_normal.jpg" TargetMode="External"/><Relationship Id="rId3111" Type="http://schemas.openxmlformats.org/officeDocument/2006/relationships/hyperlink" Target="https://twitter.com/handling" TargetMode="External"/><Relationship Id="rId6267" Type="http://schemas.openxmlformats.org/officeDocument/2006/relationships/hyperlink" Target="https://twitter.com/snetworkingde/status/723095984352333824" TargetMode="External"/><Relationship Id="rId6681" Type="http://schemas.openxmlformats.org/officeDocument/2006/relationships/hyperlink" Target="https://pbs.twimg.com/profile_images/656813120183234560/GzKrlltl_normal.jpg" TargetMode="External"/><Relationship Id="rId7318" Type="http://schemas.openxmlformats.org/officeDocument/2006/relationships/hyperlink" Target="https://pbs.twimg.com/profile_images/662723326096224256/5V4KH9_O_normal.jpg" TargetMode="External"/><Relationship Id="rId7732" Type="http://schemas.openxmlformats.org/officeDocument/2006/relationships/hyperlink" Target="https://twitter.com/meta_level/status/723429407478534144" TargetMode="External"/><Relationship Id="rId2877" Type="http://schemas.openxmlformats.org/officeDocument/2006/relationships/hyperlink" Target="https://pbs.twimg.com/profile_images/580014582703480832/ndjCCex-_normal.png" TargetMode="External"/><Relationship Id="rId5283" Type="http://schemas.openxmlformats.org/officeDocument/2006/relationships/hyperlink" Target="https://abs.twimg.com/sticky/default_profile_images/default_profile_0_normal.png" TargetMode="External"/><Relationship Id="rId6334" Type="http://schemas.openxmlformats.org/officeDocument/2006/relationships/hyperlink" Target="https://twitter.com/inno_swissmem" TargetMode="External"/><Relationship Id="rId849" Type="http://schemas.openxmlformats.org/officeDocument/2006/relationships/hyperlink" Target="https://twitter.com/INDIZbot" TargetMode="External"/><Relationship Id="rId1479" Type="http://schemas.openxmlformats.org/officeDocument/2006/relationships/hyperlink" Target="https://pbs.twimg.com/profile_images/3505233280/d60e61af592f4573e8fb2025b1428b06_normal.jpeg" TargetMode="External"/><Relationship Id="rId3928" Type="http://schemas.openxmlformats.org/officeDocument/2006/relationships/hyperlink" Target="https://pbs.twimg.com/profile_images/2698310449/0da9a659e7a30abe7633746b7ada9ef7_normal.jpeg" TargetMode="External"/><Relationship Id="rId5350" Type="http://schemas.openxmlformats.org/officeDocument/2006/relationships/hyperlink" Target="https://twitter.com/INDIZbot" TargetMode="External"/><Relationship Id="rId6401" Type="http://schemas.openxmlformats.org/officeDocument/2006/relationships/hyperlink" Target="https://twitter.com/genuanews" TargetMode="External"/><Relationship Id="rId9557" Type="http://schemas.openxmlformats.org/officeDocument/2006/relationships/hyperlink" Target="https://twitter.com/Martin_Demel" TargetMode="External"/><Relationship Id="rId1893" Type="http://schemas.openxmlformats.org/officeDocument/2006/relationships/hyperlink" Target="https://twitter.com/Geschnattere/status/721610168501460993" TargetMode="External"/><Relationship Id="rId2944" Type="http://schemas.openxmlformats.org/officeDocument/2006/relationships/hyperlink" Target="https://pbs.twimg.com/profile_images/378800000366378275/706622f2f5b5cbe3a8a325383d19e56e_normal.jpeg" TargetMode="External"/><Relationship Id="rId5003" Type="http://schemas.openxmlformats.org/officeDocument/2006/relationships/hyperlink" Target="https://twitter.com/Stefan_Schaus/status/722748184515256321" TargetMode="External"/><Relationship Id="rId8159" Type="http://schemas.openxmlformats.org/officeDocument/2006/relationships/hyperlink" Target="https://twitter.com/INDIZbot" TargetMode="External"/><Relationship Id="rId9971" Type="http://schemas.openxmlformats.org/officeDocument/2006/relationships/hyperlink" Target="https://twitter.com/banthien/status/724289513196032000" TargetMode="External"/><Relationship Id="rId916" Type="http://schemas.openxmlformats.org/officeDocument/2006/relationships/hyperlink" Target="https://twitter.com/bengolder/status/720866470117269506" TargetMode="External"/><Relationship Id="rId1546" Type="http://schemas.openxmlformats.org/officeDocument/2006/relationships/hyperlink" Target="https://twitter.com/RolandThaler" TargetMode="External"/><Relationship Id="rId1960" Type="http://schemas.openxmlformats.org/officeDocument/2006/relationships/hyperlink" Target="https://twitter.com/Apandia/status/721670549601185792" TargetMode="External"/><Relationship Id="rId7175" Type="http://schemas.openxmlformats.org/officeDocument/2006/relationships/hyperlink" Target="https://twitter.com/INDIZbot/status/723368634874105856" TargetMode="External"/><Relationship Id="rId8573" Type="http://schemas.openxmlformats.org/officeDocument/2006/relationships/hyperlink" Target="https://twitter.com/CapgeminiDE/status/723754584951390209" TargetMode="External"/><Relationship Id="rId9624" Type="http://schemas.openxmlformats.org/officeDocument/2006/relationships/hyperlink" Target="https://twitter.com/ElroyWonder/status/724221307622137857" TargetMode="External"/><Relationship Id="rId10089" Type="http://schemas.openxmlformats.org/officeDocument/2006/relationships/hyperlink" Target="https://pbs.twimg.com/profile_images/612275728835547136/Bu0GljvX_normal.jpg" TargetMode="External"/><Relationship Id="rId1613" Type="http://schemas.openxmlformats.org/officeDocument/2006/relationships/hyperlink" Target="https://twitter.com/MartinGaedt/status/721244471640383488" TargetMode="External"/><Relationship Id="rId4769" Type="http://schemas.openxmlformats.org/officeDocument/2006/relationships/hyperlink" Target="https://pbs.twimg.com/profile_images/572721926804488192/AGAGHTgy_normal.jpeg" TargetMode="External"/><Relationship Id="rId8226" Type="http://schemas.openxmlformats.org/officeDocument/2006/relationships/hyperlink" Target="https://twitter.com/OptimumGmbh" TargetMode="External"/><Relationship Id="rId8640" Type="http://schemas.openxmlformats.org/officeDocument/2006/relationships/hyperlink" Target="https://pbs.twimg.com/profile_images/645716711723925506/t5G0qOS6_normal.jpg" TargetMode="External"/><Relationship Id="rId10156" Type="http://schemas.openxmlformats.org/officeDocument/2006/relationships/hyperlink" Target="https://twitter.com/BKV24" TargetMode="External"/><Relationship Id="rId3785" Type="http://schemas.openxmlformats.org/officeDocument/2006/relationships/hyperlink" Target="https://twitter.com/LuetzeSolutions" TargetMode="External"/><Relationship Id="rId4836" Type="http://schemas.openxmlformats.org/officeDocument/2006/relationships/hyperlink" Target="https://twitter.com/tech_ct_ath" TargetMode="External"/><Relationship Id="rId6191" Type="http://schemas.openxmlformats.org/officeDocument/2006/relationships/hyperlink" Target="https://pbs.twimg.com/profile_images/464022439555395585/vhqz1-ar_normal.jpeg" TargetMode="External"/><Relationship Id="rId7242" Type="http://schemas.openxmlformats.org/officeDocument/2006/relationships/hyperlink" Target="https://pbs.twimg.com/profile_images/645716711723925506/t5G0qOS6_normal.jpg" TargetMode="External"/><Relationship Id="rId10223" Type="http://schemas.openxmlformats.org/officeDocument/2006/relationships/hyperlink" Target="https://twitter.com/h_scoshield/status/724370327464226816" TargetMode="External"/><Relationship Id="rId2387" Type="http://schemas.openxmlformats.org/officeDocument/2006/relationships/hyperlink" Target="https://twitter.com/rene_ziegler/status/722008709061353472" TargetMode="External"/><Relationship Id="rId3438" Type="http://schemas.openxmlformats.org/officeDocument/2006/relationships/hyperlink" Target="https://twitter.com/PhotonicsEU/status/722359566994944000" TargetMode="External"/><Relationship Id="rId3852" Type="http://schemas.openxmlformats.org/officeDocument/2006/relationships/hyperlink" Target="https://twitter.com/INDIZbot/status/722442594165399553" TargetMode="External"/><Relationship Id="rId359" Type="http://schemas.openxmlformats.org/officeDocument/2006/relationships/hyperlink" Target="https://twitter.com/cianfaranim/status/720563245417947136" TargetMode="External"/><Relationship Id="rId773" Type="http://schemas.openxmlformats.org/officeDocument/2006/relationships/hyperlink" Target="https://twitter.com/boerni_w" TargetMode="External"/><Relationship Id="rId2454" Type="http://schemas.openxmlformats.org/officeDocument/2006/relationships/hyperlink" Target="https://pbs.twimg.com/profile_images/479147477975588864/z94n3mRF_normal.jpeg" TargetMode="External"/><Relationship Id="rId3505" Type="http://schemas.openxmlformats.org/officeDocument/2006/relationships/hyperlink" Target="https://pbs.twimg.com/profile_images/709648582048157696/BnZ5RzQA_normal.jpg" TargetMode="External"/><Relationship Id="rId4903" Type="http://schemas.openxmlformats.org/officeDocument/2006/relationships/hyperlink" Target="https://twitter.com/MEArbeitgeber/status/722734096166821888" TargetMode="External"/><Relationship Id="rId9067" Type="http://schemas.openxmlformats.org/officeDocument/2006/relationships/hyperlink" Target="https://pbs.twimg.com/profile_images/595629691249233920/PnZxF5UO_normal.jpg" TargetMode="External"/><Relationship Id="rId9481" Type="http://schemas.openxmlformats.org/officeDocument/2006/relationships/hyperlink" Target="https://pbs.twimg.com/profile_images/455629070454116352/ujZ3h7Ww_normal.png" TargetMode="External"/><Relationship Id="rId426" Type="http://schemas.openxmlformats.org/officeDocument/2006/relationships/hyperlink" Target="https://pbs.twimg.com/profile_images/502075263350349824/ANbb-SSS_normal.png" TargetMode="External"/><Relationship Id="rId1056" Type="http://schemas.openxmlformats.org/officeDocument/2006/relationships/hyperlink" Target="https://pbs.twimg.com/profile_images/679303029431083008/S29_duNb_normal.jpg" TargetMode="External"/><Relationship Id="rId2107" Type="http://schemas.openxmlformats.org/officeDocument/2006/relationships/hyperlink" Target="https://twitter.com/ScopeOnline/status/721930148614946816" TargetMode="External"/><Relationship Id="rId8083" Type="http://schemas.openxmlformats.org/officeDocument/2006/relationships/hyperlink" Target="https://pbs.twimg.com/profile_images/3151814681/889304b58206053d6f22bd0b52344369_normal.jpeg" TargetMode="External"/><Relationship Id="rId9134" Type="http://schemas.openxmlformats.org/officeDocument/2006/relationships/hyperlink" Target="https://twitter.com/INDIZbot" TargetMode="External"/><Relationship Id="rId840" Type="http://schemas.openxmlformats.org/officeDocument/2006/relationships/hyperlink" Target="https://twitter.com/bastihollmann" TargetMode="External"/><Relationship Id="rId1470" Type="http://schemas.openxmlformats.org/officeDocument/2006/relationships/hyperlink" Target="https://pbs.twimg.com/profile_images/645716711723925506/t5G0qOS6_normal.jpg" TargetMode="External"/><Relationship Id="rId2521" Type="http://schemas.openxmlformats.org/officeDocument/2006/relationships/hyperlink" Target="http://scoop.it/" TargetMode="External"/><Relationship Id="rId4279" Type="http://schemas.openxmlformats.org/officeDocument/2006/relationships/hyperlink" Target="https://twitter.com/rszilinski/status/722648509867012097" TargetMode="External"/><Relationship Id="rId5677" Type="http://schemas.openxmlformats.org/officeDocument/2006/relationships/hyperlink" Target="https://twitter.com/CSGermany/status/722921664846151680" TargetMode="External"/><Relationship Id="rId6728" Type="http://schemas.openxmlformats.org/officeDocument/2006/relationships/hyperlink" Target="https://twitter.com/SGE/status/723166074242514945" TargetMode="External"/><Relationship Id="rId1123" Type="http://schemas.openxmlformats.org/officeDocument/2006/relationships/hyperlink" Target="https://twitter.com/INDIZbot" TargetMode="External"/><Relationship Id="rId4693" Type="http://schemas.openxmlformats.org/officeDocument/2006/relationships/hyperlink" Target="https://twitter.com/verlinked/status/722711446862192640" TargetMode="External"/><Relationship Id="rId5744" Type="http://schemas.openxmlformats.org/officeDocument/2006/relationships/hyperlink" Target="https://pbs.twimg.com/profile_images/676695083283062784/riUxKLio_normal.jpg" TargetMode="External"/><Relationship Id="rId8150" Type="http://schemas.openxmlformats.org/officeDocument/2006/relationships/hyperlink" Target="https://twitter.com/IEMS_UniFR" TargetMode="External"/><Relationship Id="rId9201" Type="http://schemas.openxmlformats.org/officeDocument/2006/relationships/hyperlink" Target="https://twitter.com/INDIZbot/status/723975083652448260" TargetMode="External"/><Relationship Id="rId10080" Type="http://schemas.openxmlformats.org/officeDocument/2006/relationships/hyperlink" Target="https://pbs.twimg.com/profile_images/696304804444905473/i52XF6I6_normal.jpg" TargetMode="External"/><Relationship Id="rId3295" Type="http://schemas.openxmlformats.org/officeDocument/2006/relationships/hyperlink" Target="https://twitter.com/MarioReinsch" TargetMode="External"/><Relationship Id="rId4346" Type="http://schemas.openxmlformats.org/officeDocument/2006/relationships/hyperlink" Target="https://pbs.twimg.com/profile_images/623849156159868928/BetFDR_i_normal.jpg" TargetMode="External"/><Relationship Id="rId4760" Type="http://schemas.openxmlformats.org/officeDocument/2006/relationships/hyperlink" Target="https://pbs.twimg.com/profile_images/3187517551/d49d77b3273cb499285ee666e06418f8_normal.jpeg" TargetMode="External"/><Relationship Id="rId5811" Type="http://schemas.openxmlformats.org/officeDocument/2006/relationships/hyperlink" Target="https://pbs.twimg.com/profile_images/615797525040136192/CKF9-v_o_normal.jpg" TargetMode="External"/><Relationship Id="rId8967" Type="http://schemas.openxmlformats.org/officeDocument/2006/relationships/hyperlink" Target="https://pbs.twimg.com/profile_images/2422078125/r353pu21x9zi1oquhhzy_normal.png" TargetMode="External"/><Relationship Id="rId3362" Type="http://schemas.openxmlformats.org/officeDocument/2006/relationships/hyperlink" Target="https://twitter.com/foresight_lab/status/722353238251593728" TargetMode="External"/><Relationship Id="rId4413" Type="http://schemas.openxmlformats.org/officeDocument/2006/relationships/hyperlink" Target="https://twitter.com/HOHMANN_Chris" TargetMode="External"/><Relationship Id="rId7569" Type="http://schemas.openxmlformats.org/officeDocument/2006/relationships/hyperlink" Target="https://twitter.com/BGarciaSchmidt" TargetMode="External"/><Relationship Id="rId7983" Type="http://schemas.openxmlformats.org/officeDocument/2006/relationships/hyperlink" Target="https://twitter.com/CapgeminiDE/status/723476224090230784" TargetMode="External"/><Relationship Id="rId283" Type="http://schemas.openxmlformats.org/officeDocument/2006/relationships/hyperlink" Target="https://twitter.com/automotive_IT" TargetMode="External"/><Relationship Id="rId3015" Type="http://schemas.openxmlformats.org/officeDocument/2006/relationships/hyperlink" Target="https://twitter.com/INDIZbot" TargetMode="External"/><Relationship Id="rId6585" Type="http://schemas.openxmlformats.org/officeDocument/2006/relationships/hyperlink" Target="https://twitter.com/IGMetall" TargetMode="External"/><Relationship Id="rId7636" Type="http://schemas.openxmlformats.org/officeDocument/2006/relationships/hyperlink" Target="https://twitter.com/BOLDLYGO_FFM/status/723421359921979394" TargetMode="External"/><Relationship Id="rId350" Type="http://schemas.openxmlformats.org/officeDocument/2006/relationships/hyperlink" Target="https://twitter.com/induux_de/status/720555974784851968" TargetMode="External"/><Relationship Id="rId2031" Type="http://schemas.openxmlformats.org/officeDocument/2006/relationships/hyperlink" Target="https://twitter.com/TUV_IT" TargetMode="External"/><Relationship Id="rId5187" Type="http://schemas.openxmlformats.org/officeDocument/2006/relationships/hyperlink" Target="https://twitter.com/startupradioDE/status/722766708214218753" TargetMode="External"/><Relationship Id="rId6238" Type="http://schemas.openxmlformats.org/officeDocument/2006/relationships/hyperlink" Target="https://twitter.com/boerni_w" TargetMode="External"/><Relationship Id="rId5254" Type="http://schemas.openxmlformats.org/officeDocument/2006/relationships/hyperlink" Target="https://twitter.com/lotsize1" TargetMode="External"/><Relationship Id="rId6652" Type="http://schemas.openxmlformats.org/officeDocument/2006/relationships/hyperlink" Target="https://twitter.com/JuLoewe/status/723156888981000192" TargetMode="External"/><Relationship Id="rId7703" Type="http://schemas.openxmlformats.org/officeDocument/2006/relationships/hyperlink" Target="https://pbs.twimg.com/profile_images/593011135428882432/BGMPkrwp_normal.jpg" TargetMode="External"/><Relationship Id="rId1797" Type="http://schemas.openxmlformats.org/officeDocument/2006/relationships/hyperlink" Target="https://pbs.twimg.com/profile_images/427727716406673408/d6pNhVM6_normal.jpeg" TargetMode="External"/><Relationship Id="rId2848" Type="http://schemas.openxmlformats.org/officeDocument/2006/relationships/hyperlink" Target="https://twitter.com/RalfSchadowski/status/722137300042399744" TargetMode="External"/><Relationship Id="rId6305" Type="http://schemas.openxmlformats.org/officeDocument/2006/relationships/hyperlink" Target="https://pbs.twimg.com/profile_images/537298701991952384/R67TRucJ_normal.png" TargetMode="External"/><Relationship Id="rId9875" Type="http://schemas.openxmlformats.org/officeDocument/2006/relationships/hyperlink" Target="https://twitter.com/INDIZbot/status/724274676709601280" TargetMode="External"/><Relationship Id="rId89" Type="http://schemas.openxmlformats.org/officeDocument/2006/relationships/hyperlink" Target="https://twitter.com/SHC_GmbH/status/720508976165687297" TargetMode="External"/><Relationship Id="rId1864" Type="http://schemas.openxmlformats.org/officeDocument/2006/relationships/hyperlink" Target="https://pbs.twimg.com/profile_images/645716711723925506/t5G0qOS6_normal.jpg" TargetMode="External"/><Relationship Id="rId2915" Type="http://schemas.openxmlformats.org/officeDocument/2006/relationships/hyperlink" Target="https://twitter.com/id_wettbewerbe" TargetMode="External"/><Relationship Id="rId4270" Type="http://schemas.openxmlformats.org/officeDocument/2006/relationships/hyperlink" Target="https://twitter.com/INDIZbot/status/722643833788493825" TargetMode="External"/><Relationship Id="rId5321" Type="http://schemas.openxmlformats.org/officeDocument/2006/relationships/hyperlink" Target="https://twitter.com/birolkahveci82/status/722790388252209152" TargetMode="External"/><Relationship Id="rId8477" Type="http://schemas.openxmlformats.org/officeDocument/2006/relationships/hyperlink" Target="https://twitter.com/INDIZbot/status/723597663699087360" TargetMode="External"/><Relationship Id="rId8891" Type="http://schemas.openxmlformats.org/officeDocument/2006/relationships/hyperlink" Target="https://twitter.com/VDMAonline/status/723850142688907264" TargetMode="External"/><Relationship Id="rId9528" Type="http://schemas.openxmlformats.org/officeDocument/2006/relationships/hyperlink" Target="https://twitter.com/KPMG_DE/status/724194801906802689" TargetMode="External"/><Relationship Id="rId9942" Type="http://schemas.openxmlformats.org/officeDocument/2006/relationships/hyperlink" Target="https://pbs.twimg.com/profile_images/692360292546842624/MNSepg8N_normal.jpg" TargetMode="External"/><Relationship Id="rId1517" Type="http://schemas.openxmlformats.org/officeDocument/2006/relationships/hyperlink" Target="https://twitter.com/maspes76/status/721056675776569344" TargetMode="External"/><Relationship Id="rId7079" Type="http://schemas.openxmlformats.org/officeDocument/2006/relationships/hyperlink" Target="https://twitter.com/INDIZbot/status/723250636159082496" TargetMode="External"/><Relationship Id="rId7493" Type="http://schemas.openxmlformats.org/officeDocument/2006/relationships/hyperlink" Target="https://pbs.twimg.com/profile_images/448785978165968896/SQOcI8cJ_normal.png" TargetMode="External"/><Relationship Id="rId8544" Type="http://schemas.openxmlformats.org/officeDocument/2006/relationships/hyperlink" Target="https://pbs.twimg.com/profile_images/645716711723925506/t5G0qOS6_normal.jpg" TargetMode="External"/><Relationship Id="rId1931" Type="http://schemas.openxmlformats.org/officeDocument/2006/relationships/hyperlink" Target="https://twitter.com/QuickFindsIn" TargetMode="External"/><Relationship Id="rId3689" Type="http://schemas.openxmlformats.org/officeDocument/2006/relationships/hyperlink" Target="https://twitter.com/evryabova47791" TargetMode="External"/><Relationship Id="rId6095" Type="http://schemas.openxmlformats.org/officeDocument/2006/relationships/hyperlink" Target="https://twitter.com/INDIZbot" TargetMode="External"/><Relationship Id="rId7146" Type="http://schemas.openxmlformats.org/officeDocument/2006/relationships/hyperlink" Target="https://pbs.twimg.com/profile_images/692017435269054464/uFlgRwyV_normal.jpg" TargetMode="External"/><Relationship Id="rId7560" Type="http://schemas.openxmlformats.org/officeDocument/2006/relationships/hyperlink" Target="https://twitter.com/Bosch_BCDS" TargetMode="External"/><Relationship Id="rId8611" Type="http://schemas.openxmlformats.org/officeDocument/2006/relationships/hyperlink" Target="https://twitter.com/H_IT_D" TargetMode="External"/><Relationship Id="rId10127" Type="http://schemas.openxmlformats.org/officeDocument/2006/relationships/hyperlink" Target="https://twitter.com/steffi_rtz/status/724341734931574784" TargetMode="External"/><Relationship Id="rId6162" Type="http://schemas.openxmlformats.org/officeDocument/2006/relationships/hyperlink" Target="https://twitter.com/AvidokKiel" TargetMode="External"/><Relationship Id="rId7213" Type="http://schemas.openxmlformats.org/officeDocument/2006/relationships/hyperlink" Target="https://twitter.com/SEWEURODRIVE" TargetMode="External"/><Relationship Id="rId677" Type="http://schemas.openxmlformats.org/officeDocument/2006/relationships/hyperlink" Target="https://twitter.com/GalatiRita" TargetMode="External"/><Relationship Id="rId2358" Type="http://schemas.openxmlformats.org/officeDocument/2006/relationships/hyperlink" Target="https://pbs.twimg.com/profile_images/685255985/Bild_2_normal.png" TargetMode="External"/><Relationship Id="rId3756" Type="http://schemas.openxmlformats.org/officeDocument/2006/relationships/hyperlink" Target="https://twitter.com/INDIZbot/status/722417408728776704" TargetMode="External"/><Relationship Id="rId4807" Type="http://schemas.openxmlformats.org/officeDocument/2006/relationships/hyperlink" Target="https://twitter.com/Industrie_40/status/722721088418017280" TargetMode="External"/><Relationship Id="rId9385" Type="http://schemas.openxmlformats.org/officeDocument/2006/relationships/hyperlink" Target="https://pbs.twimg.com/profile_images/378800000513916505/dee0d0a076c3dc398742830ffa73e849_normal.jpeg" TargetMode="External"/><Relationship Id="rId2772" Type="http://schemas.openxmlformats.org/officeDocument/2006/relationships/hyperlink" Target="https://twitter.com/BigDataExpo" TargetMode="External"/><Relationship Id="rId3409" Type="http://schemas.openxmlformats.org/officeDocument/2006/relationships/hyperlink" Target="https://pbs.twimg.com/profile_images/2698310449/0da9a659e7a30abe7633746b7ada9ef7_normal.jpeg" TargetMode="External"/><Relationship Id="rId3823" Type="http://schemas.openxmlformats.org/officeDocument/2006/relationships/hyperlink" Target="https://pbs.twimg.com/profile_images/603699032804859904/lb5IMG5x_normal.jpg" TargetMode="External"/><Relationship Id="rId6979" Type="http://schemas.openxmlformats.org/officeDocument/2006/relationships/hyperlink" Target="https://twitter.com/BeierMichael71" TargetMode="External"/><Relationship Id="rId9038" Type="http://schemas.openxmlformats.org/officeDocument/2006/relationships/hyperlink" Target="https://twitter.com/Bitkom_I40" TargetMode="External"/><Relationship Id="rId744" Type="http://schemas.openxmlformats.org/officeDocument/2006/relationships/hyperlink" Target="https://twitter.com/c_best01/status/720694637988560896" TargetMode="External"/><Relationship Id="rId1374" Type="http://schemas.openxmlformats.org/officeDocument/2006/relationships/hyperlink" Target="https://twitter.com/EEIPEnMg/status/720979047757520896" TargetMode="External"/><Relationship Id="rId2425" Type="http://schemas.openxmlformats.org/officeDocument/2006/relationships/hyperlink" Target="https://twitter.com/MTuchelmann" TargetMode="External"/><Relationship Id="rId5995" Type="http://schemas.openxmlformats.org/officeDocument/2006/relationships/hyperlink" Target="https://pbs.twimg.com/profile_images/591951396217327616/HbcCX2zX_normal.png" TargetMode="External"/><Relationship Id="rId9452" Type="http://schemas.openxmlformats.org/officeDocument/2006/relationships/hyperlink" Target="https://twitter.com/INDIZbot" TargetMode="External"/><Relationship Id="rId80" Type="http://schemas.openxmlformats.org/officeDocument/2006/relationships/hyperlink" Target="https://twitter.com/tresmo360/status/720507130630049792" TargetMode="External"/><Relationship Id="rId811" Type="http://schemas.openxmlformats.org/officeDocument/2006/relationships/hyperlink" Target="https://twitter.com/QuickFindsIn/status/720775652371083264" TargetMode="External"/><Relationship Id="rId1027" Type="http://schemas.openxmlformats.org/officeDocument/2006/relationships/hyperlink" Target="https://twitter.com/INDIZbot" TargetMode="External"/><Relationship Id="rId1441" Type="http://schemas.openxmlformats.org/officeDocument/2006/relationships/hyperlink" Target="https://twitter.com/Databanque" TargetMode="External"/><Relationship Id="rId4597" Type="http://schemas.openxmlformats.org/officeDocument/2006/relationships/hyperlink" Target="https://twitter.com/croXXing_IBD/status/722707882232430593" TargetMode="External"/><Relationship Id="rId5648" Type="http://schemas.openxmlformats.org/officeDocument/2006/relationships/hyperlink" Target="https://pbs.twimg.com/profile_images/550418294231273473/jfA3pOoK_normal.jpeg" TargetMode="External"/><Relationship Id="rId8054" Type="http://schemas.openxmlformats.org/officeDocument/2006/relationships/hyperlink" Target="https://twitter.com/LReehten" TargetMode="External"/><Relationship Id="rId9105" Type="http://schemas.openxmlformats.org/officeDocument/2006/relationships/hyperlink" Target="https://twitter.com/croXXing_IBD/status/723939430952787969" TargetMode="External"/><Relationship Id="rId3199" Type="http://schemas.openxmlformats.org/officeDocument/2006/relationships/hyperlink" Target="https://twitter.com/AltenaTCS" TargetMode="External"/><Relationship Id="rId4664" Type="http://schemas.openxmlformats.org/officeDocument/2006/relationships/hyperlink" Target="https://pbs.twimg.com/profile_images/324344932/cemaQuadrat5x5_normal.jpg" TargetMode="External"/><Relationship Id="rId5715" Type="http://schemas.openxmlformats.org/officeDocument/2006/relationships/hyperlink" Target="https://twitter.com/intranettoday" TargetMode="External"/><Relationship Id="rId7070" Type="http://schemas.openxmlformats.org/officeDocument/2006/relationships/hyperlink" Target="https://twitter.com/INDIZbot/status/723250389525651457" TargetMode="External"/><Relationship Id="rId8121" Type="http://schemas.openxmlformats.org/officeDocument/2006/relationships/hyperlink" Target="https://twitter.com/AdrianWeiler/status/723498670524628992" TargetMode="External"/><Relationship Id="rId10051" Type="http://schemas.openxmlformats.org/officeDocument/2006/relationships/hyperlink" Target="https://twitter.com/schwaerzler_it" TargetMode="External"/><Relationship Id="rId3266" Type="http://schemas.openxmlformats.org/officeDocument/2006/relationships/hyperlink" Target="https://twitter.com/platinn_CH/status/722332390857785344" TargetMode="External"/><Relationship Id="rId4317" Type="http://schemas.openxmlformats.org/officeDocument/2006/relationships/hyperlink" Target="https://twitter.com/IoTMinded" TargetMode="External"/><Relationship Id="rId187" Type="http://schemas.openxmlformats.org/officeDocument/2006/relationships/hyperlink" Target="https://twitter.com/LeclercManou" TargetMode="External"/><Relationship Id="rId2282" Type="http://schemas.openxmlformats.org/officeDocument/2006/relationships/hyperlink" Target="https://pbs.twimg.com/profile_images/710750672581484545/n4dPcodC_normal.jpg" TargetMode="External"/><Relationship Id="rId3680" Type="http://schemas.openxmlformats.org/officeDocument/2006/relationships/hyperlink" Target="https://twitter.com/INDIZbot" TargetMode="External"/><Relationship Id="rId4731" Type="http://schemas.openxmlformats.org/officeDocument/2006/relationships/hyperlink" Target="https://twitter.com/VDMAonline" TargetMode="External"/><Relationship Id="rId6489" Type="http://schemas.openxmlformats.org/officeDocument/2006/relationships/hyperlink" Target="https://twitter.com/critmatrix/status/723132694046117888" TargetMode="External"/><Relationship Id="rId7887" Type="http://schemas.openxmlformats.org/officeDocument/2006/relationships/hyperlink" Target="https://pbs.twimg.com/profile_images/675371332708655104/co6Rnvbj_normal.jpg" TargetMode="External"/><Relationship Id="rId8938" Type="http://schemas.openxmlformats.org/officeDocument/2006/relationships/hyperlink" Target="https://twitter.com/Bitkom_I40" TargetMode="External"/><Relationship Id="rId254" Type="http://schemas.openxmlformats.org/officeDocument/2006/relationships/hyperlink" Target="https://twitter.com/kommoptimierer/status/720537200505565184" TargetMode="External"/><Relationship Id="rId3333" Type="http://schemas.openxmlformats.org/officeDocument/2006/relationships/hyperlink" Target="https://pbs.twimg.com/profile_images/645716711723925506/t5G0qOS6_normal.jpg" TargetMode="External"/><Relationship Id="rId7954" Type="http://schemas.openxmlformats.org/officeDocument/2006/relationships/hyperlink" Target="https://pbs.twimg.com/profile_images/603699032804859904/lb5IMG5x_normal.jpg" TargetMode="External"/><Relationship Id="rId3400" Type="http://schemas.openxmlformats.org/officeDocument/2006/relationships/hyperlink" Target="https://pbs.twimg.com/profile_images/645716711723925506/t5G0qOS6_normal.jpg" TargetMode="External"/><Relationship Id="rId6556" Type="http://schemas.openxmlformats.org/officeDocument/2006/relationships/hyperlink" Target="https://pbs.twimg.com/profile_images/645716711723925506/t5G0qOS6_normal.jpg" TargetMode="External"/><Relationship Id="rId6970" Type="http://schemas.openxmlformats.org/officeDocument/2006/relationships/hyperlink" Target="https://twitter.com/QuickFindsIn" TargetMode="External"/><Relationship Id="rId7607" Type="http://schemas.openxmlformats.org/officeDocument/2006/relationships/hyperlink" Target="https://pbs.twimg.com/profile_images/2994151206/72e14517d19cb49aa35fe3019df8b048_normal.jpeg" TargetMode="External"/><Relationship Id="rId321" Type="http://schemas.openxmlformats.org/officeDocument/2006/relationships/hyperlink" Target="https://pbs.twimg.com/profile_images/464033027979354112/23dSqd5o_normal.jpeg" TargetMode="External"/><Relationship Id="rId2002" Type="http://schemas.openxmlformats.org/officeDocument/2006/relationships/hyperlink" Target="https://twitter.com/conosco/status/721713011501703168" TargetMode="External"/><Relationship Id="rId5158" Type="http://schemas.openxmlformats.org/officeDocument/2006/relationships/hyperlink" Target="https://twitter.com/ahk_frankreich" TargetMode="External"/><Relationship Id="rId5572" Type="http://schemas.openxmlformats.org/officeDocument/2006/relationships/hyperlink" Target="https://twitter.com/Nicola_Ciensk/status/722854817970921472" TargetMode="External"/><Relationship Id="rId6209" Type="http://schemas.openxmlformats.org/officeDocument/2006/relationships/hyperlink" Target="http://www-01.ibm.com/software/de/big" TargetMode="External"/><Relationship Id="rId6623" Type="http://schemas.openxmlformats.org/officeDocument/2006/relationships/hyperlink" Target="https://pbs.twimg.com/profile_images/471312276767535104/TIanhngf_normal.jpeg" TargetMode="External"/><Relationship Id="rId9779" Type="http://schemas.openxmlformats.org/officeDocument/2006/relationships/hyperlink" Target="https://twitter.com/Angela_Josephs/status/724250106711683072" TargetMode="External"/><Relationship Id="rId1768" Type="http://schemas.openxmlformats.org/officeDocument/2006/relationships/hyperlink" Target="https://twitter.com/bamitav" TargetMode="External"/><Relationship Id="rId2819" Type="http://schemas.openxmlformats.org/officeDocument/2006/relationships/hyperlink" Target="https://pbs.twimg.com/profile_images/623849156159868928/BetFDR_i_normal.jpg" TargetMode="External"/><Relationship Id="rId4174" Type="http://schemas.openxmlformats.org/officeDocument/2006/relationships/hyperlink" Target="https://twitter.com/LReehten/status/722515843406503937" TargetMode="External"/><Relationship Id="rId5225" Type="http://schemas.openxmlformats.org/officeDocument/2006/relationships/hyperlink" Target="https://pbs.twimg.com/profile_images/585755321416687616/BYqDL_No_normal.png" TargetMode="External"/><Relationship Id="rId8795" Type="http://schemas.openxmlformats.org/officeDocument/2006/relationships/hyperlink" Target="https://twitter.com/H_IT_D/status/723814576450506752" TargetMode="External"/><Relationship Id="rId9846" Type="http://schemas.openxmlformats.org/officeDocument/2006/relationships/hyperlink" Target="https://pbs.twimg.com/profile_images/701004613206433792/o4DJfA8-_normal.jpg" TargetMode="External"/><Relationship Id="rId3190" Type="http://schemas.openxmlformats.org/officeDocument/2006/relationships/hyperlink" Target="https://twitter.com/MartinBeims" TargetMode="External"/><Relationship Id="rId4241" Type="http://schemas.openxmlformats.org/officeDocument/2006/relationships/hyperlink" Target="https://pbs.twimg.com/profile_images/690957065490161664/Nat2upS4_normal.jpg" TargetMode="External"/><Relationship Id="rId7397" Type="http://schemas.openxmlformats.org/officeDocument/2006/relationships/hyperlink" Target="https://twitter.com/pageissler" TargetMode="External"/><Relationship Id="rId8448" Type="http://schemas.openxmlformats.org/officeDocument/2006/relationships/hyperlink" Target="https://pbs.twimg.com/profile_images/720669524786327552/lJEA-nOB_normal.jpg" TargetMode="External"/><Relationship Id="rId1835" Type="http://schemas.openxmlformats.org/officeDocument/2006/relationships/hyperlink" Target="https://twitter.com/kommoptimierer/status/721429209776852993" TargetMode="External"/><Relationship Id="rId7464" Type="http://schemas.openxmlformats.org/officeDocument/2006/relationships/hyperlink" Target="https://twitter.com/IEBook" TargetMode="External"/><Relationship Id="rId8862" Type="http://schemas.openxmlformats.org/officeDocument/2006/relationships/hyperlink" Target="https://pbs.twimg.com/profile_images/661959266778107904/cq5E1hNa_normal.jpg" TargetMode="External"/><Relationship Id="rId9913" Type="http://schemas.openxmlformats.org/officeDocument/2006/relationships/hyperlink" Target="https://twitter.com/deviceWISEM2M" TargetMode="External"/><Relationship Id="rId1902" Type="http://schemas.openxmlformats.org/officeDocument/2006/relationships/hyperlink" Target="https://twitter.com/INDIZbot/status/721619493877858304" TargetMode="External"/><Relationship Id="rId6066" Type="http://schemas.openxmlformats.org/officeDocument/2006/relationships/hyperlink" Target="https://twitter.com/Bitkom_I40/status/723073894484086784" TargetMode="External"/><Relationship Id="rId7117" Type="http://schemas.openxmlformats.org/officeDocument/2006/relationships/hyperlink" Target="https://twitter.com/TLinn_Visionico" TargetMode="External"/><Relationship Id="rId8515" Type="http://schemas.openxmlformats.org/officeDocument/2006/relationships/hyperlink" Target="https://twitter.com/OOgbukagu" TargetMode="External"/><Relationship Id="rId6480" Type="http://schemas.openxmlformats.org/officeDocument/2006/relationships/hyperlink" Target="https://twitter.com/iotfablab/status/723131356440584192" TargetMode="External"/><Relationship Id="rId7531" Type="http://schemas.openxmlformats.org/officeDocument/2006/relationships/hyperlink" Target="https://twitter.com/CompetitorsNews/status/723412804422619137" TargetMode="External"/><Relationship Id="rId995" Type="http://schemas.openxmlformats.org/officeDocument/2006/relationships/hyperlink" Target="https://twitter.com/sbernhardt/status/720881970738126848" TargetMode="External"/><Relationship Id="rId2676" Type="http://schemas.openxmlformats.org/officeDocument/2006/relationships/hyperlink" Target="https://twitter.com/INDIZbot" TargetMode="External"/><Relationship Id="rId3727" Type="http://schemas.openxmlformats.org/officeDocument/2006/relationships/hyperlink" Target="https://pbs.twimg.com/profile_images/666911961599315968/aP7ID_qm_normal.png" TargetMode="External"/><Relationship Id="rId5082" Type="http://schemas.openxmlformats.org/officeDocument/2006/relationships/hyperlink" Target="https://pbs.twimg.com/profile_images/510362027852709889/YhyF73uq_normal.jpeg" TargetMode="External"/><Relationship Id="rId6133" Type="http://schemas.openxmlformats.org/officeDocument/2006/relationships/hyperlink" Target="https://twitter.com/H_IT_D/status/723077901743087618" TargetMode="External"/><Relationship Id="rId9289" Type="http://schemas.openxmlformats.org/officeDocument/2006/relationships/hyperlink" Target="https://pbs.twimg.com/profile_images/686576920461488130/S-nUCu2W_normal.png" TargetMode="External"/><Relationship Id="rId648" Type="http://schemas.openxmlformats.org/officeDocument/2006/relationships/hyperlink" Target="https://twitter.com/MichaelleSalmon/status/720650557325754368" TargetMode="External"/><Relationship Id="rId1278" Type="http://schemas.openxmlformats.org/officeDocument/2006/relationships/hyperlink" Target="https://pbs.twimg.com/profile_images/662723326096224256/5V4KH9_O_normal.jpg" TargetMode="External"/><Relationship Id="rId1692" Type="http://schemas.openxmlformats.org/officeDocument/2006/relationships/hyperlink" Target="https://pbs.twimg.com/profile_images/591951396217327616/HbcCX2zX_normal.png" TargetMode="External"/><Relationship Id="rId2329" Type="http://schemas.openxmlformats.org/officeDocument/2006/relationships/hyperlink" Target="https://twitter.com/kommoptimierer" TargetMode="External"/><Relationship Id="rId2743" Type="http://schemas.openxmlformats.org/officeDocument/2006/relationships/hyperlink" Target="https://twitter.com/bamitav/status/722112573085093888" TargetMode="External"/><Relationship Id="rId5899" Type="http://schemas.openxmlformats.org/officeDocument/2006/relationships/hyperlink" Target="https://pbs.twimg.com/profile_images/615797525040136192/CKF9-v_o_normal.jpg" TargetMode="External"/><Relationship Id="rId6200" Type="http://schemas.openxmlformats.org/officeDocument/2006/relationships/hyperlink" Target="https://pbs.twimg.com/profile_images/3196289737/ef73448b33a643e43b6371349d10a761_normal.jpeg" TargetMode="External"/><Relationship Id="rId9356" Type="http://schemas.openxmlformats.org/officeDocument/2006/relationships/hyperlink" Target="https://twitter.com/drwissing" TargetMode="External"/><Relationship Id="rId9770" Type="http://schemas.openxmlformats.org/officeDocument/2006/relationships/hyperlink" Target="https://twitter.com/i_k_sudhoff/status/724247472944590851" TargetMode="External"/><Relationship Id="rId715" Type="http://schemas.openxmlformats.org/officeDocument/2006/relationships/hyperlink" Target="https://pbs.twimg.com/profile_images/645716711723925506/t5G0qOS6_normal.jpg" TargetMode="External"/><Relationship Id="rId1345" Type="http://schemas.openxmlformats.org/officeDocument/2006/relationships/hyperlink" Target="https://twitter.com/INDIZbot" TargetMode="External"/><Relationship Id="rId8372" Type="http://schemas.openxmlformats.org/officeDocument/2006/relationships/hyperlink" Target="https://pbs.twimg.com/profile_images/378800000832540984/08f85f5a644d0edf1fc387140334494b_normal.jpeg" TargetMode="External"/><Relationship Id="rId9009" Type="http://schemas.openxmlformats.org/officeDocument/2006/relationships/hyperlink" Target="https://pbs.twimg.com/profile_images/684550804829700096/9-hTlzk1_normal.jpg" TargetMode="External"/><Relationship Id="rId9423" Type="http://schemas.openxmlformats.org/officeDocument/2006/relationships/hyperlink" Target="https://twitter.com/INDIZbot/status/724174014449639424" TargetMode="External"/><Relationship Id="rId2810" Type="http://schemas.openxmlformats.org/officeDocument/2006/relationships/hyperlink" Target="https://pbs.twimg.com/profile_images/378800000307054657/c532f3e7737ff611b2249b2442e00894_normal.jpeg" TargetMode="External"/><Relationship Id="rId4568" Type="http://schemas.openxmlformats.org/officeDocument/2006/relationships/hyperlink" Target="https://pbs.twimg.com/profile_images/640594106796908544/q8Ef1oCL_normal.jpg" TargetMode="External"/><Relationship Id="rId5966" Type="http://schemas.openxmlformats.org/officeDocument/2006/relationships/hyperlink" Target="https://twitter.com/MargotReb" TargetMode="External"/><Relationship Id="rId8025" Type="http://schemas.openxmlformats.org/officeDocument/2006/relationships/hyperlink" Target="https://twitter.com/INDIZbot/status/723482087500722179" TargetMode="External"/><Relationship Id="rId51" Type="http://schemas.openxmlformats.org/officeDocument/2006/relationships/hyperlink" Target="https://pbs.twimg.com/profile_images/378800000047776167/eeffdbcd3f1167f70311e7885dbc587b_normal.jpeg" TargetMode="External"/><Relationship Id="rId1412" Type="http://schemas.openxmlformats.org/officeDocument/2006/relationships/hyperlink" Target="https://twitter.com/INDIZbot" TargetMode="External"/><Relationship Id="rId4982" Type="http://schemas.openxmlformats.org/officeDocument/2006/relationships/hyperlink" Target="https://twitter.com/EAutoPionier/status/722746138726686720" TargetMode="External"/><Relationship Id="rId5619" Type="http://schemas.openxmlformats.org/officeDocument/2006/relationships/hyperlink" Target="https://twitter.com/arnaud_the" TargetMode="External"/><Relationship Id="rId7041" Type="http://schemas.openxmlformats.org/officeDocument/2006/relationships/hyperlink" Target="https://pbs.twimg.com/profile_images/604338428227010560/6jzSa8us_normal.png" TargetMode="External"/><Relationship Id="rId3584" Type="http://schemas.openxmlformats.org/officeDocument/2006/relationships/hyperlink" Target="https://twitter.com/MeinGeldMedien" TargetMode="External"/><Relationship Id="rId4635" Type="http://schemas.openxmlformats.org/officeDocument/2006/relationships/hyperlink" Target="https://twitter.com/INDIZbot" TargetMode="External"/><Relationship Id="rId10022" Type="http://schemas.openxmlformats.org/officeDocument/2006/relationships/hyperlink" Target="https://twitter.com/tobias_goers/status/724300048654278657" TargetMode="External"/><Relationship Id="rId158" Type="http://schemas.openxmlformats.org/officeDocument/2006/relationships/hyperlink" Target="https://twitter.com/Johan__LB/status/720521055060758529" TargetMode="External"/><Relationship Id="rId2186" Type="http://schemas.openxmlformats.org/officeDocument/2006/relationships/hyperlink" Target="https://twitter.com/INDIZbot/status/721957032673341440" TargetMode="External"/><Relationship Id="rId3237" Type="http://schemas.openxmlformats.org/officeDocument/2006/relationships/hyperlink" Target="https://pbs.twimg.com/profile_images/687576250932686848/1SQwNign_normal.jpg" TargetMode="External"/><Relationship Id="rId3651" Type="http://schemas.openxmlformats.org/officeDocument/2006/relationships/hyperlink" Target="https://twitter.com/INDIZbot/status/722394728218628096" TargetMode="External"/><Relationship Id="rId4702" Type="http://schemas.openxmlformats.org/officeDocument/2006/relationships/hyperlink" Target="https://twitter.com/brill_stefan/status/722711587027607553" TargetMode="External"/><Relationship Id="rId7858" Type="http://schemas.openxmlformats.org/officeDocument/2006/relationships/hyperlink" Target="https://twitter.com/kion_group" TargetMode="External"/><Relationship Id="rId8909" Type="http://schemas.openxmlformats.org/officeDocument/2006/relationships/hyperlink" Target="https://twitter.com/CapgeminiDE/status/723860350450413568" TargetMode="External"/><Relationship Id="rId572" Type="http://schemas.openxmlformats.org/officeDocument/2006/relationships/hyperlink" Target="https://twitter.com/logistiknews" TargetMode="External"/><Relationship Id="rId2253" Type="http://schemas.openxmlformats.org/officeDocument/2006/relationships/hyperlink" Target="https://pbs.twimg.com/profile_images/526839119175880705/0Z9Mlwc5_normal.jpeg" TargetMode="External"/><Relationship Id="rId3304" Type="http://schemas.openxmlformats.org/officeDocument/2006/relationships/hyperlink" Target="https://twitter.com/Der_Betriebslei" TargetMode="External"/><Relationship Id="rId6874" Type="http://schemas.openxmlformats.org/officeDocument/2006/relationships/hyperlink" Target="https://twitter.com/cdaloz" TargetMode="External"/><Relationship Id="rId7925" Type="http://schemas.openxmlformats.org/officeDocument/2006/relationships/hyperlink" Target="https://twitter.com/INDIZbot/status/723464348874739712" TargetMode="External"/><Relationship Id="rId9280" Type="http://schemas.openxmlformats.org/officeDocument/2006/relationships/hyperlink" Target="https://pbs.twimg.com/profile_images/690464337526394880/dGzfOiEx_normal.jpg" TargetMode="External"/><Relationship Id="rId225" Type="http://schemas.openxmlformats.org/officeDocument/2006/relationships/hyperlink" Target="https://pbs.twimg.com/profile_images/711460495795097600/GjVvY72S_normal.jpg" TargetMode="External"/><Relationship Id="rId2320" Type="http://schemas.openxmlformats.org/officeDocument/2006/relationships/hyperlink" Target="https://twitter.com/openHPI" TargetMode="External"/><Relationship Id="rId5476" Type="http://schemas.openxmlformats.org/officeDocument/2006/relationships/hyperlink" Target="https://twitter.com/Global_Fairs/status/722815026520698880" TargetMode="External"/><Relationship Id="rId6527" Type="http://schemas.openxmlformats.org/officeDocument/2006/relationships/hyperlink" Target="https://twitter.com/digi_circle" TargetMode="External"/><Relationship Id="rId4078" Type="http://schemas.openxmlformats.org/officeDocument/2006/relationships/hyperlink" Target="https://twitter.com/INDIZbot/status/722498327879790592" TargetMode="External"/><Relationship Id="rId4492" Type="http://schemas.openxmlformats.org/officeDocument/2006/relationships/hyperlink" Target="http://linkis.com/" TargetMode="External"/><Relationship Id="rId5129" Type="http://schemas.openxmlformats.org/officeDocument/2006/relationships/hyperlink" Target="https://twitter.com/ahk_frankreich/status/722761965697806336" TargetMode="External"/><Relationship Id="rId5543" Type="http://schemas.openxmlformats.org/officeDocument/2006/relationships/hyperlink" Target="https://pbs.twimg.com/profile_images/2709830901/804e985d337713b6f00e871606ed67e1_normal.png" TargetMode="External"/><Relationship Id="rId5890" Type="http://schemas.openxmlformats.org/officeDocument/2006/relationships/hyperlink" Target="https://pbs.twimg.com/profile_images/718175389890310145/GX8DLe_h_normal.jpg" TargetMode="External"/><Relationship Id="rId6941" Type="http://schemas.openxmlformats.org/officeDocument/2006/relationships/hyperlink" Target="https://twitter.com/greiten/status/723200988929228800" TargetMode="External"/><Relationship Id="rId8699" Type="http://schemas.openxmlformats.org/officeDocument/2006/relationships/hyperlink" Target="https://twitter.com/MatthesDerdack/status/723791125123874817" TargetMode="External"/><Relationship Id="rId9000" Type="http://schemas.openxmlformats.org/officeDocument/2006/relationships/hyperlink" Target="https://pbs.twimg.com/profile_images/718552791028015104/EQMepXjH_normal.jpg" TargetMode="External"/><Relationship Id="rId3094" Type="http://schemas.openxmlformats.org/officeDocument/2006/relationships/hyperlink" Target="https://twitter.com/ScopeOnline/status/722313507459436544" TargetMode="External"/><Relationship Id="rId4145" Type="http://schemas.openxmlformats.org/officeDocument/2006/relationships/hyperlink" Target="https://pbs.twimg.com/profile_images/623849156159868928/BetFDR_i_normal.jpg" TargetMode="External"/><Relationship Id="rId1739" Type="http://schemas.openxmlformats.org/officeDocument/2006/relationships/hyperlink" Target="https://twitter.com/Tiba_Schweiz/status/721346138658467840" TargetMode="External"/><Relationship Id="rId5610" Type="http://schemas.openxmlformats.org/officeDocument/2006/relationships/hyperlink" Target="https://twitter.com/vemdiearbeitgeb" TargetMode="External"/><Relationship Id="rId8766" Type="http://schemas.openxmlformats.org/officeDocument/2006/relationships/hyperlink" Target="https://pbs.twimg.com/profile_images/2389009916/image_normal.jpg" TargetMode="External"/><Relationship Id="rId9817" Type="http://schemas.openxmlformats.org/officeDocument/2006/relationships/hyperlink" Target="https://twitter.com/MarianKoeller" TargetMode="External"/><Relationship Id="rId1806" Type="http://schemas.openxmlformats.org/officeDocument/2006/relationships/hyperlink" Target="https://pbs.twimg.com/profile_images/3427840995/be9743841a82fcc743ed45c59638edb6_normal.png" TargetMode="External"/><Relationship Id="rId3161" Type="http://schemas.openxmlformats.org/officeDocument/2006/relationships/hyperlink" Target="https://pbs.twimg.com/profile_images/695294434603331584/2JIO58JT_normal.png" TargetMode="External"/><Relationship Id="rId4212" Type="http://schemas.openxmlformats.org/officeDocument/2006/relationships/hyperlink" Target="https://twitter.com/catkinEU" TargetMode="External"/><Relationship Id="rId7368" Type="http://schemas.openxmlformats.org/officeDocument/2006/relationships/hyperlink" Target="https://twitter.com/FreudenbergITde/status/723403538718556160" TargetMode="External"/><Relationship Id="rId7782" Type="http://schemas.openxmlformats.org/officeDocument/2006/relationships/hyperlink" Target="https://twitter.com/3Dgrenzenlos" TargetMode="External"/><Relationship Id="rId8419" Type="http://schemas.openxmlformats.org/officeDocument/2006/relationships/hyperlink" Target="https://twitter.com/INDIZbot" TargetMode="External"/><Relationship Id="rId8833" Type="http://schemas.openxmlformats.org/officeDocument/2006/relationships/hyperlink" Target="https://twitter.com/INDIZbot" TargetMode="External"/><Relationship Id="rId10349" Type="http://schemas.openxmlformats.org/officeDocument/2006/relationships/hyperlink" Target="https://twitter.com/MartinGaedt/status/724469534254620672" TargetMode="External"/><Relationship Id="rId3978" Type="http://schemas.openxmlformats.org/officeDocument/2006/relationships/hyperlink" Target="https://twitter.com/Rhenatic/status/722465024774684672" TargetMode="External"/><Relationship Id="rId6384" Type="http://schemas.openxmlformats.org/officeDocument/2006/relationships/hyperlink" Target="https://twitter.com/SGE/status/723117724067618816" TargetMode="External"/><Relationship Id="rId7435" Type="http://schemas.openxmlformats.org/officeDocument/2006/relationships/hyperlink" Target="https://pbs.twimg.com/profile_images/609375510158774272/P5glOk4b_normal.jpg" TargetMode="External"/><Relationship Id="rId8900" Type="http://schemas.openxmlformats.org/officeDocument/2006/relationships/hyperlink" Target="https://twitter.com/SAPFrance/status/723854702098690048" TargetMode="External"/><Relationship Id="rId899" Type="http://schemas.openxmlformats.org/officeDocument/2006/relationships/hyperlink" Target="https://pbs.twimg.com/profile_images/3240405961/d15add510d44741aba20fbeab0ea49d2_normal.jpeg" TargetMode="External"/><Relationship Id="rId6037" Type="http://schemas.openxmlformats.org/officeDocument/2006/relationships/hyperlink" Target="https://pbs.twimg.com/profile_images/668918617162055680/1_xGD9Jm_normal.jpg" TargetMode="External"/><Relationship Id="rId6451" Type="http://schemas.openxmlformats.org/officeDocument/2006/relationships/hyperlink" Target="https://pbs.twimg.com/profile_images/483914601923223552/Nm9nZ2GI_normal.jpeg" TargetMode="External"/><Relationship Id="rId7502" Type="http://schemas.openxmlformats.org/officeDocument/2006/relationships/hyperlink" Target="https://pbs.twimg.com/profile_images/423438208873922560/3cq2Jpt-_normal.jpeg" TargetMode="External"/><Relationship Id="rId966" Type="http://schemas.openxmlformats.org/officeDocument/2006/relationships/hyperlink" Target="https://pbs.twimg.com/profile_images/236201556/Logo_PPB_RGB_normal.jpg" TargetMode="External"/><Relationship Id="rId1596" Type="http://schemas.openxmlformats.org/officeDocument/2006/relationships/hyperlink" Target="https://pbs.twimg.com/profile_images/645716711723925506/t5G0qOS6_normal.jpg" TargetMode="External"/><Relationship Id="rId2647" Type="http://schemas.openxmlformats.org/officeDocument/2006/relationships/hyperlink" Target="https://twitter.com/innovationbawue/status/722077640656580609" TargetMode="External"/><Relationship Id="rId2994" Type="http://schemas.openxmlformats.org/officeDocument/2006/relationships/hyperlink" Target="https://twitter.com/freewavetech/status/722262257682415616" TargetMode="External"/><Relationship Id="rId5053" Type="http://schemas.openxmlformats.org/officeDocument/2006/relationships/hyperlink" Target="https://twitter.com/prxagentur" TargetMode="External"/><Relationship Id="rId6104" Type="http://schemas.openxmlformats.org/officeDocument/2006/relationships/hyperlink" Target="https://twitter.com/MoellerHorcher" TargetMode="External"/><Relationship Id="rId9674" Type="http://schemas.openxmlformats.org/officeDocument/2006/relationships/hyperlink" Target="https://twitter.com/H_IT_D" TargetMode="External"/><Relationship Id="rId619" Type="http://schemas.openxmlformats.org/officeDocument/2006/relationships/hyperlink" Target="https://pbs.twimg.com/profile_images/471625901646422018/85MkjfMR_normal.png" TargetMode="External"/><Relationship Id="rId1249" Type="http://schemas.openxmlformats.org/officeDocument/2006/relationships/hyperlink" Target="https://twitter.com/INDIZbot" TargetMode="External"/><Relationship Id="rId5120" Type="http://schemas.openxmlformats.org/officeDocument/2006/relationships/hyperlink" Target="https://twitter.com/RolandBent/status/722760929159573504" TargetMode="External"/><Relationship Id="rId8276" Type="http://schemas.openxmlformats.org/officeDocument/2006/relationships/hyperlink" Target="https://pbs.twimg.com/profile_images/524295003107885059/1ADGv6Ps_normal.png" TargetMode="External"/><Relationship Id="rId9327" Type="http://schemas.openxmlformats.org/officeDocument/2006/relationships/hyperlink" Target="https://twitter.com/reanvent/status/724143392012251137" TargetMode="External"/><Relationship Id="rId1663" Type="http://schemas.openxmlformats.org/officeDocument/2006/relationships/hyperlink" Target="https://twitter.com/WinfriedFelser" TargetMode="External"/><Relationship Id="rId2714" Type="http://schemas.openxmlformats.org/officeDocument/2006/relationships/hyperlink" Target="https://pbs.twimg.com/profile_images/645716711723925506/t5G0qOS6_normal.jpg" TargetMode="External"/><Relationship Id="rId8690" Type="http://schemas.openxmlformats.org/officeDocument/2006/relationships/hyperlink" Target="https://twitter.com/Bitkom_I40/status/723789517467971585" TargetMode="External"/><Relationship Id="rId9741" Type="http://schemas.openxmlformats.org/officeDocument/2006/relationships/hyperlink" Target="https://twitter.com/akwyz" TargetMode="External"/><Relationship Id="rId1316" Type="http://schemas.openxmlformats.org/officeDocument/2006/relationships/hyperlink" Target="https://twitter.com/Apandia/status/720954966110834688" TargetMode="External"/><Relationship Id="rId1730" Type="http://schemas.openxmlformats.org/officeDocument/2006/relationships/hyperlink" Target="https://twitter.com/catkinEU/status/721338928494702592" TargetMode="External"/><Relationship Id="rId4886" Type="http://schemas.openxmlformats.org/officeDocument/2006/relationships/hyperlink" Target="https://pbs.twimg.com/profile_images/676420069510004737/LVtjbp6T_normal.jpg" TargetMode="External"/><Relationship Id="rId5937" Type="http://schemas.openxmlformats.org/officeDocument/2006/relationships/hyperlink" Target="https://twitter.com/BStBKaktuell/status/723063657383383040" TargetMode="External"/><Relationship Id="rId7292" Type="http://schemas.openxmlformats.org/officeDocument/2006/relationships/hyperlink" Target="https://twitter.com/IoTMinded/status/723392585260130304" TargetMode="External"/><Relationship Id="rId8343" Type="http://schemas.openxmlformats.org/officeDocument/2006/relationships/hyperlink" Target="https://twitter.com/INDIZbot" TargetMode="External"/><Relationship Id="rId10273" Type="http://schemas.openxmlformats.org/officeDocument/2006/relationships/hyperlink" Target="https://twitter.com/VanYanMar" TargetMode="External"/><Relationship Id="rId22" Type="http://schemas.openxmlformats.org/officeDocument/2006/relationships/hyperlink" Target="https://twitter.com/MarcoIbanez27" TargetMode="External"/><Relationship Id="rId3488" Type="http://schemas.openxmlformats.org/officeDocument/2006/relationships/hyperlink" Target="https://twitter.com/Industry40" TargetMode="External"/><Relationship Id="rId4539" Type="http://schemas.openxmlformats.org/officeDocument/2006/relationships/hyperlink" Target="https://twitter.com/MarianKoeller" TargetMode="External"/><Relationship Id="rId4953" Type="http://schemas.openxmlformats.org/officeDocument/2006/relationships/hyperlink" Target="https://twitter.com/it_rebellen" TargetMode="External"/><Relationship Id="rId8410" Type="http://schemas.openxmlformats.org/officeDocument/2006/relationships/hyperlink" Target="https://twitter.com/MarinerLLC" TargetMode="External"/><Relationship Id="rId10340" Type="http://schemas.openxmlformats.org/officeDocument/2006/relationships/hyperlink" Target="https://twitter.com/3D_Genuity/status/724469143529992192" TargetMode="External"/><Relationship Id="rId3555" Type="http://schemas.openxmlformats.org/officeDocument/2006/relationships/hyperlink" Target="https://twitter.com/QuickFindsIn/status/722376201566728192" TargetMode="External"/><Relationship Id="rId4606" Type="http://schemas.openxmlformats.org/officeDocument/2006/relationships/hyperlink" Target="https://twitter.com/DKEAktuell/status/722708420474900480" TargetMode="External"/><Relationship Id="rId7012" Type="http://schemas.openxmlformats.org/officeDocument/2006/relationships/hyperlink" Target="https://twitter.com/kommoptimierer" TargetMode="External"/><Relationship Id="rId476" Type="http://schemas.openxmlformats.org/officeDocument/2006/relationships/hyperlink" Target="https://twitter.com/ROKAutomationIT" TargetMode="External"/><Relationship Id="rId890" Type="http://schemas.openxmlformats.org/officeDocument/2006/relationships/hyperlink" Target="https://pbs.twimg.com/profile_images/645716711723925506/t5G0qOS6_normal.jpg" TargetMode="External"/><Relationship Id="rId2157" Type="http://schemas.openxmlformats.org/officeDocument/2006/relationships/hyperlink" Target="https://pbs.twimg.com/profile_images/541146126158536704/IYardufS_normal.jpeg" TargetMode="External"/><Relationship Id="rId2571" Type="http://schemas.openxmlformats.org/officeDocument/2006/relationships/hyperlink" Target="https://twitter.com/innovationbawue" TargetMode="External"/><Relationship Id="rId3208" Type="http://schemas.openxmlformats.org/officeDocument/2006/relationships/hyperlink" Target="https://twitter.com/INDIZbot" TargetMode="External"/><Relationship Id="rId6778" Type="http://schemas.openxmlformats.org/officeDocument/2006/relationships/hyperlink" Target="https://twitter.com/S_Koebernick" TargetMode="External"/><Relationship Id="rId9184" Type="http://schemas.openxmlformats.org/officeDocument/2006/relationships/hyperlink" Target="https://pbs.twimg.com/profile_images/463005839918247936/Ui2bf9cw_normal.jpeg" TargetMode="External"/><Relationship Id="rId129" Type="http://schemas.openxmlformats.org/officeDocument/2006/relationships/hyperlink" Target="https://abs.twimg.com/sticky/default_profile_images/default_profile_3_normal.png" TargetMode="External"/><Relationship Id="rId543" Type="http://schemas.openxmlformats.org/officeDocument/2006/relationships/hyperlink" Target="https://twitter.com/SchuermannChris/status/720616174090915841" TargetMode="External"/><Relationship Id="rId1173" Type="http://schemas.openxmlformats.org/officeDocument/2006/relationships/hyperlink" Target="https://pbs.twimg.com/profile_images/2247114895/HatcherPass_normal.jpg" TargetMode="External"/><Relationship Id="rId2224" Type="http://schemas.openxmlformats.org/officeDocument/2006/relationships/hyperlink" Target="https://twitter.com/RolandBent" TargetMode="External"/><Relationship Id="rId3622" Type="http://schemas.openxmlformats.org/officeDocument/2006/relationships/hyperlink" Target="https://pbs.twimg.com/profile_images/3272942436/c3c4e0a9a2b4666270086c4edabb99d2_normal.jpeg" TargetMode="External"/><Relationship Id="rId7829" Type="http://schemas.openxmlformats.org/officeDocument/2006/relationships/hyperlink" Target="https://twitter.com/ManutelligH2020/status/723444502015270913" TargetMode="External"/><Relationship Id="rId9251" Type="http://schemas.openxmlformats.org/officeDocument/2006/relationships/hyperlink" Target="https://twitter.com/quickfindseotip" TargetMode="External"/><Relationship Id="rId5794" Type="http://schemas.openxmlformats.org/officeDocument/2006/relationships/hyperlink" Target="https://twitter.com/Gesamtmetall/status/723043221010550784" TargetMode="External"/><Relationship Id="rId6845" Type="http://schemas.openxmlformats.org/officeDocument/2006/relationships/hyperlink" Target="https://twitter.com/MobilExperten/status/723179254880591872" TargetMode="External"/><Relationship Id="rId610" Type="http://schemas.openxmlformats.org/officeDocument/2006/relationships/hyperlink" Target="https://pbs.twimg.com/profile_images/2149665370/TF_beeldmerk_DEF_normal.jpg" TargetMode="External"/><Relationship Id="rId1240" Type="http://schemas.openxmlformats.org/officeDocument/2006/relationships/hyperlink" Target="https://twitter.com/MTuchelmann" TargetMode="External"/><Relationship Id="rId4049" Type="http://schemas.openxmlformats.org/officeDocument/2006/relationships/hyperlink" Target="https://twitter.com/alnoor31" TargetMode="External"/><Relationship Id="rId4396" Type="http://schemas.openxmlformats.org/officeDocument/2006/relationships/hyperlink" Target="https://twitter.com/DeFrEnTck/status/722686616280686593" TargetMode="External"/><Relationship Id="rId5447" Type="http://schemas.openxmlformats.org/officeDocument/2006/relationships/hyperlink" Target="https://pbs.twimg.com/profile_images/591951396217327616/HbcCX2zX_normal.png" TargetMode="External"/><Relationship Id="rId5861" Type="http://schemas.openxmlformats.org/officeDocument/2006/relationships/hyperlink" Target="https://twitter.com/topometric" TargetMode="External"/><Relationship Id="rId6912" Type="http://schemas.openxmlformats.org/officeDocument/2006/relationships/hyperlink" Target="https://pbs.twimg.com/profile_images/703129684733591552/SLOopLNe_normal.jpg" TargetMode="External"/><Relationship Id="rId4463" Type="http://schemas.openxmlformats.org/officeDocument/2006/relationships/hyperlink" Target="https://twitter.com/Alex_Stocker/status/722697160836440064" TargetMode="External"/><Relationship Id="rId5514" Type="http://schemas.openxmlformats.org/officeDocument/2006/relationships/hyperlink" Target="https://twitter.com/mfmberlin" TargetMode="External"/><Relationship Id="rId3065" Type="http://schemas.openxmlformats.org/officeDocument/2006/relationships/hyperlink" Target="https://pbs.twimg.com/profile_images/3491231235/ed24978d3a8400c7023f6fc1c58c5349_normal.jpeg" TargetMode="External"/><Relationship Id="rId4116" Type="http://schemas.openxmlformats.org/officeDocument/2006/relationships/hyperlink" Target="https://twitter.com/INDIZbot" TargetMode="External"/><Relationship Id="rId4530" Type="http://schemas.openxmlformats.org/officeDocument/2006/relationships/hyperlink" Target="https://twitter.com/d4t4v1z" TargetMode="External"/><Relationship Id="rId7686" Type="http://schemas.openxmlformats.org/officeDocument/2006/relationships/hyperlink" Target="https://twitter.com/opierrat" TargetMode="External"/><Relationship Id="rId8737" Type="http://schemas.openxmlformats.org/officeDocument/2006/relationships/hyperlink" Target="https://twitter.com/mirko_ross" TargetMode="External"/><Relationship Id="rId2081" Type="http://schemas.openxmlformats.org/officeDocument/2006/relationships/hyperlink" Target="https://pbs.twimg.com/profile_images/2577573295/IMG_0896_normal.JPG" TargetMode="External"/><Relationship Id="rId3132" Type="http://schemas.openxmlformats.org/officeDocument/2006/relationships/hyperlink" Target="https://twitter.com/LReehten" TargetMode="External"/><Relationship Id="rId6288" Type="http://schemas.openxmlformats.org/officeDocument/2006/relationships/hyperlink" Target="https://twitter.com/AltimFrance/status/723102382054240256" TargetMode="External"/><Relationship Id="rId7339" Type="http://schemas.openxmlformats.org/officeDocument/2006/relationships/hyperlink" Target="https://pbs.twimg.com/profile_images/595639511855529984/XvdMq9KS_normal.jpg" TargetMode="External"/><Relationship Id="rId7753" Type="http://schemas.openxmlformats.org/officeDocument/2006/relationships/hyperlink" Target="https://twitter.com/LNI40/status/723430386877882375" TargetMode="External"/><Relationship Id="rId6355" Type="http://schemas.openxmlformats.org/officeDocument/2006/relationships/hyperlink" Target="https://twitter.com/FHNWTechnik" TargetMode="External"/><Relationship Id="rId7406" Type="http://schemas.openxmlformats.org/officeDocument/2006/relationships/hyperlink" Target="https://twitter.com/MartinGaedt" TargetMode="External"/><Relationship Id="rId8804" Type="http://schemas.openxmlformats.org/officeDocument/2006/relationships/hyperlink" Target="https://twitter.com/Hallaschka_HH/status/723816387370737664" TargetMode="External"/><Relationship Id="rId120" Type="http://schemas.openxmlformats.org/officeDocument/2006/relationships/hyperlink" Target="https://pbs.twimg.com/profile_images/722612493462282240/fgA7P-JK_normal.jpg" TargetMode="External"/><Relationship Id="rId2898" Type="http://schemas.openxmlformats.org/officeDocument/2006/relationships/hyperlink" Target="https://twitter.com/INDIZbot/status/722150916317671425" TargetMode="External"/><Relationship Id="rId3949" Type="http://schemas.openxmlformats.org/officeDocument/2006/relationships/hyperlink" Target="https://pbs.twimg.com/profile_images/457592058/DRUELLE.Ludovic_normal.jpg" TargetMode="External"/><Relationship Id="rId6008" Type="http://schemas.openxmlformats.org/officeDocument/2006/relationships/hyperlink" Target="https://twitter.com/edmundkomar" TargetMode="External"/><Relationship Id="rId7820" Type="http://schemas.openxmlformats.org/officeDocument/2006/relationships/hyperlink" Target="https://twitter.com/KUKA_RoboticsDE/status/723442043079380992" TargetMode="External"/><Relationship Id="rId2965" Type="http://schemas.openxmlformats.org/officeDocument/2006/relationships/hyperlink" Target="https://pbs.twimg.com/profile_images/645716711723925506/t5G0qOS6_normal.jpg" TargetMode="External"/><Relationship Id="rId5024" Type="http://schemas.openxmlformats.org/officeDocument/2006/relationships/hyperlink" Target="https://twitter.com/INDIZbot/status/722749445956313088" TargetMode="External"/><Relationship Id="rId5371" Type="http://schemas.openxmlformats.org/officeDocument/2006/relationships/hyperlink" Target="https://pbs.twimg.com/profile_images/470826247132438529/xf6oFNFR_normal.jpeg" TargetMode="External"/><Relationship Id="rId6422" Type="http://schemas.openxmlformats.org/officeDocument/2006/relationships/hyperlink" Target="https://twitter.com/Der_Betriebslei" TargetMode="External"/><Relationship Id="rId9578" Type="http://schemas.openxmlformats.org/officeDocument/2006/relationships/hyperlink" Target="https://twitter.com/CarstenDierig" TargetMode="External"/><Relationship Id="rId9992" Type="http://schemas.openxmlformats.org/officeDocument/2006/relationships/hyperlink" Target="https://twitter.com/ckoptimal1/status/724294761906089984" TargetMode="External"/><Relationship Id="rId937" Type="http://schemas.openxmlformats.org/officeDocument/2006/relationships/hyperlink" Target="https://twitter.com/cnavi/status/720870564391309312" TargetMode="External"/><Relationship Id="rId1567" Type="http://schemas.openxmlformats.org/officeDocument/2006/relationships/hyperlink" Target="https://twitter.com/RolandBent" TargetMode="External"/><Relationship Id="rId1981" Type="http://schemas.openxmlformats.org/officeDocument/2006/relationships/hyperlink" Target="https://twitter.com/INDIZbot/status/721692624046985216" TargetMode="External"/><Relationship Id="rId2618" Type="http://schemas.openxmlformats.org/officeDocument/2006/relationships/hyperlink" Target="https://twitter.com/Bitkom/status/722069195173859328" TargetMode="External"/><Relationship Id="rId8594" Type="http://schemas.openxmlformats.org/officeDocument/2006/relationships/hyperlink" Target="https://twitter.com/ROKAutomationAT/status/723764620167520256" TargetMode="External"/><Relationship Id="rId9645" Type="http://schemas.openxmlformats.org/officeDocument/2006/relationships/hyperlink" Target="https://twitter.com/VDMAonline/status/724224305178009600" TargetMode="External"/><Relationship Id="rId1634" Type="http://schemas.openxmlformats.org/officeDocument/2006/relationships/hyperlink" Target="https://twitter.com/weiterdenker/status/721250594153963521" TargetMode="External"/><Relationship Id="rId4040" Type="http://schemas.openxmlformats.org/officeDocument/2006/relationships/hyperlink" Target="https://twitter.com/Industry40" TargetMode="External"/><Relationship Id="rId7196" Type="http://schemas.openxmlformats.org/officeDocument/2006/relationships/hyperlink" Target="https://twitter.com/neerajdeuskar79/status/723377819904970753" TargetMode="External"/><Relationship Id="rId8247" Type="http://schemas.openxmlformats.org/officeDocument/2006/relationships/hyperlink" Target="https://twitter.com/croXXing_IBD" TargetMode="External"/><Relationship Id="rId8661" Type="http://schemas.openxmlformats.org/officeDocument/2006/relationships/hyperlink" Target="https://pbs.twimg.com/profile_images/636836616263311360/-akWmcev_normal.png" TargetMode="External"/><Relationship Id="rId9712" Type="http://schemas.openxmlformats.org/officeDocument/2006/relationships/hyperlink" Target="https://pbs.twimg.com/profile_images/466860381533515776/jiQ9EbK1_normal.jpeg" TargetMode="External"/><Relationship Id="rId10177" Type="http://schemas.openxmlformats.org/officeDocument/2006/relationships/hyperlink" Target="https://twitter.com/QuickFindsIn" TargetMode="External"/><Relationship Id="rId4857" Type="http://schemas.openxmlformats.org/officeDocument/2006/relationships/hyperlink" Target="https://twitter.com/Fujitsu_DE" TargetMode="External"/><Relationship Id="rId7263" Type="http://schemas.openxmlformats.org/officeDocument/2006/relationships/hyperlink" Target="https://pbs.twimg.com/profile_images/645716711723925506/t5G0qOS6_normal.jpg" TargetMode="External"/><Relationship Id="rId8314" Type="http://schemas.openxmlformats.org/officeDocument/2006/relationships/hyperlink" Target="https://twitter.com/INDIZbot/status/723529768176631808" TargetMode="External"/><Relationship Id="rId10244" Type="http://schemas.openxmlformats.org/officeDocument/2006/relationships/hyperlink" Target="https://twitter.com/kirstywilkinson/status/724392414216073217" TargetMode="External"/><Relationship Id="rId1701" Type="http://schemas.openxmlformats.org/officeDocument/2006/relationships/hyperlink" Target="https://pbs.twimg.com/profile_images/645716711723925506/t5G0qOS6_normal.jpg" TargetMode="External"/><Relationship Id="rId3459" Type="http://schemas.openxmlformats.org/officeDocument/2006/relationships/hyperlink" Target="https://twitter.com/aymard_tw/status/722363005443379201" TargetMode="External"/><Relationship Id="rId5908" Type="http://schemas.openxmlformats.org/officeDocument/2006/relationships/hyperlink" Target="https://pbs.twimg.com/profile_images/707877685721231360/0WBLwHQ-_normal.jpg" TargetMode="External"/><Relationship Id="rId7330" Type="http://schemas.openxmlformats.org/officeDocument/2006/relationships/hyperlink" Target="https://pbs.twimg.com/profile_images/551043199108542464/sp-EDfB4_normal.png" TargetMode="External"/><Relationship Id="rId3873" Type="http://schemas.openxmlformats.org/officeDocument/2006/relationships/hyperlink" Target="https://twitter.com/hannover_messe/status/722444921895043073" TargetMode="External"/><Relationship Id="rId4924" Type="http://schemas.openxmlformats.org/officeDocument/2006/relationships/hyperlink" Target="https://twitter.com/mschottenhammer/status/722737679364923392" TargetMode="External"/><Relationship Id="rId9088" Type="http://schemas.openxmlformats.org/officeDocument/2006/relationships/hyperlink" Target="https://pbs.twimg.com/profile_images/451994816889360385/SYPpc3iI_normal.jpeg" TargetMode="External"/><Relationship Id="rId10311" Type="http://schemas.openxmlformats.org/officeDocument/2006/relationships/hyperlink" Target="https://pbs.twimg.com/profile_images/623408883063631872/6sdKJAKP_normal.jpg" TargetMode="External"/><Relationship Id="rId447" Type="http://schemas.openxmlformats.org/officeDocument/2006/relationships/hyperlink" Target="https://pbs.twimg.com/profile_images/662723326096224256/5V4KH9_O_normal.jpg" TargetMode="External"/><Relationship Id="rId794" Type="http://schemas.openxmlformats.org/officeDocument/2006/relationships/hyperlink" Target="https://twitter.com/AbockAngela" TargetMode="External"/><Relationship Id="rId1077" Type="http://schemas.openxmlformats.org/officeDocument/2006/relationships/hyperlink" Target="https://pbs.twimg.com/profile_images/514743427217371136/l2tByK9G_normal.jpeg" TargetMode="External"/><Relationship Id="rId2128" Type="http://schemas.openxmlformats.org/officeDocument/2006/relationships/hyperlink" Target="https://twitter.com/3DSGermany" TargetMode="External"/><Relationship Id="rId2475" Type="http://schemas.openxmlformats.org/officeDocument/2006/relationships/hyperlink" Target="https://pbs.twimg.com/profile_images/706494867204120576/F1LJZI55_normal.jpg" TargetMode="External"/><Relationship Id="rId3526" Type="http://schemas.openxmlformats.org/officeDocument/2006/relationships/hyperlink" Target="https://pbs.twimg.com/profile_images/428828881080942592/YmN6UP5I_normal.png" TargetMode="External"/><Relationship Id="rId3940" Type="http://schemas.openxmlformats.org/officeDocument/2006/relationships/hyperlink" Target="https://pbs.twimg.com/profile_images/662723326096224256/5V4KH9_O_normal.jpg" TargetMode="External"/><Relationship Id="rId9155" Type="http://schemas.openxmlformats.org/officeDocument/2006/relationships/hyperlink" Target="https://twitter.com/kat2812" TargetMode="External"/><Relationship Id="rId861" Type="http://schemas.openxmlformats.org/officeDocument/2006/relationships/hyperlink" Target="https://twitter.com/PChbx" TargetMode="External"/><Relationship Id="rId1491" Type="http://schemas.openxmlformats.org/officeDocument/2006/relationships/hyperlink" Target="https://pbs.twimg.com/profile_images/710178864778121216/Eq8vGVB9_normal.jpg" TargetMode="External"/><Relationship Id="rId2542" Type="http://schemas.openxmlformats.org/officeDocument/2006/relationships/hyperlink" Target="https://twitter.com/KaiKeppner/status/722056200645439488" TargetMode="External"/><Relationship Id="rId5698" Type="http://schemas.openxmlformats.org/officeDocument/2006/relationships/hyperlink" Target="https://twitter.com/MelanieVogel_/status/722945525495001090" TargetMode="External"/><Relationship Id="rId6749" Type="http://schemas.openxmlformats.org/officeDocument/2006/relationships/hyperlink" Target="https://twitter.com/DominikBuergi/status/723167967396155392" TargetMode="External"/><Relationship Id="rId514" Type="http://schemas.openxmlformats.org/officeDocument/2006/relationships/hyperlink" Target="https://pbs.twimg.com/profile_images/574517024556089345/fuK3tcde_normal.jpeg" TargetMode="External"/><Relationship Id="rId1144" Type="http://schemas.openxmlformats.org/officeDocument/2006/relationships/hyperlink" Target="https://twitter.com/it_rebellen" TargetMode="External"/><Relationship Id="rId5765" Type="http://schemas.openxmlformats.org/officeDocument/2006/relationships/hyperlink" Target="https://pbs.twimg.com/profile_images/661569725550469124/-Uzw8rQt_normal.jpg" TargetMode="External"/><Relationship Id="rId6816" Type="http://schemas.openxmlformats.org/officeDocument/2006/relationships/hyperlink" Target="https://pbs.twimg.com/profile_images/677168371826315264/tHGUs0KR_normal.jpg" TargetMode="External"/><Relationship Id="rId8171" Type="http://schemas.openxmlformats.org/officeDocument/2006/relationships/hyperlink" Target="https://twitter.com/Bitkom" TargetMode="External"/><Relationship Id="rId9222" Type="http://schemas.openxmlformats.org/officeDocument/2006/relationships/hyperlink" Target="https://twitter.com/NicoletteBarn/status/724024882736955393" TargetMode="External"/><Relationship Id="rId1211" Type="http://schemas.openxmlformats.org/officeDocument/2006/relationships/hyperlink" Target="https://twitter.com/RudiKennes/status/720923741727928320" TargetMode="External"/><Relationship Id="rId4367" Type="http://schemas.openxmlformats.org/officeDocument/2006/relationships/hyperlink" Target="https://pbs.twimg.com/profile_images/609375510158774272/P5glOk4b_normal.jpg" TargetMode="External"/><Relationship Id="rId4781" Type="http://schemas.openxmlformats.org/officeDocument/2006/relationships/hyperlink" Target="https://pbs.twimg.com/profile_images/709307199726755845/TL--bCmb_normal.jpg" TargetMode="External"/><Relationship Id="rId5418" Type="http://schemas.openxmlformats.org/officeDocument/2006/relationships/hyperlink" Target="https://twitter.com/TheRealMo99/status/722799388037222400" TargetMode="External"/><Relationship Id="rId5832" Type="http://schemas.openxmlformats.org/officeDocument/2006/relationships/hyperlink" Target="https://pbs.twimg.com/profile_images/591103646370287616/y7wAOMwj_normal.jpg" TargetMode="External"/><Relationship Id="rId8988" Type="http://schemas.openxmlformats.org/officeDocument/2006/relationships/hyperlink" Target="https://pbs.twimg.com/profile_images/624966917669974016/Sl2SOVQ0_normal.jpg" TargetMode="External"/><Relationship Id="rId3383" Type="http://schemas.openxmlformats.org/officeDocument/2006/relationships/hyperlink" Target="https://twitter.com/wa_beck" TargetMode="External"/><Relationship Id="rId4434" Type="http://schemas.openxmlformats.org/officeDocument/2006/relationships/hyperlink" Target="https://twitter.com/Bitkom" TargetMode="External"/><Relationship Id="rId3036" Type="http://schemas.openxmlformats.org/officeDocument/2006/relationships/hyperlink" Target="https://twitter.com/bastihollmann" TargetMode="External"/><Relationship Id="rId371" Type="http://schemas.openxmlformats.org/officeDocument/2006/relationships/hyperlink" Target="https://twitter.com/H_IT_D/status/720568252502376448" TargetMode="External"/><Relationship Id="rId2052" Type="http://schemas.openxmlformats.org/officeDocument/2006/relationships/hyperlink" Target="https://twitter.com/SAPlearn" TargetMode="External"/><Relationship Id="rId3450" Type="http://schemas.openxmlformats.org/officeDocument/2006/relationships/hyperlink" Target="https://twitter.com/Der_Betriebslei/status/722360365837889536" TargetMode="External"/><Relationship Id="rId4501" Type="http://schemas.openxmlformats.org/officeDocument/2006/relationships/hyperlink" Target="https://twitter.com/iotsecurity2/status/722699726131437568" TargetMode="External"/><Relationship Id="rId6259" Type="http://schemas.openxmlformats.org/officeDocument/2006/relationships/hyperlink" Target="https://twitter.com/INDIZbot" TargetMode="External"/><Relationship Id="rId7657" Type="http://schemas.openxmlformats.org/officeDocument/2006/relationships/hyperlink" Target="https://twitter.com/francoi55889292/status/723422782122397696" TargetMode="External"/><Relationship Id="rId8708" Type="http://schemas.openxmlformats.org/officeDocument/2006/relationships/hyperlink" Target="https://twitter.com/kommoptimierer/status/723793540757749760" TargetMode="External"/><Relationship Id="rId3103" Type="http://schemas.openxmlformats.org/officeDocument/2006/relationships/hyperlink" Target="https://twitter.com/foresight_lab/status/722314185913344000" TargetMode="External"/><Relationship Id="rId6673" Type="http://schemas.openxmlformats.org/officeDocument/2006/relationships/hyperlink" Target="https://twitter.com/H_IT_D" TargetMode="External"/><Relationship Id="rId7724" Type="http://schemas.openxmlformats.org/officeDocument/2006/relationships/hyperlink" Target="https://pbs.twimg.com/profile_images/455629070454116352/ujZ3h7Ww_normal.png" TargetMode="External"/><Relationship Id="rId2869" Type="http://schemas.openxmlformats.org/officeDocument/2006/relationships/hyperlink" Target="https://twitter.com/Tom_Frick" TargetMode="External"/><Relationship Id="rId5275" Type="http://schemas.openxmlformats.org/officeDocument/2006/relationships/hyperlink" Target="https://twitter.com/INDIZbot" TargetMode="External"/><Relationship Id="rId6326" Type="http://schemas.openxmlformats.org/officeDocument/2006/relationships/hyperlink" Target="https://pbs.twimg.com/profile_images/652462653143687168/SJCmIDQL_normal.png" TargetMode="External"/><Relationship Id="rId6740" Type="http://schemas.openxmlformats.org/officeDocument/2006/relationships/hyperlink" Target="https://twitter.com/SGE/status/723167158843392000" TargetMode="External"/><Relationship Id="rId9896" Type="http://schemas.openxmlformats.org/officeDocument/2006/relationships/hyperlink" Target="https://twitter.com/MarianKoeller/status/724275692553277440" TargetMode="External"/><Relationship Id="rId1885" Type="http://schemas.openxmlformats.org/officeDocument/2006/relationships/hyperlink" Target="https://pbs.twimg.com/profile_images/591951396217327616/HbcCX2zX_normal.png" TargetMode="External"/><Relationship Id="rId2936" Type="http://schemas.openxmlformats.org/officeDocument/2006/relationships/hyperlink" Target="https://twitter.com/Gina_Boettcher" TargetMode="External"/><Relationship Id="rId4291" Type="http://schemas.openxmlformats.org/officeDocument/2006/relationships/hyperlink" Target="https://twitter.com/LNI40/status/722652856768151553" TargetMode="External"/><Relationship Id="rId5342" Type="http://schemas.openxmlformats.org/officeDocument/2006/relationships/hyperlink" Target="https://twitter.com/ScheerKarriere/status/722793297757007872" TargetMode="External"/><Relationship Id="rId8498" Type="http://schemas.openxmlformats.org/officeDocument/2006/relationships/hyperlink" Target="https://twitter.com/meier_thorsten/status/723602302238601217" TargetMode="External"/><Relationship Id="rId9549" Type="http://schemas.openxmlformats.org/officeDocument/2006/relationships/hyperlink" Target="https://twitter.com/Daniela_Fasano_/status/724202257143717888" TargetMode="External"/><Relationship Id="rId9963" Type="http://schemas.openxmlformats.org/officeDocument/2006/relationships/hyperlink" Target="https://pbs.twimg.com/profile_images/2424564033/photo_normal.JPG" TargetMode="External"/><Relationship Id="rId908" Type="http://schemas.openxmlformats.org/officeDocument/2006/relationships/hyperlink" Target="https://pbs.twimg.com/profile_images/541146126158536704/IYardufS_normal.jpeg" TargetMode="External"/><Relationship Id="rId1538" Type="http://schemas.openxmlformats.org/officeDocument/2006/relationships/hyperlink" Target="https://twitter.com/kommoptimierer/status/721066821495996417" TargetMode="External"/><Relationship Id="rId8565" Type="http://schemas.openxmlformats.org/officeDocument/2006/relationships/hyperlink" Target="https://pbs.twimg.com/profile_images/715212230648807425/Z0_EENJA_normal.jpg" TargetMode="External"/><Relationship Id="rId9616" Type="http://schemas.openxmlformats.org/officeDocument/2006/relationships/hyperlink" Target="https://pbs.twimg.com/profile_images/562193841587896321/nfd18Y4g_normal.jpeg" TargetMode="External"/><Relationship Id="rId1952" Type="http://schemas.openxmlformats.org/officeDocument/2006/relationships/hyperlink" Target="https://pbs.twimg.com/profile_images/645716711723925506/t5G0qOS6_normal.jpg" TargetMode="External"/><Relationship Id="rId4011" Type="http://schemas.openxmlformats.org/officeDocument/2006/relationships/hyperlink" Target="https://twitter.com/PMiekautsch/status/722470559087529985" TargetMode="External"/><Relationship Id="rId7167" Type="http://schemas.openxmlformats.org/officeDocument/2006/relationships/hyperlink" Target="https://pbs.twimg.com/profile_images/719638775668858880/hmUhQ5p2_normal.jpg" TargetMode="External"/><Relationship Id="rId8218" Type="http://schemas.openxmlformats.org/officeDocument/2006/relationships/hyperlink" Target="https://twitter.com/CapgeminiDE/status/723512988804734977" TargetMode="External"/><Relationship Id="rId1605" Type="http://schemas.openxmlformats.org/officeDocument/2006/relationships/hyperlink" Target="https://pbs.twimg.com/profile_images/624287552569241600/lHDImNou_normal.jpg" TargetMode="External"/><Relationship Id="rId6183" Type="http://schemas.openxmlformats.org/officeDocument/2006/relationships/hyperlink" Target="https://twitter.com/Bitkom" TargetMode="External"/><Relationship Id="rId7234" Type="http://schemas.openxmlformats.org/officeDocument/2006/relationships/hyperlink" Target="https://twitter.com/INDIZbot" TargetMode="External"/><Relationship Id="rId7581" Type="http://schemas.openxmlformats.org/officeDocument/2006/relationships/hyperlink" Target="https://twitter.com/INDIZbot" TargetMode="External"/><Relationship Id="rId8632" Type="http://schemas.openxmlformats.org/officeDocument/2006/relationships/hyperlink" Target="https://twitter.com/tuevnord" TargetMode="External"/><Relationship Id="rId10148" Type="http://schemas.openxmlformats.org/officeDocument/2006/relationships/hyperlink" Target="https://twitter.com/H_IT_D/status/724348187029295104" TargetMode="External"/><Relationship Id="rId3777" Type="http://schemas.openxmlformats.org/officeDocument/2006/relationships/hyperlink" Target="https://twitter.com/itsOWL_Cluster/status/722424292064014337" TargetMode="External"/><Relationship Id="rId4828" Type="http://schemas.openxmlformats.org/officeDocument/2006/relationships/hyperlink" Target="https://twitter.com/DerKonstrukteu/status/722722494835245056" TargetMode="External"/><Relationship Id="rId10215" Type="http://schemas.openxmlformats.org/officeDocument/2006/relationships/hyperlink" Target="https://pbs.twimg.com/profile_images/604852979888353280/bPLJGs-u_normal.jpg" TargetMode="External"/><Relationship Id="rId698" Type="http://schemas.openxmlformats.org/officeDocument/2006/relationships/hyperlink" Target="https://twitter.com/ROKAutomationCZ" TargetMode="External"/><Relationship Id="rId2379" Type="http://schemas.openxmlformats.org/officeDocument/2006/relationships/hyperlink" Target="https://pbs.twimg.com/profile_images/705270537073852416/CZoAp0su_normal.jpg" TargetMode="External"/><Relationship Id="rId2793" Type="http://schemas.openxmlformats.org/officeDocument/2006/relationships/hyperlink" Target="https://twitter.com/IoTJournal" TargetMode="External"/><Relationship Id="rId3844" Type="http://schemas.openxmlformats.org/officeDocument/2006/relationships/hyperlink" Target="https://pbs.twimg.com/profile_images/599585844563959808/bYyhHArl_normal.jpg" TargetMode="External"/><Relationship Id="rId6250" Type="http://schemas.openxmlformats.org/officeDocument/2006/relationships/hyperlink" Target="https://twitter.com/neitzelsecuweb" TargetMode="External"/><Relationship Id="rId7301" Type="http://schemas.openxmlformats.org/officeDocument/2006/relationships/hyperlink" Target="https://twitter.com/CapgeminiDE/status/723394723117813760" TargetMode="External"/><Relationship Id="rId765" Type="http://schemas.openxmlformats.org/officeDocument/2006/relationships/hyperlink" Target="https://twitter.com/H_IT_D/status/720710832867254272" TargetMode="External"/><Relationship Id="rId1395" Type="http://schemas.openxmlformats.org/officeDocument/2006/relationships/hyperlink" Target="https://twitter.com/Arno_muc/status/720986806901174272" TargetMode="External"/><Relationship Id="rId2446" Type="http://schemas.openxmlformats.org/officeDocument/2006/relationships/hyperlink" Target="https://twitter.com/INDIZbot" TargetMode="External"/><Relationship Id="rId2860" Type="http://schemas.openxmlformats.org/officeDocument/2006/relationships/hyperlink" Target="https://twitter.com/CapgeminiDE/status/722139072400109568" TargetMode="External"/><Relationship Id="rId9059" Type="http://schemas.openxmlformats.org/officeDocument/2006/relationships/hyperlink" Target="https://twitter.com/Databanque" TargetMode="External"/><Relationship Id="rId9473" Type="http://schemas.openxmlformats.org/officeDocument/2006/relationships/hyperlink" Target="https://twitter.com/tuevnordpolitik" TargetMode="External"/><Relationship Id="rId418" Type="http://schemas.openxmlformats.org/officeDocument/2006/relationships/hyperlink" Target="https://twitter.com/INDIZbot" TargetMode="External"/><Relationship Id="rId832" Type="http://schemas.openxmlformats.org/officeDocument/2006/relationships/hyperlink" Target="https://twitter.com/josebaghdad/status/720834662436745217" TargetMode="External"/><Relationship Id="rId1048" Type="http://schemas.openxmlformats.org/officeDocument/2006/relationships/hyperlink" Target="https://twitter.com/markherten" TargetMode="External"/><Relationship Id="rId1462" Type="http://schemas.openxmlformats.org/officeDocument/2006/relationships/hyperlink" Target="https://twitter.com/gpodagrosi" TargetMode="External"/><Relationship Id="rId2513" Type="http://schemas.openxmlformats.org/officeDocument/2006/relationships/hyperlink" Target="https://twitter.com/matthiaslechner" TargetMode="External"/><Relationship Id="rId3911" Type="http://schemas.openxmlformats.org/officeDocument/2006/relationships/hyperlink" Target="https://twitter.com/mfritz_fhg" TargetMode="External"/><Relationship Id="rId5669" Type="http://schemas.openxmlformats.org/officeDocument/2006/relationships/hyperlink" Target="https://pbs.twimg.com/profile_images/545472777956782081/TcFbbwNP_normal.jpeg" TargetMode="External"/><Relationship Id="rId8075" Type="http://schemas.openxmlformats.org/officeDocument/2006/relationships/hyperlink" Target="https://twitter.com/SHC_GmbH" TargetMode="External"/><Relationship Id="rId9126" Type="http://schemas.openxmlformats.org/officeDocument/2006/relationships/hyperlink" Target="https://twitter.com/Gruendercoaches/status/723951402570113024" TargetMode="External"/><Relationship Id="rId9540" Type="http://schemas.openxmlformats.org/officeDocument/2006/relationships/hyperlink" Target="https://twitter.com/Dzianis_Yf/status/724195973292036096" TargetMode="External"/><Relationship Id="rId1115" Type="http://schemas.openxmlformats.org/officeDocument/2006/relationships/hyperlink" Target="https://twitter.com/THMtweets/status/720902007494553601" TargetMode="External"/><Relationship Id="rId7091" Type="http://schemas.openxmlformats.org/officeDocument/2006/relationships/hyperlink" Target="https://twitter.com/MindCommerce/status/723257901851262977" TargetMode="External"/><Relationship Id="rId8142" Type="http://schemas.openxmlformats.org/officeDocument/2006/relationships/hyperlink" Target="https://twitter.com/INDIZbot/status/723499388434284544" TargetMode="External"/><Relationship Id="rId10072" Type="http://schemas.openxmlformats.org/officeDocument/2006/relationships/hyperlink" Target="https://twitter.com/IHogerzeil" TargetMode="External"/><Relationship Id="rId3287" Type="http://schemas.openxmlformats.org/officeDocument/2006/relationships/hyperlink" Target="https://twitter.com/SHC_GmbH/status/722341112497770496" TargetMode="External"/><Relationship Id="rId4338" Type="http://schemas.openxmlformats.org/officeDocument/2006/relationships/hyperlink" Target="https://twitter.com/KerstinvonAppen" TargetMode="External"/><Relationship Id="rId4685" Type="http://schemas.openxmlformats.org/officeDocument/2006/relationships/hyperlink" Target="https://pbs.twimg.com/profile_images/689824323767500800/bE2B56AT_normal.png" TargetMode="External"/><Relationship Id="rId5736" Type="http://schemas.openxmlformats.org/officeDocument/2006/relationships/hyperlink" Target="https://twitter.com/WalesBuzz" TargetMode="External"/><Relationship Id="rId4752" Type="http://schemas.openxmlformats.org/officeDocument/2006/relationships/hyperlink" Target="https://twitter.com/THINK_ING" TargetMode="External"/><Relationship Id="rId5803" Type="http://schemas.openxmlformats.org/officeDocument/2006/relationships/hyperlink" Target="https://twitter.com/INDIZbot/status/723044231837847552" TargetMode="External"/><Relationship Id="rId8959" Type="http://schemas.openxmlformats.org/officeDocument/2006/relationships/hyperlink" Target="https://twitter.com/TABC_Council" TargetMode="External"/><Relationship Id="rId3354" Type="http://schemas.openxmlformats.org/officeDocument/2006/relationships/hyperlink" Target="https://pbs.twimg.com/profile_images/701004613206433792/o4DJfA8-_normal.jpg" TargetMode="External"/><Relationship Id="rId4405" Type="http://schemas.openxmlformats.org/officeDocument/2006/relationships/hyperlink" Target="https://twitter.com/bigdata_insider/status/722687015536472064" TargetMode="External"/><Relationship Id="rId7975" Type="http://schemas.openxmlformats.org/officeDocument/2006/relationships/hyperlink" Target="https://pbs.twimg.com/profile_images/562193841587896321/nfd18Y4g_normal.jpeg" TargetMode="External"/><Relationship Id="rId275" Type="http://schemas.openxmlformats.org/officeDocument/2006/relationships/hyperlink" Target="https://twitter.com/Tim_Caesar/status/720541721222889472" TargetMode="External"/><Relationship Id="rId2370" Type="http://schemas.openxmlformats.org/officeDocument/2006/relationships/hyperlink" Target="https://pbs.twimg.com/profile_images/1433733321/35984_458684286354_752236354_6842403_4519162_n-1_normal.jpg" TargetMode="External"/><Relationship Id="rId3007" Type="http://schemas.openxmlformats.org/officeDocument/2006/relationships/hyperlink" Target="https://pbs.twimg.com/profile_images/645716711723925506/t5G0qOS6_normal.jpg" TargetMode="External"/><Relationship Id="rId3421" Type="http://schemas.openxmlformats.org/officeDocument/2006/relationships/hyperlink" Target="https://pbs.twimg.com/profile_images/701004613206433792/o4DJfA8-_normal.jpg" TargetMode="External"/><Relationship Id="rId6577" Type="http://schemas.openxmlformats.org/officeDocument/2006/relationships/hyperlink" Target="https://twitter.com/IoTMinded/status/723145138764173312" TargetMode="External"/><Relationship Id="rId6991" Type="http://schemas.openxmlformats.org/officeDocument/2006/relationships/hyperlink" Target="https://twitter.com/INDIZbot" TargetMode="External"/><Relationship Id="rId7628" Type="http://schemas.openxmlformats.org/officeDocument/2006/relationships/hyperlink" Target="https://pbs.twimg.com/profile_images/469070945483628546/iD8AeJP6_normal.png" TargetMode="External"/><Relationship Id="rId342" Type="http://schemas.openxmlformats.org/officeDocument/2006/relationships/hyperlink" Target="https://pbs.twimg.com/profile_images/672794348442877952/m6Is-Nrc_normal.jpg" TargetMode="External"/><Relationship Id="rId2023" Type="http://schemas.openxmlformats.org/officeDocument/2006/relationships/hyperlink" Target="https://twitter.com/digitalperiod/status/721735222337880064" TargetMode="External"/><Relationship Id="rId5179" Type="http://schemas.openxmlformats.org/officeDocument/2006/relationships/hyperlink" Target="https://twitter.com/prxagentur" TargetMode="External"/><Relationship Id="rId5593" Type="http://schemas.openxmlformats.org/officeDocument/2006/relationships/hyperlink" Target="https://twitter.com/ThomasMannIT/status/722863939613134848" TargetMode="External"/><Relationship Id="rId6644" Type="http://schemas.openxmlformats.org/officeDocument/2006/relationships/hyperlink" Target="https://pbs.twimg.com/profile_images/716977461079179268/JVN5NZO8_normal.jpg" TargetMode="External"/><Relationship Id="rId9050" Type="http://schemas.openxmlformats.org/officeDocument/2006/relationships/hyperlink" Target="https://twitter.com/Romny58" TargetMode="External"/><Relationship Id="rId4195" Type="http://schemas.openxmlformats.org/officeDocument/2006/relationships/hyperlink" Target="https://twitter.com/LReehten/status/722516640869576704" TargetMode="External"/><Relationship Id="rId5246" Type="http://schemas.openxmlformats.org/officeDocument/2006/relationships/hyperlink" Target="https://twitter.com/inqaaudit/status/722772807214567424" TargetMode="External"/><Relationship Id="rId1789" Type="http://schemas.openxmlformats.org/officeDocument/2006/relationships/hyperlink" Target="https://twitter.com/AnnaWypior" TargetMode="External"/><Relationship Id="rId4262" Type="http://schemas.openxmlformats.org/officeDocument/2006/relationships/hyperlink" Target="https://pbs.twimg.com/profile_images/662723326096224256/5V4KH9_O_normal.jpg" TargetMode="External"/><Relationship Id="rId5660" Type="http://schemas.openxmlformats.org/officeDocument/2006/relationships/hyperlink" Target="https://pbs.twimg.com/profile_images/429025632186429440/cK_cYt3I_normal.jpeg" TargetMode="External"/><Relationship Id="rId6711" Type="http://schemas.openxmlformats.org/officeDocument/2006/relationships/hyperlink" Target="https://pbs.twimg.com/profile_images/378800000565965069/a98f364a74805cd42b34bb38197f51de_normal.png" TargetMode="External"/><Relationship Id="rId8469" Type="http://schemas.openxmlformats.org/officeDocument/2006/relationships/hyperlink" Target="https://pbs.twimg.com/profile_images/541146126158536704/IYardufS_normal.jpeg" TargetMode="External"/><Relationship Id="rId9867" Type="http://schemas.openxmlformats.org/officeDocument/2006/relationships/hyperlink" Target="https://pbs.twimg.com/profile_images/723407487395713024/0hZv7R8S_normal.jpg" TargetMode="External"/><Relationship Id="rId1856" Type="http://schemas.openxmlformats.org/officeDocument/2006/relationships/hyperlink" Target="https://twitter.com/_lfactory/status/721587048235343872" TargetMode="External"/><Relationship Id="rId2907" Type="http://schemas.openxmlformats.org/officeDocument/2006/relationships/hyperlink" Target="https://twitter.com/INDIZbot/status/722155709501218816" TargetMode="External"/><Relationship Id="rId5313" Type="http://schemas.openxmlformats.org/officeDocument/2006/relationships/hyperlink" Target="https://pbs.twimg.com/profile_images/645716711723925506/t5G0qOS6_normal.jpg" TargetMode="External"/><Relationship Id="rId8883" Type="http://schemas.openxmlformats.org/officeDocument/2006/relationships/hyperlink" Target="https://pbs.twimg.com/profile_images/518189608098869249/udoveSaH_normal.jpeg" TargetMode="External"/><Relationship Id="rId9934" Type="http://schemas.openxmlformats.org/officeDocument/2006/relationships/hyperlink" Target="https://twitter.com/ZVEIorg" TargetMode="External"/><Relationship Id="rId1509" Type="http://schemas.openxmlformats.org/officeDocument/2006/relationships/hyperlink" Target="https://pbs.twimg.com/profile_images/720669524786327552/lJEA-nOB_normal.jpg" TargetMode="External"/><Relationship Id="rId1923" Type="http://schemas.openxmlformats.org/officeDocument/2006/relationships/hyperlink" Target="https://twitter.com/Rhartschmidt/status/721627709101719552" TargetMode="External"/><Relationship Id="rId7485" Type="http://schemas.openxmlformats.org/officeDocument/2006/relationships/hyperlink" Target="https://twitter.com/rreitz1" TargetMode="External"/><Relationship Id="rId8536" Type="http://schemas.openxmlformats.org/officeDocument/2006/relationships/hyperlink" Target="https://twitter.com/INDIZbot" TargetMode="External"/><Relationship Id="rId8950" Type="http://schemas.openxmlformats.org/officeDocument/2006/relationships/hyperlink" Target="https://twitter.com/Siemens_JobsMEA" TargetMode="External"/><Relationship Id="rId6087" Type="http://schemas.openxmlformats.org/officeDocument/2006/relationships/hyperlink" Target="https://twitter.com/MoradSalehi/status/723074200294952965" TargetMode="External"/><Relationship Id="rId7138" Type="http://schemas.openxmlformats.org/officeDocument/2006/relationships/hyperlink" Target="https://twitter.com/INDIZbot" TargetMode="External"/><Relationship Id="rId7552" Type="http://schemas.openxmlformats.org/officeDocument/2006/relationships/hyperlink" Target="https://twitter.com/_Logistra_/status/723414100210913280" TargetMode="External"/><Relationship Id="rId8603" Type="http://schemas.openxmlformats.org/officeDocument/2006/relationships/hyperlink" Target="https://twitter.com/INDIZbot/status/723766413488476160" TargetMode="External"/><Relationship Id="rId10119" Type="http://schemas.openxmlformats.org/officeDocument/2006/relationships/hyperlink" Target="https://pbs.twimg.com/profile_images/448852244511748097/IIM58dga_normal.jpeg" TargetMode="External"/><Relationship Id="rId2697" Type="http://schemas.openxmlformats.org/officeDocument/2006/relationships/hyperlink" Target="https://twitter.com/Siemens_SFS" TargetMode="External"/><Relationship Id="rId3748" Type="http://schemas.openxmlformats.org/officeDocument/2006/relationships/hyperlink" Target="https://pbs.twimg.com/profile_images/593011135428882432/BGMPkrwp_normal.jpg" TargetMode="External"/><Relationship Id="rId6154" Type="http://schemas.openxmlformats.org/officeDocument/2006/relationships/hyperlink" Target="https://twitter.com/ECKELMANN_AG/status/723081967797829632" TargetMode="External"/><Relationship Id="rId7205" Type="http://schemas.openxmlformats.org/officeDocument/2006/relationships/hyperlink" Target="https://twitter.com/neerajdeuskar79/status/723378524145340417" TargetMode="External"/><Relationship Id="rId669" Type="http://schemas.openxmlformats.org/officeDocument/2006/relationships/hyperlink" Target="https://twitter.com/INDIZbot/status/720660682979557376" TargetMode="External"/><Relationship Id="rId1299" Type="http://schemas.openxmlformats.org/officeDocument/2006/relationships/hyperlink" Target="https://pbs.twimg.com/profile_images/645716711723925506/t5G0qOS6_normal.jpg" TargetMode="External"/><Relationship Id="rId5170" Type="http://schemas.openxmlformats.org/officeDocument/2006/relationships/hyperlink" Target="https://twitter.com/S_Koebernick" TargetMode="External"/><Relationship Id="rId6221" Type="http://schemas.openxmlformats.org/officeDocument/2006/relationships/hyperlink" Target="https://twitter.com/JETZT_PRde/status/723088643909255168" TargetMode="External"/><Relationship Id="rId9377" Type="http://schemas.openxmlformats.org/officeDocument/2006/relationships/hyperlink" Target="https://twitter.com/indiameetsurope" TargetMode="External"/><Relationship Id="rId736" Type="http://schemas.openxmlformats.org/officeDocument/2006/relationships/hyperlink" Target="https://pbs.twimg.com/profile_images/645716711723925506/t5G0qOS6_normal.jpg" TargetMode="External"/><Relationship Id="rId1366" Type="http://schemas.openxmlformats.org/officeDocument/2006/relationships/hyperlink" Target="https://twitter.com/kommoptimierer" TargetMode="External"/><Relationship Id="rId2417" Type="http://schemas.openxmlformats.org/officeDocument/2006/relationships/hyperlink" Target="https://twitter.com/HELLRIEGEL/status/722017418235756544" TargetMode="External"/><Relationship Id="rId2764" Type="http://schemas.openxmlformats.org/officeDocument/2006/relationships/hyperlink" Target="https://twitter.com/nextDBI/status/722113692159066112" TargetMode="External"/><Relationship Id="rId3815" Type="http://schemas.openxmlformats.org/officeDocument/2006/relationships/hyperlink" Target="https://twitter.com/koernerpark" TargetMode="External"/><Relationship Id="rId8393" Type="http://schemas.openxmlformats.org/officeDocument/2006/relationships/hyperlink" Target="https://pbs.twimg.com/profile_images/638707523160272896/YonVe2-H_normal.jpg" TargetMode="External"/><Relationship Id="rId9444" Type="http://schemas.openxmlformats.org/officeDocument/2006/relationships/hyperlink" Target="https://twitter.com/patriciaduques4/status/724175196207353857" TargetMode="External"/><Relationship Id="rId9791" Type="http://schemas.openxmlformats.org/officeDocument/2006/relationships/hyperlink" Target="https://twitter.com/martinruskowski/status/724257681486282752" TargetMode="External"/><Relationship Id="rId1019" Type="http://schemas.openxmlformats.org/officeDocument/2006/relationships/hyperlink" Target="https://twitter.com/markherten/status/720885231167758336" TargetMode="External"/><Relationship Id="rId1780" Type="http://schemas.openxmlformats.org/officeDocument/2006/relationships/hyperlink" Target="https://twitter.com/hydrogeniousTEC" TargetMode="External"/><Relationship Id="rId2831" Type="http://schemas.openxmlformats.org/officeDocument/2006/relationships/hyperlink" Target="https://pbs.twimg.com/profile_images/623849156159868928/BetFDR_i_normal.jpg" TargetMode="External"/><Relationship Id="rId5987" Type="http://schemas.openxmlformats.org/officeDocument/2006/relationships/hyperlink" Target="https://twitter.com/christophwitte" TargetMode="External"/><Relationship Id="rId8046" Type="http://schemas.openxmlformats.org/officeDocument/2006/relationships/hyperlink" Target="https://twitter.com/KMWEprecision/status/723486750740471808" TargetMode="External"/><Relationship Id="rId72" Type="http://schemas.openxmlformats.org/officeDocument/2006/relationships/hyperlink" Target="https://pbs.twimg.com/profile_images/666906230967943172/CA_0d7PH_normal.jpg" TargetMode="External"/><Relationship Id="rId803" Type="http://schemas.openxmlformats.org/officeDocument/2006/relationships/hyperlink" Target="https://pbs.twimg.com/profile_images/699724829713428484/rUT0r7Dq_normal.jpg" TargetMode="External"/><Relationship Id="rId1433" Type="http://schemas.openxmlformats.org/officeDocument/2006/relationships/hyperlink" Target="https://pbs.twimg.com/profile_images/719538951988592641/7lKnB2dG_normal.jpg" TargetMode="External"/><Relationship Id="rId4589" Type="http://schemas.openxmlformats.org/officeDocument/2006/relationships/hyperlink" Target="https://pbs.twimg.com/profile_images/465817969902092288/sEIgw9Gb_normal.jpeg" TargetMode="External"/><Relationship Id="rId8460" Type="http://schemas.openxmlformats.org/officeDocument/2006/relationships/hyperlink" Target="https://pbs.twimg.com/profile_images/1483136337/PB_Twitter_normal.JPG" TargetMode="External"/><Relationship Id="rId9511" Type="http://schemas.openxmlformats.org/officeDocument/2006/relationships/hyperlink" Target="https://pbs.twimg.com/profile_images/596548379880062977/eUtFjQxd_normal.jpg" TargetMode="External"/><Relationship Id="rId1500" Type="http://schemas.openxmlformats.org/officeDocument/2006/relationships/hyperlink" Target="https://pbs.twimg.com/profile_images/557949283861663744/XRnqLo9K_normal.jpeg" TargetMode="External"/><Relationship Id="rId4656" Type="http://schemas.openxmlformats.org/officeDocument/2006/relationships/hyperlink" Target="https://twitter.com/pbo" TargetMode="External"/><Relationship Id="rId5707" Type="http://schemas.openxmlformats.org/officeDocument/2006/relationships/hyperlink" Target="https://twitter.com/mhaller1979/status/722955778185797633" TargetMode="External"/><Relationship Id="rId7062" Type="http://schemas.openxmlformats.org/officeDocument/2006/relationships/hyperlink" Target="https://pbs.twimg.com/profile_images/713101102577745920/1__bxTI__normal.jpg" TargetMode="External"/><Relationship Id="rId8113" Type="http://schemas.openxmlformats.org/officeDocument/2006/relationships/hyperlink" Target="https://pbs.twimg.com/profile_images/645716711723925506/t5G0qOS6_normal.jpg" TargetMode="External"/><Relationship Id="rId10043" Type="http://schemas.openxmlformats.org/officeDocument/2006/relationships/hyperlink" Target="https://twitter.com/cschaale/status/724308360422629378" TargetMode="External"/><Relationship Id="rId3258" Type="http://schemas.openxmlformats.org/officeDocument/2006/relationships/hyperlink" Target="https://pbs.twimg.com/profile_images/645716711723925506/t5G0qOS6_normal.jpg" TargetMode="External"/><Relationship Id="rId3672" Type="http://schemas.openxmlformats.org/officeDocument/2006/relationships/hyperlink" Target="https://twitter.com/Derdack/status/722400585002184706" TargetMode="External"/><Relationship Id="rId4309" Type="http://schemas.openxmlformats.org/officeDocument/2006/relationships/hyperlink" Target="https://twitter.com/INDIZbot/status/722661478453616640" TargetMode="External"/><Relationship Id="rId4723" Type="http://schemas.openxmlformats.org/officeDocument/2006/relationships/hyperlink" Target="https://twitter.com/Industrie_40/status/722714528136458240" TargetMode="External"/><Relationship Id="rId7879" Type="http://schemas.openxmlformats.org/officeDocument/2006/relationships/hyperlink" Target="https://twitter.com/JoeMenninger" TargetMode="External"/><Relationship Id="rId10110" Type="http://schemas.openxmlformats.org/officeDocument/2006/relationships/hyperlink" Target="https://pbs.twimg.com/profile_images/716882543551885312/GxRIW86z_normal.jpg" TargetMode="External"/><Relationship Id="rId179" Type="http://schemas.openxmlformats.org/officeDocument/2006/relationships/hyperlink" Target="https://twitter.com/NavasGestion/status/720524271894835200" TargetMode="External"/><Relationship Id="rId593" Type="http://schemas.openxmlformats.org/officeDocument/2006/relationships/hyperlink" Target="https://twitter.com/Pamsav1" TargetMode="External"/><Relationship Id="rId2274" Type="http://schemas.openxmlformats.org/officeDocument/2006/relationships/hyperlink" Target="https://twitter.com/H_IT_D" TargetMode="External"/><Relationship Id="rId3325" Type="http://schemas.openxmlformats.org/officeDocument/2006/relationships/hyperlink" Target="https://twitter.com/WibuSystems" TargetMode="External"/><Relationship Id="rId246" Type="http://schemas.openxmlformats.org/officeDocument/2006/relationships/hyperlink" Target="https://pbs.twimg.com/profile_images/378800000181509745/cc2ac55b1f8cf6de6ab7c9ea96eae6fa_normal.png" TargetMode="External"/><Relationship Id="rId660" Type="http://schemas.openxmlformats.org/officeDocument/2006/relationships/hyperlink" Target="https://twitter.com/GiselePrevost/status/720655041053515777" TargetMode="External"/><Relationship Id="rId1290" Type="http://schemas.openxmlformats.org/officeDocument/2006/relationships/hyperlink" Target="https://pbs.twimg.com/profile_images/651340877881741316/uYdqY-TL_normal.jpg" TargetMode="External"/><Relationship Id="rId2341" Type="http://schemas.openxmlformats.org/officeDocument/2006/relationships/hyperlink" Target="https://twitter.com/INDIZbot" TargetMode="External"/><Relationship Id="rId5497" Type="http://schemas.openxmlformats.org/officeDocument/2006/relationships/hyperlink" Target="https://twitter.com/EskenSaskia/status/722820065545097218" TargetMode="External"/><Relationship Id="rId6548" Type="http://schemas.openxmlformats.org/officeDocument/2006/relationships/hyperlink" Target="https://twitter.com/SGE" TargetMode="External"/><Relationship Id="rId6895" Type="http://schemas.openxmlformats.org/officeDocument/2006/relationships/hyperlink" Target="https://twitter.com/AsteaService" TargetMode="External"/><Relationship Id="rId7946" Type="http://schemas.openxmlformats.org/officeDocument/2006/relationships/hyperlink" Target="https://twitter.com/itsOWL_Cluster" TargetMode="External"/><Relationship Id="rId313" Type="http://schemas.openxmlformats.org/officeDocument/2006/relationships/hyperlink" Target="https://twitter.com/mint22com" TargetMode="External"/><Relationship Id="rId4099" Type="http://schemas.openxmlformats.org/officeDocument/2006/relationships/hyperlink" Target="https://twitter.com/LudwigVCI/status/722501596656046080" TargetMode="External"/><Relationship Id="rId6962" Type="http://schemas.openxmlformats.org/officeDocument/2006/relationships/hyperlink" Target="https://twitter.com/pfisterer_ralf/status/723212680476131328" TargetMode="External"/><Relationship Id="rId9021" Type="http://schemas.openxmlformats.org/officeDocument/2006/relationships/hyperlink" Target="https://pbs.twimg.com/profile_images/491604376192958465/Ir18BAvZ_normal.png" TargetMode="External"/><Relationship Id="rId5564" Type="http://schemas.openxmlformats.org/officeDocument/2006/relationships/hyperlink" Target="https://pbs.twimg.com/profile_images/677781149037514752/TcTK8Bpv_normal.png" TargetMode="External"/><Relationship Id="rId6615" Type="http://schemas.openxmlformats.org/officeDocument/2006/relationships/hyperlink" Target="https://twitter.com/SGE" TargetMode="External"/><Relationship Id="rId1010" Type="http://schemas.openxmlformats.org/officeDocument/2006/relationships/hyperlink" Target="https://twitter.com/markherten/status/720883756374986752" TargetMode="External"/><Relationship Id="rId4166" Type="http://schemas.openxmlformats.org/officeDocument/2006/relationships/hyperlink" Target="https://pbs.twimg.com/profile_images/623849156159868928/BetFDR_i_normal.jpg" TargetMode="External"/><Relationship Id="rId4580" Type="http://schemas.openxmlformats.org/officeDocument/2006/relationships/hyperlink" Target="https://pbs.twimg.com/profile_images/378800000461229603/54dcc490f17c8812011cde76385f9b9d_normal.jpeg" TargetMode="External"/><Relationship Id="rId5217" Type="http://schemas.openxmlformats.org/officeDocument/2006/relationships/hyperlink" Target="https://twitter.com/VISAMgmbh" TargetMode="External"/><Relationship Id="rId5631" Type="http://schemas.openxmlformats.org/officeDocument/2006/relationships/hyperlink" Target="https://twitter.com/INDIZbot" TargetMode="External"/><Relationship Id="rId8787" Type="http://schemas.openxmlformats.org/officeDocument/2006/relationships/hyperlink" Target="https://pbs.twimg.com/profile_images/709490937043492865/GYoQPOCZ_normal.jpg" TargetMode="External"/><Relationship Id="rId9838" Type="http://schemas.openxmlformats.org/officeDocument/2006/relationships/hyperlink" Target="https://twitter.com/angelhoyospr" TargetMode="External"/><Relationship Id="rId1827" Type="http://schemas.openxmlformats.org/officeDocument/2006/relationships/hyperlink" Target="https://pbs.twimg.com/profile_images/645716711723925506/t5G0qOS6_normal.jpg" TargetMode="External"/><Relationship Id="rId7389" Type="http://schemas.openxmlformats.org/officeDocument/2006/relationships/hyperlink" Target="https://twitter.com/MindCommerce/status/723404346772230144" TargetMode="External"/><Relationship Id="rId3999" Type="http://schemas.openxmlformats.org/officeDocument/2006/relationships/hyperlink" Target="https://twitter.com/aguittard/status/722466932612558848" TargetMode="External"/><Relationship Id="rId4300" Type="http://schemas.openxmlformats.org/officeDocument/2006/relationships/hyperlink" Target="https://twitter.com/ROKAutomationDE/status/722661097799593984" TargetMode="External"/><Relationship Id="rId170" Type="http://schemas.openxmlformats.org/officeDocument/2006/relationships/hyperlink" Target="https://twitter.com/CDechoux/status/720521894160699393" TargetMode="External"/><Relationship Id="rId6472" Type="http://schemas.openxmlformats.org/officeDocument/2006/relationships/hyperlink" Target="https://pbs.twimg.com/profile_images/521729837849788416/VaANV2F5_normal.jpeg" TargetMode="External"/><Relationship Id="rId7523" Type="http://schemas.openxmlformats.org/officeDocument/2006/relationships/hyperlink" Target="https://pbs.twimg.com/profile_images/561137710287425536/htHMwCBr_normal.png" TargetMode="External"/><Relationship Id="rId7870" Type="http://schemas.openxmlformats.org/officeDocument/2006/relationships/hyperlink" Target="https://twitter.com/ahk_frankreich" TargetMode="External"/><Relationship Id="rId8921" Type="http://schemas.openxmlformats.org/officeDocument/2006/relationships/hyperlink" Target="https://twitter.com/_damoca/status/723864055597903872" TargetMode="External"/><Relationship Id="rId5074" Type="http://schemas.openxmlformats.org/officeDocument/2006/relationships/hyperlink" Target="https://twitter.com/NeleReimers" TargetMode="External"/><Relationship Id="rId6125" Type="http://schemas.openxmlformats.org/officeDocument/2006/relationships/hyperlink" Target="https://pbs.twimg.com/profile_images/645716711723925506/t5G0qOS6_normal.jpg" TargetMode="External"/><Relationship Id="rId8297" Type="http://schemas.openxmlformats.org/officeDocument/2006/relationships/hyperlink" Target="https://pbs.twimg.com/profile_images/662723326096224256/5V4KH9_O_normal.jpg" TargetMode="External"/><Relationship Id="rId9695" Type="http://schemas.openxmlformats.org/officeDocument/2006/relationships/hyperlink" Target="https://twitter.com/iaapraaipr" TargetMode="External"/><Relationship Id="rId1684" Type="http://schemas.openxmlformats.org/officeDocument/2006/relationships/hyperlink" Target="https://twitter.com/skills_austria" TargetMode="External"/><Relationship Id="rId2735" Type="http://schemas.openxmlformats.org/officeDocument/2006/relationships/hyperlink" Target="https://abs.twimg.com/sticky/default_profile_images/default_profile_1_normal.png" TargetMode="External"/><Relationship Id="rId9348" Type="http://schemas.openxmlformats.org/officeDocument/2006/relationships/hyperlink" Target="https://twitter.com/INDIZbot/status/724148891873107969" TargetMode="External"/><Relationship Id="rId707" Type="http://schemas.openxmlformats.org/officeDocument/2006/relationships/hyperlink" Target="https://twitter.com/DerLogistikfan" TargetMode="External"/><Relationship Id="rId1337" Type="http://schemas.openxmlformats.org/officeDocument/2006/relationships/hyperlink" Target="https://twitter.com/ThibautRey2_0/status/720964535453106176" TargetMode="External"/><Relationship Id="rId5958" Type="http://schemas.openxmlformats.org/officeDocument/2006/relationships/hyperlink" Target="https://twitter.com/Bitkom_I40/status/723065321964339200" TargetMode="External"/><Relationship Id="rId43" Type="http://schemas.openxmlformats.org/officeDocument/2006/relationships/hyperlink" Target="https://twitter.com/NeleReimers" TargetMode="External"/><Relationship Id="rId7380" Type="http://schemas.openxmlformats.org/officeDocument/2006/relationships/hyperlink" Target="https://twitter.com/SBH_Germany/status/723404059395289088" TargetMode="External"/><Relationship Id="rId8431" Type="http://schemas.openxmlformats.org/officeDocument/2006/relationships/hyperlink" Target="https://twitter.com/ROKAutomationUK" TargetMode="External"/><Relationship Id="rId7033" Type="http://schemas.openxmlformats.org/officeDocument/2006/relationships/hyperlink" Target="https://twitter.com/INDIZbot" TargetMode="External"/><Relationship Id="rId10014" Type="http://schemas.openxmlformats.org/officeDocument/2006/relationships/hyperlink" Target="https://pbs.twimg.com/profile_images/378989830/Reinhard-Portrait_normal.jpg" TargetMode="External"/><Relationship Id="rId3990" Type="http://schemas.openxmlformats.org/officeDocument/2006/relationships/hyperlink" Target="https://twitter.com/Rhenatic/status/722466697618264064" TargetMode="External"/><Relationship Id="rId1194" Type="http://schemas.openxmlformats.org/officeDocument/2006/relationships/hyperlink" Target="https://pbs.twimg.com/profile_images/2313098110/4snjglcjaqs64pw8v2kf_normal.jpeg" TargetMode="External"/><Relationship Id="rId2592" Type="http://schemas.openxmlformats.org/officeDocument/2006/relationships/hyperlink" Target="https://pbs.twimg.com/profile_images/593011135428882432/BGMPkrwp_normal.jpg" TargetMode="External"/><Relationship Id="rId3643" Type="http://schemas.openxmlformats.org/officeDocument/2006/relationships/hyperlink" Target="https://pbs.twimg.com/profile_images/663668561366245376/2ovYiiJf_normal.jpg" TargetMode="External"/><Relationship Id="rId217" Type="http://schemas.openxmlformats.org/officeDocument/2006/relationships/hyperlink" Target="https://twitter.com/BitkomResearch" TargetMode="External"/><Relationship Id="rId564" Type="http://schemas.openxmlformats.org/officeDocument/2006/relationships/hyperlink" Target="https://twitter.com/logistiknews/status/720622845940916224" TargetMode="External"/><Relationship Id="rId2245" Type="http://schemas.openxmlformats.org/officeDocument/2006/relationships/hyperlink" Target="https://twitter.com/INDIZbot" TargetMode="External"/><Relationship Id="rId6866" Type="http://schemas.openxmlformats.org/officeDocument/2006/relationships/hyperlink" Target="https://twitter.com/INDIZbot/status/723179926556409856" TargetMode="External"/><Relationship Id="rId7917" Type="http://schemas.openxmlformats.org/officeDocument/2006/relationships/hyperlink" Target="https://pbs.twimg.com/profile_images/589392862422441984/1HFN6ZwF_normal.jpg" TargetMode="External"/><Relationship Id="rId5468" Type="http://schemas.openxmlformats.org/officeDocument/2006/relationships/hyperlink" Target="https://pbs.twimg.com/profile_images/662723326096224256/5V4KH9_O_normal.jpg" TargetMode="External"/><Relationship Id="rId6519" Type="http://schemas.openxmlformats.org/officeDocument/2006/relationships/hyperlink" Target="https://twitter.com/INDIZbot/status/723134625850265600" TargetMode="External"/><Relationship Id="rId4551" Type="http://schemas.openxmlformats.org/officeDocument/2006/relationships/hyperlink" Target="https://twitter.com/AltenaTCS" TargetMode="External"/><Relationship Id="rId3153" Type="http://schemas.openxmlformats.org/officeDocument/2006/relationships/hyperlink" Target="https://twitter.com/QuickFindsIn" TargetMode="External"/><Relationship Id="rId4204" Type="http://schemas.openxmlformats.org/officeDocument/2006/relationships/hyperlink" Target="https://twitter.com/INDIZbot/status/722518046888353793" TargetMode="External"/><Relationship Id="rId5602" Type="http://schemas.openxmlformats.org/officeDocument/2006/relationships/hyperlink" Target="https://twitter.com/kommoptimierer/status/722878761239240704" TargetMode="External"/><Relationship Id="rId7774" Type="http://schemas.openxmlformats.org/officeDocument/2006/relationships/hyperlink" Target="https://twitter.com/Samarelli75/status/723432614590214144" TargetMode="External"/><Relationship Id="rId8825" Type="http://schemas.openxmlformats.org/officeDocument/2006/relationships/hyperlink" Target="https://twitter.com/INDIZbot/status/723826725659000836" TargetMode="External"/><Relationship Id="rId6029" Type="http://schemas.openxmlformats.org/officeDocument/2006/relationships/hyperlink" Target="https://twitter.com/DigitalTrans_HS" TargetMode="External"/><Relationship Id="rId6376" Type="http://schemas.openxmlformats.org/officeDocument/2006/relationships/hyperlink" Target="https://pbs.twimg.com/profile_images/2679762722/946e3e1372fd9cf7c92ed14c414d3a4a_normal.png" TargetMode="External"/><Relationship Id="rId7427" Type="http://schemas.openxmlformats.org/officeDocument/2006/relationships/hyperlink" Target="https://twitter.com/rajesh266/status/723405794788540416" TargetMode="External"/><Relationship Id="rId2986" Type="http://schemas.openxmlformats.org/officeDocument/2006/relationships/hyperlink" Target="https://pbs.twimg.com/profile_images/707482808458027008/CckMhUz1_normal.jpg" TargetMode="External"/><Relationship Id="rId9599" Type="http://schemas.openxmlformats.org/officeDocument/2006/relationships/hyperlink" Target="https://twitter.com/Bitkom_I40" TargetMode="External"/><Relationship Id="rId958" Type="http://schemas.openxmlformats.org/officeDocument/2006/relationships/hyperlink" Target="https://twitter.com/SvenMul" TargetMode="External"/><Relationship Id="rId1588" Type="http://schemas.openxmlformats.org/officeDocument/2006/relationships/hyperlink" Target="https://twitter.com/Adam_Ripley" TargetMode="External"/><Relationship Id="rId2639" Type="http://schemas.openxmlformats.org/officeDocument/2006/relationships/hyperlink" Target="https://twitter.com/LNI40" TargetMode="External"/><Relationship Id="rId6510" Type="http://schemas.openxmlformats.org/officeDocument/2006/relationships/hyperlink" Target="https://twitter.com/BerHerg/status/723134342172540929" TargetMode="External"/><Relationship Id="rId4061" Type="http://schemas.openxmlformats.org/officeDocument/2006/relationships/hyperlink" Target="https://twitter.com/AnWa_85" TargetMode="External"/><Relationship Id="rId5112" Type="http://schemas.openxmlformats.org/officeDocument/2006/relationships/hyperlink" Target="https://pbs.twimg.com/profile_images/603699032804859904/lb5IMG5x_normal.jpg" TargetMode="External"/><Relationship Id="rId8682" Type="http://schemas.openxmlformats.org/officeDocument/2006/relationships/hyperlink" Target="https://pbs.twimg.com/profile_images/645716711723925506/t5G0qOS6_normal.jpg" TargetMode="External"/><Relationship Id="rId9733" Type="http://schemas.openxmlformats.org/officeDocument/2006/relationships/hyperlink" Target="https://twitter.com/INDIZbot/status/724236747169763328" TargetMode="External"/><Relationship Id="rId7284" Type="http://schemas.openxmlformats.org/officeDocument/2006/relationships/hyperlink" Target="https://pbs.twimg.com/profile_images/722098538604281856/CcBxk1_M_normal.jpg" TargetMode="External"/><Relationship Id="rId8335" Type="http://schemas.openxmlformats.org/officeDocument/2006/relationships/hyperlink" Target="https://twitter.com/lukaspfeiffer/status/723537209740136448" TargetMode="External"/><Relationship Id="rId1722" Type="http://schemas.openxmlformats.org/officeDocument/2006/relationships/hyperlink" Target="https://pbs.twimg.com/profile_images/645716711723925506/t5G0qOS6_normal.jpg" TargetMode="External"/><Relationship Id="rId10265" Type="http://schemas.openxmlformats.org/officeDocument/2006/relationships/hyperlink" Target="https://twitter.com/JpIndustryNews/status/724433624251113472" TargetMode="External"/><Relationship Id="rId3894" Type="http://schemas.openxmlformats.org/officeDocument/2006/relationships/hyperlink" Target="https://twitter.com/OliverS2010/status/722453488849068032" TargetMode="External"/><Relationship Id="rId4945" Type="http://schemas.openxmlformats.org/officeDocument/2006/relationships/hyperlink" Target="https://twitter.com/kommoptimierer/status/722742867748372480" TargetMode="External"/><Relationship Id="rId2496" Type="http://schemas.openxmlformats.org/officeDocument/2006/relationships/hyperlink" Target="https://pbs.twimg.com/profile_images/722385992343285760/ww8YLZ2q_normal.jpg" TargetMode="External"/><Relationship Id="rId3547" Type="http://schemas.openxmlformats.org/officeDocument/2006/relationships/hyperlink" Target="https://pbs.twimg.com/profile_images/645716711723925506/t5G0qOS6_normal.jpg" TargetMode="External"/><Relationship Id="rId468" Type="http://schemas.openxmlformats.org/officeDocument/2006/relationships/hyperlink" Target="https://twitter.com/abasERP/status/720599964636815360" TargetMode="External"/><Relationship Id="rId1098" Type="http://schemas.openxmlformats.org/officeDocument/2006/relationships/hyperlink" Target="https://pbs.twimg.com/profile_images/645716711723925506/t5G0qOS6_normal.jpg" TargetMode="External"/><Relationship Id="rId2149" Type="http://schemas.openxmlformats.org/officeDocument/2006/relationships/hyperlink" Target="https://twitter.com/3Dsignals" TargetMode="External"/><Relationship Id="rId6020" Type="http://schemas.openxmlformats.org/officeDocument/2006/relationships/hyperlink" Target="https://twitter.com/NicolasChulot" TargetMode="External"/><Relationship Id="rId9590" Type="http://schemas.openxmlformats.org/officeDocument/2006/relationships/hyperlink" Target="https://twitter.com/Bitkom_I40" TargetMode="External"/><Relationship Id="rId2630" Type="http://schemas.openxmlformats.org/officeDocument/2006/relationships/hyperlink" Target="https://twitter.com/BMBF_Bund" TargetMode="External"/><Relationship Id="rId8192" Type="http://schemas.openxmlformats.org/officeDocument/2006/relationships/hyperlink" Target="https://pbs.twimg.com/profile_images/645716711723925506/t5G0qOS6_normal.jpg" TargetMode="External"/><Relationship Id="rId9243" Type="http://schemas.openxmlformats.org/officeDocument/2006/relationships/hyperlink" Target="https://twitter.com/RIC_GRANAD0S/status/724033507450707968" TargetMode="External"/><Relationship Id="rId602" Type="http://schemas.openxmlformats.org/officeDocument/2006/relationships/hyperlink" Target="https://twitter.com/Geschnattere" TargetMode="External"/><Relationship Id="rId1232" Type="http://schemas.openxmlformats.org/officeDocument/2006/relationships/hyperlink" Target="https://twitter.com/verlinked/status/720929704123871233" TargetMode="External"/><Relationship Id="rId5853" Type="http://schemas.openxmlformats.org/officeDocument/2006/relationships/hyperlink" Target="https://twitter.com/INDIZbot/status/723054018327646208" TargetMode="External"/><Relationship Id="rId6904" Type="http://schemas.openxmlformats.org/officeDocument/2006/relationships/hyperlink" Target="https://twitter.com/Industry40" TargetMode="External"/><Relationship Id="rId3057" Type="http://schemas.openxmlformats.org/officeDocument/2006/relationships/hyperlink" Target="https://twitter.com/fran_priebe" TargetMode="External"/><Relationship Id="rId4108" Type="http://schemas.openxmlformats.org/officeDocument/2006/relationships/hyperlink" Target="https://twitter.com/Angela_Josephs/status/722507461693992960" TargetMode="External"/><Relationship Id="rId4455" Type="http://schemas.openxmlformats.org/officeDocument/2006/relationships/hyperlink" Target="https://pbs.twimg.com/profile_images/704596570717683712/S63wpVif_normal.jpg" TargetMode="External"/><Relationship Id="rId5506" Type="http://schemas.openxmlformats.org/officeDocument/2006/relationships/hyperlink" Target="https://twitter.com/INDIZbot/status/722827696313667584" TargetMode="External"/><Relationship Id="rId7678" Type="http://schemas.openxmlformats.org/officeDocument/2006/relationships/hyperlink" Target="https://twitter.com/s_w_weyer/status/723425706164670470" TargetMode="External"/><Relationship Id="rId8729" Type="http://schemas.openxmlformats.org/officeDocument/2006/relationships/hyperlink" Target="https://twitter.com/verlinked/status/723798622660251650" TargetMode="External"/><Relationship Id="rId2140" Type="http://schemas.openxmlformats.org/officeDocument/2006/relationships/hyperlink" Target="https://twitter.com/INDIZbot" TargetMode="External"/><Relationship Id="rId6761" Type="http://schemas.openxmlformats.org/officeDocument/2006/relationships/hyperlink" Target="https://twitter.com/nitinkolwadkar/status/723168296095354880" TargetMode="External"/><Relationship Id="rId7812" Type="http://schemas.openxmlformats.org/officeDocument/2006/relationships/hyperlink" Target="https://pbs.twimg.com/profile_images/445540366637223937/HX8VPgJH_normal.jpeg" TargetMode="External"/><Relationship Id="rId112" Type="http://schemas.openxmlformats.org/officeDocument/2006/relationships/hyperlink" Target="https://twitter.com/HFrapsauce" TargetMode="External"/><Relationship Id="rId5363" Type="http://schemas.openxmlformats.org/officeDocument/2006/relationships/hyperlink" Target="https://twitter.com/WidasConcepts" TargetMode="External"/><Relationship Id="rId6414" Type="http://schemas.openxmlformats.org/officeDocument/2006/relationships/hyperlink" Target="https://twitter.com/fhnw_i4ds/status/723120557084962816" TargetMode="External"/><Relationship Id="rId5016" Type="http://schemas.openxmlformats.org/officeDocument/2006/relationships/hyperlink" Target="https://pbs.twimg.com/profile_images/710750672581484545/n4dPcodC_normal.jpg" TargetMode="External"/><Relationship Id="rId9984" Type="http://schemas.openxmlformats.org/officeDocument/2006/relationships/hyperlink" Target="https://pbs.twimg.com/profile_images/645716711723925506/t5G0qOS6_normal.jpg" TargetMode="External"/><Relationship Id="rId1973" Type="http://schemas.openxmlformats.org/officeDocument/2006/relationships/hyperlink" Target="https://pbs.twimg.com/profile_images/722385992343285760/ww8YLZ2q_normal.jpg" TargetMode="External"/><Relationship Id="rId7188" Type="http://schemas.openxmlformats.org/officeDocument/2006/relationships/hyperlink" Target="https://pbs.twimg.com/profile_images/2162445220/wagnertwitter_normal.jpg" TargetMode="External"/><Relationship Id="rId8239" Type="http://schemas.openxmlformats.org/officeDocument/2006/relationships/hyperlink" Target="https://twitter.com/hzl_fk/status/723518733889712129" TargetMode="External"/><Relationship Id="rId8586" Type="http://schemas.openxmlformats.org/officeDocument/2006/relationships/hyperlink" Target="https://pbs.twimg.com/profile_images/1336102736/AR69190_normal.jpg" TargetMode="External"/><Relationship Id="rId9637" Type="http://schemas.openxmlformats.org/officeDocument/2006/relationships/hyperlink" Target="https://pbs.twimg.com/profile_images/1185506594/logo-new_for_the_blog_normal.jpg" TargetMode="External"/><Relationship Id="rId1626" Type="http://schemas.openxmlformats.org/officeDocument/2006/relationships/hyperlink" Target="https://pbs.twimg.com/profile_images/617950867170263040/s8vgGLPr_normal.jpg" TargetMode="External"/><Relationship Id="rId10169" Type="http://schemas.openxmlformats.org/officeDocument/2006/relationships/hyperlink" Target="https://twitter.com/INDIZbot/status/724352719335657472" TargetMode="External"/><Relationship Id="rId3798" Type="http://schemas.openxmlformats.org/officeDocument/2006/relationships/hyperlink" Target="https://twitter.com/H_IT_D/status/722428440394096641" TargetMode="External"/><Relationship Id="rId4849" Type="http://schemas.openxmlformats.org/officeDocument/2006/relationships/hyperlink" Target="https://twitter.com/Gensearch_GER/status/722725205676802048" TargetMode="External"/><Relationship Id="rId8720" Type="http://schemas.openxmlformats.org/officeDocument/2006/relationships/hyperlink" Target="https://twitter.com/INDIZbot/status/723796696149426177" TargetMode="External"/><Relationship Id="rId6271" Type="http://schemas.openxmlformats.org/officeDocument/2006/relationships/hyperlink" Target="https://pbs.twimg.com/profile_images/653873123536805889/EF71GQzy_normal.jpg" TargetMode="External"/><Relationship Id="rId7322" Type="http://schemas.openxmlformats.org/officeDocument/2006/relationships/hyperlink" Target="https://twitter.com/automotive_IT" TargetMode="External"/><Relationship Id="rId10303" Type="http://schemas.openxmlformats.org/officeDocument/2006/relationships/hyperlink" Target="https://twitter.com/INDIZbot" TargetMode="External"/><Relationship Id="rId9494" Type="http://schemas.openxmlformats.org/officeDocument/2006/relationships/hyperlink" Target="https://twitter.com/db_theblizz" TargetMode="External"/><Relationship Id="rId1483" Type="http://schemas.openxmlformats.org/officeDocument/2006/relationships/hyperlink" Target="https://twitter.com/H_IT_D" TargetMode="External"/><Relationship Id="rId2881" Type="http://schemas.openxmlformats.org/officeDocument/2006/relationships/hyperlink" Target="https://twitter.com/dustcloud_io" TargetMode="External"/><Relationship Id="rId3932" Type="http://schemas.openxmlformats.org/officeDocument/2006/relationships/hyperlink" Target="https://twitter.com/aguittard" TargetMode="External"/><Relationship Id="rId8096" Type="http://schemas.openxmlformats.org/officeDocument/2006/relationships/hyperlink" Target="https://twitter.com/Databanque" TargetMode="External"/><Relationship Id="rId9147" Type="http://schemas.openxmlformats.org/officeDocument/2006/relationships/hyperlink" Target="https://twitter.com/sallyafrank/status/723955025379221505" TargetMode="External"/><Relationship Id="rId506" Type="http://schemas.openxmlformats.org/officeDocument/2006/relationships/hyperlink" Target="https://twitter.com/Teresa_Leggettt" TargetMode="External"/><Relationship Id="rId853" Type="http://schemas.openxmlformats.org/officeDocument/2006/relationships/hyperlink" Target="https://twitter.com/DrBorisOtto/status/720847717480595456" TargetMode="External"/><Relationship Id="rId1136" Type="http://schemas.openxmlformats.org/officeDocument/2006/relationships/hyperlink" Target="https://twitter.com/INDIZbot/status/720904989036703745" TargetMode="External"/><Relationship Id="rId2534" Type="http://schemas.openxmlformats.org/officeDocument/2006/relationships/hyperlink" Target="https://pbs.twimg.com/profile_images/692460254941024256/pFx1D2YZ_normal.png" TargetMode="External"/><Relationship Id="rId5757" Type="http://schemas.openxmlformats.org/officeDocument/2006/relationships/hyperlink" Target="https://twitter.com/TLinn_Visionico" TargetMode="External"/><Relationship Id="rId6808" Type="http://schemas.openxmlformats.org/officeDocument/2006/relationships/hyperlink" Target="https://twitter.com/H_IT_D" TargetMode="External"/><Relationship Id="rId4359" Type="http://schemas.openxmlformats.org/officeDocument/2006/relationships/hyperlink" Target="https://twitter.com/AnamariaCorca" TargetMode="External"/><Relationship Id="rId8230" Type="http://schemas.openxmlformats.org/officeDocument/2006/relationships/hyperlink" Target="https://twitter.com/LutzVA/status/723515842831458305" TargetMode="External"/><Relationship Id="rId10160" Type="http://schemas.openxmlformats.org/officeDocument/2006/relationships/hyperlink" Target="https://twitter.com/Frank_Reinelt/status/724350437177040899" TargetMode="External"/><Relationship Id="rId4840" Type="http://schemas.openxmlformats.org/officeDocument/2006/relationships/hyperlink" Target="https://twitter.com/ZVEIorg/status/722723653574635520" TargetMode="External"/><Relationship Id="rId2391" Type="http://schemas.openxmlformats.org/officeDocument/2006/relationships/hyperlink" Target="https://pbs.twimg.com/profile_images/509252372774653952/cl1TCi-g_normal.png" TargetMode="External"/><Relationship Id="rId3442" Type="http://schemas.openxmlformats.org/officeDocument/2006/relationships/hyperlink" Target="https://pbs.twimg.com/profile_images/603699032804859904/lb5IMG5x_normal.jpg" TargetMode="External"/><Relationship Id="rId363" Type="http://schemas.openxmlformats.org/officeDocument/2006/relationships/hyperlink" Target="https://pbs.twimg.com/profile_images/378800000594328281/0f4e54fd3c2920f7ea26009ea43c0c3d_normal.jpeg" TargetMode="External"/><Relationship Id="rId2044" Type="http://schemas.openxmlformats.org/officeDocument/2006/relationships/hyperlink" Target="https://twitter.com/INDIZbot/status/721760563353804800" TargetMode="External"/><Relationship Id="rId5267" Type="http://schemas.openxmlformats.org/officeDocument/2006/relationships/hyperlink" Target="https://twitter.com/Ralf_Kuder/status/722778577180045312" TargetMode="External"/><Relationship Id="rId6318" Type="http://schemas.openxmlformats.org/officeDocument/2006/relationships/hyperlink" Target="https://twitter.com/Apandia" TargetMode="External"/><Relationship Id="rId6665" Type="http://schemas.openxmlformats.org/officeDocument/2006/relationships/hyperlink" Target="https://twitter.com/VDEpolitik/status/723157185467846656" TargetMode="External"/><Relationship Id="rId7716" Type="http://schemas.openxmlformats.org/officeDocument/2006/relationships/hyperlink" Target="https://twitter.com/AccenturePresse" TargetMode="External"/><Relationship Id="rId9888" Type="http://schemas.openxmlformats.org/officeDocument/2006/relationships/hyperlink" Target="https://pbs.twimg.com/profile_images/420844205607362560/p085f4o7_normal.png" TargetMode="External"/><Relationship Id="rId1877" Type="http://schemas.openxmlformats.org/officeDocument/2006/relationships/hyperlink" Target="https://twitter.com/condet020274" TargetMode="External"/><Relationship Id="rId2928" Type="http://schemas.openxmlformats.org/officeDocument/2006/relationships/hyperlink" Target="https://twitter.com/TSchipanski/status/722176687002292224" TargetMode="External"/><Relationship Id="rId4350" Type="http://schemas.openxmlformats.org/officeDocument/2006/relationships/hyperlink" Target="https://twitter.com/MindCommerce" TargetMode="External"/><Relationship Id="rId5401" Type="http://schemas.openxmlformats.org/officeDocument/2006/relationships/hyperlink" Target="https://pbs.twimg.com/profile_images/598145456795975680/6tjj5yUz_normal.jpg" TargetMode="External"/><Relationship Id="rId8971" Type="http://schemas.openxmlformats.org/officeDocument/2006/relationships/hyperlink" Target="https://twitter.com/INDIZbot" TargetMode="External"/><Relationship Id="rId4003" Type="http://schemas.openxmlformats.org/officeDocument/2006/relationships/hyperlink" Target="https://pbs.twimg.com/profile_images/659771723500249088/HyyPYoht_normal.jpg" TargetMode="External"/><Relationship Id="rId7573" Type="http://schemas.openxmlformats.org/officeDocument/2006/relationships/hyperlink" Target="https://twitter.com/SEWEURODRIVE/status/723414604437540864" TargetMode="External"/><Relationship Id="rId8624" Type="http://schemas.openxmlformats.org/officeDocument/2006/relationships/hyperlink" Target="https://twitter.com/INDIZbot/status/723769165677469696" TargetMode="External"/><Relationship Id="rId6175" Type="http://schemas.openxmlformats.org/officeDocument/2006/relationships/hyperlink" Target="https://twitter.com/LReehten/status/723083532709416960" TargetMode="External"/><Relationship Id="rId7226" Type="http://schemas.openxmlformats.org/officeDocument/2006/relationships/hyperlink" Target="https://twitter.com/v_reichardt/status/723385237175042048" TargetMode="External"/><Relationship Id="rId9398" Type="http://schemas.openxmlformats.org/officeDocument/2006/relationships/hyperlink" Target="https://twitter.com/germanchassis" TargetMode="External"/><Relationship Id="rId10207" Type="http://schemas.openxmlformats.org/officeDocument/2006/relationships/hyperlink" Target="https://twitter.com/gaadvancement" TargetMode="External"/><Relationship Id="rId2785" Type="http://schemas.openxmlformats.org/officeDocument/2006/relationships/hyperlink" Target="https://twitter.com/CloudJobFair/status/722120706776018946" TargetMode="External"/><Relationship Id="rId3836" Type="http://schemas.openxmlformats.org/officeDocument/2006/relationships/hyperlink" Target="https://twitter.com/Gruendercoaches" TargetMode="External"/><Relationship Id="rId757" Type="http://schemas.openxmlformats.org/officeDocument/2006/relationships/hyperlink" Target="https://pbs.twimg.com/profile_images/521588968844836864/_szXnEc__normal.jpeg" TargetMode="External"/><Relationship Id="rId1387" Type="http://schemas.openxmlformats.org/officeDocument/2006/relationships/hyperlink" Target="https://pbs.twimg.com/profile_images/645716711723925506/t5G0qOS6_normal.jpg" TargetMode="External"/><Relationship Id="rId2438" Type="http://schemas.openxmlformats.org/officeDocument/2006/relationships/hyperlink" Target="https://twitter.com/prxagentur/status/722025718155190272" TargetMode="External"/><Relationship Id="rId93" Type="http://schemas.openxmlformats.org/officeDocument/2006/relationships/hyperlink" Target="https://pbs.twimg.com/profile_images/560799766007664640/lsjqv0TW_normal.jpeg" TargetMode="External"/><Relationship Id="rId8481" Type="http://schemas.openxmlformats.org/officeDocument/2006/relationships/hyperlink" Target="https://pbs.twimg.com/profile_images/1134540350/Twitter_Pic_normal.jpg" TargetMode="External"/><Relationship Id="rId9532" Type="http://schemas.openxmlformats.org/officeDocument/2006/relationships/hyperlink" Target="https://pbs.twimg.com/profile_images/720258876004777984/WWMnLPCN_normal.jpg" TargetMode="External"/><Relationship Id="rId1521" Type="http://schemas.openxmlformats.org/officeDocument/2006/relationships/hyperlink" Target="https://pbs.twimg.com/profile_images/552211771360940032/CmEYO0l3_normal.png" TargetMode="External"/><Relationship Id="rId7083" Type="http://schemas.openxmlformats.org/officeDocument/2006/relationships/hyperlink" Target="https://pbs.twimg.com/profile_images/645716711723925506/t5G0qOS6_normal.jpg" TargetMode="External"/><Relationship Id="rId8134" Type="http://schemas.openxmlformats.org/officeDocument/2006/relationships/hyperlink" Target="https://pbs.twimg.com/profile_images/2619086509/ld3z97zhhdbs2essw7s9_normal.jpeg" TargetMode="External"/><Relationship Id="rId10064" Type="http://schemas.openxmlformats.org/officeDocument/2006/relationships/hyperlink" Target="https://twitter.com/IngVersteher/status/724317318092861444" TargetMode="External"/><Relationship Id="rId3693" Type="http://schemas.openxmlformats.org/officeDocument/2006/relationships/hyperlink" Target="https://twitter.com/INDIZbot/status/722407634297561088" TargetMode="External"/><Relationship Id="rId2295" Type="http://schemas.openxmlformats.org/officeDocument/2006/relationships/hyperlink" Target="https://twitter.com/BigDataTweetBot" TargetMode="External"/><Relationship Id="rId3346" Type="http://schemas.openxmlformats.org/officeDocument/2006/relationships/hyperlink" Target="https://twitter.com/Frank_Reinelt" TargetMode="External"/><Relationship Id="rId4744" Type="http://schemas.openxmlformats.org/officeDocument/2006/relationships/hyperlink" Target="https://twitter.com/Industrie_40/status/722716547865829376" TargetMode="External"/><Relationship Id="rId267" Type="http://schemas.openxmlformats.org/officeDocument/2006/relationships/hyperlink" Target="https://pbs.twimg.com/profile_images/666911961599315968/aP7ID_qm_normal.png" TargetMode="External"/><Relationship Id="rId7967" Type="http://schemas.openxmlformats.org/officeDocument/2006/relationships/hyperlink" Target="https://twitter.com/SHC_GmbH" TargetMode="External"/><Relationship Id="rId6569" Type="http://schemas.openxmlformats.org/officeDocument/2006/relationships/hyperlink" Target="https://pbs.twimg.com/profile_images/489403559394304001/8SQlWWA1_normal.jpeg" TargetMode="External"/><Relationship Id="rId9042" Type="http://schemas.openxmlformats.org/officeDocument/2006/relationships/hyperlink" Target="https://twitter.com/Biwi81/status/723915874776829952" TargetMode="External"/><Relationship Id="rId401" Type="http://schemas.openxmlformats.org/officeDocument/2006/relationships/hyperlink" Target="https://twitter.com/opengateitalia/status/720582567087321088" TargetMode="External"/><Relationship Id="rId1031" Type="http://schemas.openxmlformats.org/officeDocument/2006/relationships/hyperlink" Target="https://twitter.com/INDIZbot/status/720887522407104512" TargetMode="External"/><Relationship Id="rId5652" Type="http://schemas.openxmlformats.org/officeDocument/2006/relationships/hyperlink" Target="https://twitter.com/prxagentur" TargetMode="External"/><Relationship Id="rId6703" Type="http://schemas.openxmlformats.org/officeDocument/2006/relationships/hyperlink" Target="https://twitter.com/Konecranes_DE" TargetMode="External"/><Relationship Id="rId4254" Type="http://schemas.openxmlformats.org/officeDocument/2006/relationships/hyperlink" Target="https://twitter.com/INDIZbot" TargetMode="External"/><Relationship Id="rId5305" Type="http://schemas.openxmlformats.org/officeDocument/2006/relationships/hyperlink" Target="https://twitter.com/BoschPresse" TargetMode="External"/><Relationship Id="rId7477" Type="http://schemas.openxmlformats.org/officeDocument/2006/relationships/hyperlink" Target="https://twitter.com/christophwitte/status/723409063715831808" TargetMode="External"/><Relationship Id="rId8528" Type="http://schemas.openxmlformats.org/officeDocument/2006/relationships/hyperlink" Target="https://twitter.com/Robert__Jansen/status/723623284525420544" TargetMode="External"/><Relationship Id="rId8875" Type="http://schemas.openxmlformats.org/officeDocument/2006/relationships/hyperlink" Target="https://twitter.com/KUKA_Presse" TargetMode="External"/><Relationship Id="rId9926" Type="http://schemas.openxmlformats.org/officeDocument/2006/relationships/hyperlink" Target="https://twitter.com/INDIZbot/status/724279716857937922" TargetMode="External"/><Relationship Id="rId1915" Type="http://schemas.openxmlformats.org/officeDocument/2006/relationships/hyperlink" Target="https://pbs.twimg.com/profile_images/2181612837/Johann_normal.jpg" TargetMode="External"/><Relationship Id="rId6079" Type="http://schemas.openxmlformats.org/officeDocument/2006/relationships/hyperlink" Target="https://pbs.twimg.com/profile_images/574932942327144450/RsjsUSUd_normal.jpeg" TargetMode="External"/><Relationship Id="rId2689" Type="http://schemas.openxmlformats.org/officeDocument/2006/relationships/hyperlink" Target="https://twitter.com/H_IT_D/status/722086673090158592" TargetMode="External"/><Relationship Id="rId6560" Type="http://schemas.openxmlformats.org/officeDocument/2006/relationships/hyperlink" Target="https://twitter.com/INDIZbot" TargetMode="External"/><Relationship Id="rId7611" Type="http://schemas.openxmlformats.org/officeDocument/2006/relationships/hyperlink" Target="https://twitter.com/kat2812" TargetMode="External"/><Relationship Id="rId5162" Type="http://schemas.openxmlformats.org/officeDocument/2006/relationships/hyperlink" Target="https://twitter.com/ahk_frankreich/status/722764551834497024" TargetMode="External"/><Relationship Id="rId6213" Type="http://schemas.openxmlformats.org/officeDocument/2006/relationships/hyperlink" Target="https://pbs.twimg.com/profile_images/3378366810/363099b91cc6453286c2eed06f36a6c4_normal.jpeg" TargetMode="External"/><Relationship Id="rId9783" Type="http://schemas.openxmlformats.org/officeDocument/2006/relationships/hyperlink" Target="https://pbs.twimg.com/profile_images/722385992343285760/ww8YLZ2q_normal.jpg" TargetMode="External"/><Relationship Id="rId1772" Type="http://schemas.openxmlformats.org/officeDocument/2006/relationships/hyperlink" Target="https://twitter.com/iotsecurity2/status/721378528881717248" TargetMode="External"/><Relationship Id="rId8385" Type="http://schemas.openxmlformats.org/officeDocument/2006/relationships/hyperlink" Target="https://twitter.com/PROJECTCONSULT_" TargetMode="External"/><Relationship Id="rId9436" Type="http://schemas.openxmlformats.org/officeDocument/2006/relationships/hyperlink" Target="https://pbs.twimg.com/profile_images/619614759370014720/AS__iYuZ_normal.jpg" TargetMode="External"/><Relationship Id="rId1425" Type="http://schemas.openxmlformats.org/officeDocument/2006/relationships/hyperlink" Target="https://twitter.com/AMETRAInge/status/720994020512673793" TargetMode="External"/><Relationship Id="rId2823" Type="http://schemas.openxmlformats.org/officeDocument/2006/relationships/hyperlink" Target="https://twitter.com/LReehten" TargetMode="External"/><Relationship Id="rId8038" Type="http://schemas.openxmlformats.org/officeDocument/2006/relationships/hyperlink" Target="https://pbs.twimg.com/profile_images/1173146264/Portrait-Vera-dkl-201010_DSC0132-Webklein_normal.jpg" TargetMode="External"/><Relationship Id="rId4995" Type="http://schemas.openxmlformats.org/officeDocument/2006/relationships/hyperlink" Target="https://pbs.twimg.com/profile_images/645716711723925506/t5G0qOS6_normal.jpg" TargetMode="External"/><Relationship Id="rId2199" Type="http://schemas.openxmlformats.org/officeDocument/2006/relationships/hyperlink" Target="https://pbs.twimg.com/profile_images/544485391860916225/UGg0IhKT_normal.png" TargetMode="External"/><Relationship Id="rId3597" Type="http://schemas.openxmlformats.org/officeDocument/2006/relationships/hyperlink" Target="https://twitter.com/Der_Betriebslei/status/722381749582499840" TargetMode="External"/><Relationship Id="rId4648" Type="http://schemas.openxmlformats.org/officeDocument/2006/relationships/hyperlink" Target="https://twitter.com/sensorplustest/status/722709581227495426" TargetMode="External"/><Relationship Id="rId6070" Type="http://schemas.openxmlformats.org/officeDocument/2006/relationships/hyperlink" Target="https://pbs.twimg.com/profile_images/541146126158536704/IYardufS_normal.jpeg" TargetMode="External"/><Relationship Id="rId7121" Type="http://schemas.openxmlformats.org/officeDocument/2006/relationships/hyperlink" Target="https://twitter.com/LudgerKrusenba1/status/723264006874619904" TargetMode="External"/><Relationship Id="rId10102" Type="http://schemas.openxmlformats.org/officeDocument/2006/relationships/hyperlink" Target="https://twitter.com/sbolgard" TargetMode="External"/><Relationship Id="rId2680" Type="http://schemas.openxmlformats.org/officeDocument/2006/relationships/hyperlink" Target="https://twitter.com/LNI40/status/722084576521281536" TargetMode="External"/><Relationship Id="rId3731" Type="http://schemas.openxmlformats.org/officeDocument/2006/relationships/hyperlink" Target="https://twitter.com/JETZT_PRde" TargetMode="External"/><Relationship Id="rId9293" Type="http://schemas.openxmlformats.org/officeDocument/2006/relationships/hyperlink" Target="https://twitter.com/tecomschweiz" TargetMode="External"/><Relationship Id="rId652" Type="http://schemas.openxmlformats.org/officeDocument/2006/relationships/hyperlink" Target="https://pbs.twimg.com/profile_images/671733755254583296/Ad-8W4wG_normal.jpg" TargetMode="External"/><Relationship Id="rId1282" Type="http://schemas.openxmlformats.org/officeDocument/2006/relationships/hyperlink" Target="https://twitter.com/AlexRaiHa" TargetMode="External"/><Relationship Id="rId2333" Type="http://schemas.openxmlformats.org/officeDocument/2006/relationships/hyperlink" Target="https://twitter.com/verlinked/status/721986775527202816" TargetMode="External"/><Relationship Id="rId305" Type="http://schemas.openxmlformats.org/officeDocument/2006/relationships/hyperlink" Target="https://twitter.com/INDIZbot/status/720545153115635713" TargetMode="External"/><Relationship Id="rId5556" Type="http://schemas.openxmlformats.org/officeDocument/2006/relationships/hyperlink" Target="https://twitter.com/brohleder" TargetMode="External"/><Relationship Id="rId6607" Type="http://schemas.openxmlformats.org/officeDocument/2006/relationships/hyperlink" Target="https://twitter.com/AXACH_Media/status/723150343496933376" TargetMode="External"/><Relationship Id="rId6954" Type="http://schemas.openxmlformats.org/officeDocument/2006/relationships/hyperlink" Target="https://pbs.twimg.com/profile_images/1458427477/833_RG_140-196_PIC_normal.jpg" TargetMode="External"/><Relationship Id="rId4158" Type="http://schemas.openxmlformats.org/officeDocument/2006/relationships/hyperlink" Target="https://twitter.com/LReehten" TargetMode="External"/><Relationship Id="rId5209" Type="http://schemas.openxmlformats.org/officeDocument/2006/relationships/hyperlink" Target="https://twitter.com/Ronald_Heinze/status/722769418103627776" TargetMode="External"/><Relationship Id="rId8779" Type="http://schemas.openxmlformats.org/officeDocument/2006/relationships/hyperlink" Target="https://twitter.com/stromab" TargetMode="External"/><Relationship Id="rId1819" Type="http://schemas.openxmlformats.org/officeDocument/2006/relationships/hyperlink" Target="https://twitter.com/karinsebelin" TargetMode="External"/><Relationship Id="rId2190" Type="http://schemas.openxmlformats.org/officeDocument/2006/relationships/hyperlink" Target="https://pbs.twimg.com/profile_images/616135945973317632/te85BV7p_normal.jpg" TargetMode="External"/><Relationship Id="rId3241" Type="http://schemas.openxmlformats.org/officeDocument/2006/relationships/hyperlink" Target="https://twitter.com/zwitscher66" TargetMode="External"/><Relationship Id="rId7862" Type="http://schemas.openxmlformats.org/officeDocument/2006/relationships/hyperlink" Target="https://twitter.com/Pilz_INT/status/723450548884643840" TargetMode="External"/><Relationship Id="rId8913" Type="http://schemas.openxmlformats.org/officeDocument/2006/relationships/hyperlink" Target="https://pbs.twimg.com/profile_images/638707523160272896/YonVe2-H_normal.jpg" TargetMode="External"/><Relationship Id="rId162" Type="http://schemas.openxmlformats.org/officeDocument/2006/relationships/hyperlink" Target="https://pbs.twimg.com/profile_images/458866402535800832/7sOdbIg4_normal.jpeg" TargetMode="External"/><Relationship Id="rId6464" Type="http://schemas.openxmlformats.org/officeDocument/2006/relationships/hyperlink" Target="https://twitter.com/BoschPresse" TargetMode="External"/><Relationship Id="rId7515" Type="http://schemas.openxmlformats.org/officeDocument/2006/relationships/hyperlink" Target="https://twitter.com/INDIZbot" TargetMode="External"/><Relationship Id="rId5066" Type="http://schemas.openxmlformats.org/officeDocument/2006/relationships/hyperlink" Target="https://twitter.com/mGuardcom/status/722753881441087489" TargetMode="External"/><Relationship Id="rId6117" Type="http://schemas.openxmlformats.org/officeDocument/2006/relationships/hyperlink" Target="https://twitter.com/lotsize1" TargetMode="External"/><Relationship Id="rId9687" Type="http://schemas.openxmlformats.org/officeDocument/2006/relationships/hyperlink" Target="https://twitter.com/UVNMeinecke/status/724231858490322946" TargetMode="External"/><Relationship Id="rId8289" Type="http://schemas.openxmlformats.org/officeDocument/2006/relationships/hyperlink" Target="https://twitter.com/INDIZbot" TargetMode="External"/><Relationship Id="rId1676" Type="http://schemas.openxmlformats.org/officeDocument/2006/relationships/hyperlink" Target="https://twitter.com/INDIZbot/status/721272451355787264" TargetMode="External"/><Relationship Id="rId2727" Type="http://schemas.openxmlformats.org/officeDocument/2006/relationships/hyperlink" Target="https://twitter.com/M_Sauermann" TargetMode="External"/><Relationship Id="rId1329" Type="http://schemas.openxmlformats.org/officeDocument/2006/relationships/hyperlink" Target="https://pbs.twimg.com/profile_images/510721015945498624/1UpjmZMi_normal.jpeg" TargetMode="External"/><Relationship Id="rId4899" Type="http://schemas.openxmlformats.org/officeDocument/2006/relationships/hyperlink" Target="https://twitter.com/joerghackhausen" TargetMode="External"/><Relationship Id="rId5200" Type="http://schemas.openxmlformats.org/officeDocument/2006/relationships/hyperlink" Target="https://twitter.com/Bitkom/status/722768396899774464" TargetMode="External"/><Relationship Id="rId8770" Type="http://schemas.openxmlformats.org/officeDocument/2006/relationships/hyperlink" Target="https://twitter.com/BoschPresse" TargetMode="External"/><Relationship Id="rId9821" Type="http://schemas.openxmlformats.org/officeDocument/2006/relationships/hyperlink" Target="https://twitter.com/MaikPlischke/status/724263636508749825" TargetMode="External"/><Relationship Id="rId35" Type="http://schemas.openxmlformats.org/officeDocument/2006/relationships/hyperlink" Target="https://twitter.com/mbaukarriere/status/720502269213597697" TargetMode="External"/><Relationship Id="rId1810" Type="http://schemas.openxmlformats.org/officeDocument/2006/relationships/hyperlink" Target="https://twitter.com/josebaghdad" TargetMode="External"/><Relationship Id="rId7372" Type="http://schemas.openxmlformats.org/officeDocument/2006/relationships/hyperlink" Target="https://pbs.twimg.com/profile_images/645716711723925506/t5G0qOS6_normal.jpg" TargetMode="External"/><Relationship Id="rId8423" Type="http://schemas.openxmlformats.org/officeDocument/2006/relationships/hyperlink" Target="https://twitter.com/DohmeyerK/status/723562886233239552" TargetMode="External"/><Relationship Id="rId3982" Type="http://schemas.openxmlformats.org/officeDocument/2006/relationships/hyperlink" Target="https://pbs.twimg.com/profile_images/526830842329321472/6rRX2J0E_normal.jpeg" TargetMode="External"/><Relationship Id="rId7025" Type="http://schemas.openxmlformats.org/officeDocument/2006/relationships/hyperlink" Target="https://twitter.com/flashlight1405/status/723239750111514625" TargetMode="External"/><Relationship Id="rId10006" Type="http://schemas.openxmlformats.org/officeDocument/2006/relationships/hyperlink" Target="https://twitter.com/automatisierer" TargetMode="External"/><Relationship Id="rId2584" Type="http://schemas.openxmlformats.org/officeDocument/2006/relationships/hyperlink" Target="https://twitter.com/kommoptimierer" TargetMode="External"/><Relationship Id="rId3635" Type="http://schemas.openxmlformats.org/officeDocument/2006/relationships/hyperlink" Target="https://twitter.com/H_IT_D" TargetMode="External"/><Relationship Id="rId9197" Type="http://schemas.openxmlformats.org/officeDocument/2006/relationships/hyperlink" Target="https://twitter.com/serpil_ozguven" TargetMode="External"/><Relationship Id="rId556" Type="http://schemas.openxmlformats.org/officeDocument/2006/relationships/hyperlink" Target="https://pbs.twimg.com/profile_images/683477524907732992/tC5jnkk8_normal.jpg" TargetMode="External"/><Relationship Id="rId1186" Type="http://schemas.openxmlformats.org/officeDocument/2006/relationships/hyperlink" Target="https://twitter.com/_DSAG" TargetMode="External"/><Relationship Id="rId2237" Type="http://schemas.openxmlformats.org/officeDocument/2006/relationships/hyperlink" Target="https://twitter.com/BGarciaSchmidt/status/721968224527589377" TargetMode="External"/><Relationship Id="rId209" Type="http://schemas.openxmlformats.org/officeDocument/2006/relationships/hyperlink" Target="https://twitter.com/neitzelsecuweb/status/720533984703299584" TargetMode="External"/><Relationship Id="rId6858" Type="http://schemas.openxmlformats.org/officeDocument/2006/relationships/hyperlink" Target="https://pbs.twimg.com/profile_images/607924894756667392/Q-rChkyI_normal.png" TargetMode="External"/><Relationship Id="rId7909" Type="http://schemas.openxmlformats.org/officeDocument/2006/relationships/hyperlink" Target="https://twitter.com/LNI40" TargetMode="External"/><Relationship Id="rId8280" Type="http://schemas.openxmlformats.org/officeDocument/2006/relationships/hyperlink" Target="https://twitter.com/acalregion" TargetMode="External"/><Relationship Id="rId9331" Type="http://schemas.openxmlformats.org/officeDocument/2006/relationships/hyperlink" Target="https://pbs.twimg.com/profile_images/645716711723925506/t5G0qOS6_normal.jpg" TargetMode="External"/><Relationship Id="rId1320" Type="http://schemas.openxmlformats.org/officeDocument/2006/relationships/hyperlink" Target="https://pbs.twimg.com/profile_images/670148323769229312/zIas6aBO_normal.jpg" TargetMode="External"/><Relationship Id="rId4890" Type="http://schemas.openxmlformats.org/officeDocument/2006/relationships/hyperlink" Target="https://twitter.com/INDIZbot" TargetMode="External"/><Relationship Id="rId5941" Type="http://schemas.openxmlformats.org/officeDocument/2006/relationships/hyperlink" Target="https://pbs.twimg.com/profile_images/703227748383330304/U06-eqpr_normal.jpg" TargetMode="External"/><Relationship Id="rId3492" Type="http://schemas.openxmlformats.org/officeDocument/2006/relationships/hyperlink" Target="https://twitter.com/tuevnordpolitik/status/722365907994034176" TargetMode="External"/><Relationship Id="rId4543" Type="http://schemas.openxmlformats.org/officeDocument/2006/relationships/hyperlink" Target="https://twitter.com/GOettingerEU/status/722703555640041472" TargetMode="External"/><Relationship Id="rId2094" Type="http://schemas.openxmlformats.org/officeDocument/2006/relationships/hyperlink" Target="https://twitter.com/kommoptimierer" TargetMode="External"/><Relationship Id="rId3145" Type="http://schemas.openxmlformats.org/officeDocument/2006/relationships/hyperlink" Target="https://twitter.com/LReehten/status/722314948152528896" TargetMode="External"/><Relationship Id="rId7766" Type="http://schemas.openxmlformats.org/officeDocument/2006/relationships/hyperlink" Target="https://pbs.twimg.com/profile_images/707877685721231360/0WBLwHQ-_normal.jpg" TargetMode="External"/><Relationship Id="rId8817" Type="http://schemas.openxmlformats.org/officeDocument/2006/relationships/hyperlink" Target="https://pbs.twimg.com/profile_images/378800000406906661/149175410caa2e6cd6a91c3c34ed0d1d_normal.jpeg" TargetMode="External"/><Relationship Id="rId6368" Type="http://schemas.openxmlformats.org/officeDocument/2006/relationships/hyperlink" Target="https://twitter.com/IT_Connection" TargetMode="External"/><Relationship Id="rId7419" Type="http://schemas.openxmlformats.org/officeDocument/2006/relationships/hyperlink" Target="https://pbs.twimg.com/profile_images/3286498945/83c49690655e24688ac62bd4fdc079ea_normal.jpeg" TargetMode="External"/><Relationship Id="rId200" Type="http://schemas.openxmlformats.org/officeDocument/2006/relationships/hyperlink" Target="https://twitter.com/Bitkom/status/720533049369305088" TargetMode="External"/><Relationship Id="rId2978" Type="http://schemas.openxmlformats.org/officeDocument/2006/relationships/hyperlink" Target="https://twitter.com/JerDoug" TargetMode="External"/><Relationship Id="rId7900" Type="http://schemas.openxmlformats.org/officeDocument/2006/relationships/hyperlink" Target="https://twitter.com/SvenMul" TargetMode="External"/><Relationship Id="rId5451" Type="http://schemas.openxmlformats.org/officeDocument/2006/relationships/hyperlink" Target="https://twitter.com/AccenturePresse" TargetMode="External"/><Relationship Id="rId6502" Type="http://schemas.openxmlformats.org/officeDocument/2006/relationships/hyperlink" Target="https://pbs.twimg.com/profile_images/448785978165968896/SQOcI8cJ_normal.png" TargetMode="External"/><Relationship Id="rId4053" Type="http://schemas.openxmlformats.org/officeDocument/2006/relationships/hyperlink" Target="https://twitter.com/Vision_Laser/status/722487265004560384" TargetMode="External"/><Relationship Id="rId5104" Type="http://schemas.openxmlformats.org/officeDocument/2006/relationships/hyperlink" Target="https://twitter.com/DAE_Blogger" TargetMode="External"/><Relationship Id="rId8674" Type="http://schemas.openxmlformats.org/officeDocument/2006/relationships/hyperlink" Target="https://twitter.com/INDIZbot" TargetMode="External"/><Relationship Id="rId9725" Type="http://schemas.openxmlformats.org/officeDocument/2006/relationships/hyperlink" Target="https://twitter.com/foresight_lab" TargetMode="External"/><Relationship Id="rId1714" Type="http://schemas.openxmlformats.org/officeDocument/2006/relationships/hyperlink" Target="https://twitter.com/INDIZbot" TargetMode="External"/><Relationship Id="rId7276" Type="http://schemas.openxmlformats.org/officeDocument/2006/relationships/hyperlink" Target="https://twitter.com/BBweeg" TargetMode="External"/><Relationship Id="rId8327" Type="http://schemas.openxmlformats.org/officeDocument/2006/relationships/hyperlink" Target="https://pbs.twimg.com/profile_images/378800000266037039/8db8943681e1fb3279836e0db2e4b723_normal.jpeg" TargetMode="External"/><Relationship Id="rId10257" Type="http://schemas.openxmlformats.org/officeDocument/2006/relationships/hyperlink" Target="https://pbs.twimg.com/profile_images/651607188897595392/TDR4Waba_normal.jpg" TargetMode="External"/><Relationship Id="rId2488" Type="http://schemas.openxmlformats.org/officeDocument/2006/relationships/hyperlink" Target="https://twitter.com/kion_group" TargetMode="External"/><Relationship Id="rId3886" Type="http://schemas.openxmlformats.org/officeDocument/2006/relationships/hyperlink" Target="https://pbs.twimg.com/profile_images/645716711723925506/t5G0qOS6_normal.jpg" TargetMode="External"/><Relationship Id="rId4937" Type="http://schemas.openxmlformats.org/officeDocument/2006/relationships/hyperlink" Target="https://pbs.twimg.com/profile_images/3590147827/c5f6a4a7cc66e7dd2f5810847cdd2d39_normal.jpeg" TargetMode="External"/><Relationship Id="rId3539" Type="http://schemas.openxmlformats.org/officeDocument/2006/relationships/hyperlink" Target="https://twitter.com/HEATSoftwareDE" TargetMode="External"/><Relationship Id="rId6012" Type="http://schemas.openxmlformats.org/officeDocument/2006/relationships/hyperlink" Target="https://twitter.com/SY_HCL/status/723071700707991552" TargetMode="External"/><Relationship Id="rId7410" Type="http://schemas.openxmlformats.org/officeDocument/2006/relationships/hyperlink" Target="http://ideenwerkbw.de/" TargetMode="External"/><Relationship Id="rId9582" Type="http://schemas.openxmlformats.org/officeDocument/2006/relationships/hyperlink" Target="https://twitter.com/OOgbukagu/status/724209639768903681" TargetMode="External"/><Relationship Id="rId941" Type="http://schemas.openxmlformats.org/officeDocument/2006/relationships/hyperlink" Target="https://pbs.twimg.com/profile_images/706054603394183168/AQEIODuv_normal.jpg" TargetMode="External"/><Relationship Id="rId1571" Type="http://schemas.openxmlformats.org/officeDocument/2006/relationships/hyperlink" Target="https://twitter.com/messeworldwide/status/721127784924336128" TargetMode="External"/><Relationship Id="rId2622" Type="http://schemas.openxmlformats.org/officeDocument/2006/relationships/hyperlink" Target="https://twitter.com/startupradioDE/status/722070002380247040" TargetMode="External"/><Relationship Id="rId8184" Type="http://schemas.openxmlformats.org/officeDocument/2006/relationships/hyperlink" Target="https://twitter.com/INDIZbot/status/723509450775093251" TargetMode="External"/><Relationship Id="rId9235" Type="http://schemas.openxmlformats.org/officeDocument/2006/relationships/hyperlink" Target="https://pbs.twimg.com/profile_images/588196149665865728/jmm9bQ6G_normal.jpg" TargetMode="External"/><Relationship Id="rId1224" Type="http://schemas.openxmlformats.org/officeDocument/2006/relationships/hyperlink" Target="https://pbs.twimg.com/profile_images/685327213/Apandia_normal.gif" TargetMode="External"/><Relationship Id="rId4794" Type="http://schemas.openxmlformats.org/officeDocument/2006/relationships/hyperlink" Target="https://twitter.com/shootoke" TargetMode="External"/><Relationship Id="rId5845" Type="http://schemas.openxmlformats.org/officeDocument/2006/relationships/hyperlink" Target="https://pbs.twimg.com/profile_images/378800000636761416/0c916a417072b2289236209bec90b201_normal.jpeg" TargetMode="External"/><Relationship Id="rId3396" Type="http://schemas.openxmlformats.org/officeDocument/2006/relationships/hyperlink" Target="https://twitter.com/mbaukarriere/status/722356432973258752" TargetMode="External"/><Relationship Id="rId4447" Type="http://schemas.openxmlformats.org/officeDocument/2006/relationships/hyperlink" Target="https://twitter.com/charlotte_hager" TargetMode="External"/><Relationship Id="rId3049" Type="http://schemas.openxmlformats.org/officeDocument/2006/relationships/hyperlink" Target="https://twitter.com/ChrisSpahnADP/status/722307406043160576" TargetMode="External"/><Relationship Id="rId9092" Type="http://schemas.openxmlformats.org/officeDocument/2006/relationships/hyperlink" Target="https://twitter.com/Bitkom" TargetMode="External"/><Relationship Id="rId1081" Type="http://schemas.openxmlformats.org/officeDocument/2006/relationships/hyperlink" Target="https://twitter.com/BakerMcGER" TargetMode="External"/><Relationship Id="rId3530" Type="http://schemas.openxmlformats.org/officeDocument/2006/relationships/hyperlink" Target="https://twitter.com/Apandia" TargetMode="External"/><Relationship Id="rId451" Type="http://schemas.openxmlformats.org/officeDocument/2006/relationships/hyperlink" Target="https://twitter.com/QuickFindsIn" TargetMode="External"/><Relationship Id="rId2132" Type="http://schemas.openxmlformats.org/officeDocument/2006/relationships/hyperlink" Target="https://twitter.com/UL_Commercial/status/721943347351330816" TargetMode="External"/><Relationship Id="rId6753" Type="http://schemas.openxmlformats.org/officeDocument/2006/relationships/hyperlink" Target="https://pbs.twimg.com/profile_images/637311174229495808/i_CI23oa_normal.jpg" TargetMode="External"/><Relationship Id="rId7804" Type="http://schemas.openxmlformats.org/officeDocument/2006/relationships/hyperlink" Target="https://twitter.com/ITK_OWL" TargetMode="External"/><Relationship Id="rId104" Type="http://schemas.openxmlformats.org/officeDocument/2006/relationships/hyperlink" Target="https://twitter.com/INDIZbot/status/720512585012023296" TargetMode="External"/><Relationship Id="rId5355" Type="http://schemas.openxmlformats.org/officeDocument/2006/relationships/hyperlink" Target="https://twitter.com/innovationbawue/status/722794842695213057" TargetMode="External"/><Relationship Id="rId6406" Type="http://schemas.openxmlformats.org/officeDocument/2006/relationships/hyperlink" Target="https://pbs.twimg.com/profile_images/463608454624448512/0DV5XX08_normal.jpeg" TargetMode="External"/><Relationship Id="rId9976" Type="http://schemas.openxmlformats.org/officeDocument/2006/relationships/hyperlink" Target="https://twitter.com/rodneyabrooks" TargetMode="External"/><Relationship Id="rId5008" Type="http://schemas.openxmlformats.org/officeDocument/2006/relationships/hyperlink" Target="https://twitter.com/Becker_AnnaLisa" TargetMode="External"/><Relationship Id="rId8578" Type="http://schemas.openxmlformats.org/officeDocument/2006/relationships/hyperlink" Target="https://twitter.com/ULdialogue" TargetMode="External"/><Relationship Id="rId9629" Type="http://schemas.openxmlformats.org/officeDocument/2006/relationships/hyperlink" Target="https://twitter.com/pierremdm" TargetMode="External"/><Relationship Id="rId1965" Type="http://schemas.openxmlformats.org/officeDocument/2006/relationships/hyperlink" Target="https://twitter.com/INDIZbot" TargetMode="External"/><Relationship Id="rId1618" Type="http://schemas.openxmlformats.org/officeDocument/2006/relationships/hyperlink" Target="https://twitter.com/VDI_News" TargetMode="External"/><Relationship Id="rId3040" Type="http://schemas.openxmlformats.org/officeDocument/2006/relationships/hyperlink" Target="https://twitter.com/AHK_Oesterreich/status/722307009803120640" TargetMode="External"/><Relationship Id="rId7661" Type="http://schemas.openxmlformats.org/officeDocument/2006/relationships/hyperlink" Target="https://pbs.twimg.com/profile_images/378800000730237374/61248132aea1de8788bfabe0f46145e3_normal.jpeg" TargetMode="External"/><Relationship Id="rId8712" Type="http://schemas.openxmlformats.org/officeDocument/2006/relationships/hyperlink" Target="https://pbs.twimg.com/profile_images/255850776/avatar_steve_icon_normal.jpg" TargetMode="External"/><Relationship Id="rId6263" Type="http://schemas.openxmlformats.org/officeDocument/2006/relationships/hyperlink" Target="https://twitter.com/INDIZbot/status/723094311471058944" TargetMode="External"/><Relationship Id="rId7314" Type="http://schemas.openxmlformats.org/officeDocument/2006/relationships/hyperlink" Target="http://scoop.it/" TargetMode="External"/><Relationship Id="rId2873" Type="http://schemas.openxmlformats.org/officeDocument/2006/relationships/hyperlink" Target="https://twitter.com/kommoptimierer/status/722145178975383553" TargetMode="External"/><Relationship Id="rId3924" Type="http://schemas.openxmlformats.org/officeDocument/2006/relationships/hyperlink" Target="https://twitter.com/insm/status/722458768898945024" TargetMode="External"/><Relationship Id="rId9486" Type="http://schemas.openxmlformats.org/officeDocument/2006/relationships/hyperlink" Target="https://twitter.com/INDIZbot/status/724186494831869953" TargetMode="External"/><Relationship Id="rId845" Type="http://schemas.openxmlformats.org/officeDocument/2006/relationships/hyperlink" Target="https://pbs.twimg.com/profile_images/593054907936186369/zjxLhMTm_normal.jpg" TargetMode="External"/><Relationship Id="rId1475" Type="http://schemas.openxmlformats.org/officeDocument/2006/relationships/hyperlink" Target="https://twitter.com/ThomasSchulzGE/status/721022524742639617" TargetMode="External"/><Relationship Id="rId2526" Type="http://schemas.openxmlformats.org/officeDocument/2006/relationships/hyperlink" Target="https://twitter.com/NetClubj1" TargetMode="External"/><Relationship Id="rId8088" Type="http://schemas.openxmlformats.org/officeDocument/2006/relationships/hyperlink" Target="https://twitter.com/BoschPresse/status/723492844154019840" TargetMode="External"/><Relationship Id="rId9139" Type="http://schemas.openxmlformats.org/officeDocument/2006/relationships/hyperlink" Target="https://pbs.twimg.com/profile_images/543161217645178880/JQuBT7KS_normal.png" TargetMode="External"/><Relationship Id="rId1128" Type="http://schemas.openxmlformats.org/officeDocument/2006/relationships/hyperlink" Target="https://pbs.twimg.com/profile_images/669853588152283137/mqKB9aP__normal.jpg" TargetMode="External"/><Relationship Id="rId4698" Type="http://schemas.openxmlformats.org/officeDocument/2006/relationships/hyperlink" Target="https://twitter.com/karl__maurer" TargetMode="External"/><Relationship Id="rId5749" Type="http://schemas.openxmlformats.org/officeDocument/2006/relationships/hyperlink" Target="https://twitter.com/Schulrat/status/723023948322095104" TargetMode="External"/><Relationship Id="rId7171" Type="http://schemas.openxmlformats.org/officeDocument/2006/relationships/hyperlink" Target="https://twitter.com/H_IT_D" TargetMode="External"/><Relationship Id="rId8222" Type="http://schemas.openxmlformats.org/officeDocument/2006/relationships/hyperlink" Target="https://pbs.twimg.com/profile_images/3151814681/889304b58206053d6f22bd0b52344369_normal.jpeg" TargetMode="External"/><Relationship Id="rId9620" Type="http://schemas.openxmlformats.org/officeDocument/2006/relationships/hyperlink" Target="https://twitter.com/ElroyWonder" TargetMode="External"/><Relationship Id="rId10152" Type="http://schemas.openxmlformats.org/officeDocument/2006/relationships/hyperlink" Target="https://pbs.twimg.com/profile_images/688093545148723201/hCPglEEy_normal.jpg" TargetMode="External"/><Relationship Id="rId3781" Type="http://schemas.openxmlformats.org/officeDocument/2006/relationships/hyperlink" Target="https://pbs.twimg.com/profile_images/601673968551075840/MnulnKkj_normal.png" TargetMode="External"/><Relationship Id="rId4832" Type="http://schemas.openxmlformats.org/officeDocument/2006/relationships/hyperlink" Target="https://pbs.twimg.com/profile_images/514736619115384832/edvgJxyt_normal.png" TargetMode="External"/><Relationship Id="rId2383" Type="http://schemas.openxmlformats.org/officeDocument/2006/relationships/hyperlink" Target="https://twitter.com/IoTMinded" TargetMode="External"/><Relationship Id="rId3434" Type="http://schemas.openxmlformats.org/officeDocument/2006/relationships/hyperlink" Target="https://twitter.com/BoschPresse" TargetMode="External"/><Relationship Id="rId355" Type="http://schemas.openxmlformats.org/officeDocument/2006/relationships/hyperlink" Target="https://twitter.com/Balluff" TargetMode="External"/><Relationship Id="rId2036" Type="http://schemas.openxmlformats.org/officeDocument/2006/relationships/hyperlink" Target="https://pbs.twimg.com/profile_images/720635590639796224/PWzZDSKB_normal.jpg" TargetMode="External"/><Relationship Id="rId6657" Type="http://schemas.openxmlformats.org/officeDocument/2006/relationships/hyperlink" Target="https://pbs.twimg.com/profile_images/695239828502401024/uvFjNbRT_normal.jpg" TargetMode="External"/><Relationship Id="rId7708" Type="http://schemas.openxmlformats.org/officeDocument/2006/relationships/hyperlink" Target="https://twitter.com/MeinGeldMedien/status/723427415880409088" TargetMode="External"/><Relationship Id="rId5259" Type="http://schemas.openxmlformats.org/officeDocument/2006/relationships/hyperlink" Target="https://pbs.twimg.com/profile_images/2240680734/pj-logo1_normal.png" TargetMode="External"/><Relationship Id="rId9130" Type="http://schemas.openxmlformats.org/officeDocument/2006/relationships/hyperlink" Target="https://pbs.twimg.com/profile_images/561208179355185153/11KDu7Gt_normal.png" TargetMode="External"/><Relationship Id="rId1869" Type="http://schemas.openxmlformats.org/officeDocument/2006/relationships/hyperlink" Target="https://twitter.com/INDIZbot/status/721589669843116032" TargetMode="External"/><Relationship Id="rId3291" Type="http://schemas.openxmlformats.org/officeDocument/2006/relationships/hyperlink" Target="https://pbs.twimg.com/profile_images/662723326096224256/5V4KH9_O_normal.jpg" TargetMode="External"/><Relationship Id="rId5740" Type="http://schemas.openxmlformats.org/officeDocument/2006/relationships/hyperlink" Target="https://twitter.com/oxaion/status/723017450745294850" TargetMode="External"/><Relationship Id="rId4342" Type="http://schemas.openxmlformats.org/officeDocument/2006/relationships/hyperlink" Target="https://twitter.com/INDIZbot/status/722676710861336576" TargetMode="External"/><Relationship Id="rId8963" Type="http://schemas.openxmlformats.org/officeDocument/2006/relationships/hyperlink" Target="https://twitter.com/hannover_messe/status/723874456339398656" TargetMode="External"/><Relationship Id="rId7565" Type="http://schemas.openxmlformats.org/officeDocument/2006/relationships/hyperlink" Target="https://pbs.twimg.com/profile_images/649572788148285440/Sxl5vTa3_normal.jpg" TargetMode="External"/><Relationship Id="rId8616" Type="http://schemas.openxmlformats.org/officeDocument/2006/relationships/hyperlink" Target="https://pbs.twimg.com/profile_images/473759721023758338/3CcJL-Vq_normal.jpeg" TargetMode="External"/><Relationship Id="rId6167" Type="http://schemas.openxmlformats.org/officeDocument/2006/relationships/hyperlink" Target="https://pbs.twimg.com/profile_images/3191720682/19efed020ebf3a2098abea8c1436d948_normal.jpeg" TargetMode="External"/><Relationship Id="rId7218" Type="http://schemas.openxmlformats.org/officeDocument/2006/relationships/hyperlink" Target="https://pbs.twimg.com/profile_images/665798535779065856/sbUN3m6Q_normal.jpg" TargetMode="External"/><Relationship Id="rId2777" Type="http://schemas.openxmlformats.org/officeDocument/2006/relationships/hyperlink" Target="https://pbs.twimg.com/profile_images/745331242/SYS-CON_Media_Logo_100_normal.png" TargetMode="External"/><Relationship Id="rId749" Type="http://schemas.openxmlformats.org/officeDocument/2006/relationships/hyperlink" Target="https://twitter.com/kommoptimierer" TargetMode="External"/><Relationship Id="rId1379" Type="http://schemas.openxmlformats.org/officeDocument/2006/relationships/hyperlink" Target="https://twitter.com/QuickFindsIn" TargetMode="External"/><Relationship Id="rId3828" Type="http://schemas.openxmlformats.org/officeDocument/2006/relationships/hyperlink" Target="https://twitter.com/markherten/status/722434465755242502" TargetMode="External"/><Relationship Id="rId5250" Type="http://schemas.openxmlformats.org/officeDocument/2006/relationships/hyperlink" Target="https://pbs.twimg.com/profile_images/685327213/Apandia_normal.gif" TargetMode="External"/><Relationship Id="rId6301" Type="http://schemas.openxmlformats.org/officeDocument/2006/relationships/hyperlink" Target="http://www.netzaktiv.de/" TargetMode="External"/><Relationship Id="rId9871" Type="http://schemas.openxmlformats.org/officeDocument/2006/relationships/hyperlink" Target="https://twitter.com/INDIZbot" TargetMode="External"/><Relationship Id="rId85" Type="http://schemas.openxmlformats.org/officeDocument/2006/relationships/hyperlink" Target="https://twitter.com/NeleReimers" TargetMode="External"/><Relationship Id="rId1860" Type="http://schemas.openxmlformats.org/officeDocument/2006/relationships/hyperlink" Target="https://twitter.com/Lean_john/status/721589184775995392" TargetMode="External"/><Relationship Id="rId2911" Type="http://schemas.openxmlformats.org/officeDocument/2006/relationships/hyperlink" Target="https://pbs.twimg.com/profile_images/722132463565291520/neQnM60p_normal.jpg" TargetMode="External"/><Relationship Id="rId7075" Type="http://schemas.openxmlformats.org/officeDocument/2006/relationships/hyperlink" Target="https://twitter.com/INDIZbot" TargetMode="External"/><Relationship Id="rId8473" Type="http://schemas.openxmlformats.org/officeDocument/2006/relationships/hyperlink" Target="https://twitter.com/INDIZbot" TargetMode="External"/><Relationship Id="rId9524" Type="http://schemas.openxmlformats.org/officeDocument/2006/relationships/hyperlink" Target="https://twitter.com/wirtschaft_msl" TargetMode="External"/><Relationship Id="rId1513" Type="http://schemas.openxmlformats.org/officeDocument/2006/relationships/hyperlink" Target="https://twitter.com/QuickFindsIn" TargetMode="External"/><Relationship Id="rId8126" Type="http://schemas.openxmlformats.org/officeDocument/2006/relationships/hyperlink" Target="https://twitter.com/AutotaskGmbH" TargetMode="External"/><Relationship Id="rId10056" Type="http://schemas.openxmlformats.org/officeDocument/2006/relationships/hyperlink" Target="https://pbs.twimg.com/profile_images/710899596977901568/RWqeVkp7_normal.jpg" TargetMode="External"/><Relationship Id="rId3685" Type="http://schemas.openxmlformats.org/officeDocument/2006/relationships/hyperlink" Target="https://pbs.twimg.com/profile_images/459268580761026560/HJ5Z9vW1_normal.jpeg" TargetMode="External"/><Relationship Id="rId4736" Type="http://schemas.openxmlformats.org/officeDocument/2006/relationships/hyperlink" Target="https://pbs.twimg.com/profile_images/594934750122536960/nG4kmfDF_normal.jpg" TargetMode="External"/><Relationship Id="rId2287" Type="http://schemas.openxmlformats.org/officeDocument/2006/relationships/hyperlink" Target="https://twitter.com/UweKubach/status/721978675831431168" TargetMode="External"/><Relationship Id="rId3338" Type="http://schemas.openxmlformats.org/officeDocument/2006/relationships/hyperlink" Target="https://twitter.com/Autonomik40/status/722350725985124352" TargetMode="External"/><Relationship Id="rId7959" Type="http://schemas.openxmlformats.org/officeDocument/2006/relationships/hyperlink" Target="https://twitter.com/Robert_Weber_/status/723473446898925568" TargetMode="External"/><Relationship Id="rId259" Type="http://schemas.openxmlformats.org/officeDocument/2006/relationships/hyperlink" Target="https://twitter.com/PeterMWald" TargetMode="External"/><Relationship Id="rId9381" Type="http://schemas.openxmlformats.org/officeDocument/2006/relationships/hyperlink" Target="https://twitter.com/INDIZbot/status/724163837268754432" TargetMode="External"/><Relationship Id="rId1370" Type="http://schemas.openxmlformats.org/officeDocument/2006/relationships/hyperlink" Target="https://twitter.com/IT2Industry/status/720976466939408384" TargetMode="External"/><Relationship Id="rId9034" Type="http://schemas.openxmlformats.org/officeDocument/2006/relationships/hyperlink" Target="https://pbs.twimg.com/profile_images/548030384030507008/utABqhj9_normal.png" TargetMode="External"/><Relationship Id="rId740" Type="http://schemas.openxmlformats.org/officeDocument/2006/relationships/hyperlink" Target="https://twitter.com/TUslaender" TargetMode="External"/><Relationship Id="rId1023" Type="http://schemas.openxmlformats.org/officeDocument/2006/relationships/hyperlink" Target="https://pbs.twimg.com/profile_images/675314462233141248/Hr1lNIfG_normal.jpg" TargetMode="External"/><Relationship Id="rId2421" Type="http://schemas.openxmlformats.org/officeDocument/2006/relationships/hyperlink" Target="https://pbs.twimg.com/profile_images/541146126158536704/IYardufS_normal.jpeg" TargetMode="External"/><Relationship Id="rId5991" Type="http://schemas.openxmlformats.org/officeDocument/2006/relationships/hyperlink" Target="https://twitter.com/TUI_InfoTec/status/723067560007217152" TargetMode="External"/><Relationship Id="rId4593" Type="http://schemas.openxmlformats.org/officeDocument/2006/relationships/hyperlink" Target="https://twitter.com/GermanIOD" TargetMode="External"/><Relationship Id="rId5644" Type="http://schemas.openxmlformats.org/officeDocument/2006/relationships/hyperlink" Target="https://twitter.com/prxpragma/status/722895001772957696" TargetMode="External"/><Relationship Id="rId3195" Type="http://schemas.openxmlformats.org/officeDocument/2006/relationships/hyperlink" Target="https://pbs.twimg.com/profile_images/645716711723925506/t5G0qOS6_normal.jpg" TargetMode="External"/><Relationship Id="rId4246" Type="http://schemas.openxmlformats.org/officeDocument/2006/relationships/hyperlink" Target="https://twitter.com/fduesterbeck/status/722553248536727552" TargetMode="External"/><Relationship Id="rId8867" Type="http://schemas.openxmlformats.org/officeDocument/2006/relationships/hyperlink" Target="https://twitter.com/INDIZbot/status/723844153440894976" TargetMode="External"/><Relationship Id="rId9918" Type="http://schemas.openxmlformats.org/officeDocument/2006/relationships/hyperlink" Target="https://pbs.twimg.com/profile_images/663668561366245376/2ovYiiJf_normal.jpg" TargetMode="External"/><Relationship Id="rId7469" Type="http://schemas.openxmlformats.org/officeDocument/2006/relationships/hyperlink" Target="https://pbs.twimg.com/profile_images/647052308170297344/Q29AIuZ__normal.jpg" TargetMode="External"/><Relationship Id="rId1907" Type="http://schemas.openxmlformats.org/officeDocument/2006/relationships/hyperlink" Target="https://twitter.com/LeanKnowledge" TargetMode="External"/><Relationship Id="rId250" Type="http://schemas.openxmlformats.org/officeDocument/2006/relationships/hyperlink" Target="https://twitter.com/y_anniks" TargetMode="External"/><Relationship Id="rId7950" Type="http://schemas.openxmlformats.org/officeDocument/2006/relationships/hyperlink" Target="https://twitter.com/itsOWL_Cluster/status/723473136444936192" TargetMode="External"/><Relationship Id="rId5154" Type="http://schemas.openxmlformats.org/officeDocument/2006/relationships/hyperlink" Target="https://pbs.twimg.com/profile_images/2240680734/pj-logo1_normal.png" TargetMode="External"/><Relationship Id="rId6552" Type="http://schemas.openxmlformats.org/officeDocument/2006/relationships/hyperlink" Target="https://twitter.com/INDIZbot/status/723137123734421505" TargetMode="External"/><Relationship Id="rId7603" Type="http://schemas.openxmlformats.org/officeDocument/2006/relationships/hyperlink" Target="https://twitter.com/MartinGaedt/status/723417362288906240" TargetMode="External"/><Relationship Id="rId6205" Type="http://schemas.openxmlformats.org/officeDocument/2006/relationships/hyperlink" Target="https://twitter.com/JETZT_PRde/status/723087974695469056" TargetMode="External"/><Relationship Id="rId9775" Type="http://schemas.openxmlformats.org/officeDocument/2006/relationships/hyperlink" Target="https://twitter.com/Wolfgang_Dorst" TargetMode="External"/><Relationship Id="rId1764" Type="http://schemas.openxmlformats.org/officeDocument/2006/relationships/hyperlink" Target="https://pbs.twimg.com/profile_images/645716711723925506/t5G0qOS6_normal.jpg" TargetMode="External"/><Relationship Id="rId2815" Type="http://schemas.openxmlformats.org/officeDocument/2006/relationships/hyperlink" Target="https://twitter.com/pfisterer_ralf/status/722132984376258560" TargetMode="External"/><Relationship Id="rId8377" Type="http://schemas.openxmlformats.org/officeDocument/2006/relationships/hyperlink" Target="https://twitter.com/Dekuijp/status/723548089240395776" TargetMode="External"/><Relationship Id="rId9428" Type="http://schemas.openxmlformats.org/officeDocument/2006/relationships/hyperlink" Target="https://twitter.com/INDIZbot" TargetMode="External"/><Relationship Id="rId1417" Type="http://schemas.openxmlformats.org/officeDocument/2006/relationships/hyperlink" Target="https://pbs.twimg.com/profile_images/645716711723925506/t5G0qOS6_normal.jpg" TargetMode="External"/><Relationship Id="rId4987" Type="http://schemas.openxmlformats.org/officeDocument/2006/relationships/hyperlink" Target="https://twitter.com/INDIZbot" TargetMode="External"/><Relationship Id="rId3589" Type="http://schemas.openxmlformats.org/officeDocument/2006/relationships/hyperlink" Target="https://pbs.twimg.com/profile_images/448785978165968896/SQOcI8cJ_normal.png" TargetMode="External"/><Relationship Id="rId7460" Type="http://schemas.openxmlformats.org/officeDocument/2006/relationships/hyperlink" Target="https://pbs.twimg.com/profile_images/481000476872175616/HSvfIApp_normal.jpeg" TargetMode="External"/><Relationship Id="rId8511" Type="http://schemas.openxmlformats.org/officeDocument/2006/relationships/hyperlink" Target="https://abs.twimg.com/sticky/default_profile_images/default_profile_3_normal.png" TargetMode="External"/><Relationship Id="rId6062" Type="http://schemas.openxmlformats.org/officeDocument/2006/relationships/hyperlink" Target="https://twitter.com/verlinked" TargetMode="External"/><Relationship Id="rId7113" Type="http://schemas.openxmlformats.org/officeDocument/2006/relationships/hyperlink" Target="https://pbs.twimg.com/profile_images/645716711723925506/t5G0qOS6_normal.jpg" TargetMode="External"/><Relationship Id="rId9285" Type="http://schemas.openxmlformats.org/officeDocument/2006/relationships/hyperlink" Target="https://twitter.com/DoreenJacobi1/status/724127338305302528" TargetMode="External"/><Relationship Id="rId991" Type="http://schemas.openxmlformats.org/officeDocument/2006/relationships/hyperlink" Target="https://twitter.com/docbroemer" TargetMode="External"/><Relationship Id="rId2672" Type="http://schemas.openxmlformats.org/officeDocument/2006/relationships/hyperlink" Target="https://pbs.twimg.com/profile_images/645716711723925506/t5G0qOS6_normal.jpg" TargetMode="External"/><Relationship Id="rId3723" Type="http://schemas.openxmlformats.org/officeDocument/2006/relationships/hyperlink" Target="https://twitter.com/Gruendercoaches/status/722411608610357248" TargetMode="External"/><Relationship Id="rId644" Type="http://schemas.openxmlformats.org/officeDocument/2006/relationships/hyperlink" Target="https://twitter.com/SFSFFrance" TargetMode="External"/><Relationship Id="rId1274" Type="http://schemas.openxmlformats.org/officeDocument/2006/relationships/hyperlink" Target="https://twitter.com/RobelMesfun/status/720940838113714176" TargetMode="External"/><Relationship Id="rId2325" Type="http://schemas.openxmlformats.org/officeDocument/2006/relationships/hyperlink" Target="https://pbs.twimg.com/profile_images/677028324829433856/xBJk1jpV_normal.jpg" TargetMode="External"/><Relationship Id="rId5895" Type="http://schemas.openxmlformats.org/officeDocument/2006/relationships/hyperlink" Target="https://twitter.com/ITK_OWL/status/723059835781189632" TargetMode="External"/><Relationship Id="rId6946" Type="http://schemas.openxmlformats.org/officeDocument/2006/relationships/hyperlink" Target="https://twitter.com/INDIZbot" TargetMode="External"/><Relationship Id="rId4497" Type="http://schemas.openxmlformats.org/officeDocument/2006/relationships/hyperlink" Target="https://twitter.com/Pointernil" TargetMode="External"/><Relationship Id="rId5548" Type="http://schemas.openxmlformats.org/officeDocument/2006/relationships/hyperlink" Target="https://twitter.com/H_IT_D/status/722844160282112002" TargetMode="External"/><Relationship Id="rId3099" Type="http://schemas.openxmlformats.org/officeDocument/2006/relationships/hyperlink" Target="https://twitter.com/INDIZbot" TargetMode="External"/><Relationship Id="rId8021" Type="http://schemas.openxmlformats.org/officeDocument/2006/relationships/hyperlink" Target="https://twitter.com/proALPHA" TargetMode="External"/><Relationship Id="rId3580" Type="http://schemas.openxmlformats.org/officeDocument/2006/relationships/hyperlink" Target="https://pbs.twimg.com/profile_images/722385992343285760/ww8YLZ2q_normal.jpg" TargetMode="External"/><Relationship Id="rId2182" Type="http://schemas.openxmlformats.org/officeDocument/2006/relationships/hyperlink" Target="https://twitter.com/INDIZbot" TargetMode="External"/><Relationship Id="rId3233" Type="http://schemas.openxmlformats.org/officeDocument/2006/relationships/hyperlink" Target="https://twitter.com/ke_NEXT/status/722326913239425025" TargetMode="External"/><Relationship Id="rId4631" Type="http://schemas.openxmlformats.org/officeDocument/2006/relationships/hyperlink" Target="https://pbs.twimg.com/profile_images/553512307108487168/beYdeI1p_normal.png" TargetMode="External"/><Relationship Id="rId154" Type="http://schemas.openxmlformats.org/officeDocument/2006/relationships/hyperlink" Target="https://twitter.com/zettel_kasten" TargetMode="External"/><Relationship Id="rId7854" Type="http://schemas.openxmlformats.org/officeDocument/2006/relationships/hyperlink" Target="https://pbs.twimg.com/profile_images/513745979585990656/CUU36phe_normal.png" TargetMode="External"/><Relationship Id="rId8905" Type="http://schemas.openxmlformats.org/officeDocument/2006/relationships/hyperlink" Target="https://twitter.com/verlinked" TargetMode="External"/><Relationship Id="rId6456" Type="http://schemas.openxmlformats.org/officeDocument/2006/relationships/hyperlink" Target="https://twitter.com/IoTMinded/status/723129586859560960" TargetMode="External"/><Relationship Id="rId7507" Type="http://schemas.openxmlformats.org/officeDocument/2006/relationships/hyperlink" Target="https://twitter.com/INDIZbot/status/723411305642651655" TargetMode="External"/><Relationship Id="rId5058" Type="http://schemas.openxmlformats.org/officeDocument/2006/relationships/hyperlink" Target="https://pbs.twimg.com/profile_images/667689986276392960/lHQvEvuO_normal.jpg" TargetMode="External"/><Relationship Id="rId6109" Type="http://schemas.openxmlformats.org/officeDocument/2006/relationships/hyperlink" Target="https://pbs.twimg.com/profile_images/573131119459090433/chvdSZ_E_normal.png" TargetMode="External"/><Relationship Id="rId9679" Type="http://schemas.openxmlformats.org/officeDocument/2006/relationships/hyperlink" Target="https://pbs.twimg.com/profile_images/510473520963260416/0aLMP4NT_normal.png" TargetMode="External"/><Relationship Id="rId1668" Type="http://schemas.openxmlformats.org/officeDocument/2006/relationships/hyperlink" Target="https://pbs.twimg.com/profile_images/500306918762496002/qi9wHBbp_normal.jpeg" TargetMode="External"/><Relationship Id="rId2719" Type="http://schemas.openxmlformats.org/officeDocument/2006/relationships/hyperlink" Target="https://twitter.com/iamGuruprasadS/status/722098201889804290" TargetMode="External"/><Relationship Id="rId3090" Type="http://schemas.openxmlformats.org/officeDocument/2006/relationships/hyperlink" Target="https://twitter.com/QuickFindsIn" TargetMode="External"/><Relationship Id="rId4141" Type="http://schemas.openxmlformats.org/officeDocument/2006/relationships/hyperlink" Target="https://twitter.com/LReehten/status/722512901928579072" TargetMode="External"/><Relationship Id="rId7364" Type="http://schemas.openxmlformats.org/officeDocument/2006/relationships/hyperlink" Target="https://twitter.com/sarhapu" TargetMode="External"/><Relationship Id="rId8762" Type="http://schemas.openxmlformats.org/officeDocument/2006/relationships/hyperlink" Target="https://twitter.com/BerndHops/status/723807522054909952" TargetMode="External"/><Relationship Id="rId9813" Type="http://schemas.openxmlformats.org/officeDocument/2006/relationships/hyperlink" Target="https://pbs.twimg.com/profile_images/663668561366245376/2ovYiiJf_normal.jpg" TargetMode="External"/><Relationship Id="rId27" Type="http://schemas.openxmlformats.org/officeDocument/2006/relationships/hyperlink" Target="https://pbs.twimg.com/profile_images/378800000739119738/7c3e727f748488617099bdd8a2191320_normal.jpeg" TargetMode="External"/><Relationship Id="rId1802" Type="http://schemas.openxmlformats.org/officeDocument/2006/relationships/hyperlink" Target="https://twitter.com/ralf_zwitschert/status/721403859260829696" TargetMode="External"/><Relationship Id="rId7017" Type="http://schemas.openxmlformats.org/officeDocument/2006/relationships/hyperlink" Target="https://pbs.twimg.com/profile_images/432803682598395905/8nYgOn9r_normal.jpeg" TargetMode="External"/><Relationship Id="rId8415" Type="http://schemas.openxmlformats.org/officeDocument/2006/relationships/hyperlink" Target="https://pbs.twimg.com/profile_images/688093545148723201/hCPglEEy_normal.jpg" TargetMode="External"/><Relationship Id="rId10345" Type="http://schemas.openxmlformats.org/officeDocument/2006/relationships/hyperlink" Target="https://twitter.com/LReehten" TargetMode="External"/><Relationship Id="rId3974" Type="http://schemas.openxmlformats.org/officeDocument/2006/relationships/hyperlink" Target="https://twitter.com/ITK_OWL" TargetMode="External"/><Relationship Id="rId895" Type="http://schemas.openxmlformats.org/officeDocument/2006/relationships/hyperlink" Target="https://twitter.com/samuel_vuadens/status/720858129781489664" TargetMode="External"/><Relationship Id="rId2576" Type="http://schemas.openxmlformats.org/officeDocument/2006/relationships/hyperlink" Target="https://twitter.com/INDIZbot/status/722062740714614784" TargetMode="External"/><Relationship Id="rId3627" Type="http://schemas.openxmlformats.org/officeDocument/2006/relationships/hyperlink" Target="https://twitter.com/INDIZbot/status/722387056698200064" TargetMode="External"/><Relationship Id="rId9189" Type="http://schemas.openxmlformats.org/officeDocument/2006/relationships/hyperlink" Target="https://twitter.com/Plastipolis/status/723969203225649153" TargetMode="External"/><Relationship Id="rId548" Type="http://schemas.openxmlformats.org/officeDocument/2006/relationships/hyperlink" Target="https://twitter.com/Global_Fairs" TargetMode="External"/><Relationship Id="rId1178" Type="http://schemas.openxmlformats.org/officeDocument/2006/relationships/hyperlink" Target="https://twitter.com/Silex_France/status/720915250304966656" TargetMode="External"/><Relationship Id="rId2229" Type="http://schemas.openxmlformats.org/officeDocument/2006/relationships/hyperlink" Target="https://pbs.twimg.com/profile_images/705363323911606277/4I5Qik5n_normal.jpg" TargetMode="External"/><Relationship Id="rId5799" Type="http://schemas.openxmlformats.org/officeDocument/2006/relationships/hyperlink" Target="https://twitter.com/INDIZbot" TargetMode="External"/><Relationship Id="rId6100" Type="http://schemas.openxmlformats.org/officeDocument/2006/relationships/hyperlink" Target="https://pbs.twimg.com/profile_images/649572788148285440/Sxl5vTa3_normal.jpg" TargetMode="External"/><Relationship Id="rId9670" Type="http://schemas.openxmlformats.org/officeDocument/2006/relationships/hyperlink" Target="https://pbs.twimg.com/profile_images/574607405507477504/3W6b6mD4_normal.jpeg" TargetMode="External"/><Relationship Id="rId8272" Type="http://schemas.openxmlformats.org/officeDocument/2006/relationships/hyperlink" Target="https://twitter.com/croXXing_IBD/status/723525126327812096" TargetMode="External"/><Relationship Id="rId9323" Type="http://schemas.openxmlformats.org/officeDocument/2006/relationships/hyperlink" Target="https://twitter.com/ClaudiaFeusi" TargetMode="External"/><Relationship Id="rId1312" Type="http://schemas.openxmlformats.org/officeDocument/2006/relationships/hyperlink" Target="https://twitter.com/SchneiderElecDE" TargetMode="External"/><Relationship Id="rId2710" Type="http://schemas.openxmlformats.org/officeDocument/2006/relationships/hyperlink" Target="https://twitter.com/LNI40/status/722097410168762368" TargetMode="External"/><Relationship Id="rId4882" Type="http://schemas.openxmlformats.org/officeDocument/2006/relationships/hyperlink" Target="https://twitter.com/m_biscarrat/status/722730653964464128" TargetMode="External"/><Relationship Id="rId5933" Type="http://schemas.openxmlformats.org/officeDocument/2006/relationships/hyperlink" Target="https://twitter.com/markherten" TargetMode="External"/><Relationship Id="rId2086" Type="http://schemas.openxmlformats.org/officeDocument/2006/relationships/hyperlink" Target="https://twitter.com/INDIZbot/status/721848505325772800" TargetMode="External"/><Relationship Id="rId3484" Type="http://schemas.openxmlformats.org/officeDocument/2006/relationships/hyperlink" Target="https://pbs.twimg.com/profile_images/718175389890310145/GX8DLe_h_normal.jpg" TargetMode="External"/><Relationship Id="rId4535" Type="http://schemas.openxmlformats.org/officeDocument/2006/relationships/hyperlink" Target="https://pbs.twimg.com/profile_images/709479158489948161/NxFpURG3_normal.jpg" TargetMode="External"/><Relationship Id="rId3137" Type="http://schemas.openxmlformats.org/officeDocument/2006/relationships/hyperlink" Target="https://pbs.twimg.com/profile_images/623849156159868928/BetFDR_i_normal.jpg" TargetMode="External"/><Relationship Id="rId7758" Type="http://schemas.openxmlformats.org/officeDocument/2006/relationships/hyperlink" Target="https://twitter.com/gerhardauer" TargetMode="External"/><Relationship Id="rId8809" Type="http://schemas.openxmlformats.org/officeDocument/2006/relationships/hyperlink" Target="https://twitter.com/IngVersteher" TargetMode="External"/><Relationship Id="rId9180" Type="http://schemas.openxmlformats.org/officeDocument/2006/relationships/hyperlink" Target="https://twitter.com/INDIZbot/status/723967470193790976" TargetMode="External"/><Relationship Id="rId2220" Type="http://schemas.openxmlformats.org/officeDocument/2006/relationships/hyperlink" Target="https://pbs.twimg.com/profile_images/645716711723925506/t5G0qOS6_normal.jpg" TargetMode="External"/><Relationship Id="rId5790" Type="http://schemas.openxmlformats.org/officeDocument/2006/relationships/hyperlink" Target="https://twitter.com/YCOLLOT" TargetMode="External"/><Relationship Id="rId4392" Type="http://schemas.openxmlformats.org/officeDocument/2006/relationships/hyperlink" Target="https://twitter.com/INDIZbot" TargetMode="External"/><Relationship Id="rId5443" Type="http://schemas.openxmlformats.org/officeDocument/2006/relationships/hyperlink" Target="https://twitter.com/INDIZbot/status/722804908408352769" TargetMode="External"/><Relationship Id="rId6841" Type="http://schemas.openxmlformats.org/officeDocument/2006/relationships/hyperlink" Target="https://twitter.com/SecExperten" TargetMode="External"/><Relationship Id="rId4045" Type="http://schemas.openxmlformats.org/officeDocument/2006/relationships/hyperlink" Target="https://pbs.twimg.com/profile_images/687354058798137344/Vzvo0AAu_normal.jpg" TargetMode="External"/><Relationship Id="rId8666" Type="http://schemas.openxmlformats.org/officeDocument/2006/relationships/hyperlink" Target="https://twitter.com/CapgeminiDE/status/723782242099683329" TargetMode="External"/><Relationship Id="rId9717" Type="http://schemas.openxmlformats.org/officeDocument/2006/relationships/hyperlink" Target="https://twitter.com/INDIZbot/status/724234533017673728" TargetMode="External"/><Relationship Id="rId1706" Type="http://schemas.openxmlformats.org/officeDocument/2006/relationships/hyperlink" Target="https://twitter.com/M_van_Dalen/status/721309725539876864" TargetMode="External"/><Relationship Id="rId7268" Type="http://schemas.openxmlformats.org/officeDocument/2006/relationships/hyperlink" Target="https://twitter.com/KaiserMgmt/status/723389320657129472" TargetMode="External"/><Relationship Id="rId8319" Type="http://schemas.openxmlformats.org/officeDocument/2006/relationships/hyperlink" Target="https://twitter.com/swabr" TargetMode="External"/><Relationship Id="rId10249" Type="http://schemas.openxmlformats.org/officeDocument/2006/relationships/hyperlink" Target="https://twitter.com/senbaravi" TargetMode="External"/><Relationship Id="rId3878" Type="http://schemas.openxmlformats.org/officeDocument/2006/relationships/hyperlink" Target="https://twitter.com/IBMCommerceDACH" TargetMode="External"/><Relationship Id="rId4929" Type="http://schemas.openxmlformats.org/officeDocument/2006/relationships/hyperlink" Target="https://twitter.com/stefan_denz" TargetMode="External"/><Relationship Id="rId8800" Type="http://schemas.openxmlformats.org/officeDocument/2006/relationships/hyperlink" Target="https://twitter.com/ArminLaschet" TargetMode="External"/><Relationship Id="rId799" Type="http://schemas.openxmlformats.org/officeDocument/2006/relationships/hyperlink" Target="http://paper.li/" TargetMode="External"/><Relationship Id="rId6351" Type="http://schemas.openxmlformats.org/officeDocument/2006/relationships/hyperlink" Target="https://pbs.twimg.com/profile_images/498942077325963264/l5q550Kh_normal.jpeg" TargetMode="External"/><Relationship Id="rId7402" Type="http://schemas.openxmlformats.org/officeDocument/2006/relationships/hyperlink" Target="https://pbs.twimg.com/profile_images/378800000365331675/6e3f40375e80e32a298feb5626225511_normal.jpeg" TargetMode="External"/><Relationship Id="rId6004" Type="http://schemas.openxmlformats.org/officeDocument/2006/relationships/hyperlink" Target="https://pbs.twimg.com/profile_images/639031651515920384/qwABQBI8_normal.jpg" TargetMode="External"/><Relationship Id="rId9574" Type="http://schemas.openxmlformats.org/officeDocument/2006/relationships/hyperlink" Target="https://pbs.twimg.com/profile_images/692360292546842624/MNSepg8N_normal.jpg" TargetMode="External"/><Relationship Id="rId2961" Type="http://schemas.openxmlformats.org/officeDocument/2006/relationships/hyperlink" Target="https://twitter.com/MelanieVogel_/status/722220084324904960" TargetMode="External"/><Relationship Id="rId8176" Type="http://schemas.openxmlformats.org/officeDocument/2006/relationships/hyperlink" Target="https://pbs.twimg.com/profile_images/721268538196013056/mz3VcLa4_normal.jpg" TargetMode="External"/><Relationship Id="rId9227" Type="http://schemas.openxmlformats.org/officeDocument/2006/relationships/hyperlink" Target="https://twitter.com/sallyafrank" TargetMode="External"/><Relationship Id="rId933" Type="http://schemas.openxmlformats.org/officeDocument/2006/relationships/hyperlink" Target="https://twitter.com/ZuliefermarktDE" TargetMode="External"/><Relationship Id="rId1563" Type="http://schemas.openxmlformats.org/officeDocument/2006/relationships/hyperlink" Target="https://pbs.twimg.com/profile_images/540930689705582592/R77AXoET_normal.jpeg" TargetMode="External"/><Relationship Id="rId2614" Type="http://schemas.openxmlformats.org/officeDocument/2006/relationships/hyperlink" Target="https://twitter.com/BerHerg" TargetMode="External"/><Relationship Id="rId1216" Type="http://schemas.openxmlformats.org/officeDocument/2006/relationships/hyperlink" Target="https://twitter.com/leanbi1" TargetMode="External"/><Relationship Id="rId4786" Type="http://schemas.openxmlformats.org/officeDocument/2006/relationships/hyperlink" Target="https://twitter.com/RichardRALFS/status/722718779118120960" TargetMode="External"/><Relationship Id="rId5837" Type="http://schemas.openxmlformats.org/officeDocument/2006/relationships/hyperlink" Target="https://twitter.com/fh_stpoelten" TargetMode="External"/><Relationship Id="rId3388" Type="http://schemas.openxmlformats.org/officeDocument/2006/relationships/hyperlink" Target="https://pbs.twimg.com/profile_images/2373619897/vpoosbb96iqn99oni2dp_normal.jpeg" TargetMode="External"/><Relationship Id="rId4439" Type="http://schemas.openxmlformats.org/officeDocument/2006/relationships/hyperlink" Target="https://pbs.twimg.com/profile_images/557511432153993216/NBgQ5LsI_normal.jpeg" TargetMode="External"/><Relationship Id="rId8310" Type="http://schemas.openxmlformats.org/officeDocument/2006/relationships/hyperlink" Target="https://twitter.com/INDIZbot" TargetMode="External"/><Relationship Id="rId10240" Type="http://schemas.openxmlformats.org/officeDocument/2006/relationships/hyperlink" Target="https://twitter.com/PPanchakIW" TargetMode="External"/><Relationship Id="rId790" Type="http://schemas.openxmlformats.org/officeDocument/2006/relationships/hyperlink" Target="https://pbs.twimg.com/profile_images/721092664930779137/ztqd4vFK_normal.jpg" TargetMode="External"/><Relationship Id="rId2471" Type="http://schemas.openxmlformats.org/officeDocument/2006/relationships/hyperlink" Target="https://twitter.com/MenoldBezler/status/722040778634223617" TargetMode="External"/><Relationship Id="rId3522" Type="http://schemas.openxmlformats.org/officeDocument/2006/relationships/hyperlink" Target="https://twitter.com/KubitzTassilo/status/722370986801278976" TargetMode="External"/><Relationship Id="rId4920" Type="http://schemas.openxmlformats.org/officeDocument/2006/relationships/hyperlink" Target="https://twitter.com/HDSintGroup" TargetMode="External"/><Relationship Id="rId9084" Type="http://schemas.openxmlformats.org/officeDocument/2006/relationships/hyperlink" Target="https://twitter.com/CentaUK/status/723932669856387074" TargetMode="External"/><Relationship Id="rId443" Type="http://schemas.openxmlformats.org/officeDocument/2006/relationships/hyperlink" Target="https://twitter.com/EDV_Twitt/status/720594419792146432" TargetMode="External"/><Relationship Id="rId1073" Type="http://schemas.openxmlformats.org/officeDocument/2006/relationships/hyperlink" Target="https://twitter.com/IGMetall/status/720898436569149440" TargetMode="External"/><Relationship Id="rId2124" Type="http://schemas.openxmlformats.org/officeDocument/2006/relationships/hyperlink" Target="https://twitter.com/innovationbawue" TargetMode="External"/><Relationship Id="rId4296" Type="http://schemas.openxmlformats.org/officeDocument/2006/relationships/hyperlink" Target="https://twitter.com/ROKAutomationAT" TargetMode="External"/><Relationship Id="rId5694" Type="http://schemas.openxmlformats.org/officeDocument/2006/relationships/hyperlink" Target="https://twitter.com/INDIZbot" TargetMode="External"/><Relationship Id="rId6745" Type="http://schemas.openxmlformats.org/officeDocument/2006/relationships/hyperlink" Target="https://twitter.com/BeniSeiler" TargetMode="External"/><Relationship Id="rId5347" Type="http://schemas.openxmlformats.org/officeDocument/2006/relationships/hyperlink" Target="https://twitter.com/Bitkom_I40" TargetMode="External"/><Relationship Id="rId9968" Type="http://schemas.openxmlformats.org/officeDocument/2006/relationships/hyperlink" Target="https://twitter.com/RiemenspergerF/status/724286184801861632" TargetMode="External"/><Relationship Id="rId1957" Type="http://schemas.openxmlformats.org/officeDocument/2006/relationships/hyperlink" Target="https://twitter.com/H_IT_D/status/721670519263666176" TargetMode="External"/><Relationship Id="rId4430" Type="http://schemas.openxmlformats.org/officeDocument/2006/relationships/hyperlink" Target="https://pbs.twimg.com/profile_images/699190600441196544/rwgvvgML_normal.jpg" TargetMode="External"/><Relationship Id="rId3032" Type="http://schemas.openxmlformats.org/officeDocument/2006/relationships/hyperlink" Target="https://pbs.twimg.com/profile_images/645716711723925506/t5G0qOS6_normal.jpg" TargetMode="External"/><Relationship Id="rId7653" Type="http://schemas.openxmlformats.org/officeDocument/2006/relationships/hyperlink" Target="https://twitter.com/tcerisier_johan" TargetMode="External"/><Relationship Id="rId6255" Type="http://schemas.openxmlformats.org/officeDocument/2006/relationships/hyperlink" Target="https://pbs.twimg.com/profile_images/662723326096224256/5V4KH9_O_normal.jpg" TargetMode="External"/><Relationship Id="rId7306" Type="http://schemas.openxmlformats.org/officeDocument/2006/relationships/hyperlink" Target="https://twitter.com/INDIZbot" TargetMode="External"/><Relationship Id="rId8704" Type="http://schemas.openxmlformats.org/officeDocument/2006/relationships/hyperlink" Target="https://twitter.com/matgnt2" TargetMode="External"/><Relationship Id="rId2865" Type="http://schemas.openxmlformats.org/officeDocument/2006/relationships/hyperlink" Target="https://twitter.com/Ulitzer" TargetMode="External"/><Relationship Id="rId3916" Type="http://schemas.openxmlformats.org/officeDocument/2006/relationships/hyperlink" Target="https://pbs.twimg.com/profile_images/687255709180796928/1ccBfNwK_normal.png" TargetMode="External"/><Relationship Id="rId9478" Type="http://schemas.openxmlformats.org/officeDocument/2006/relationships/hyperlink" Target="https://pbs.twimg.com/profile_images/420844205607362560/p085f4o7_normal.png" TargetMode="External"/><Relationship Id="rId837" Type="http://schemas.openxmlformats.org/officeDocument/2006/relationships/hyperlink" Target="https://twitter.com/TheSDDC" TargetMode="External"/><Relationship Id="rId1467" Type="http://schemas.openxmlformats.org/officeDocument/2006/relationships/hyperlink" Target="https://pbs.twimg.com/profile_images/631516878830178304/X8gApwdt_normal.jpg" TargetMode="External"/><Relationship Id="rId2518" Type="http://schemas.openxmlformats.org/officeDocument/2006/relationships/hyperlink" Target="https://pbs.twimg.com/profile_images/1433733321/35984_458684286354_752236354_6842403_4519162_n-1_normal.jpg" TargetMode="External"/><Relationship Id="rId8561" Type="http://schemas.openxmlformats.org/officeDocument/2006/relationships/hyperlink" Target="https://twitter.com/BigDataTweetBot/status/723730782565588992" TargetMode="External"/><Relationship Id="rId9612" Type="http://schemas.openxmlformats.org/officeDocument/2006/relationships/hyperlink" Target="https://twitter.com/Evetse/status/724219450413748224" TargetMode="External"/><Relationship Id="rId1601" Type="http://schemas.openxmlformats.org/officeDocument/2006/relationships/hyperlink" Target="https://twitter.com/tcerisier_johan/status/721239343743033345" TargetMode="External"/><Relationship Id="rId7163" Type="http://schemas.openxmlformats.org/officeDocument/2006/relationships/hyperlink" Target="https://twitter.com/JohnRiversToo/status/723324986954534912" TargetMode="External"/><Relationship Id="rId8214" Type="http://schemas.openxmlformats.org/officeDocument/2006/relationships/hyperlink" Target="https://twitter.com/kommoptimierer" TargetMode="External"/><Relationship Id="rId10144" Type="http://schemas.openxmlformats.org/officeDocument/2006/relationships/hyperlink" Target="https://twitter.com/RealJoeGuy" TargetMode="External"/><Relationship Id="rId694" Type="http://schemas.openxmlformats.org/officeDocument/2006/relationships/hyperlink" Target="https://pbs.twimg.com/profile_images/618481301654388736/vDFKHG_7_normal.jpg" TargetMode="External"/><Relationship Id="rId2375" Type="http://schemas.openxmlformats.org/officeDocument/2006/relationships/hyperlink" Target="https://twitter.com/OpenMarketingTV/status/722000014298492928" TargetMode="External"/><Relationship Id="rId3773" Type="http://schemas.openxmlformats.org/officeDocument/2006/relationships/hyperlink" Target="https://twitter.com/LeasingVerband" TargetMode="External"/><Relationship Id="rId4824" Type="http://schemas.openxmlformats.org/officeDocument/2006/relationships/hyperlink" Target="https://twitter.com/VhUHessen" TargetMode="External"/><Relationship Id="rId347" Type="http://schemas.openxmlformats.org/officeDocument/2006/relationships/hyperlink" Target="https://twitter.com/gpodagrosi/status/720555698413838336" TargetMode="External"/><Relationship Id="rId2028" Type="http://schemas.openxmlformats.org/officeDocument/2006/relationships/hyperlink" Target="https://twitter.com/SmartRuralAreas" TargetMode="External"/><Relationship Id="rId3426" Type="http://schemas.openxmlformats.org/officeDocument/2006/relationships/hyperlink" Target="https://twitter.com/SDhapi/status/722358806450200576" TargetMode="External"/><Relationship Id="rId6996" Type="http://schemas.openxmlformats.org/officeDocument/2006/relationships/hyperlink" Target="https://pbs.twimg.com/profile_images/712359940522958848/YTIPdlXp_normal.jpg" TargetMode="External"/><Relationship Id="rId5598" Type="http://schemas.openxmlformats.org/officeDocument/2006/relationships/hyperlink" Target="https://twitter.com/OJaeger" TargetMode="External"/><Relationship Id="rId6649" Type="http://schemas.openxmlformats.org/officeDocument/2006/relationships/hyperlink" Target="https://twitter.com/Bitkom/status/723156406392643584" TargetMode="External"/><Relationship Id="rId8071" Type="http://schemas.openxmlformats.org/officeDocument/2006/relationships/hyperlink" Target="https://pbs.twimg.com/profile_images/623849156159868928/BetFDR_i_normal.jpg" TargetMode="External"/><Relationship Id="rId9122" Type="http://schemas.openxmlformats.org/officeDocument/2006/relationships/hyperlink" Target="https://twitter.com/Tim_Caesar" TargetMode="External"/><Relationship Id="rId1111" Type="http://schemas.openxmlformats.org/officeDocument/2006/relationships/hyperlink" Target="https://twitter.com/DidierDeruaz" TargetMode="External"/><Relationship Id="rId4681" Type="http://schemas.openxmlformats.org/officeDocument/2006/relationships/hyperlink" Target="https://twitter.com/antriebstech/status/722710676402257922" TargetMode="External"/><Relationship Id="rId5732" Type="http://schemas.openxmlformats.org/officeDocument/2006/relationships/hyperlink" Target="https://pbs.twimg.com/profile_images/541146126158536704/IYardufS_normal.jpeg" TargetMode="External"/><Relationship Id="rId3283" Type="http://schemas.openxmlformats.org/officeDocument/2006/relationships/hyperlink" Target="https://twitter.com/IDKOMPASS" TargetMode="External"/><Relationship Id="rId4334" Type="http://schemas.openxmlformats.org/officeDocument/2006/relationships/hyperlink" Target="https://pbs.twimg.com/profile_images/560799766007664640/lsjqv0TW_normal.jpeg" TargetMode="External"/><Relationship Id="rId8955" Type="http://schemas.openxmlformats.org/officeDocument/2006/relationships/hyperlink" Target="https://pbs.twimg.com/profile_images/497481376275255296/s_e5Ucqk_normal.jpeg" TargetMode="External"/><Relationship Id="rId6159" Type="http://schemas.openxmlformats.org/officeDocument/2006/relationships/hyperlink" Target="https://twitter.com/IT_Connection" TargetMode="External"/><Relationship Id="rId7557" Type="http://schemas.openxmlformats.org/officeDocument/2006/relationships/hyperlink" Target="https://twitter.com/INDIZbot" TargetMode="External"/><Relationship Id="rId8608" Type="http://schemas.openxmlformats.org/officeDocument/2006/relationships/hyperlink" Target="https://twitter.com/INDIZbot" TargetMode="External"/><Relationship Id="rId2769" Type="http://schemas.openxmlformats.org/officeDocument/2006/relationships/hyperlink" Target="https://twitter.com/CloudExpo" TargetMode="External"/><Relationship Id="rId6640" Type="http://schemas.openxmlformats.org/officeDocument/2006/relationships/hyperlink" Target="https://twitter.com/BSAHbiz/status/723155064865603584" TargetMode="External"/><Relationship Id="rId4191" Type="http://schemas.openxmlformats.org/officeDocument/2006/relationships/hyperlink" Target="https://twitter.com/LReehten" TargetMode="External"/><Relationship Id="rId5242" Type="http://schemas.openxmlformats.org/officeDocument/2006/relationships/hyperlink" Target="https://twitter.com/acatech_de/status/722772671830827008" TargetMode="External"/><Relationship Id="rId9863" Type="http://schemas.openxmlformats.org/officeDocument/2006/relationships/hyperlink" Target="https://twitter.com/catkinEU/status/724272477329854464" TargetMode="External"/><Relationship Id="rId77" Type="http://schemas.openxmlformats.org/officeDocument/2006/relationships/hyperlink" Target="https://twitter.com/PwC_France/status/720507072346005505" TargetMode="External"/><Relationship Id="rId8465" Type="http://schemas.openxmlformats.org/officeDocument/2006/relationships/hyperlink" Target="https://twitter.com/INDIZbot/status/723592498728296448" TargetMode="External"/><Relationship Id="rId9516" Type="http://schemas.openxmlformats.org/officeDocument/2006/relationships/hyperlink" Target="https://twitter.com/NoreigaEmelia/status/724193665921388545" TargetMode="External"/><Relationship Id="rId1852" Type="http://schemas.openxmlformats.org/officeDocument/2006/relationships/hyperlink" Target="https://twitter.com/LeanKnowledge" TargetMode="External"/><Relationship Id="rId2903" Type="http://schemas.openxmlformats.org/officeDocument/2006/relationships/hyperlink" Target="https://twitter.com/ARAitken" TargetMode="External"/><Relationship Id="rId7067" Type="http://schemas.openxmlformats.org/officeDocument/2006/relationships/hyperlink" Target="https://twitter.com/INDIZbot/status/723250242200674304" TargetMode="External"/><Relationship Id="rId8118" Type="http://schemas.openxmlformats.org/officeDocument/2006/relationships/hyperlink" Target="https://twitter.com/Women_Digital/status/723497402561388544" TargetMode="External"/><Relationship Id="rId10048" Type="http://schemas.openxmlformats.org/officeDocument/2006/relationships/hyperlink" Target="https://twitter.com/H_IT_D" TargetMode="External"/><Relationship Id="rId1505" Type="http://schemas.openxmlformats.org/officeDocument/2006/relationships/hyperlink" Target="https://twitter.com/JulienGre38/status/721049401037361152" TargetMode="External"/><Relationship Id="rId3677" Type="http://schemas.openxmlformats.org/officeDocument/2006/relationships/hyperlink" Target="https://twitter.com/wmaxx_consultig" TargetMode="External"/><Relationship Id="rId4728" Type="http://schemas.openxmlformats.org/officeDocument/2006/relationships/hyperlink" Target="https://twitter.com/1ironbark1" TargetMode="External"/><Relationship Id="rId598" Type="http://schemas.openxmlformats.org/officeDocument/2006/relationships/hyperlink" Target="https://pbs.twimg.com/profile_images/469841276188098560/7H13R02s_normal.jpeg" TargetMode="External"/><Relationship Id="rId2279" Type="http://schemas.openxmlformats.org/officeDocument/2006/relationships/hyperlink" Target="https://pbs.twimg.com/profile_images/643434595703238656/-Q4sNYcu_normal.png" TargetMode="External"/><Relationship Id="rId6150" Type="http://schemas.openxmlformats.org/officeDocument/2006/relationships/hyperlink" Target="https://twitter.com/AbockAngela" TargetMode="External"/><Relationship Id="rId7201" Type="http://schemas.openxmlformats.org/officeDocument/2006/relationships/hyperlink" Target="https://twitter.com/neerajdeuskar79" TargetMode="External"/><Relationship Id="rId2760" Type="http://schemas.openxmlformats.org/officeDocument/2006/relationships/hyperlink" Target="https://twitter.com/mbesch" TargetMode="External"/><Relationship Id="rId3811" Type="http://schemas.openxmlformats.org/officeDocument/2006/relationships/hyperlink" Target="https://pbs.twimg.com/profile_images/470859198528372736/n8NmrLr__normal.png" TargetMode="External"/><Relationship Id="rId9373" Type="http://schemas.openxmlformats.org/officeDocument/2006/relationships/hyperlink" Target="https://pbs.twimg.com/profile_images/722385992343285760/ww8YLZ2q_normal.jpg" TargetMode="External"/><Relationship Id="rId732" Type="http://schemas.openxmlformats.org/officeDocument/2006/relationships/hyperlink" Target="https://twitter.com/paoloigna1/status/720689985586905089" TargetMode="External"/><Relationship Id="rId1362" Type="http://schemas.openxmlformats.org/officeDocument/2006/relationships/hyperlink" Target="https://pbs.twimg.com/profile_images/666911961599315968/aP7ID_qm_normal.png" TargetMode="External"/><Relationship Id="rId2413" Type="http://schemas.openxmlformats.org/officeDocument/2006/relationships/hyperlink" Target="https://twitter.com/INDIZbot" TargetMode="External"/><Relationship Id="rId9026" Type="http://schemas.openxmlformats.org/officeDocument/2006/relationships/hyperlink" Target="https://twitter.com/MachineryMktmag/status/723911959079473152" TargetMode="External"/><Relationship Id="rId1015" Type="http://schemas.openxmlformats.org/officeDocument/2006/relationships/hyperlink" Target="https://twitter.com/sensorplustest" TargetMode="External"/><Relationship Id="rId4585" Type="http://schemas.openxmlformats.org/officeDocument/2006/relationships/hyperlink" Target="https://twitter.com/ElkeStei/status/722707272124796928" TargetMode="External"/><Relationship Id="rId5983" Type="http://schemas.openxmlformats.org/officeDocument/2006/relationships/hyperlink" Target="https://pbs.twimg.com/profile_images/463608454624448512/0DV5XX08_normal.jpeg" TargetMode="External"/><Relationship Id="rId3187" Type="http://schemas.openxmlformats.org/officeDocument/2006/relationships/hyperlink" Target="https://twitter.com/BoschMEMS" TargetMode="External"/><Relationship Id="rId4238" Type="http://schemas.openxmlformats.org/officeDocument/2006/relationships/hyperlink" Target="https://pbs.twimg.com/profile_images/645716711723925506/t5G0qOS6_normal.jpg" TargetMode="External"/><Relationship Id="rId5636" Type="http://schemas.openxmlformats.org/officeDocument/2006/relationships/hyperlink" Target="https://pbs.twimg.com/profile_images/480533400743182336/w7vvPFUY_normal.png" TargetMode="External"/><Relationship Id="rId8859" Type="http://schemas.openxmlformats.org/officeDocument/2006/relationships/hyperlink" Target="https://pbs.twimg.com/profile_images/481006931952160769/bYcb_tLb_normal.jpeg" TargetMode="External"/><Relationship Id="rId2270" Type="http://schemas.openxmlformats.org/officeDocument/2006/relationships/hyperlink" Target="https://pbs.twimg.com/profile_images/490060130231132160/qLmnir1s_normal.jpeg" TargetMode="External"/><Relationship Id="rId3321" Type="http://schemas.openxmlformats.org/officeDocument/2006/relationships/hyperlink" Target="https://pbs.twimg.com/profile_images/645716711723925506/t5G0qOS6_normal.jpg" TargetMode="External"/><Relationship Id="rId6891" Type="http://schemas.openxmlformats.org/officeDocument/2006/relationships/hyperlink" Target="https://pbs.twimg.com/profile_images/2839681344/89460c019f3d93bdda5c67fddbaf4641_normal.png" TargetMode="External"/><Relationship Id="rId7942" Type="http://schemas.openxmlformats.org/officeDocument/2006/relationships/hyperlink" Target="https://twitter.com/aeaktuell" TargetMode="External"/><Relationship Id="rId242" Type="http://schemas.openxmlformats.org/officeDocument/2006/relationships/hyperlink" Target="https://twitter.com/AllemagneDiplo/status/720537061036552192" TargetMode="External"/><Relationship Id="rId5493" Type="http://schemas.openxmlformats.org/officeDocument/2006/relationships/hyperlink" Target="https://twitter.com/m_biscarrat" TargetMode="External"/><Relationship Id="rId6544" Type="http://schemas.openxmlformats.org/officeDocument/2006/relationships/hyperlink" Target="https://pbs.twimg.com/profile_images/552211771360940032/CmEYO0l3_normal.png" TargetMode="External"/><Relationship Id="rId4095" Type="http://schemas.openxmlformats.org/officeDocument/2006/relationships/hyperlink" Target="https://twitter.com/INDIZbot" TargetMode="External"/><Relationship Id="rId5146" Type="http://schemas.openxmlformats.org/officeDocument/2006/relationships/hyperlink" Target="https://twitter.com/AGiesenNRW" TargetMode="External"/><Relationship Id="rId8369" Type="http://schemas.openxmlformats.org/officeDocument/2006/relationships/hyperlink" Target="https://pbs.twimg.com/profile_images/673122571731251200/Rcblg7bz_normal.png" TargetMode="External"/><Relationship Id="rId9767" Type="http://schemas.openxmlformats.org/officeDocument/2006/relationships/hyperlink" Target="https://twitter.com/Bitkom_I40/status/724245766999429120" TargetMode="External"/><Relationship Id="rId1756" Type="http://schemas.openxmlformats.org/officeDocument/2006/relationships/hyperlink" Target="https://twitter.com/SALIM__S" TargetMode="External"/><Relationship Id="rId2807" Type="http://schemas.openxmlformats.org/officeDocument/2006/relationships/hyperlink" Target="https://pbs.twimg.com/profile_images/573719685306388481/QCug9raA_normal.jpeg" TargetMode="External"/><Relationship Id="rId10299" Type="http://schemas.openxmlformats.org/officeDocument/2006/relationships/hyperlink" Target="https://pbs.twimg.com/profile_images/706919062929084416/L4kA2Li8_normal.jpg" TargetMode="External"/><Relationship Id="rId1409" Type="http://schemas.openxmlformats.org/officeDocument/2006/relationships/hyperlink" Target="https://twitter.com/hannover_messe" TargetMode="External"/><Relationship Id="rId4979" Type="http://schemas.openxmlformats.org/officeDocument/2006/relationships/hyperlink" Target="http://scoop.it/" TargetMode="External"/><Relationship Id="rId8850" Type="http://schemas.openxmlformats.org/officeDocument/2006/relationships/hyperlink" Target="https://pbs.twimg.com/profile_images/1170260501/DSCF0188_normal.JPG" TargetMode="External"/><Relationship Id="rId9901" Type="http://schemas.openxmlformats.org/officeDocument/2006/relationships/hyperlink" Target="https://twitter.com/Robert_Weber_" TargetMode="External"/><Relationship Id="rId7452" Type="http://schemas.openxmlformats.org/officeDocument/2006/relationships/hyperlink" Target="https://twitter.com/INDIZbot" TargetMode="External"/><Relationship Id="rId8503" Type="http://schemas.openxmlformats.org/officeDocument/2006/relationships/hyperlink" Target="https://twitter.com/kommoptimierer" TargetMode="External"/><Relationship Id="rId6054" Type="http://schemas.openxmlformats.org/officeDocument/2006/relationships/hyperlink" Target="https://twitter.com/VhUHessen/status/723073283554455552" TargetMode="External"/><Relationship Id="rId7105" Type="http://schemas.openxmlformats.org/officeDocument/2006/relationships/hyperlink" Target="https://twitter.com/sarhapu" TargetMode="External"/><Relationship Id="rId983" Type="http://schemas.openxmlformats.org/officeDocument/2006/relationships/hyperlink" Target="https://twitter.com/rapifireio/status/720880261265629184" TargetMode="External"/><Relationship Id="rId2664" Type="http://schemas.openxmlformats.org/officeDocument/2006/relationships/hyperlink" Target="https://twitter.com/SmartAutomati0n" TargetMode="External"/><Relationship Id="rId9277" Type="http://schemas.openxmlformats.org/officeDocument/2006/relationships/hyperlink" Target="https://pbs.twimg.com/profile_images/649572788148285440/Sxl5vTa3_normal.jpg" TargetMode="External"/><Relationship Id="rId636" Type="http://schemas.openxmlformats.org/officeDocument/2006/relationships/hyperlink" Target="https://twitter.com/INDIZbot/status/720648191239196672" TargetMode="External"/><Relationship Id="rId1266" Type="http://schemas.openxmlformats.org/officeDocument/2006/relationships/hyperlink" Target="https://pbs.twimg.com/profile_images/645716711723925506/t5G0qOS6_normal.jpg" TargetMode="External"/><Relationship Id="rId2317" Type="http://schemas.openxmlformats.org/officeDocument/2006/relationships/hyperlink" Target="https://twitter.com/conosco" TargetMode="External"/><Relationship Id="rId3715" Type="http://schemas.openxmlformats.org/officeDocument/2006/relationships/hyperlink" Target="https://pbs.twimg.com/profile_images/662723326096224256/5V4KH9_O_normal.jpg" TargetMode="External"/><Relationship Id="rId5887" Type="http://schemas.openxmlformats.org/officeDocument/2006/relationships/hyperlink" Target="https://pbs.twimg.com/profile_images/502066779590385665/YElxw-eg_normal.jpeg" TargetMode="External"/><Relationship Id="rId6938" Type="http://schemas.openxmlformats.org/officeDocument/2006/relationships/hyperlink" Target="https://twitter.com/DanielDomigall/status/723198920013320192" TargetMode="External"/><Relationship Id="rId4489" Type="http://schemas.openxmlformats.org/officeDocument/2006/relationships/hyperlink" Target="https://pbs.twimg.com/profile_images/705317885430751232/jLPYL-U3_normal.jpg" TargetMode="External"/><Relationship Id="rId8360" Type="http://schemas.openxmlformats.org/officeDocument/2006/relationships/hyperlink" Target="https://pbs.twimg.com/profile_images/692785682461302784/MGw-4T6__normal.jpg" TargetMode="External"/><Relationship Id="rId9411" Type="http://schemas.openxmlformats.org/officeDocument/2006/relationships/hyperlink" Target="https://twitter.com/sms2sms/status/724173098564591616" TargetMode="External"/><Relationship Id="rId10290" Type="http://schemas.openxmlformats.org/officeDocument/2006/relationships/hyperlink" Target="https://pbs.twimg.com/profile_images/623103587527344128/2HZGdh68_normal.png" TargetMode="External"/><Relationship Id="rId1400" Type="http://schemas.openxmlformats.org/officeDocument/2006/relationships/hyperlink" Target="https://twitter.com/INDIZbot" TargetMode="External"/><Relationship Id="rId4970" Type="http://schemas.openxmlformats.org/officeDocument/2006/relationships/hyperlink" Target="https://pbs.twimg.com/profile_images/548030384030507008/utABqhj9_normal.png" TargetMode="External"/><Relationship Id="rId8013" Type="http://schemas.openxmlformats.org/officeDocument/2006/relationships/hyperlink" Target="https://twitter.com/LReehten/status/723478460996456452" TargetMode="External"/><Relationship Id="rId3572" Type="http://schemas.openxmlformats.org/officeDocument/2006/relationships/hyperlink" Target="https://twitter.com/ClaasBorchers" TargetMode="External"/><Relationship Id="rId4623" Type="http://schemas.openxmlformats.org/officeDocument/2006/relationships/hyperlink" Target="https://twitter.com/detecon" TargetMode="External"/><Relationship Id="rId493" Type="http://schemas.openxmlformats.org/officeDocument/2006/relationships/hyperlink" Target="https://pbs.twimg.com/profile_images/671714912956243968/T1wpMEU5_normal.jpg" TargetMode="External"/><Relationship Id="rId2174" Type="http://schemas.openxmlformats.org/officeDocument/2006/relationships/hyperlink" Target="https://twitter.com/VDMAonline/status/721956535149002752" TargetMode="External"/><Relationship Id="rId3225" Type="http://schemas.openxmlformats.org/officeDocument/2006/relationships/hyperlink" Target="https://pbs.twimg.com/profile_images/662723326096224256/5V4KH9_O_normal.jpg" TargetMode="External"/><Relationship Id="rId6795" Type="http://schemas.openxmlformats.org/officeDocument/2006/relationships/hyperlink" Target="https://pbs.twimg.com/profile_images/440423895963664384/T30y1kSZ_normal.jpeg" TargetMode="External"/><Relationship Id="rId146" Type="http://schemas.openxmlformats.org/officeDocument/2006/relationships/hyperlink" Target="https://twitter.com/INDIZbot/status/720519749470437376" TargetMode="External"/><Relationship Id="rId5397" Type="http://schemas.openxmlformats.org/officeDocument/2006/relationships/hyperlink" Target="https://twitter.com/iisyseki/status/722797796726804480" TargetMode="External"/><Relationship Id="rId6448" Type="http://schemas.openxmlformats.org/officeDocument/2006/relationships/hyperlink" Target="https://pbs.twimg.com/profile_images/713021101106995200/w4EIzjMN_normal.jpg" TargetMode="External"/><Relationship Id="rId7846" Type="http://schemas.openxmlformats.org/officeDocument/2006/relationships/hyperlink" Target="https://twitter.com/packagingJ" TargetMode="External"/><Relationship Id="rId4480" Type="http://schemas.openxmlformats.org/officeDocument/2006/relationships/hyperlink" Target="https://twitter.com/Tiba_Schweiz" TargetMode="External"/><Relationship Id="rId5531" Type="http://schemas.openxmlformats.org/officeDocument/2006/relationships/hyperlink" Target="https://pbs.twimg.com/profile_images/699337426729361408/CRQQAGZq_normal.jpg" TargetMode="External"/><Relationship Id="rId3082" Type="http://schemas.openxmlformats.org/officeDocument/2006/relationships/hyperlink" Target="https://twitter.com/Bennuehr/status/722311883513077760" TargetMode="External"/><Relationship Id="rId4133" Type="http://schemas.openxmlformats.org/officeDocument/2006/relationships/hyperlink" Target="https://pbs.twimg.com/profile_images/477208957602119680/8QlGcAVc_normal.jpeg" TargetMode="External"/><Relationship Id="rId8754" Type="http://schemas.openxmlformats.org/officeDocument/2006/relationships/hyperlink" Target="https://pbs.twimg.com/profile_images/201943493/Etengo_NIR_normal.jpg" TargetMode="External"/><Relationship Id="rId9805" Type="http://schemas.openxmlformats.org/officeDocument/2006/relationships/hyperlink" Target="https://twitter.com/buendnisZdI" TargetMode="External"/><Relationship Id="rId19" Type="http://schemas.openxmlformats.org/officeDocument/2006/relationships/hyperlink" Target="https://twitter.com/demade_anajerem" TargetMode="External"/><Relationship Id="rId7356" Type="http://schemas.openxmlformats.org/officeDocument/2006/relationships/hyperlink" Target="https://twitter.com/webducation/status/723402279777247232" TargetMode="External"/><Relationship Id="rId8407" Type="http://schemas.openxmlformats.org/officeDocument/2006/relationships/hyperlink" Target="https://twitter.com/msftmfg" TargetMode="External"/><Relationship Id="rId10337" Type="http://schemas.openxmlformats.org/officeDocument/2006/relationships/hyperlink" Target="https://twitter.com/ToreKeller/status/724469097367502848" TargetMode="External"/><Relationship Id="rId7009" Type="http://schemas.openxmlformats.org/officeDocument/2006/relationships/hyperlink" Target="https://twitter.com/vzvManaBear24" TargetMode="External"/><Relationship Id="rId3966" Type="http://schemas.openxmlformats.org/officeDocument/2006/relationships/hyperlink" Target="https://twitter.com/Bitkom/status/722462361093713923" TargetMode="External"/><Relationship Id="rId3" Type="http://schemas.openxmlformats.org/officeDocument/2006/relationships/hyperlink" Target="https://pbs.twimg.com/profile_images/3590889218/63411ebe81977b1697c18aafbdadc4a7_normal.png" TargetMode="External"/><Relationship Id="rId887" Type="http://schemas.openxmlformats.org/officeDocument/2006/relationships/hyperlink" Target="https://pbs.twimg.com/profile_images/645716711723925506/t5G0qOS6_normal.jpg" TargetMode="External"/><Relationship Id="rId2568" Type="http://schemas.openxmlformats.org/officeDocument/2006/relationships/hyperlink" Target="https://twitter.com/prxagentur" TargetMode="External"/><Relationship Id="rId3619" Type="http://schemas.openxmlformats.org/officeDocument/2006/relationships/hyperlink" Target="https://pbs.twimg.com/profile_images/3542998130/5e65449daa56d18e9aab7f6535dc25fc_normal.jpeg" TargetMode="External"/><Relationship Id="rId5041" Type="http://schemas.openxmlformats.org/officeDocument/2006/relationships/hyperlink" Target="https://twitter.com/SICK_de" TargetMode="External"/><Relationship Id="rId9662" Type="http://schemas.openxmlformats.org/officeDocument/2006/relationships/hyperlink" Target="https://twitter.com/SachinKaradgi" TargetMode="External"/><Relationship Id="rId1651" Type="http://schemas.openxmlformats.org/officeDocument/2006/relationships/hyperlink" Target="https://twitter.com/INDIZbot" TargetMode="External"/><Relationship Id="rId2702" Type="http://schemas.openxmlformats.org/officeDocument/2006/relationships/hyperlink" Target="https://pbs.twimg.com/profile_images/613472305570824192/BKw639DG_normal.png" TargetMode="External"/><Relationship Id="rId8264" Type="http://schemas.openxmlformats.org/officeDocument/2006/relationships/hyperlink" Target="https://pbs.twimg.com/profile_images/718175389890310145/GX8DLe_h_normal.jpg" TargetMode="External"/><Relationship Id="rId9315" Type="http://schemas.openxmlformats.org/officeDocument/2006/relationships/hyperlink" Target="https://twitter.com/INDIZbot/status/724136077649387520" TargetMode="External"/><Relationship Id="rId10194" Type="http://schemas.openxmlformats.org/officeDocument/2006/relationships/hyperlink" Target="https://pbs.twimg.com/profile_images/1298615913/Hand2_normal.jpg" TargetMode="External"/><Relationship Id="rId1304" Type="http://schemas.openxmlformats.org/officeDocument/2006/relationships/hyperlink" Target="https://twitter.com/ROKAutomationIT/status/720952374446018560" TargetMode="External"/><Relationship Id="rId4874" Type="http://schemas.openxmlformats.org/officeDocument/2006/relationships/hyperlink" Target="https://pbs.twimg.com/profile_images/561208179355185153/11KDu7Gt_normal.png" TargetMode="External"/><Relationship Id="rId3476" Type="http://schemas.openxmlformats.org/officeDocument/2006/relationships/hyperlink" Target="https://twitter.com/SimonSchneid" TargetMode="External"/><Relationship Id="rId4527" Type="http://schemas.openxmlformats.org/officeDocument/2006/relationships/hyperlink" Target="https://twitter.com/Digitalwandel" TargetMode="External"/><Relationship Id="rId5925" Type="http://schemas.openxmlformats.org/officeDocument/2006/relationships/hyperlink" Target="https://twitter.com/GermanIOD/status/723061940734414848" TargetMode="External"/><Relationship Id="rId10" Type="http://schemas.openxmlformats.org/officeDocument/2006/relationships/hyperlink" Target="https://twitter.com/ASoumagne" TargetMode="External"/><Relationship Id="rId397" Type="http://schemas.openxmlformats.org/officeDocument/2006/relationships/hyperlink" Target="https://twitter.com/INDIZbot" TargetMode="External"/><Relationship Id="rId2078" Type="http://schemas.openxmlformats.org/officeDocument/2006/relationships/hyperlink" Target="https://pbs.twimg.com/profile_images/480533400743182336/w7vvPFUY_normal.png" TargetMode="External"/><Relationship Id="rId3129" Type="http://schemas.openxmlformats.org/officeDocument/2006/relationships/hyperlink" Target="https://twitter.com/LReehten" TargetMode="External"/><Relationship Id="rId7000" Type="http://schemas.openxmlformats.org/officeDocument/2006/relationships/hyperlink" Target="https://twitter.com/computerdoktor" TargetMode="External"/><Relationship Id="rId6699" Type="http://schemas.openxmlformats.org/officeDocument/2006/relationships/hyperlink" Target="https://pbs.twimg.com/profile_images/601673968551075840/MnulnKkj_normal.png" TargetMode="External"/><Relationship Id="rId9172" Type="http://schemas.openxmlformats.org/officeDocument/2006/relationships/hyperlink" Target="https://pbs.twimg.com/profile_images/1281327600/VEM_LOGO_1101_4c_o_Twitter_normal.jpg" TargetMode="External"/><Relationship Id="rId3610" Type="http://schemas.openxmlformats.org/officeDocument/2006/relationships/hyperlink" Target="https://pbs.twimg.com/profile_images/717732509430079488/FES42o6z_normal.jpg" TargetMode="External"/><Relationship Id="rId531" Type="http://schemas.openxmlformats.org/officeDocument/2006/relationships/hyperlink" Target="https://twitter.com/JmuellerIoT/status/720614791040077825" TargetMode="External"/><Relationship Id="rId1161" Type="http://schemas.openxmlformats.org/officeDocument/2006/relationships/hyperlink" Target="https://pbs.twimg.com/profile_images/561208179355185153/11KDu7Gt_normal.png" TargetMode="External"/><Relationship Id="rId2212" Type="http://schemas.openxmlformats.org/officeDocument/2006/relationships/hyperlink" Target="https://twitter.com/bluebait" TargetMode="External"/><Relationship Id="rId5782" Type="http://schemas.openxmlformats.org/officeDocument/2006/relationships/hyperlink" Target="https://twitter.com/SAPFrance/status/723040187786366976" TargetMode="External"/><Relationship Id="rId6833" Type="http://schemas.openxmlformats.org/officeDocument/2006/relationships/hyperlink" Target="https://twitter.com/ExpertenDerIT/status/723179253580337152" TargetMode="External"/><Relationship Id="rId4384" Type="http://schemas.openxmlformats.org/officeDocument/2006/relationships/hyperlink" Target="https://twitter.com/tuevnord/status/722684679720198145" TargetMode="External"/><Relationship Id="rId5435" Type="http://schemas.openxmlformats.org/officeDocument/2006/relationships/hyperlink" Target="https://pbs.twimg.com/profile_images/489403559394304001/8SQlWWA1_normal.jpeg" TargetMode="External"/><Relationship Id="rId4037" Type="http://schemas.openxmlformats.org/officeDocument/2006/relationships/hyperlink" Target="https://twitter.com/ChrisRouiller" TargetMode="External"/><Relationship Id="rId8658" Type="http://schemas.openxmlformats.org/officeDocument/2006/relationships/hyperlink" Target="https://pbs.twimg.com/profile_images/645716711723925506/t5G0qOS6_normal.jpg" TargetMode="External"/><Relationship Id="rId9709" Type="http://schemas.openxmlformats.org/officeDocument/2006/relationships/hyperlink" Target="https://pbs.twimg.com/profile_images/609375510158774272/P5glOk4b_normal.jpg" TargetMode="External"/><Relationship Id="rId3120" Type="http://schemas.openxmlformats.org/officeDocument/2006/relationships/hyperlink" Target="https://twitter.com/LReehten" TargetMode="External"/><Relationship Id="rId6690" Type="http://schemas.openxmlformats.org/officeDocument/2006/relationships/hyperlink" Target="https://pbs.twimg.com/profile_images/615223235827900416/r0xU5jIu_normal.jpg" TargetMode="External"/><Relationship Id="rId7741" Type="http://schemas.openxmlformats.org/officeDocument/2006/relationships/hyperlink" Target="https://twitter.com/H_IT_D/status/723429914691522560" TargetMode="External"/><Relationship Id="rId5292" Type="http://schemas.openxmlformats.org/officeDocument/2006/relationships/hyperlink" Target="https://pbs.twimg.com/profile_images/520196618650255360/_jlLFoBs_normal.png" TargetMode="External"/><Relationship Id="rId6343" Type="http://schemas.openxmlformats.org/officeDocument/2006/relationships/hyperlink" Target="https://twitter.com/ROKAutomationDE" TargetMode="External"/><Relationship Id="rId2953" Type="http://schemas.openxmlformats.org/officeDocument/2006/relationships/hyperlink" Target="https://pbs.twimg.com/profile_images/616793252524650496/bQbxJqmz_normal.jpg" TargetMode="External"/><Relationship Id="rId9566" Type="http://schemas.openxmlformats.org/officeDocument/2006/relationships/hyperlink" Target="https://twitter.com/SelbmannSimone" TargetMode="External"/><Relationship Id="rId925" Type="http://schemas.openxmlformats.org/officeDocument/2006/relationships/hyperlink" Target="https://twitter.com/StipoNad/status/720867841117782016" TargetMode="External"/><Relationship Id="rId1555" Type="http://schemas.openxmlformats.org/officeDocument/2006/relationships/hyperlink" Target="https://twitter.com/IIConsortium" TargetMode="External"/><Relationship Id="rId2606" Type="http://schemas.openxmlformats.org/officeDocument/2006/relationships/hyperlink" Target="https://twitter.com/JETZT_PRde/status/722067711157780480" TargetMode="External"/><Relationship Id="rId8168" Type="http://schemas.openxmlformats.org/officeDocument/2006/relationships/hyperlink" Target="https://twitter.com/DeviceInsight_" TargetMode="External"/><Relationship Id="rId9219" Type="http://schemas.openxmlformats.org/officeDocument/2006/relationships/hyperlink" Target="https://twitter.com/Lenze_Gruppe/status/724016372200693760" TargetMode="External"/><Relationship Id="rId10098" Type="http://schemas.openxmlformats.org/officeDocument/2006/relationships/hyperlink" Target="https://pbs.twimg.com/profile_images/692017435269054464/uFlgRwyV_normal.jpg" TargetMode="External"/><Relationship Id="rId1208" Type="http://schemas.openxmlformats.org/officeDocument/2006/relationships/hyperlink" Target="https://twitter.com/tobias_goers/status/720922746948100096" TargetMode="External"/><Relationship Id="rId4778" Type="http://schemas.openxmlformats.org/officeDocument/2006/relationships/hyperlink" Target="https://pbs.twimg.com/profile_images/481016015887687680/lDowdEUm_normal.jpeg" TargetMode="External"/><Relationship Id="rId5829" Type="http://schemas.openxmlformats.org/officeDocument/2006/relationships/hyperlink" Target="https://pbs.twimg.com/profile_images/609375510158774272/P5glOk4b_normal.jpg" TargetMode="External"/><Relationship Id="rId7251" Type="http://schemas.openxmlformats.org/officeDocument/2006/relationships/hyperlink" Target="https://pbs.twimg.com/profile_images/589048623935127553/ffXnJVYg_normal.jpg" TargetMode="External"/><Relationship Id="rId9700" Type="http://schemas.openxmlformats.org/officeDocument/2006/relationships/hyperlink" Target="https://pbs.twimg.com/profile_images/682330340329795584/qexE6I0C_normal.jpg" TargetMode="External"/><Relationship Id="rId8302" Type="http://schemas.openxmlformats.org/officeDocument/2006/relationships/hyperlink" Target="https://twitter.com/INDIZbot/status/723527560269824000" TargetMode="External"/><Relationship Id="rId10232" Type="http://schemas.openxmlformats.org/officeDocument/2006/relationships/hyperlink" Target="https://twitter.com/EhrkeHeideMarie/status/724376567984603136" TargetMode="External"/><Relationship Id="rId3861" Type="http://schemas.openxmlformats.org/officeDocument/2006/relationships/hyperlink" Target="https://twitter.com/H_IT_D/status/722444241629085697" TargetMode="External"/><Relationship Id="rId4912" Type="http://schemas.openxmlformats.org/officeDocument/2006/relationships/hyperlink" Target="https://twitter.com/INDIZbot/status/722734536715563008" TargetMode="External"/><Relationship Id="rId782" Type="http://schemas.openxmlformats.org/officeDocument/2006/relationships/hyperlink" Target="https://twitter.com/QuickFindsIn" TargetMode="External"/><Relationship Id="rId2463" Type="http://schemas.openxmlformats.org/officeDocument/2006/relationships/hyperlink" Target="https://pbs.twimg.com/profile_images/520123844770557952/fqnQCNeT_normal.jpeg" TargetMode="External"/><Relationship Id="rId3514" Type="http://schemas.openxmlformats.org/officeDocument/2006/relationships/hyperlink" Target="https://pbs.twimg.com/profile_images/654975252703911936/lfZEytpZ_normal.png" TargetMode="External"/><Relationship Id="rId9076" Type="http://schemas.openxmlformats.org/officeDocument/2006/relationships/hyperlink" Target="https://pbs.twimg.com/profile_images/645716711723925506/t5G0qOS6_normal.jpg" TargetMode="External"/><Relationship Id="rId435" Type="http://schemas.openxmlformats.org/officeDocument/2006/relationships/hyperlink" Target="https://pbs.twimg.com/profile_images/603699032804859904/lb5IMG5x_normal.jpg" TargetMode="External"/><Relationship Id="rId1065" Type="http://schemas.openxmlformats.org/officeDocument/2006/relationships/hyperlink" Target="https://pbs.twimg.com/profile_images/623103587527344128/2HZGdh68_normal.png" TargetMode="External"/><Relationship Id="rId2116" Type="http://schemas.openxmlformats.org/officeDocument/2006/relationships/hyperlink" Target="https://twitter.com/INDIZbot/status/721931838663618560" TargetMode="External"/><Relationship Id="rId5686" Type="http://schemas.openxmlformats.org/officeDocument/2006/relationships/hyperlink" Target="https://twitter.com/ExportArizona/status/722932995703705600" TargetMode="External"/><Relationship Id="rId6737" Type="http://schemas.openxmlformats.org/officeDocument/2006/relationships/hyperlink" Target="https://twitter.com/s_rohrbach/status/723167066346426369" TargetMode="External"/><Relationship Id="rId4288" Type="http://schemas.openxmlformats.org/officeDocument/2006/relationships/hyperlink" Target="https://twitter.com/DKEAktuell/status/722652718368747520" TargetMode="External"/><Relationship Id="rId5339" Type="http://schemas.openxmlformats.org/officeDocument/2006/relationships/hyperlink" Target="https://twitter.com/JuergenGietl/status/722791855763693568" TargetMode="External"/><Relationship Id="rId9210" Type="http://schemas.openxmlformats.org/officeDocument/2006/relationships/hyperlink" Target="https://twitter.com/karelcrombach/status/723976417390764032" TargetMode="External"/><Relationship Id="rId1949" Type="http://schemas.openxmlformats.org/officeDocument/2006/relationships/hyperlink" Target="https://pbs.twimg.com/profile_images/703250496518098944/5SnwZ41l_normal.jpg" TargetMode="External"/><Relationship Id="rId5820" Type="http://schemas.openxmlformats.org/officeDocument/2006/relationships/hyperlink" Target="https://pbs.twimg.com/profile_images/3339096919/cc86be1409630f4274c8e25c831e58f6_normal.jpeg" TargetMode="External"/><Relationship Id="rId292" Type="http://schemas.openxmlformats.org/officeDocument/2006/relationships/hyperlink" Target="https://twitter.com/Marc_Leeuw" TargetMode="External"/><Relationship Id="rId3371" Type="http://schemas.openxmlformats.org/officeDocument/2006/relationships/hyperlink" Target="https://twitter.com/INDIZbot" TargetMode="External"/><Relationship Id="rId4422" Type="http://schemas.openxmlformats.org/officeDocument/2006/relationships/hyperlink" Target="https://twitter.com/guido_be" TargetMode="External"/><Relationship Id="rId7992" Type="http://schemas.openxmlformats.org/officeDocument/2006/relationships/hyperlink" Target="https://twitter.com/INDIZbot/status/723476874047950848" TargetMode="External"/><Relationship Id="rId3024" Type="http://schemas.openxmlformats.org/officeDocument/2006/relationships/hyperlink" Target="https://twitter.com/BIGJTHEO" TargetMode="External"/><Relationship Id="rId6594" Type="http://schemas.openxmlformats.org/officeDocument/2006/relationships/hyperlink" Target="https://twitter.com/Konecranes_DE" TargetMode="External"/><Relationship Id="rId7645" Type="http://schemas.openxmlformats.org/officeDocument/2006/relationships/hyperlink" Target="https://twitter.com/MindCommerce/status/723421682224885760" TargetMode="External"/><Relationship Id="rId5196" Type="http://schemas.openxmlformats.org/officeDocument/2006/relationships/hyperlink" Target="https://twitter.com/bertramgeck" TargetMode="External"/><Relationship Id="rId6247" Type="http://schemas.openxmlformats.org/officeDocument/2006/relationships/hyperlink" Target="https://twitter.com/vemdiearbeitgeb" TargetMode="External"/><Relationship Id="rId1459" Type="http://schemas.openxmlformats.org/officeDocument/2006/relationships/hyperlink" Target="https://twitter.com/IT_Evaluator" TargetMode="External"/><Relationship Id="rId2857" Type="http://schemas.openxmlformats.org/officeDocument/2006/relationships/hyperlink" Target="https://twitter.com/tomov_eu/status/722138925297451008" TargetMode="External"/><Relationship Id="rId3908" Type="http://schemas.openxmlformats.org/officeDocument/2006/relationships/hyperlink" Target="https://twitter.com/Rhenatic" TargetMode="External"/><Relationship Id="rId5330" Type="http://schemas.openxmlformats.org/officeDocument/2006/relationships/hyperlink" Target="https://twitter.com/kion_group/status/722791768714907651" TargetMode="External"/><Relationship Id="rId829" Type="http://schemas.openxmlformats.org/officeDocument/2006/relationships/hyperlink" Target="https://twitter.com/DataCentreUG/status/720832531952640000" TargetMode="External"/><Relationship Id="rId9951" Type="http://schemas.openxmlformats.org/officeDocument/2006/relationships/hyperlink" Target="https://pbs.twimg.com/profile_images/1879515257/Flags2_normal.png" TargetMode="External"/><Relationship Id="rId1940" Type="http://schemas.openxmlformats.org/officeDocument/2006/relationships/hyperlink" Target="https://twitter.com/induux_de" TargetMode="External"/><Relationship Id="rId8553" Type="http://schemas.openxmlformats.org/officeDocument/2006/relationships/hyperlink" Target="https://pbs.twimg.com/profile_images/645716711723925506/t5G0qOS6_normal.jpg" TargetMode="External"/><Relationship Id="rId9604" Type="http://schemas.openxmlformats.org/officeDocument/2006/relationships/hyperlink" Target="https://pbs.twimg.com/profile_images/378800000698798371/91c11e1cc05d51e0068a8a5f1b5a114d_normal.jpeg" TargetMode="External"/><Relationship Id="rId7155" Type="http://schemas.openxmlformats.org/officeDocument/2006/relationships/hyperlink" Target="https://pbs.twimg.com/profile_images/645716711723925506/t5G0qOS6_normal.jpg" TargetMode="External"/><Relationship Id="rId8206" Type="http://schemas.openxmlformats.org/officeDocument/2006/relationships/hyperlink" Target="https://twitter.com/Bitkom_I40/status/723511206938451969" TargetMode="External"/><Relationship Id="rId10136" Type="http://schemas.openxmlformats.org/officeDocument/2006/relationships/hyperlink" Target="https://twitter.com/MarinerLLC/status/724345101863006208" TargetMode="External"/><Relationship Id="rId3765" Type="http://schemas.openxmlformats.org/officeDocument/2006/relationships/hyperlink" Target="https://twitter.com/KarinZuehlke/status/722417999408406528" TargetMode="External"/><Relationship Id="rId4816" Type="http://schemas.openxmlformats.org/officeDocument/2006/relationships/hyperlink" Target="https://twitter.com/UweKubach/status/722721931494039554" TargetMode="External"/><Relationship Id="rId686" Type="http://schemas.openxmlformats.org/officeDocument/2006/relationships/hyperlink" Target="https://twitter.com/brill_stefan" TargetMode="External"/><Relationship Id="rId2367" Type="http://schemas.openxmlformats.org/officeDocument/2006/relationships/hyperlink" Target="https://pbs.twimg.com/profile_images/685769503016366080/O5hxeJeS_normal.png" TargetMode="External"/><Relationship Id="rId3418" Type="http://schemas.openxmlformats.org/officeDocument/2006/relationships/hyperlink" Target="https://pbs.twimg.com/profile_images/498942077325963264/l5q550Kh_normal.jpeg" TargetMode="External"/><Relationship Id="rId339" Type="http://schemas.openxmlformats.org/officeDocument/2006/relationships/hyperlink" Target="https://abs.twimg.com/sticky/default_profile_images/default_profile_6_normal.png" TargetMode="External"/><Relationship Id="rId6988" Type="http://schemas.openxmlformats.org/officeDocument/2006/relationships/hyperlink" Target="https://twitter.com/INDIZbot" TargetMode="External"/><Relationship Id="rId9461" Type="http://schemas.openxmlformats.org/officeDocument/2006/relationships/hyperlink" Target="https://twitter.com/charisma_expert" TargetMode="External"/><Relationship Id="rId8063" Type="http://schemas.openxmlformats.org/officeDocument/2006/relationships/hyperlink" Target="https://twitter.com/AliceTimm1" TargetMode="External"/><Relationship Id="rId9114" Type="http://schemas.openxmlformats.org/officeDocument/2006/relationships/hyperlink" Target="https://twitter.com/INDIZbot/status/723947775726112768" TargetMode="External"/><Relationship Id="rId820" Type="http://schemas.openxmlformats.org/officeDocument/2006/relationships/hyperlink" Target="https://twitter.com/INDIZbot/status/720793982830317569" TargetMode="External"/><Relationship Id="rId1450" Type="http://schemas.openxmlformats.org/officeDocument/2006/relationships/hyperlink" Target="https://twitter.com/MichaelleSalmon" TargetMode="External"/><Relationship Id="rId2501" Type="http://schemas.openxmlformats.org/officeDocument/2006/relationships/hyperlink" Target="https://twitter.com/Fraunhofer_IPA/status/722049171038019585" TargetMode="External"/><Relationship Id="rId1103" Type="http://schemas.openxmlformats.org/officeDocument/2006/relationships/hyperlink" Target="https://twitter.com/VDI_News/status/720899978617626624" TargetMode="External"/><Relationship Id="rId4673" Type="http://schemas.openxmlformats.org/officeDocument/2006/relationships/hyperlink" Target="https://pbs.twimg.com/profile_images/448785978165968896/SQOcI8cJ_normal.png" TargetMode="External"/><Relationship Id="rId5724" Type="http://schemas.openxmlformats.org/officeDocument/2006/relationships/hyperlink" Target="https://twitter.com/brill_stefan" TargetMode="External"/><Relationship Id="rId3275" Type="http://schemas.openxmlformats.org/officeDocument/2006/relationships/hyperlink" Target="https://twitter.com/kommunikationsm/status/722337370889154560" TargetMode="External"/><Relationship Id="rId4326" Type="http://schemas.openxmlformats.org/officeDocument/2006/relationships/hyperlink" Target="https://twitter.com/IoTMinded" TargetMode="External"/><Relationship Id="rId7896" Type="http://schemas.openxmlformats.org/officeDocument/2006/relationships/hyperlink" Target="https://pbs.twimg.com/profile_images/654171854748393472/7k-e_3oC_normal.png" TargetMode="External"/><Relationship Id="rId8947" Type="http://schemas.openxmlformats.org/officeDocument/2006/relationships/hyperlink" Target="https://twitter.com/croXXing_IBD" TargetMode="External"/><Relationship Id="rId196" Type="http://schemas.openxmlformats.org/officeDocument/2006/relationships/hyperlink" Target="https://twitter.com/J_Perbet" TargetMode="External"/><Relationship Id="rId6498" Type="http://schemas.openxmlformats.org/officeDocument/2006/relationships/hyperlink" Target="https://twitter.com/tomov_eu/status/723133753455824898" TargetMode="External"/><Relationship Id="rId7549" Type="http://schemas.openxmlformats.org/officeDocument/2006/relationships/hyperlink" Target="https://twitter.com/catkinEU/status/723413999048499200" TargetMode="External"/><Relationship Id="rId330" Type="http://schemas.openxmlformats.org/officeDocument/2006/relationships/hyperlink" Target="https://pbs.twimg.com/profile_images/426286752676859904/7noNOVPy_normal.jpeg" TargetMode="External"/><Relationship Id="rId2011" Type="http://schemas.openxmlformats.org/officeDocument/2006/relationships/hyperlink" Target="https://twitter.com/openHPI/status/721721192558764033" TargetMode="External"/><Relationship Id="rId4183" Type="http://schemas.openxmlformats.org/officeDocument/2006/relationships/hyperlink" Target="https://twitter.com/LReehten/status/722516449269542913" TargetMode="External"/><Relationship Id="rId5581" Type="http://schemas.openxmlformats.org/officeDocument/2006/relationships/hyperlink" Target="https://twitter.com/brad_fedburn/status/722860256259256320" TargetMode="External"/><Relationship Id="rId6632" Type="http://schemas.openxmlformats.org/officeDocument/2006/relationships/hyperlink" Target="https://pbs.twimg.com/profile_images/557511432153993216/NBgQ5LsI_normal.jpeg" TargetMode="External"/><Relationship Id="rId5234" Type="http://schemas.openxmlformats.org/officeDocument/2006/relationships/hyperlink" Target="https://pbs.twimg.com/profile_images/596283853507010560/rOqlbvhj_normal.jpg" TargetMode="External"/><Relationship Id="rId9855" Type="http://schemas.openxmlformats.org/officeDocument/2006/relationships/hyperlink" Target="https://pbs.twimg.com/profile_images/701089073046429696/hzMfG--q_normal.jpg" TargetMode="External"/><Relationship Id="rId69" Type="http://schemas.openxmlformats.org/officeDocument/2006/relationships/hyperlink" Target="https://pbs.twimg.com/profile_images/667689986276392960/lHQvEvuO_normal.jpg" TargetMode="External"/><Relationship Id="rId1844" Type="http://schemas.openxmlformats.org/officeDocument/2006/relationships/hyperlink" Target="https://twitter.com/AndreasLenzDe/status/721573900027621376" TargetMode="External"/><Relationship Id="rId8457" Type="http://schemas.openxmlformats.org/officeDocument/2006/relationships/hyperlink" Target="https://pbs.twimg.com/profile_images/704029343115300866/yUARofpi_normal.jpg" TargetMode="External"/><Relationship Id="rId9508" Type="http://schemas.openxmlformats.org/officeDocument/2006/relationships/hyperlink" Target="https://abs.twimg.com/sticky/default_profile_images/default_profile_3_normal.png" TargetMode="External"/><Relationship Id="rId7059" Type="http://schemas.openxmlformats.org/officeDocument/2006/relationships/hyperlink" Target="https://pbs.twimg.com/profile_images/709490937043492865/GYoQPOCZ_normal.jpg" TargetMode="External"/><Relationship Id="rId3669" Type="http://schemas.openxmlformats.org/officeDocument/2006/relationships/hyperlink" Target="https://twitter.com/NicoSchilling/status/722398233255919616" TargetMode="External"/><Relationship Id="rId7540" Type="http://schemas.openxmlformats.org/officeDocument/2006/relationships/hyperlink" Target="https://twitter.com/heidelbergmobil/status/723413683771039748" TargetMode="External"/><Relationship Id="rId5091" Type="http://schemas.openxmlformats.org/officeDocument/2006/relationships/hyperlink" Target="https://pbs.twimg.com/profile_images/672314625904541696/nkjpjIHy_normal.png" TargetMode="External"/><Relationship Id="rId6142" Type="http://schemas.openxmlformats.org/officeDocument/2006/relationships/hyperlink" Target="https://twitter.com/Markenartikler/status/723079611886624769" TargetMode="External"/><Relationship Id="rId2752" Type="http://schemas.openxmlformats.org/officeDocument/2006/relationships/hyperlink" Target="https://twitter.com/IoTJournal/status/722113260988841985" TargetMode="External"/><Relationship Id="rId3803" Type="http://schemas.openxmlformats.org/officeDocument/2006/relationships/hyperlink" Target="https://twitter.com/TimSheaARC" TargetMode="External"/><Relationship Id="rId9365" Type="http://schemas.openxmlformats.org/officeDocument/2006/relationships/hyperlink" Target="https://twitter.com/JeffRConnolly" TargetMode="External"/><Relationship Id="rId724" Type="http://schemas.openxmlformats.org/officeDocument/2006/relationships/hyperlink" Target="https://pbs.twimg.com/profile_images/541146126158536704/IYardufS_normal.jpeg" TargetMode="External"/><Relationship Id="rId1354" Type="http://schemas.openxmlformats.org/officeDocument/2006/relationships/hyperlink" Target="https://twitter.com/dumslaff" TargetMode="External"/><Relationship Id="rId2405" Type="http://schemas.openxmlformats.org/officeDocument/2006/relationships/hyperlink" Target="https://twitter.com/verlinked/status/722016939611004929" TargetMode="External"/><Relationship Id="rId5975" Type="http://schemas.openxmlformats.org/officeDocument/2006/relationships/hyperlink" Target="https://twitter.com/einkauf_mgmt" TargetMode="External"/><Relationship Id="rId9018" Type="http://schemas.openxmlformats.org/officeDocument/2006/relationships/hyperlink" Target="https://pbs.twimg.com/profile_images/519504850971668480/L5pBCEWZ_normal.jpeg" TargetMode="External"/><Relationship Id="rId60" Type="http://schemas.openxmlformats.org/officeDocument/2006/relationships/hyperlink" Target="https://pbs.twimg.com/profile_images/667689986276392960/lHQvEvuO_normal.jpg" TargetMode="External"/><Relationship Id="rId1007" Type="http://schemas.openxmlformats.org/officeDocument/2006/relationships/hyperlink" Target="https://twitter.com/PolarionNews_de/status/720883459162382336" TargetMode="External"/><Relationship Id="rId4577" Type="http://schemas.openxmlformats.org/officeDocument/2006/relationships/hyperlink" Target="https://pbs.twimg.com/profile_images/707099011698835456/DLltMEAE_normal.jpg" TargetMode="External"/><Relationship Id="rId5628" Type="http://schemas.openxmlformats.org/officeDocument/2006/relationships/hyperlink" Target="https://twitter.com/Cathy_Brennan" TargetMode="External"/><Relationship Id="rId3179" Type="http://schemas.openxmlformats.org/officeDocument/2006/relationships/hyperlink" Target="https://pbs.twimg.com/profile_images/609375510158774272/P5glOk4b_normal.jpg" TargetMode="External"/><Relationship Id="rId7050" Type="http://schemas.openxmlformats.org/officeDocument/2006/relationships/hyperlink" Target="https://pbs.twimg.com/profile_images/709490937043492865/GYoQPOCZ_normal.jpg" TargetMode="External"/><Relationship Id="rId8101" Type="http://schemas.openxmlformats.org/officeDocument/2006/relationships/hyperlink" Target="https://pbs.twimg.com/profile_images/662723326096224256/5V4KH9_O_normal.jpg" TargetMode="External"/><Relationship Id="rId10031" Type="http://schemas.openxmlformats.org/officeDocument/2006/relationships/hyperlink" Target="https://twitter.com/ROBOToni/status/724303557046972416" TargetMode="External"/><Relationship Id="rId581" Type="http://schemas.openxmlformats.org/officeDocument/2006/relationships/hyperlink" Target="https://twitter.com/INDIZbot" TargetMode="External"/><Relationship Id="rId2262" Type="http://schemas.openxmlformats.org/officeDocument/2006/relationships/hyperlink" Target="https://twitter.com/ironsharkgmbh" TargetMode="External"/><Relationship Id="rId3660" Type="http://schemas.openxmlformats.org/officeDocument/2006/relationships/hyperlink" Target="https://twitter.com/bernardgainnier/status/722395555939397633" TargetMode="External"/><Relationship Id="rId4711" Type="http://schemas.openxmlformats.org/officeDocument/2006/relationships/hyperlink" Target="https://twitter.com/INDIZbot/status/722711963009163264" TargetMode="External"/><Relationship Id="rId234" Type="http://schemas.openxmlformats.org/officeDocument/2006/relationships/hyperlink" Target="https://pbs.twimg.com/profile_images/636587051371114496/0AogKNXQ_normal.jpg" TargetMode="External"/><Relationship Id="rId3313" Type="http://schemas.openxmlformats.org/officeDocument/2006/relationships/hyperlink" Target="https://twitter.com/MindCommerce" TargetMode="External"/><Relationship Id="rId6883" Type="http://schemas.openxmlformats.org/officeDocument/2006/relationships/hyperlink" Target="https://twitter.com/Cumulocity" TargetMode="External"/><Relationship Id="rId7934" Type="http://schemas.openxmlformats.org/officeDocument/2006/relationships/hyperlink" Target="https://twitter.com/INDIZbot/status/723469315723386881" TargetMode="External"/><Relationship Id="rId5485" Type="http://schemas.openxmlformats.org/officeDocument/2006/relationships/hyperlink" Target="https://twitter.com/HIVBERN/status/722816919045320704" TargetMode="External"/><Relationship Id="rId6536" Type="http://schemas.openxmlformats.org/officeDocument/2006/relationships/hyperlink" Target="https://twitter.com/CapgeminiDE" TargetMode="External"/><Relationship Id="rId4087" Type="http://schemas.openxmlformats.org/officeDocument/2006/relationships/hyperlink" Target="https://twitter.com/kommoptimierer/status/722500019237097472" TargetMode="External"/><Relationship Id="rId5138" Type="http://schemas.openxmlformats.org/officeDocument/2006/relationships/hyperlink" Target="https://twitter.com/Global_Fairs/status/722762072711368704" TargetMode="External"/><Relationship Id="rId9759" Type="http://schemas.openxmlformats.org/officeDocument/2006/relationships/hyperlink" Target="https://pbs.twimg.com/profile_images/579215161363427328/FqfBn-sr_normal.jpg" TargetMode="External"/><Relationship Id="rId1748" Type="http://schemas.openxmlformats.org/officeDocument/2006/relationships/hyperlink" Target="https://twitter.com/Tiba_Schweiz/status/721346359819898880" TargetMode="External"/><Relationship Id="rId3170" Type="http://schemas.openxmlformats.org/officeDocument/2006/relationships/hyperlink" Target="https://pbs.twimg.com/profile_images/470855617062531072/WNORP1wO_normal.jpeg" TargetMode="External"/><Relationship Id="rId4221" Type="http://schemas.openxmlformats.org/officeDocument/2006/relationships/hyperlink" Target="https://twitter.com/MelitaDelic" TargetMode="External"/><Relationship Id="rId6393" Type="http://schemas.openxmlformats.org/officeDocument/2006/relationships/hyperlink" Target="https://twitter.com/dictaJet/status/723118705299861505" TargetMode="External"/><Relationship Id="rId7791" Type="http://schemas.openxmlformats.org/officeDocument/2006/relationships/hyperlink" Target="https://pbs.twimg.com/profile_images/699912588302426112/2kZQzAuA_normal.jpg" TargetMode="External"/><Relationship Id="rId8842" Type="http://schemas.openxmlformats.org/officeDocument/2006/relationships/hyperlink" Target="https://twitter.com/TU_KL" TargetMode="External"/><Relationship Id="rId6046" Type="http://schemas.openxmlformats.org/officeDocument/2006/relationships/hyperlink" Target="https://pbs.twimg.com/profile_images/621343128902107136/CU4aO3wi_normal.jpg" TargetMode="External"/><Relationship Id="rId7444" Type="http://schemas.openxmlformats.org/officeDocument/2006/relationships/hyperlink" Target="https://twitter.com/AndreHD20/status/723406266492575744" TargetMode="External"/><Relationship Id="rId975" Type="http://schemas.openxmlformats.org/officeDocument/2006/relationships/hyperlink" Target="https://pbs.twimg.com/profile_images/104510198/pierre_metivier_normal.jpg" TargetMode="External"/><Relationship Id="rId2656" Type="http://schemas.openxmlformats.org/officeDocument/2006/relationships/hyperlink" Target="https://twitter.com/Gruendercoaches/status/722081443007045633" TargetMode="External"/><Relationship Id="rId3707" Type="http://schemas.openxmlformats.org/officeDocument/2006/relationships/hyperlink" Target="https://twitter.com/INDIZbot" TargetMode="External"/><Relationship Id="rId9269" Type="http://schemas.openxmlformats.org/officeDocument/2006/relationships/hyperlink" Target="https://twitter.com/Balluff" TargetMode="External"/><Relationship Id="rId628" Type="http://schemas.openxmlformats.org/officeDocument/2006/relationships/hyperlink" Target="https://pbs.twimg.com/profile_images/3408651674/e9a95353a2e06d8ec7504966a971683c_normal.png" TargetMode="External"/><Relationship Id="rId1258" Type="http://schemas.openxmlformats.org/officeDocument/2006/relationships/hyperlink" Target="https://twitter.com/itelligence_de" TargetMode="External"/><Relationship Id="rId2309" Type="http://schemas.openxmlformats.org/officeDocument/2006/relationships/hyperlink" Target="https://pbs.twimg.com/profile_images/600969802908356609/3JqGMg38_normal.png" TargetMode="External"/><Relationship Id="rId5879" Type="http://schemas.openxmlformats.org/officeDocument/2006/relationships/hyperlink" Target="https://twitter.com/DerKonstrukteu" TargetMode="External"/><Relationship Id="rId9750" Type="http://schemas.openxmlformats.org/officeDocument/2006/relationships/hyperlink" Target="https://twitter.com/pareekhjain" TargetMode="External"/><Relationship Id="rId8352" Type="http://schemas.openxmlformats.org/officeDocument/2006/relationships/hyperlink" Target="https://twitter.com/INDIZbot" TargetMode="External"/><Relationship Id="rId9403" Type="http://schemas.openxmlformats.org/officeDocument/2006/relationships/hyperlink" Target="https://pbs.twimg.com/profile_images/604981038096498688/MtnTCGY__normal.png" TargetMode="External"/><Relationship Id="rId8005" Type="http://schemas.openxmlformats.org/officeDocument/2006/relationships/hyperlink" Target="https://pbs.twimg.com/profile_images/645716711723925506/t5G0qOS6_normal.jpg" TargetMode="External"/><Relationship Id="rId10282" Type="http://schemas.openxmlformats.org/officeDocument/2006/relationships/hyperlink" Target="https://twitter.com/MartinGaedt" TargetMode="External"/><Relationship Id="rId4962" Type="http://schemas.openxmlformats.org/officeDocument/2006/relationships/hyperlink" Target="https://twitter.com/VDE_Group" TargetMode="External"/><Relationship Id="rId3564" Type="http://schemas.openxmlformats.org/officeDocument/2006/relationships/hyperlink" Target="https://twitter.com/INDIZbot/status/722376989970153473" TargetMode="External"/><Relationship Id="rId4615" Type="http://schemas.openxmlformats.org/officeDocument/2006/relationships/hyperlink" Target="https://twitter.com/ITK_OWL/status/722709172450627584" TargetMode="External"/><Relationship Id="rId485" Type="http://schemas.openxmlformats.org/officeDocument/2006/relationships/hyperlink" Target="https://twitter.com/Metaalmagazine" TargetMode="External"/><Relationship Id="rId2166" Type="http://schemas.openxmlformats.org/officeDocument/2006/relationships/hyperlink" Target="https://pbs.twimg.com/profile_images/378800000104294821/5a742075b9441c9de8a86c75a712b0c7_normal.png" TargetMode="External"/><Relationship Id="rId3217" Type="http://schemas.openxmlformats.org/officeDocument/2006/relationships/hyperlink" Target="https://twitter.com/BEMA_Consulting" TargetMode="External"/><Relationship Id="rId6787" Type="http://schemas.openxmlformats.org/officeDocument/2006/relationships/hyperlink" Target="https://twitter.com/ITK_OWL" TargetMode="External"/><Relationship Id="rId7838" Type="http://schemas.openxmlformats.org/officeDocument/2006/relationships/hyperlink" Target="https://twitter.com/H_IT_D/status/723446352462499840" TargetMode="External"/><Relationship Id="rId138" Type="http://schemas.openxmlformats.org/officeDocument/2006/relationships/hyperlink" Target="https://pbs.twimg.com/profile_images/468319824402055169/JIU0573N_normal.jpeg" TargetMode="External"/><Relationship Id="rId5389" Type="http://schemas.openxmlformats.org/officeDocument/2006/relationships/hyperlink" Target="https://pbs.twimg.com/profile_images/645716711723925506/t5G0qOS6_normal.jpg" TargetMode="External"/><Relationship Id="rId9260" Type="http://schemas.openxmlformats.org/officeDocument/2006/relationships/hyperlink" Target="https://twitter.com/MartinGaedt" TargetMode="External"/><Relationship Id="rId2300" Type="http://schemas.openxmlformats.org/officeDocument/2006/relationships/hyperlink" Target="https://pbs.twimg.com/profile_images/645716711723925506/t5G0qOS6_normal.jpg" TargetMode="External"/><Relationship Id="rId1999" Type="http://schemas.openxmlformats.org/officeDocument/2006/relationships/hyperlink" Target="https://twitter.com/INDIZbot/status/721712845960953856" TargetMode="External"/><Relationship Id="rId4472" Type="http://schemas.openxmlformats.org/officeDocument/2006/relationships/hyperlink" Target="https://twitter.com/Standards_More/status/722697578354196480" TargetMode="External"/><Relationship Id="rId5870" Type="http://schemas.openxmlformats.org/officeDocument/2006/relationships/hyperlink" Target="https://twitter.com/itelligence_de" TargetMode="External"/><Relationship Id="rId6921" Type="http://schemas.openxmlformats.org/officeDocument/2006/relationships/hyperlink" Target="https://pbs.twimg.com/profile_images/473462374200909824/EVvRwnqG_normal.jpeg" TargetMode="External"/><Relationship Id="rId3074" Type="http://schemas.openxmlformats.org/officeDocument/2006/relationships/hyperlink" Target="https://pbs.twimg.com/profile_images/698945495373344768/qKt1PGIF_normal.jpg" TargetMode="External"/><Relationship Id="rId4125" Type="http://schemas.openxmlformats.org/officeDocument/2006/relationships/hyperlink" Target="https://twitter.com/MWiedenmaier" TargetMode="External"/><Relationship Id="rId5523" Type="http://schemas.openxmlformats.org/officeDocument/2006/relationships/hyperlink" Target="https://twitter.com/Uli_Schumacher" TargetMode="External"/><Relationship Id="rId7695" Type="http://schemas.openxmlformats.org/officeDocument/2006/relationships/hyperlink" Target="https://twitter.com/karl__maurer" TargetMode="External"/><Relationship Id="rId8746" Type="http://schemas.openxmlformats.org/officeDocument/2006/relationships/hyperlink" Target="https://twitter.com/lenze_benelux" TargetMode="External"/><Relationship Id="rId6297" Type="http://schemas.openxmlformats.org/officeDocument/2006/relationships/hyperlink" Target="https://twitter.com/kommoptimierer/status/723105255190335488" TargetMode="External"/><Relationship Id="rId7348" Type="http://schemas.openxmlformats.org/officeDocument/2006/relationships/hyperlink" Target="https://pbs.twimg.com/profile_images/645716711723925506/t5G0qOS6_normal.jpg" TargetMode="External"/><Relationship Id="rId10329" Type="http://schemas.openxmlformats.org/officeDocument/2006/relationships/hyperlink" Target="https://pbs.twimg.com/profile_images/514702909749985282/EneB6HL2_normal.jpeg" TargetMode="External"/><Relationship Id="rId3958" Type="http://schemas.openxmlformats.org/officeDocument/2006/relationships/hyperlink" Target="https://pbs.twimg.com/profile_images/555327405187801088/bhizIjB-_normal.png" TargetMode="External"/><Relationship Id="rId879" Type="http://schemas.openxmlformats.org/officeDocument/2006/relationships/hyperlink" Target="https://twitter.com/UL_Commercial" TargetMode="External"/><Relationship Id="rId5380" Type="http://schemas.openxmlformats.org/officeDocument/2006/relationships/hyperlink" Target="https://pbs.twimg.com/profile_images/645716711723925506/t5G0qOS6_normal.jpg" TargetMode="External"/><Relationship Id="rId6431" Type="http://schemas.openxmlformats.org/officeDocument/2006/relationships/hyperlink" Target="https://twitter.com/Edukatico" TargetMode="External"/><Relationship Id="rId5033" Type="http://schemas.openxmlformats.org/officeDocument/2006/relationships/hyperlink" Target="https://twitter.com/INDIZbot/status/722749630715424768" TargetMode="External"/><Relationship Id="rId1990" Type="http://schemas.openxmlformats.org/officeDocument/2006/relationships/hyperlink" Target="https://twitter.com/Mario_Trapp/status/721704513904721921" TargetMode="External"/><Relationship Id="rId8256" Type="http://schemas.openxmlformats.org/officeDocument/2006/relationships/hyperlink" Target="https://twitter.com/ProgressSW_DE" TargetMode="External"/><Relationship Id="rId9654" Type="http://schemas.openxmlformats.org/officeDocument/2006/relationships/hyperlink" Target="https://twitter.com/INDIZbot/status/724227009719750656" TargetMode="External"/><Relationship Id="rId1643" Type="http://schemas.openxmlformats.org/officeDocument/2006/relationships/hyperlink" Target="https://twitter.com/kommoptimierer/status/721256824289292289" TargetMode="External"/><Relationship Id="rId9307" Type="http://schemas.openxmlformats.org/officeDocument/2006/relationships/hyperlink" Target="https://pbs.twimg.com/profile_images/645716711723925506/t5G0qOS6_normal.jpg" TargetMode="External"/><Relationship Id="rId10186" Type="http://schemas.openxmlformats.org/officeDocument/2006/relationships/hyperlink" Target="https://twitter.com/BurakYenier" TargetMode="External"/><Relationship Id="rId4866" Type="http://schemas.openxmlformats.org/officeDocument/2006/relationships/hyperlink" Target="https://twitter.com/ThomasSchulzGE" TargetMode="External"/><Relationship Id="rId5917" Type="http://schemas.openxmlformats.org/officeDocument/2006/relationships/hyperlink" Target="https://pbs.twimg.com/profile_images/616135945973317632/te85BV7p_normal.jpg" TargetMode="External"/><Relationship Id="rId3468" Type="http://schemas.openxmlformats.org/officeDocument/2006/relationships/hyperlink" Target="https://twitter.com/Apandia/status/722363352123465729" TargetMode="External"/><Relationship Id="rId4519" Type="http://schemas.openxmlformats.org/officeDocument/2006/relationships/hyperlink" Target="https://twitter.com/Gruendercoaches/status/722701288098676737" TargetMode="External"/><Relationship Id="rId10320" Type="http://schemas.openxmlformats.org/officeDocument/2006/relationships/hyperlink" Target="https://pbs.twimg.com/profile_images/704596570717683712/S63wpVif_normal.jpg" TargetMode="External"/><Relationship Id="rId389" Type="http://schemas.openxmlformats.org/officeDocument/2006/relationships/hyperlink" Target="https://twitter.com/cdoerflinger/status/720576171575001088" TargetMode="External"/><Relationship Id="rId870" Type="http://schemas.openxmlformats.org/officeDocument/2006/relationships/hyperlink" Target="https://twitter.com/VernierB" TargetMode="External"/><Relationship Id="rId2551" Type="http://schemas.openxmlformats.org/officeDocument/2006/relationships/hyperlink" Target="https://twitter.com/BoschPresse/status/722058544158261249" TargetMode="External"/><Relationship Id="rId9164" Type="http://schemas.openxmlformats.org/officeDocument/2006/relationships/hyperlink" Target="https://twitter.com/kat2812" TargetMode="External"/><Relationship Id="rId523" Type="http://schemas.openxmlformats.org/officeDocument/2006/relationships/hyperlink" Target="https://pbs.twimg.com/profile_images/509252372774653952/cl1TCi-g_normal.png" TargetMode="External"/><Relationship Id="rId1153" Type="http://schemas.openxmlformats.org/officeDocument/2006/relationships/hyperlink" Target="https://twitter.com/topometric" TargetMode="External"/><Relationship Id="rId2204" Type="http://schemas.openxmlformats.org/officeDocument/2006/relationships/hyperlink" Target="https://twitter.com/SHC_GmbH/status/721961551855493120" TargetMode="External"/><Relationship Id="rId3602" Type="http://schemas.openxmlformats.org/officeDocument/2006/relationships/hyperlink" Target="https://twitter.com/einkauf_mgmt" TargetMode="External"/><Relationship Id="rId5774" Type="http://schemas.openxmlformats.org/officeDocument/2006/relationships/hyperlink" Target="https://pbs.twimg.com/profile_images/716977461079179268/JVN5NZO8_normal.jpg" TargetMode="External"/><Relationship Id="rId6825" Type="http://schemas.openxmlformats.org/officeDocument/2006/relationships/hyperlink" Target="https://pbs.twimg.com/profile_images/484308591910723584/icpo-IsD_normal.jpeg" TargetMode="External"/><Relationship Id="rId4376" Type="http://schemas.openxmlformats.org/officeDocument/2006/relationships/hyperlink" Target="https://pbs.twimg.com/profile_images/709648582048157696/BnZ5RzQA_normal.jpg" TargetMode="External"/><Relationship Id="rId5427" Type="http://schemas.openxmlformats.org/officeDocument/2006/relationships/hyperlink" Target="https://twitter.com/Global_Fairs/status/722800028541030400" TargetMode="External"/><Relationship Id="rId8997" Type="http://schemas.openxmlformats.org/officeDocument/2006/relationships/hyperlink" Target="https://pbs.twimg.com/profile_images/587953511213727744/fs0LF99T_normal.jpg" TargetMode="External"/><Relationship Id="rId4029" Type="http://schemas.openxmlformats.org/officeDocument/2006/relationships/hyperlink" Target="https://twitter.com/H_IT_D/status/722477543698214912" TargetMode="External"/><Relationship Id="rId7599" Type="http://schemas.openxmlformats.org/officeDocument/2006/relationships/hyperlink" Target="https://twitter.com/DKEAktuell" TargetMode="External"/><Relationship Id="rId4510" Type="http://schemas.openxmlformats.org/officeDocument/2006/relationships/hyperlink" Target="https://twitter.com/tobias_goers/status/722700704960417792" TargetMode="External"/><Relationship Id="rId380" Type="http://schemas.openxmlformats.org/officeDocument/2006/relationships/hyperlink" Target="https://twitter.com/CapgeminiDE/status/720569910213111808" TargetMode="External"/><Relationship Id="rId2061" Type="http://schemas.openxmlformats.org/officeDocument/2006/relationships/hyperlink" Target="https://twitter.com/INDIZbot" TargetMode="External"/><Relationship Id="rId3112" Type="http://schemas.openxmlformats.org/officeDocument/2006/relationships/hyperlink" Target="https://twitter.com/handling/status/722314452901707776" TargetMode="External"/><Relationship Id="rId6682" Type="http://schemas.openxmlformats.org/officeDocument/2006/relationships/hyperlink" Target="https://twitter.com/JanatIGMetall" TargetMode="External"/><Relationship Id="rId5284" Type="http://schemas.openxmlformats.org/officeDocument/2006/relationships/hyperlink" Target="https://twitter.com/H_IT_D" TargetMode="External"/><Relationship Id="rId6335" Type="http://schemas.openxmlformats.org/officeDocument/2006/relationships/hyperlink" Target="https://twitter.com/inno_swissmem/status/723114359929577472" TargetMode="External"/><Relationship Id="rId7733" Type="http://schemas.openxmlformats.org/officeDocument/2006/relationships/hyperlink" Target="https://pbs.twimg.com/profile_images/657509394675073024/BGbmwcyb_normal.png" TargetMode="External"/><Relationship Id="rId1894" Type="http://schemas.openxmlformats.org/officeDocument/2006/relationships/hyperlink" Target="https://pbs.twimg.com/profile_images/690957065490161664/Nat2upS4_normal.jpg" TargetMode="External"/><Relationship Id="rId2945" Type="http://schemas.openxmlformats.org/officeDocument/2006/relationships/hyperlink" Target="https://twitter.com/LtCaezar" TargetMode="External"/><Relationship Id="rId9558" Type="http://schemas.openxmlformats.org/officeDocument/2006/relationships/hyperlink" Target="https://twitter.com/Martin_Demel/status/724206130709291008" TargetMode="External"/><Relationship Id="rId917" Type="http://schemas.openxmlformats.org/officeDocument/2006/relationships/hyperlink" Target="https://pbs.twimg.com/profile_images/719524881973571584/Qe9-Bm8r_normal.jpg" TargetMode="External"/><Relationship Id="rId1547" Type="http://schemas.openxmlformats.org/officeDocument/2006/relationships/hyperlink" Target="https://twitter.com/RolandThaler/status/721078862008991744" TargetMode="External"/><Relationship Id="rId4020" Type="http://schemas.openxmlformats.org/officeDocument/2006/relationships/hyperlink" Target="https://twitter.com/Katja_Althoff/status/722473030224592896" TargetMode="External"/><Relationship Id="rId7590" Type="http://schemas.openxmlformats.org/officeDocument/2006/relationships/hyperlink" Target="https://twitter.com/tubezweinull" TargetMode="External"/><Relationship Id="rId8641" Type="http://schemas.openxmlformats.org/officeDocument/2006/relationships/hyperlink" Target="https://twitter.com/FJDorfer" TargetMode="External"/><Relationship Id="rId6192" Type="http://schemas.openxmlformats.org/officeDocument/2006/relationships/hyperlink" Target="https://twitter.com/AndyBaldauf" TargetMode="External"/><Relationship Id="rId7243" Type="http://schemas.openxmlformats.org/officeDocument/2006/relationships/hyperlink" Target="https://twitter.com/INDIZbot" TargetMode="External"/><Relationship Id="rId10224" Type="http://schemas.openxmlformats.org/officeDocument/2006/relationships/hyperlink" Target="https://pbs.twimg.com/profile_images/723056722634371072/L0JFDAVN_normal.jpg" TargetMode="External"/><Relationship Id="rId3853" Type="http://schemas.openxmlformats.org/officeDocument/2006/relationships/hyperlink" Target="https://pbs.twimg.com/profile_images/645716711723925506/t5G0qOS6_normal.jpg" TargetMode="External"/><Relationship Id="rId4904" Type="http://schemas.openxmlformats.org/officeDocument/2006/relationships/hyperlink" Target="https://pbs.twimg.com/profile_images/572722352144666624/2G6VnJJx_normal.jpeg" TargetMode="External"/><Relationship Id="rId9068" Type="http://schemas.openxmlformats.org/officeDocument/2006/relationships/hyperlink" Target="https://twitter.com/cncmachinerycnc" TargetMode="External"/><Relationship Id="rId774" Type="http://schemas.openxmlformats.org/officeDocument/2006/relationships/hyperlink" Target="https://twitter.com/boerni_w/status/720714978651742208" TargetMode="External"/><Relationship Id="rId1057" Type="http://schemas.openxmlformats.org/officeDocument/2006/relationships/hyperlink" Target="https://twitter.com/chemie_azubi" TargetMode="External"/><Relationship Id="rId2455" Type="http://schemas.openxmlformats.org/officeDocument/2006/relationships/hyperlink" Target="https://twitter.com/WiegandsWarte" TargetMode="External"/><Relationship Id="rId3506" Type="http://schemas.openxmlformats.org/officeDocument/2006/relationships/hyperlink" Target="https://twitter.com/markherten" TargetMode="External"/><Relationship Id="rId427" Type="http://schemas.openxmlformats.org/officeDocument/2006/relationships/hyperlink" Target="https://twitter.com/NRWinEU" TargetMode="External"/><Relationship Id="rId2108" Type="http://schemas.openxmlformats.org/officeDocument/2006/relationships/hyperlink" Target="https://pbs.twimg.com/profile_images/542205461139705857/rG0aBulP_normal.png" TargetMode="External"/><Relationship Id="rId5678" Type="http://schemas.openxmlformats.org/officeDocument/2006/relationships/hyperlink" Target="https://pbs.twimg.com/profile_images/518189608098869249/udoveSaH_normal.jpeg" TargetMode="External"/><Relationship Id="rId6729" Type="http://schemas.openxmlformats.org/officeDocument/2006/relationships/hyperlink" Target="https://pbs.twimg.com/profile_images/471312276767535104/TIanhngf_normal.jpeg" TargetMode="External"/><Relationship Id="rId8151" Type="http://schemas.openxmlformats.org/officeDocument/2006/relationships/hyperlink" Target="https://twitter.com/IEMS_UniFR/status/723499758220894208" TargetMode="External"/><Relationship Id="rId9202" Type="http://schemas.openxmlformats.org/officeDocument/2006/relationships/hyperlink" Target="https://pbs.twimg.com/profile_images/645716711723925506/t5G0qOS6_normal.jpg" TargetMode="External"/><Relationship Id="rId10081" Type="http://schemas.openxmlformats.org/officeDocument/2006/relationships/hyperlink" Target="https://twitter.com/kingzulu82" TargetMode="External"/><Relationship Id="rId4761" Type="http://schemas.openxmlformats.org/officeDocument/2006/relationships/hyperlink" Target="https://twitter.com/FK_Verband" TargetMode="External"/><Relationship Id="rId3363" Type="http://schemas.openxmlformats.org/officeDocument/2006/relationships/hyperlink" Target="https://pbs.twimg.com/profile_images/665798535779065856/sbUN3m6Q_normal.jpg" TargetMode="External"/><Relationship Id="rId4414" Type="http://schemas.openxmlformats.org/officeDocument/2006/relationships/hyperlink" Target="https://twitter.com/HOHMANN_Chris/status/722688848980013056" TargetMode="External"/><Relationship Id="rId5812" Type="http://schemas.openxmlformats.org/officeDocument/2006/relationships/hyperlink" Target="https://twitter.com/AccenturePresse" TargetMode="External"/><Relationship Id="rId284" Type="http://schemas.openxmlformats.org/officeDocument/2006/relationships/hyperlink" Target="https://twitter.com/automotive_IT/status/720543476065177602" TargetMode="External"/><Relationship Id="rId3016" Type="http://schemas.openxmlformats.org/officeDocument/2006/relationships/hyperlink" Target="https://twitter.com/INDIZbot/status/722289151136178176" TargetMode="External"/><Relationship Id="rId7984" Type="http://schemas.openxmlformats.org/officeDocument/2006/relationships/hyperlink" Target="https://pbs.twimg.com/profile_images/666911961599315968/aP7ID_qm_normal.png" TargetMode="External"/><Relationship Id="rId5188" Type="http://schemas.openxmlformats.org/officeDocument/2006/relationships/hyperlink" Target="https://pbs.twimg.com/profile_images/686519244415176705/LBgib3O7_normal.png" TargetMode="External"/><Relationship Id="rId6586" Type="http://schemas.openxmlformats.org/officeDocument/2006/relationships/hyperlink" Target="https://twitter.com/IGMetall/status/723146462352166912" TargetMode="External"/><Relationship Id="rId7637" Type="http://schemas.openxmlformats.org/officeDocument/2006/relationships/hyperlink" Target="https://pbs.twimg.com/profile_images/636836616263311360/-akWmcev_normal.png" TargetMode="External"/><Relationship Id="rId6239" Type="http://schemas.openxmlformats.org/officeDocument/2006/relationships/hyperlink" Target="https://twitter.com/boerni_w/status/723091114035691520" TargetMode="External"/><Relationship Id="rId1798" Type="http://schemas.openxmlformats.org/officeDocument/2006/relationships/hyperlink" Target="https://twitter.com/LeanKnowledge" TargetMode="External"/><Relationship Id="rId2849" Type="http://schemas.openxmlformats.org/officeDocument/2006/relationships/hyperlink" Target="https://pbs.twimg.com/profile_images/1248995236/auge_rot_normal.jpg" TargetMode="External"/><Relationship Id="rId6720" Type="http://schemas.openxmlformats.org/officeDocument/2006/relationships/hyperlink" Target="https://pbs.twimg.com/profile_images/561208179355185153/11KDu7Gt_normal.png" TargetMode="External"/><Relationship Id="rId4271" Type="http://schemas.openxmlformats.org/officeDocument/2006/relationships/hyperlink" Target="https://pbs.twimg.com/profile_images/645716711723925506/t5G0qOS6_normal.jpg" TargetMode="External"/><Relationship Id="rId5322" Type="http://schemas.openxmlformats.org/officeDocument/2006/relationships/hyperlink" Target="https://pbs.twimg.com/profile_images/714119842257903616/t7CHgf02_normal.jpg" TargetMode="External"/><Relationship Id="rId8892" Type="http://schemas.openxmlformats.org/officeDocument/2006/relationships/hyperlink" Target="https://pbs.twimg.com/profile_images/609375510158774272/P5glOk4b_normal.jpg" TargetMode="External"/><Relationship Id="rId7494" Type="http://schemas.openxmlformats.org/officeDocument/2006/relationships/hyperlink" Target="https://twitter.com/BerHerg" TargetMode="External"/><Relationship Id="rId8545" Type="http://schemas.openxmlformats.org/officeDocument/2006/relationships/hyperlink" Target="https://twitter.com/QuickFindsIn" TargetMode="External"/><Relationship Id="rId9943" Type="http://schemas.openxmlformats.org/officeDocument/2006/relationships/hyperlink" Target="https://twitter.com/catkinEU" TargetMode="External"/><Relationship Id="rId1932" Type="http://schemas.openxmlformats.org/officeDocument/2006/relationships/hyperlink" Target="https://twitter.com/QuickFindsIn/status/721642364989628416" TargetMode="External"/><Relationship Id="rId6096" Type="http://schemas.openxmlformats.org/officeDocument/2006/relationships/hyperlink" Target="https://twitter.com/INDIZbot/status/723074280297250816" TargetMode="External"/><Relationship Id="rId7147" Type="http://schemas.openxmlformats.org/officeDocument/2006/relationships/hyperlink" Target="https://twitter.com/H_IT_D" TargetMode="External"/><Relationship Id="rId10128" Type="http://schemas.openxmlformats.org/officeDocument/2006/relationships/hyperlink" Target="https://pbs.twimg.com/profile_images/718172859412127744/t782xBpk_normal.jpg" TargetMode="External"/><Relationship Id="rId3757" Type="http://schemas.openxmlformats.org/officeDocument/2006/relationships/hyperlink" Target="https://pbs.twimg.com/profile_images/645716711723925506/t5G0qOS6_normal.jpg" TargetMode="External"/><Relationship Id="rId4808" Type="http://schemas.openxmlformats.org/officeDocument/2006/relationships/hyperlink" Target="https://pbs.twimg.com/profile_images/3187517551/d49d77b3273cb499285ee666e06418f8_normal.jpeg" TargetMode="External"/><Relationship Id="rId678" Type="http://schemas.openxmlformats.org/officeDocument/2006/relationships/hyperlink" Target="https://twitter.com/GalatiRita/status/720671821054480384" TargetMode="External"/><Relationship Id="rId2359" Type="http://schemas.openxmlformats.org/officeDocument/2006/relationships/hyperlink" Target="https://twitter.com/Jo_H123" TargetMode="External"/><Relationship Id="rId6230" Type="http://schemas.openxmlformats.org/officeDocument/2006/relationships/hyperlink" Target="https://twitter.com/tuevnord/status/723090428577366016" TargetMode="External"/><Relationship Id="rId9453" Type="http://schemas.openxmlformats.org/officeDocument/2006/relationships/hyperlink" Target="https://twitter.com/INDIZbot/status/724176641841344513" TargetMode="External"/><Relationship Id="rId812" Type="http://schemas.openxmlformats.org/officeDocument/2006/relationships/hyperlink" Target="https://pbs.twimg.com/profile_images/591951396217327616/HbcCX2zX_normal.png" TargetMode="External"/><Relationship Id="rId1442" Type="http://schemas.openxmlformats.org/officeDocument/2006/relationships/hyperlink" Target="https://twitter.com/Databanque/status/720999467910967297" TargetMode="External"/><Relationship Id="rId2840" Type="http://schemas.openxmlformats.org/officeDocument/2006/relationships/hyperlink" Target="https://pbs.twimg.com/profile_images/623849156159868928/BetFDR_i_normal.jpg" TargetMode="External"/><Relationship Id="rId8055" Type="http://schemas.openxmlformats.org/officeDocument/2006/relationships/hyperlink" Target="https://twitter.com/LReehten/status/723487571884552192" TargetMode="External"/><Relationship Id="rId9106" Type="http://schemas.openxmlformats.org/officeDocument/2006/relationships/hyperlink" Target="https://pbs.twimg.com/profile_images/600279861282869249/IpIJ3MKX_normal.png" TargetMode="External"/><Relationship Id="rId3267" Type="http://schemas.openxmlformats.org/officeDocument/2006/relationships/hyperlink" Target="https://pbs.twimg.com/profile_images/499558614848122880/w6ZsfOlK_normal.jpeg" TargetMode="External"/><Relationship Id="rId4665" Type="http://schemas.openxmlformats.org/officeDocument/2006/relationships/hyperlink" Target="https://twitter.com/INAUTOMATION" TargetMode="External"/><Relationship Id="rId5716" Type="http://schemas.openxmlformats.org/officeDocument/2006/relationships/hyperlink" Target="https://twitter.com/intranettoday/status/722970395679305728" TargetMode="External"/><Relationship Id="rId188" Type="http://schemas.openxmlformats.org/officeDocument/2006/relationships/hyperlink" Target="https://twitter.com/LeclercManou/status/720526811638165504" TargetMode="External"/><Relationship Id="rId4318" Type="http://schemas.openxmlformats.org/officeDocument/2006/relationships/hyperlink" Target="https://twitter.com/IoTMinded/status/722664329728946177" TargetMode="External"/><Relationship Id="rId7888" Type="http://schemas.openxmlformats.org/officeDocument/2006/relationships/hyperlink" Target="https://twitter.com/CapgeminiDE" TargetMode="External"/><Relationship Id="rId8939" Type="http://schemas.openxmlformats.org/officeDocument/2006/relationships/hyperlink" Target="https://twitter.com/Bitkom_I40/status/723868292247482368" TargetMode="External"/><Relationship Id="rId2350" Type="http://schemas.openxmlformats.org/officeDocument/2006/relationships/hyperlink" Target="https://twitter.com/INDIZbot" TargetMode="External"/><Relationship Id="rId3401" Type="http://schemas.openxmlformats.org/officeDocument/2006/relationships/hyperlink" Target="https://twitter.com/H_IT_D" TargetMode="External"/><Relationship Id="rId6971" Type="http://schemas.openxmlformats.org/officeDocument/2006/relationships/hyperlink" Target="https://twitter.com/QuickFindsIn/status/723215730779377664" TargetMode="External"/><Relationship Id="rId322" Type="http://schemas.openxmlformats.org/officeDocument/2006/relationships/hyperlink" Target="https://twitter.com/digitale_Konst" TargetMode="External"/><Relationship Id="rId2003" Type="http://schemas.openxmlformats.org/officeDocument/2006/relationships/hyperlink" Target="https://pbs.twimg.com/profile_images/459441279181398016/MmGzaeIu_normal.jpeg" TargetMode="External"/><Relationship Id="rId5573" Type="http://schemas.openxmlformats.org/officeDocument/2006/relationships/hyperlink" Target="https://pbs.twimg.com/profile_images/658999934973321216/_4OxPNYS_normal.jpg" TargetMode="External"/><Relationship Id="rId6624" Type="http://schemas.openxmlformats.org/officeDocument/2006/relationships/hyperlink" Target="https://twitter.com/BE_DACH" TargetMode="External"/><Relationship Id="rId4175" Type="http://schemas.openxmlformats.org/officeDocument/2006/relationships/hyperlink" Target="https://pbs.twimg.com/profile_images/623849156159868928/BetFDR_i_normal.jpg" TargetMode="External"/><Relationship Id="rId5226" Type="http://schemas.openxmlformats.org/officeDocument/2006/relationships/hyperlink" Target="https://twitter.com/thfege" TargetMode="External"/><Relationship Id="rId7398" Type="http://schemas.openxmlformats.org/officeDocument/2006/relationships/hyperlink" Target="https://twitter.com/pageissler/status/723404754764746758" TargetMode="External"/><Relationship Id="rId8796" Type="http://schemas.openxmlformats.org/officeDocument/2006/relationships/hyperlink" Target="https://pbs.twimg.com/profile_images/662723326096224256/5V4KH9_O_normal.jpg" TargetMode="External"/><Relationship Id="rId9847" Type="http://schemas.openxmlformats.org/officeDocument/2006/relationships/hyperlink" Target="https://twitter.com/LNI40" TargetMode="External"/><Relationship Id="rId1836" Type="http://schemas.openxmlformats.org/officeDocument/2006/relationships/hyperlink" Target="https://pbs.twimg.com/profile_images/541146126158536704/IYardufS_normal.jpeg" TargetMode="External"/><Relationship Id="rId8449" Type="http://schemas.openxmlformats.org/officeDocument/2006/relationships/hyperlink" Target="https://twitter.com/INDIZbot" TargetMode="External"/><Relationship Id="rId8930" Type="http://schemas.openxmlformats.org/officeDocument/2006/relationships/hyperlink" Target="https://twitter.com/Bitkom/status/723867245127061504" TargetMode="External"/><Relationship Id="rId6481" Type="http://schemas.openxmlformats.org/officeDocument/2006/relationships/hyperlink" Target="https://pbs.twimg.com/profile_images/642009473436024832/Eca88RWt_normal.png" TargetMode="External"/><Relationship Id="rId7532" Type="http://schemas.openxmlformats.org/officeDocument/2006/relationships/hyperlink" Target="https://pbs.twimg.com/profile_images/378800000756770506/ec883914de9f4b2f3cd0acea75bbad08_normal.png" TargetMode="External"/><Relationship Id="rId5083" Type="http://schemas.openxmlformats.org/officeDocument/2006/relationships/hyperlink" Target="https://twitter.com/GenRob_Deutsch" TargetMode="External"/><Relationship Id="rId6134" Type="http://schemas.openxmlformats.org/officeDocument/2006/relationships/hyperlink" Target="https://pbs.twimg.com/profile_images/662723326096224256/5V4KH9_O_normal.jpg" TargetMode="External"/><Relationship Id="rId9357" Type="http://schemas.openxmlformats.org/officeDocument/2006/relationships/hyperlink" Target="https://twitter.com/drwissing/status/724155757751635968" TargetMode="External"/><Relationship Id="rId1346" Type="http://schemas.openxmlformats.org/officeDocument/2006/relationships/hyperlink" Target="https://twitter.com/INDIZbot/status/720968029690011649" TargetMode="External"/><Relationship Id="rId1693" Type="http://schemas.openxmlformats.org/officeDocument/2006/relationships/hyperlink" Target="https://twitter.com/josebaghdad" TargetMode="External"/><Relationship Id="rId2744" Type="http://schemas.openxmlformats.org/officeDocument/2006/relationships/hyperlink" Target="https://pbs.twimg.com/profile_images/672794348442877952/m6Is-Nrc_normal.jpg" TargetMode="External"/><Relationship Id="rId716" Type="http://schemas.openxmlformats.org/officeDocument/2006/relationships/hyperlink" Target="https://twitter.com/INDIZbot" TargetMode="External"/><Relationship Id="rId5967" Type="http://schemas.openxmlformats.org/officeDocument/2006/relationships/hyperlink" Target="https://twitter.com/MargotReb/status/723065867055992833" TargetMode="External"/><Relationship Id="rId52" Type="http://schemas.openxmlformats.org/officeDocument/2006/relationships/hyperlink" Target="https://twitter.com/SAPlearn" TargetMode="External"/><Relationship Id="rId4569" Type="http://schemas.openxmlformats.org/officeDocument/2006/relationships/hyperlink" Target="https://twitter.com/Bitkom" TargetMode="External"/><Relationship Id="rId8440" Type="http://schemas.openxmlformats.org/officeDocument/2006/relationships/hyperlink" Target="https://twitter.com/The_CIE" TargetMode="External"/><Relationship Id="rId7042" Type="http://schemas.openxmlformats.org/officeDocument/2006/relationships/hyperlink" Target="https://twitter.com/cerratlan" TargetMode="External"/><Relationship Id="rId10023" Type="http://schemas.openxmlformats.org/officeDocument/2006/relationships/hyperlink" Target="https://pbs.twimg.com/profile_images/619429467434434560/ywWYiH5V_normal.jpg" TargetMode="External"/><Relationship Id="rId3652" Type="http://schemas.openxmlformats.org/officeDocument/2006/relationships/hyperlink" Target="https://pbs.twimg.com/profile_images/645716711723925506/t5G0qOS6_normal.jpg" TargetMode="External"/><Relationship Id="rId4703" Type="http://schemas.openxmlformats.org/officeDocument/2006/relationships/hyperlink" Target="https://pbs.twimg.com/profile_images/598166829174005760/M39Pe098_normal.jpg" TargetMode="External"/><Relationship Id="rId573" Type="http://schemas.openxmlformats.org/officeDocument/2006/relationships/hyperlink" Target="https://twitter.com/logistiknews/status/720631000515112960" TargetMode="External"/><Relationship Id="rId2254" Type="http://schemas.openxmlformats.org/officeDocument/2006/relationships/hyperlink" Target="https://twitter.com/innovationbawue" TargetMode="External"/><Relationship Id="rId3305" Type="http://schemas.openxmlformats.org/officeDocument/2006/relationships/hyperlink" Target="https://twitter.com/Der_Betriebslei/status/722346371802640384" TargetMode="External"/><Relationship Id="rId226" Type="http://schemas.openxmlformats.org/officeDocument/2006/relationships/hyperlink" Target="https://twitter.com/INDIZbot" TargetMode="External"/><Relationship Id="rId5477" Type="http://schemas.openxmlformats.org/officeDocument/2006/relationships/hyperlink" Target="https://pbs.twimg.com/profile_images/694530943139315712/TQHmYxMT_normal.png" TargetMode="External"/><Relationship Id="rId6875" Type="http://schemas.openxmlformats.org/officeDocument/2006/relationships/hyperlink" Target="https://twitter.com/cdaloz/status/723180144945336321" TargetMode="External"/><Relationship Id="rId7926" Type="http://schemas.openxmlformats.org/officeDocument/2006/relationships/hyperlink" Target="https://pbs.twimg.com/profile_images/645716711723925506/t5G0qOS6_normal.jpg" TargetMode="External"/><Relationship Id="rId4079" Type="http://schemas.openxmlformats.org/officeDocument/2006/relationships/hyperlink" Target="https://pbs.twimg.com/profile_images/645716711723925506/t5G0qOS6_normal.jpg" TargetMode="External"/><Relationship Id="rId6528" Type="http://schemas.openxmlformats.org/officeDocument/2006/relationships/hyperlink" Target="https://twitter.com/digi_circle/status/723134888078139392" TargetMode="External"/><Relationship Id="rId9001" Type="http://schemas.openxmlformats.org/officeDocument/2006/relationships/hyperlink" Target="https://twitter.com/DigitalSpaceLab" TargetMode="External"/><Relationship Id="rId4560" Type="http://schemas.openxmlformats.org/officeDocument/2006/relationships/hyperlink" Target="https://twitter.com/Gesamtmetall" TargetMode="External"/><Relationship Id="rId5611" Type="http://schemas.openxmlformats.org/officeDocument/2006/relationships/hyperlink" Target="https://twitter.com/vemdiearbeitgeb/status/722889440377475072" TargetMode="External"/><Relationship Id="rId3162" Type="http://schemas.openxmlformats.org/officeDocument/2006/relationships/hyperlink" Target="https://twitter.com/PSIPENTA" TargetMode="External"/><Relationship Id="rId4213" Type="http://schemas.openxmlformats.org/officeDocument/2006/relationships/hyperlink" Target="https://twitter.com/catkinEU/status/722518798717317120" TargetMode="External"/><Relationship Id="rId7783" Type="http://schemas.openxmlformats.org/officeDocument/2006/relationships/hyperlink" Target="http://3d-grenzenlos.de/" TargetMode="External"/><Relationship Id="rId8834" Type="http://schemas.openxmlformats.org/officeDocument/2006/relationships/hyperlink" Target="https://twitter.com/INDIZbot/status/723829331932393472" TargetMode="External"/><Relationship Id="rId6385" Type="http://schemas.openxmlformats.org/officeDocument/2006/relationships/hyperlink" Target="https://pbs.twimg.com/profile_images/471312276767535104/TIanhngf_normal.jpeg" TargetMode="External"/><Relationship Id="rId7436" Type="http://schemas.openxmlformats.org/officeDocument/2006/relationships/hyperlink" Target="https://twitter.com/siemens_press" TargetMode="External"/><Relationship Id="rId6038" Type="http://schemas.openxmlformats.org/officeDocument/2006/relationships/hyperlink" Target="https://twitter.com/ATS_news" TargetMode="External"/><Relationship Id="rId2995" Type="http://schemas.openxmlformats.org/officeDocument/2006/relationships/hyperlink" Target="https://pbs.twimg.com/profile_images/2249619423/freewave_normal.png" TargetMode="External"/><Relationship Id="rId967" Type="http://schemas.openxmlformats.org/officeDocument/2006/relationships/hyperlink" Target="https://twitter.com/INDIZbot" TargetMode="External"/><Relationship Id="rId1597" Type="http://schemas.openxmlformats.org/officeDocument/2006/relationships/hyperlink" Target="https://twitter.com/DKEAktuell" TargetMode="External"/><Relationship Id="rId2648" Type="http://schemas.openxmlformats.org/officeDocument/2006/relationships/hyperlink" Target="https://pbs.twimg.com/profile_images/719538951988592641/7lKnB2dG_normal.jpg" TargetMode="External"/><Relationship Id="rId4070" Type="http://schemas.openxmlformats.org/officeDocument/2006/relationships/hyperlink" Target="https://twitter.com/machinads_com" TargetMode="External"/><Relationship Id="rId5121" Type="http://schemas.openxmlformats.org/officeDocument/2006/relationships/hyperlink" Target="https://pbs.twimg.com/profile_images/451994816889360385/SYPpc3iI_normal.jpeg" TargetMode="External"/><Relationship Id="rId8691" Type="http://schemas.openxmlformats.org/officeDocument/2006/relationships/hyperlink" Target="https://pbs.twimg.com/profile_images/723407487395713024/0hZv7R8S_normal.jpg" TargetMode="External"/><Relationship Id="rId9742" Type="http://schemas.openxmlformats.org/officeDocument/2006/relationships/hyperlink" Target="https://twitter.com/akwyz/status/724238440351580161" TargetMode="External"/><Relationship Id="rId1731" Type="http://schemas.openxmlformats.org/officeDocument/2006/relationships/hyperlink" Target="https://pbs.twimg.com/profile_images/604338428227010560/6jzSa8us_normal.png" TargetMode="External"/><Relationship Id="rId7293" Type="http://schemas.openxmlformats.org/officeDocument/2006/relationships/hyperlink" Target="https://pbs.twimg.com/profile_images/603699032804859904/lb5IMG5x_normal.jpg" TargetMode="External"/><Relationship Id="rId8344" Type="http://schemas.openxmlformats.org/officeDocument/2006/relationships/hyperlink" Target="https://twitter.com/INDIZbot/status/723537470294491136" TargetMode="External"/><Relationship Id="rId10274" Type="http://schemas.openxmlformats.org/officeDocument/2006/relationships/hyperlink" Target="https://twitter.com/VanYanMar/status/724450432932827136" TargetMode="External"/><Relationship Id="rId3556" Type="http://schemas.openxmlformats.org/officeDocument/2006/relationships/hyperlink" Target="https://pbs.twimg.com/profile_images/591951396217327616/HbcCX2zX_normal.png" TargetMode="External"/><Relationship Id="rId4954" Type="http://schemas.openxmlformats.org/officeDocument/2006/relationships/hyperlink" Target="https://twitter.com/it_rebellen/status/722743455106117632" TargetMode="External"/><Relationship Id="rId477" Type="http://schemas.openxmlformats.org/officeDocument/2006/relationships/hyperlink" Target="https://twitter.com/ROKAutomationIT/status/720601277076361216" TargetMode="External"/><Relationship Id="rId2158" Type="http://schemas.openxmlformats.org/officeDocument/2006/relationships/hyperlink" Target="https://twitter.com/FreudenbergITde" TargetMode="External"/><Relationship Id="rId3209" Type="http://schemas.openxmlformats.org/officeDocument/2006/relationships/hyperlink" Target="https://twitter.com/INDIZbot/status/722324290788597762" TargetMode="External"/><Relationship Id="rId4607" Type="http://schemas.openxmlformats.org/officeDocument/2006/relationships/hyperlink" Target="https://pbs.twimg.com/profile_images/465817969902092288/sEIgw9Gb_normal.jpeg" TargetMode="External"/><Relationship Id="rId6779" Type="http://schemas.openxmlformats.org/officeDocument/2006/relationships/hyperlink" Target="https://twitter.com/S_Koebernick/status/723169410135904256" TargetMode="External"/><Relationship Id="rId9252" Type="http://schemas.openxmlformats.org/officeDocument/2006/relationships/hyperlink" Target="https://twitter.com/quickfindseotip/status/724085462516662272" TargetMode="External"/><Relationship Id="rId611" Type="http://schemas.openxmlformats.org/officeDocument/2006/relationships/hyperlink" Target="https://twitter.com/INDIZbot" TargetMode="External"/><Relationship Id="rId1241" Type="http://schemas.openxmlformats.org/officeDocument/2006/relationships/hyperlink" Target="https://twitter.com/MTuchelmann/status/720931298852913153" TargetMode="External"/><Relationship Id="rId5862" Type="http://schemas.openxmlformats.org/officeDocument/2006/relationships/hyperlink" Target="https://twitter.com/topometric/status/723055487667695621" TargetMode="External"/><Relationship Id="rId6913" Type="http://schemas.openxmlformats.org/officeDocument/2006/relationships/hyperlink" Target="https://twitter.com/IT_Connection" TargetMode="External"/><Relationship Id="rId4464" Type="http://schemas.openxmlformats.org/officeDocument/2006/relationships/hyperlink" Target="https://pbs.twimg.com/profile_images/568238852/astocker_normal.png" TargetMode="External"/><Relationship Id="rId5515" Type="http://schemas.openxmlformats.org/officeDocument/2006/relationships/hyperlink" Target="https://twitter.com/mfmberlin/status/722830738962317315" TargetMode="External"/><Relationship Id="rId3066" Type="http://schemas.openxmlformats.org/officeDocument/2006/relationships/hyperlink" Target="https://twitter.com/H_IT_D" TargetMode="External"/><Relationship Id="rId4117" Type="http://schemas.openxmlformats.org/officeDocument/2006/relationships/hyperlink" Target="https://twitter.com/INDIZbot/status/722508006039142400" TargetMode="External"/><Relationship Id="rId7687" Type="http://schemas.openxmlformats.org/officeDocument/2006/relationships/hyperlink" Target="https://twitter.com/opierrat/status/723426381929926657" TargetMode="External"/><Relationship Id="rId6289" Type="http://schemas.openxmlformats.org/officeDocument/2006/relationships/hyperlink" Target="https://pbs.twimg.com/profile_images/683944253291130880/vT0fYGlv_normal.jpg" TargetMode="External"/><Relationship Id="rId8738" Type="http://schemas.openxmlformats.org/officeDocument/2006/relationships/hyperlink" Target="https://twitter.com/mirko_ross/status/723799443397611520" TargetMode="External"/><Relationship Id="rId2899" Type="http://schemas.openxmlformats.org/officeDocument/2006/relationships/hyperlink" Target="https://pbs.twimg.com/profile_images/645716711723925506/t5G0qOS6_normal.jpg" TargetMode="External"/><Relationship Id="rId3200" Type="http://schemas.openxmlformats.org/officeDocument/2006/relationships/hyperlink" Target="https://twitter.com/AltenaTCS/status/722322226280865792" TargetMode="External"/><Relationship Id="rId6770" Type="http://schemas.openxmlformats.org/officeDocument/2006/relationships/hyperlink" Target="https://twitter.com/mohamedanis/status/723168950184488961" TargetMode="External"/><Relationship Id="rId7821" Type="http://schemas.openxmlformats.org/officeDocument/2006/relationships/hyperlink" Target="https://pbs.twimg.com/profile_images/704767814406643712/VcnCdfke_normal.jpg" TargetMode="External"/><Relationship Id="rId121" Type="http://schemas.openxmlformats.org/officeDocument/2006/relationships/hyperlink" Target="https://twitter.com/h_scoshield" TargetMode="External"/><Relationship Id="rId5372" Type="http://schemas.openxmlformats.org/officeDocument/2006/relationships/hyperlink" Target="https://twitter.com/UmweltDialog" TargetMode="External"/><Relationship Id="rId6423" Type="http://schemas.openxmlformats.org/officeDocument/2006/relationships/hyperlink" Target="https://twitter.com/Der_Betriebslei/status/723122902573395968" TargetMode="External"/><Relationship Id="rId9993" Type="http://schemas.openxmlformats.org/officeDocument/2006/relationships/hyperlink" Target="https://pbs.twimg.com/profile_images/564009971202150401/EjqdJlUz_normal.jpeg" TargetMode="External"/><Relationship Id="rId5025" Type="http://schemas.openxmlformats.org/officeDocument/2006/relationships/hyperlink" Target="https://pbs.twimg.com/profile_images/645716711723925506/t5G0qOS6_normal.jpg" TargetMode="External"/><Relationship Id="rId8595" Type="http://schemas.openxmlformats.org/officeDocument/2006/relationships/hyperlink" Target="https://pbs.twimg.com/profile_images/494911375034945537/txB_J-VC_normal.jpeg" TargetMode="External"/><Relationship Id="rId9646" Type="http://schemas.openxmlformats.org/officeDocument/2006/relationships/hyperlink" Target="https://pbs.twimg.com/profile_images/609375510158774272/P5glOk4b_normal.jpg" TargetMode="External"/><Relationship Id="rId1635" Type="http://schemas.openxmlformats.org/officeDocument/2006/relationships/hyperlink" Target="https://pbs.twimg.com/profile_images/666232413823995904/mV0Q6td3_normal.png" TargetMode="External"/><Relationship Id="rId1982" Type="http://schemas.openxmlformats.org/officeDocument/2006/relationships/hyperlink" Target="https://pbs.twimg.com/profile_images/645716711723925506/t5G0qOS6_normal.jpg" TargetMode="External"/><Relationship Id="rId7197" Type="http://schemas.openxmlformats.org/officeDocument/2006/relationships/hyperlink" Target="https://pbs.twimg.com/profile_images/648870164297965568/7muw2QvW_normal.jpg" TargetMode="External"/><Relationship Id="rId8248" Type="http://schemas.openxmlformats.org/officeDocument/2006/relationships/hyperlink" Target="https://twitter.com/croXXing_IBD/status/723521463450517504" TargetMode="External"/><Relationship Id="rId10178" Type="http://schemas.openxmlformats.org/officeDocument/2006/relationships/hyperlink" Target="https://twitter.com/QuickFindsIn/status/724354234695606273" TargetMode="External"/><Relationship Id="rId4858" Type="http://schemas.openxmlformats.org/officeDocument/2006/relationships/hyperlink" Target="https://twitter.com/Fujitsu_DE/status/722726472281169921" TargetMode="External"/><Relationship Id="rId5909" Type="http://schemas.openxmlformats.org/officeDocument/2006/relationships/hyperlink" Target="https://twitter.com/bizadilly" TargetMode="External"/><Relationship Id="rId6280" Type="http://schemas.openxmlformats.org/officeDocument/2006/relationships/hyperlink" Target="https://pbs.twimg.com/profile_images/595629691249233920/PnZxF5UO_normal.jpg" TargetMode="External"/><Relationship Id="rId7331" Type="http://schemas.openxmlformats.org/officeDocument/2006/relationships/hyperlink" Target="https://twitter.com/guidogoeldenitz" TargetMode="External"/><Relationship Id="rId10312" Type="http://schemas.openxmlformats.org/officeDocument/2006/relationships/hyperlink" Target="https://twitter.com/stratadatalabs" TargetMode="External"/><Relationship Id="rId2890" Type="http://schemas.openxmlformats.org/officeDocument/2006/relationships/hyperlink" Target="https://pbs.twimg.com/profile_images/653481171414872064/-C8HD5Mf_normal.jpg" TargetMode="External"/><Relationship Id="rId3941" Type="http://schemas.openxmlformats.org/officeDocument/2006/relationships/hyperlink" Target="https://twitter.com/Rhenatic" TargetMode="External"/><Relationship Id="rId862" Type="http://schemas.openxmlformats.org/officeDocument/2006/relationships/hyperlink" Target="https://twitter.com/PChbx/status/720850722300932096" TargetMode="External"/><Relationship Id="rId1492" Type="http://schemas.openxmlformats.org/officeDocument/2006/relationships/hyperlink" Target="https://twitter.com/ITnet_TH" TargetMode="External"/><Relationship Id="rId2543" Type="http://schemas.openxmlformats.org/officeDocument/2006/relationships/hyperlink" Target="https://pbs.twimg.com/profile_images/378800000730169702/55f82a9488f9b8b9ad44de17e41286d4_normal.jpeg" TargetMode="External"/><Relationship Id="rId9156" Type="http://schemas.openxmlformats.org/officeDocument/2006/relationships/hyperlink" Target="https://twitter.com/kat2812/status/723956582342635520" TargetMode="External"/><Relationship Id="rId515" Type="http://schemas.openxmlformats.org/officeDocument/2006/relationships/hyperlink" Target="https://twitter.com/kommoptimierer" TargetMode="External"/><Relationship Id="rId1145" Type="http://schemas.openxmlformats.org/officeDocument/2006/relationships/hyperlink" Target="https://twitter.com/it_rebellen/status/720907161384153088" TargetMode="External"/><Relationship Id="rId5766" Type="http://schemas.openxmlformats.org/officeDocument/2006/relationships/hyperlink" Target="https://twitter.com/ULdialogue" TargetMode="External"/><Relationship Id="rId4368" Type="http://schemas.openxmlformats.org/officeDocument/2006/relationships/hyperlink" Target="https://twitter.com/INDIZbot" TargetMode="External"/><Relationship Id="rId5419" Type="http://schemas.openxmlformats.org/officeDocument/2006/relationships/hyperlink" Target="https://abs.twimg.com/sticky/default_profile_images/default_profile_5_normal.png" TargetMode="External"/><Relationship Id="rId6817" Type="http://schemas.openxmlformats.org/officeDocument/2006/relationships/hyperlink" Target="https://twitter.com/pechardscheck" TargetMode="External"/><Relationship Id="rId8989" Type="http://schemas.openxmlformats.org/officeDocument/2006/relationships/hyperlink" Target="https://twitter.com/vdeyoungnet" TargetMode="External"/><Relationship Id="rId5900" Type="http://schemas.openxmlformats.org/officeDocument/2006/relationships/hyperlink" Target="https://twitter.com/mkoeppen" TargetMode="External"/><Relationship Id="rId3451" Type="http://schemas.openxmlformats.org/officeDocument/2006/relationships/hyperlink" Target="https://pbs.twimg.com/profile_images/448785058711601152/lLXOAUVA_normal.png" TargetMode="External"/><Relationship Id="rId4502" Type="http://schemas.openxmlformats.org/officeDocument/2006/relationships/hyperlink" Target="https://abs.twimg.com/sticky/default_profile_images/default_profile_3_normal.png" TargetMode="External"/><Relationship Id="rId372" Type="http://schemas.openxmlformats.org/officeDocument/2006/relationships/hyperlink" Target="https://pbs.twimg.com/profile_images/662723326096224256/5V4KH9_O_normal.jpg" TargetMode="External"/><Relationship Id="rId2053" Type="http://schemas.openxmlformats.org/officeDocument/2006/relationships/hyperlink" Target="https://twitter.com/SAPlearn/status/721787155811405824" TargetMode="External"/><Relationship Id="rId3104" Type="http://schemas.openxmlformats.org/officeDocument/2006/relationships/hyperlink" Target="https://pbs.twimg.com/profile_images/665798535779065856/sbUN3m6Q_normal.jpg" TargetMode="External"/><Relationship Id="rId6674" Type="http://schemas.openxmlformats.org/officeDocument/2006/relationships/hyperlink" Target="https://twitter.com/H_IT_D/status/723158368483860481" TargetMode="External"/><Relationship Id="rId7725" Type="http://schemas.openxmlformats.org/officeDocument/2006/relationships/hyperlink" Target="https://twitter.com/FM_Elektro" TargetMode="External"/><Relationship Id="rId5276" Type="http://schemas.openxmlformats.org/officeDocument/2006/relationships/hyperlink" Target="https://twitter.com/INDIZbot/status/722779816035028992" TargetMode="External"/><Relationship Id="rId6327" Type="http://schemas.openxmlformats.org/officeDocument/2006/relationships/hyperlink" Target="https://twitter.com/FoF_EU" TargetMode="External"/><Relationship Id="rId9897" Type="http://schemas.openxmlformats.org/officeDocument/2006/relationships/hyperlink" Target="https://pbs.twimg.com/profile_images/701004613206433792/o4DJfA8-_normal.jpg" TargetMode="External"/><Relationship Id="rId8499" Type="http://schemas.openxmlformats.org/officeDocument/2006/relationships/hyperlink" Target="https://abs.twimg.com/sticky/default_profile_images/default_profile_4_normal.png" TargetMode="External"/><Relationship Id="rId1886" Type="http://schemas.openxmlformats.org/officeDocument/2006/relationships/hyperlink" Target="https://twitter.com/Tiba_Schweiz" TargetMode="External"/><Relationship Id="rId2937" Type="http://schemas.openxmlformats.org/officeDocument/2006/relationships/hyperlink" Target="https://twitter.com/Gina_Boettcher/status/722186288145817600" TargetMode="External"/><Relationship Id="rId909" Type="http://schemas.openxmlformats.org/officeDocument/2006/relationships/hyperlink" Target="https://twitter.com/INDIZbot" TargetMode="External"/><Relationship Id="rId1539" Type="http://schemas.openxmlformats.org/officeDocument/2006/relationships/hyperlink" Target="https://pbs.twimg.com/profile_images/541146126158536704/IYardufS_normal.jpeg" TargetMode="External"/><Relationship Id="rId5410" Type="http://schemas.openxmlformats.org/officeDocument/2006/relationships/hyperlink" Target="https://pbs.twimg.com/profile_images/613272387015061505/1UAowpCJ_normal.jpg" TargetMode="External"/><Relationship Id="rId8980" Type="http://schemas.openxmlformats.org/officeDocument/2006/relationships/hyperlink" Target="https://twitter.com/AnhaengerCDU" TargetMode="External"/><Relationship Id="rId4012" Type="http://schemas.openxmlformats.org/officeDocument/2006/relationships/hyperlink" Target="https://pbs.twimg.com/profile_images/686414815301074945/Xe5edP1v_normal.jpg" TargetMode="External"/><Relationship Id="rId7582" Type="http://schemas.openxmlformats.org/officeDocument/2006/relationships/hyperlink" Target="https://twitter.com/INDIZbot/status/723416427193995264" TargetMode="External"/><Relationship Id="rId8633" Type="http://schemas.openxmlformats.org/officeDocument/2006/relationships/hyperlink" Target="https://twitter.com/tuevnord/status/723770941126352896" TargetMode="External"/><Relationship Id="rId6184" Type="http://schemas.openxmlformats.org/officeDocument/2006/relationships/hyperlink" Target="https://twitter.com/Bitkom/status/723085281251856392" TargetMode="External"/><Relationship Id="rId7235" Type="http://schemas.openxmlformats.org/officeDocument/2006/relationships/hyperlink" Target="https://twitter.com/INDIZbot/status/723386137864105984" TargetMode="External"/><Relationship Id="rId10216" Type="http://schemas.openxmlformats.org/officeDocument/2006/relationships/hyperlink" Target="https://twitter.com/Geschnattere" TargetMode="External"/><Relationship Id="rId2794" Type="http://schemas.openxmlformats.org/officeDocument/2006/relationships/hyperlink" Target="https://twitter.com/IoTJournal/status/722122983297458176" TargetMode="External"/><Relationship Id="rId3845" Type="http://schemas.openxmlformats.org/officeDocument/2006/relationships/hyperlink" Target="https://twitter.com/itmeetsindustry" TargetMode="External"/><Relationship Id="rId766" Type="http://schemas.openxmlformats.org/officeDocument/2006/relationships/hyperlink" Target="https://pbs.twimg.com/profile_images/662723326096224256/5V4KH9_O_normal.jpg" TargetMode="External"/><Relationship Id="rId1396" Type="http://schemas.openxmlformats.org/officeDocument/2006/relationships/hyperlink" Target="https://pbs.twimg.com/profile_images/303181441/f_r_die_website_normal.jpg" TargetMode="External"/><Relationship Id="rId2447" Type="http://schemas.openxmlformats.org/officeDocument/2006/relationships/hyperlink" Target="https://twitter.com/INDIZbot/status/722027570636656641" TargetMode="External"/><Relationship Id="rId419" Type="http://schemas.openxmlformats.org/officeDocument/2006/relationships/hyperlink" Target="https://twitter.com/INDIZbot/status/720587835628195840" TargetMode="External"/><Relationship Id="rId1049" Type="http://schemas.openxmlformats.org/officeDocument/2006/relationships/hyperlink" Target="https://twitter.com/markherten/status/720889385756004352" TargetMode="External"/><Relationship Id="rId7092" Type="http://schemas.openxmlformats.org/officeDocument/2006/relationships/hyperlink" Target="https://pbs.twimg.com/profile_images/548030384030507008/utABqhj9_normal.png" TargetMode="External"/><Relationship Id="rId8143" Type="http://schemas.openxmlformats.org/officeDocument/2006/relationships/hyperlink" Target="https://pbs.twimg.com/profile_images/645716711723925506/t5G0qOS6_normal.jpg" TargetMode="External"/><Relationship Id="rId8490" Type="http://schemas.openxmlformats.org/officeDocument/2006/relationships/hyperlink" Target="https://pbs.twimg.com/profile_images/645716711723925506/t5G0qOS6_normal.jpg" TargetMode="External"/><Relationship Id="rId9541" Type="http://schemas.openxmlformats.org/officeDocument/2006/relationships/hyperlink" Target="https://pbs.twimg.com/profile_images/716922653823533056/KQM-iyE__normal.jpg" TargetMode="External"/><Relationship Id="rId900" Type="http://schemas.openxmlformats.org/officeDocument/2006/relationships/hyperlink" Target="https://twitter.com/EnergyPages" TargetMode="External"/><Relationship Id="rId1530" Type="http://schemas.openxmlformats.org/officeDocument/2006/relationships/hyperlink" Target="https://pbs.twimg.com/profile_images/694582636447141888/UbS5f6D9_normal.jpg" TargetMode="External"/><Relationship Id="rId10073" Type="http://schemas.openxmlformats.org/officeDocument/2006/relationships/hyperlink" Target="https://twitter.com/IHogerzeil/status/724322073850589185" TargetMode="External"/><Relationship Id="rId4753" Type="http://schemas.openxmlformats.org/officeDocument/2006/relationships/hyperlink" Target="https://twitter.com/THINK_ING/status/722716753466417152" TargetMode="External"/><Relationship Id="rId5804" Type="http://schemas.openxmlformats.org/officeDocument/2006/relationships/hyperlink" Target="https://pbs.twimg.com/profile_images/645716711723925506/t5G0qOS6_normal.jpg" TargetMode="External"/><Relationship Id="rId3355" Type="http://schemas.openxmlformats.org/officeDocument/2006/relationships/hyperlink" Target="https://twitter.com/atominik" TargetMode="External"/><Relationship Id="rId4406" Type="http://schemas.openxmlformats.org/officeDocument/2006/relationships/hyperlink" Target="https://pbs.twimg.com/profile_images/494807363572875265/EUm9CELG_normal.jpeg" TargetMode="External"/><Relationship Id="rId7976" Type="http://schemas.openxmlformats.org/officeDocument/2006/relationships/hyperlink" Target="https://twitter.com/QuickFindsIn" TargetMode="External"/><Relationship Id="rId276" Type="http://schemas.openxmlformats.org/officeDocument/2006/relationships/hyperlink" Target="https://pbs.twimg.com/profile_images/574517024556089345/fuK3tcde_normal.jpeg" TargetMode="External"/><Relationship Id="rId3008" Type="http://schemas.openxmlformats.org/officeDocument/2006/relationships/hyperlink" Target="https://twitter.com/ASPhotoProject" TargetMode="External"/><Relationship Id="rId6578" Type="http://schemas.openxmlformats.org/officeDocument/2006/relationships/hyperlink" Target="https://pbs.twimg.com/profile_images/603699032804859904/lb5IMG5x_normal.jpg" TargetMode="External"/><Relationship Id="rId7629" Type="http://schemas.openxmlformats.org/officeDocument/2006/relationships/hyperlink" Target="https://twitter.com/IoTMinded" TargetMode="External"/><Relationship Id="rId9051" Type="http://schemas.openxmlformats.org/officeDocument/2006/relationships/hyperlink" Target="https://twitter.com/Romny58/status/723922977360887808" TargetMode="External"/><Relationship Id="rId1040" Type="http://schemas.openxmlformats.org/officeDocument/2006/relationships/hyperlink" Target="https://twitter.com/confare/status/720888667913498626" TargetMode="External"/><Relationship Id="rId410" Type="http://schemas.openxmlformats.org/officeDocument/2006/relationships/hyperlink" Target="https://twitter.com/IFS_D_A_CH/status/720585329397403648" TargetMode="External"/><Relationship Id="rId5661" Type="http://schemas.openxmlformats.org/officeDocument/2006/relationships/hyperlink" Target="https://twitter.com/RolandBent" TargetMode="External"/><Relationship Id="rId6712" Type="http://schemas.openxmlformats.org/officeDocument/2006/relationships/hyperlink" Target="https://twitter.com/Gruendercoaches" TargetMode="External"/><Relationship Id="rId4263" Type="http://schemas.openxmlformats.org/officeDocument/2006/relationships/hyperlink" Target="https://twitter.com/INDIZbot" TargetMode="External"/><Relationship Id="rId5314" Type="http://schemas.openxmlformats.org/officeDocument/2006/relationships/hyperlink" Target="https://twitter.com/INDIZbot" TargetMode="External"/><Relationship Id="rId8884" Type="http://schemas.openxmlformats.org/officeDocument/2006/relationships/hyperlink" Target="https://twitter.com/ZVEIorg" TargetMode="External"/><Relationship Id="rId9935" Type="http://schemas.openxmlformats.org/officeDocument/2006/relationships/hyperlink" Target="https://twitter.com/ZVEIorg/status/724281991278002178" TargetMode="External"/><Relationship Id="rId1924" Type="http://schemas.openxmlformats.org/officeDocument/2006/relationships/hyperlink" Target="https://pbs.twimg.com/profile_images/534683632380571648/y2Euoxmm_normal.png" TargetMode="External"/><Relationship Id="rId7486" Type="http://schemas.openxmlformats.org/officeDocument/2006/relationships/hyperlink" Target="https://twitter.com/rreitz1/status/723409080811835392" TargetMode="External"/><Relationship Id="rId8537" Type="http://schemas.openxmlformats.org/officeDocument/2006/relationships/hyperlink" Target="https://twitter.com/INDIZbot/status/723647867752189958" TargetMode="External"/><Relationship Id="rId6088" Type="http://schemas.openxmlformats.org/officeDocument/2006/relationships/hyperlink" Target="https://pbs.twimg.com/profile_images/574251461883789312/ixWyym3U_normal.jpeg" TargetMode="External"/><Relationship Id="rId7139" Type="http://schemas.openxmlformats.org/officeDocument/2006/relationships/hyperlink" Target="https://twitter.com/INDIZbot/status/723280446054912001" TargetMode="External"/><Relationship Id="rId2698" Type="http://schemas.openxmlformats.org/officeDocument/2006/relationships/hyperlink" Target="https://twitter.com/Siemens_SFS/status/722093558010888192" TargetMode="External"/><Relationship Id="rId3749" Type="http://schemas.openxmlformats.org/officeDocument/2006/relationships/hyperlink" Target="https://twitter.com/dictaJet" TargetMode="External"/><Relationship Id="rId5171" Type="http://schemas.openxmlformats.org/officeDocument/2006/relationships/hyperlink" Target="https://twitter.com/S_Koebernick/status/722765167835000834" TargetMode="External"/><Relationship Id="rId6222" Type="http://schemas.openxmlformats.org/officeDocument/2006/relationships/hyperlink" Target="https://pbs.twimg.com/profile_images/593011135428882432/BGMPkrwp_normal.jpg" TargetMode="External"/><Relationship Id="rId7620" Type="http://schemas.openxmlformats.org/officeDocument/2006/relationships/hyperlink" Target="https://twitter.com/1StepTo" TargetMode="External"/><Relationship Id="rId9792" Type="http://schemas.openxmlformats.org/officeDocument/2006/relationships/hyperlink" Target="https://pbs.twimg.com/profile_images/600009481204924416/MjO5xAdb_normal.jpg" TargetMode="External"/><Relationship Id="rId1781" Type="http://schemas.openxmlformats.org/officeDocument/2006/relationships/hyperlink" Target="https://twitter.com/hydrogeniousTEC/status/721395246085599233" TargetMode="External"/><Relationship Id="rId2832" Type="http://schemas.openxmlformats.org/officeDocument/2006/relationships/hyperlink" Target="https://twitter.com/LReehten" TargetMode="External"/><Relationship Id="rId8394" Type="http://schemas.openxmlformats.org/officeDocument/2006/relationships/hyperlink" Target="https://twitter.com/INDIZbot" TargetMode="External"/><Relationship Id="rId9445" Type="http://schemas.openxmlformats.org/officeDocument/2006/relationships/hyperlink" Target="https://abs.twimg.com/sticky/default_profile_images/default_profile_3_normal.png" TargetMode="External"/><Relationship Id="rId804" Type="http://schemas.openxmlformats.org/officeDocument/2006/relationships/hyperlink" Target="https://twitter.com/RolandKnoor" TargetMode="External"/><Relationship Id="rId1434" Type="http://schemas.openxmlformats.org/officeDocument/2006/relationships/hyperlink" Target="https://twitter.com/INDIZbot" TargetMode="External"/><Relationship Id="rId8047" Type="http://schemas.openxmlformats.org/officeDocument/2006/relationships/hyperlink" Target="https://pbs.twimg.com/profile_images/643396829510545409/-aJv6A05_normal.jpg" TargetMode="External"/><Relationship Id="rId4657" Type="http://schemas.openxmlformats.org/officeDocument/2006/relationships/hyperlink" Target="https://twitter.com/pbo/status/722710100864081920" TargetMode="External"/><Relationship Id="rId5708" Type="http://schemas.openxmlformats.org/officeDocument/2006/relationships/hyperlink" Target="https://pbs.twimg.com/profile_images/538796736/mike-sunglasses_normal.jpg" TargetMode="External"/><Relationship Id="rId3259" Type="http://schemas.openxmlformats.org/officeDocument/2006/relationships/hyperlink" Target="https://twitter.com/Fraunhofer" TargetMode="External"/><Relationship Id="rId7130" Type="http://schemas.openxmlformats.org/officeDocument/2006/relationships/hyperlink" Target="https://twitter.com/openHPI/status/723273943164051458" TargetMode="External"/><Relationship Id="rId10111" Type="http://schemas.openxmlformats.org/officeDocument/2006/relationships/hyperlink" Target="https://twitter.com/INDIZbot" TargetMode="External"/><Relationship Id="rId3740" Type="http://schemas.openxmlformats.org/officeDocument/2006/relationships/hyperlink" Target="https://twitter.com/HubertusGrass" TargetMode="External"/><Relationship Id="rId661" Type="http://schemas.openxmlformats.org/officeDocument/2006/relationships/hyperlink" Target="https://pbs.twimg.com/profile_images/476275729806536704/jxs63xEZ_normal.jpeg" TargetMode="External"/><Relationship Id="rId1291" Type="http://schemas.openxmlformats.org/officeDocument/2006/relationships/hyperlink" Target="https://twitter.com/GGS_Heilbronn" TargetMode="External"/><Relationship Id="rId2342" Type="http://schemas.openxmlformats.org/officeDocument/2006/relationships/hyperlink" Target="https://twitter.com/INDIZbot/status/721986986500878336" TargetMode="External"/><Relationship Id="rId6963" Type="http://schemas.openxmlformats.org/officeDocument/2006/relationships/hyperlink" Target="https://pbs.twimg.com/profile_images/687624884244082688/eYnhv8nB_normal.jpg" TargetMode="External"/><Relationship Id="rId314" Type="http://schemas.openxmlformats.org/officeDocument/2006/relationships/hyperlink" Target="https://twitter.com/mint22com/status/720547820554620928" TargetMode="External"/><Relationship Id="rId5565" Type="http://schemas.openxmlformats.org/officeDocument/2006/relationships/hyperlink" Target="https://twitter.com/tcerisier_johan" TargetMode="External"/><Relationship Id="rId6616" Type="http://schemas.openxmlformats.org/officeDocument/2006/relationships/hyperlink" Target="https://twitter.com/SGE/status/723150722775289856" TargetMode="External"/><Relationship Id="rId4167" Type="http://schemas.openxmlformats.org/officeDocument/2006/relationships/hyperlink" Target="https://twitter.com/LReehten" TargetMode="External"/><Relationship Id="rId5218" Type="http://schemas.openxmlformats.org/officeDocument/2006/relationships/hyperlink" Target="https://twitter.com/VISAMgmbh/status/722769804256481280" TargetMode="External"/><Relationship Id="rId8788" Type="http://schemas.openxmlformats.org/officeDocument/2006/relationships/hyperlink" Target="https://twitter.com/DigitalTrans_HS" TargetMode="External"/><Relationship Id="rId9839" Type="http://schemas.openxmlformats.org/officeDocument/2006/relationships/hyperlink" Target="https://twitter.com/angelhoyospr/status/724270031543083010" TargetMode="External"/><Relationship Id="rId1828" Type="http://schemas.openxmlformats.org/officeDocument/2006/relationships/hyperlink" Target="https://twitter.com/hydrogeniousTEC" TargetMode="External"/><Relationship Id="rId3250" Type="http://schemas.openxmlformats.org/officeDocument/2006/relationships/hyperlink" Target="https://twitter.com/bamitav" TargetMode="External"/><Relationship Id="rId171" Type="http://schemas.openxmlformats.org/officeDocument/2006/relationships/hyperlink" Target="https://pbs.twimg.com/profile_images/693115470753480704/31tK3_Cm_normal.png" TargetMode="External"/><Relationship Id="rId4301" Type="http://schemas.openxmlformats.org/officeDocument/2006/relationships/hyperlink" Target="https://pbs.twimg.com/profile_images/495214827963297793/ZW7qWnoK_normal.jpeg" TargetMode="External"/><Relationship Id="rId7871" Type="http://schemas.openxmlformats.org/officeDocument/2006/relationships/hyperlink" Target="https://twitter.com/ahk_frankreich/status/723451502090588160" TargetMode="External"/><Relationship Id="rId8922" Type="http://schemas.openxmlformats.org/officeDocument/2006/relationships/hyperlink" Target="https://pbs.twimg.com/profile_images/701539571977289728/ulvjpEZ4_normal.jpg" TargetMode="External"/><Relationship Id="rId6473" Type="http://schemas.openxmlformats.org/officeDocument/2006/relationships/hyperlink" Target="https://twitter.com/SocBizEngineer" TargetMode="External"/><Relationship Id="rId7524" Type="http://schemas.openxmlformats.org/officeDocument/2006/relationships/hyperlink" Target="https://twitter.com/PapaVise" TargetMode="External"/><Relationship Id="rId5075" Type="http://schemas.openxmlformats.org/officeDocument/2006/relationships/hyperlink" Target="https://twitter.com/NeleReimers/status/722754966704619522" TargetMode="External"/><Relationship Id="rId6126" Type="http://schemas.openxmlformats.org/officeDocument/2006/relationships/hyperlink" Target="https://twitter.com/EAutoPionier" TargetMode="External"/><Relationship Id="rId9696" Type="http://schemas.openxmlformats.org/officeDocument/2006/relationships/hyperlink" Target="https://twitter.com/iaapraaipr/status/724232212619522048" TargetMode="External"/><Relationship Id="rId1685" Type="http://schemas.openxmlformats.org/officeDocument/2006/relationships/hyperlink" Target="https://twitter.com/skills_austria/status/721278465765425152" TargetMode="External"/><Relationship Id="rId2736" Type="http://schemas.openxmlformats.org/officeDocument/2006/relationships/hyperlink" Target="https://twitter.com/H_IT_D" TargetMode="External"/><Relationship Id="rId8298" Type="http://schemas.openxmlformats.org/officeDocument/2006/relationships/hyperlink" Target="https://twitter.com/INDIZbot" TargetMode="External"/><Relationship Id="rId9349" Type="http://schemas.openxmlformats.org/officeDocument/2006/relationships/hyperlink" Target="https://pbs.twimg.com/profile_images/645716711723925506/t5G0qOS6_normal.jpg" TargetMode="External"/><Relationship Id="rId708" Type="http://schemas.openxmlformats.org/officeDocument/2006/relationships/hyperlink" Target="https://twitter.com/DerLogistikfan/status/720684133484269572" TargetMode="External"/><Relationship Id="rId1338" Type="http://schemas.openxmlformats.org/officeDocument/2006/relationships/hyperlink" Target="https://pbs.twimg.com/profile_images/584363589126987778/AUl-VGZS_normal.jpg" TargetMode="External"/><Relationship Id="rId5959" Type="http://schemas.openxmlformats.org/officeDocument/2006/relationships/hyperlink" Target="https://pbs.twimg.com/profile_images/723407487395713024/0hZv7R8S_normal.jpg" TargetMode="External"/><Relationship Id="rId7381" Type="http://schemas.openxmlformats.org/officeDocument/2006/relationships/hyperlink" Target="https://pbs.twimg.com/profile_images/695514574359953408/hQTmgrlk_normal.png" TargetMode="External"/><Relationship Id="rId8432" Type="http://schemas.openxmlformats.org/officeDocument/2006/relationships/hyperlink" Target="https://twitter.com/ROKAutomationUK/status/723564564558675968" TargetMode="External"/><Relationship Id="rId9830" Type="http://schemas.openxmlformats.org/officeDocument/2006/relationships/hyperlink" Target="https://twitter.com/PlantEngMag/status/724269310630227968" TargetMode="External"/><Relationship Id="rId44" Type="http://schemas.openxmlformats.org/officeDocument/2006/relationships/hyperlink" Target="https://twitter.com/NeleReimers/status/720504595336806400" TargetMode="External"/><Relationship Id="rId7034" Type="http://schemas.openxmlformats.org/officeDocument/2006/relationships/hyperlink" Target="https://twitter.com/INDIZbot/status/723242946296971264" TargetMode="External"/><Relationship Id="rId3991" Type="http://schemas.openxmlformats.org/officeDocument/2006/relationships/hyperlink" Target="https://pbs.twimg.com/profile_images/555327405187801088/bhizIjB-_normal.png" TargetMode="External"/><Relationship Id="rId10015" Type="http://schemas.openxmlformats.org/officeDocument/2006/relationships/hyperlink" Target="https://twitter.com/INDIZbot" TargetMode="External"/><Relationship Id="rId2593" Type="http://schemas.openxmlformats.org/officeDocument/2006/relationships/hyperlink" Target="https://twitter.com/JETZT_PRde" TargetMode="External"/><Relationship Id="rId3644" Type="http://schemas.openxmlformats.org/officeDocument/2006/relationships/hyperlink" Target="https://twitter.com/opengateitalia" TargetMode="External"/><Relationship Id="rId565" Type="http://schemas.openxmlformats.org/officeDocument/2006/relationships/hyperlink" Target="https://pbs.twimg.com/profile_images/465833729533820928/XEgCMpMC_normal.jpeg" TargetMode="External"/><Relationship Id="rId1195" Type="http://schemas.openxmlformats.org/officeDocument/2006/relationships/hyperlink" Target="https://twitter.com/veronique_abela" TargetMode="External"/><Relationship Id="rId2246" Type="http://schemas.openxmlformats.org/officeDocument/2006/relationships/hyperlink" Target="https://twitter.com/INDIZbot/status/721969570374946817" TargetMode="External"/><Relationship Id="rId6867" Type="http://schemas.openxmlformats.org/officeDocument/2006/relationships/hyperlink" Target="https://pbs.twimg.com/profile_images/645716711723925506/t5G0qOS6_normal.jpg" TargetMode="External"/><Relationship Id="rId7918" Type="http://schemas.openxmlformats.org/officeDocument/2006/relationships/hyperlink" Target="https://twitter.com/H_IT_D" TargetMode="External"/><Relationship Id="rId218" Type="http://schemas.openxmlformats.org/officeDocument/2006/relationships/hyperlink" Target="https://twitter.com/BitkomResearch/status/720534373892812801" TargetMode="External"/><Relationship Id="rId5469" Type="http://schemas.openxmlformats.org/officeDocument/2006/relationships/hyperlink" Target="https://twitter.com/Faheem_Farooq" TargetMode="External"/><Relationship Id="rId9340" Type="http://schemas.openxmlformats.org/officeDocument/2006/relationships/hyperlink" Target="https://pbs.twimg.com/profile_images/504569405494161410/4CpoyfPM_normal.jpeg" TargetMode="External"/><Relationship Id="rId5950" Type="http://schemas.openxmlformats.org/officeDocument/2006/relationships/hyperlink" Target="https://pbs.twimg.com/profile_images/2619086509/ld3z97zhhdbs2essw7s9_normal.jpeg" TargetMode="External"/><Relationship Id="rId4552" Type="http://schemas.openxmlformats.org/officeDocument/2006/relationships/hyperlink" Target="https://twitter.com/AltenaTCS/status/722704802858344448" TargetMode="External"/><Relationship Id="rId5603" Type="http://schemas.openxmlformats.org/officeDocument/2006/relationships/hyperlink" Target="https://pbs.twimg.com/profile_images/541146126158536704/IYardufS_normal.jpeg" TargetMode="External"/><Relationship Id="rId3154" Type="http://schemas.openxmlformats.org/officeDocument/2006/relationships/hyperlink" Target="https://twitter.com/QuickFindsIn/status/722315803991773184" TargetMode="External"/><Relationship Id="rId4205" Type="http://schemas.openxmlformats.org/officeDocument/2006/relationships/hyperlink" Target="https://pbs.twimg.com/profile_images/645716711723925506/t5G0qOS6_normal.jpg" TargetMode="External"/><Relationship Id="rId7775" Type="http://schemas.openxmlformats.org/officeDocument/2006/relationships/hyperlink" Target="https://abs.twimg.com/sticky/default_profile_images/default_profile_3_normal.png" TargetMode="External"/><Relationship Id="rId8826" Type="http://schemas.openxmlformats.org/officeDocument/2006/relationships/hyperlink" Target="https://pbs.twimg.com/profile_images/645716711723925506/t5G0qOS6_normal.jpg" TargetMode="External"/><Relationship Id="rId6377" Type="http://schemas.openxmlformats.org/officeDocument/2006/relationships/hyperlink" Target="https://twitter.com/schliin" TargetMode="External"/><Relationship Id="rId7428" Type="http://schemas.openxmlformats.org/officeDocument/2006/relationships/hyperlink" Target="https://pbs.twimg.com/profile_images/656031368640598016/s_6nLAlN_normal.jpg" TargetMode="External"/><Relationship Id="rId2987" Type="http://schemas.openxmlformats.org/officeDocument/2006/relationships/hyperlink" Target="https://twitter.com/LokeshPayik" TargetMode="External"/><Relationship Id="rId959" Type="http://schemas.openxmlformats.org/officeDocument/2006/relationships/hyperlink" Target="https://twitter.com/SvenMul/status/720875289497047040" TargetMode="External"/><Relationship Id="rId1589" Type="http://schemas.openxmlformats.org/officeDocument/2006/relationships/hyperlink" Target="https://twitter.com/Adam_Ripley/status/721233365458935808" TargetMode="External"/><Relationship Id="rId5460" Type="http://schemas.openxmlformats.org/officeDocument/2006/relationships/hyperlink" Target="https://twitter.com/predigcorp" TargetMode="External"/><Relationship Id="rId6511" Type="http://schemas.openxmlformats.org/officeDocument/2006/relationships/hyperlink" Target="https://pbs.twimg.com/profile_images/1648827386/image_normal.jpg" TargetMode="External"/><Relationship Id="rId4062" Type="http://schemas.openxmlformats.org/officeDocument/2006/relationships/hyperlink" Target="https://twitter.com/AnWa_85/status/722489446432706562" TargetMode="External"/><Relationship Id="rId5113" Type="http://schemas.openxmlformats.org/officeDocument/2006/relationships/hyperlink" Target="https://twitter.com/MEArbeitgeber" TargetMode="External"/><Relationship Id="rId8683" Type="http://schemas.openxmlformats.org/officeDocument/2006/relationships/hyperlink" Target="https://twitter.com/acatech_de" TargetMode="External"/><Relationship Id="rId9734" Type="http://schemas.openxmlformats.org/officeDocument/2006/relationships/hyperlink" Target="https://pbs.twimg.com/profile_images/645716711723925506/t5G0qOS6_normal.jpg" TargetMode="External"/><Relationship Id="rId1723" Type="http://schemas.openxmlformats.org/officeDocument/2006/relationships/hyperlink" Target="https://twitter.com/GSonnengott" TargetMode="External"/><Relationship Id="rId7285" Type="http://schemas.openxmlformats.org/officeDocument/2006/relationships/hyperlink" Target="https://twitter.com/leibigtsystems" TargetMode="External"/><Relationship Id="rId8336" Type="http://schemas.openxmlformats.org/officeDocument/2006/relationships/hyperlink" Target="https://pbs.twimg.com/profile_images/714471664457748481/WWI520Ho_normal.jpg" TargetMode="External"/><Relationship Id="rId10266" Type="http://schemas.openxmlformats.org/officeDocument/2006/relationships/hyperlink" Target="https://pbs.twimg.com/profile_images/638906659482406912/iaOi4nv__normal.png" TargetMode="External"/><Relationship Id="rId3895" Type="http://schemas.openxmlformats.org/officeDocument/2006/relationships/hyperlink" Target="https://pbs.twimg.com/profile_images/520204781394993153/KgKmEmB2_normal.jpeg" TargetMode="External"/><Relationship Id="rId4946" Type="http://schemas.openxmlformats.org/officeDocument/2006/relationships/hyperlink" Target="https://pbs.twimg.com/profile_images/541146126158536704/IYardufS_normal.jpeg" TargetMode="External"/><Relationship Id="rId2497" Type="http://schemas.openxmlformats.org/officeDocument/2006/relationships/hyperlink" Target="https://twitter.com/swiertz" TargetMode="External"/><Relationship Id="rId3548" Type="http://schemas.openxmlformats.org/officeDocument/2006/relationships/hyperlink" Target="https://twitter.com/westerbarkey" TargetMode="External"/><Relationship Id="rId469" Type="http://schemas.openxmlformats.org/officeDocument/2006/relationships/hyperlink" Target="https://pbs.twimg.com/profile_images/515120426473627649/wHhF7KVO_normal.png" TargetMode="External"/><Relationship Id="rId1099" Type="http://schemas.openxmlformats.org/officeDocument/2006/relationships/hyperlink" Target="https://twitter.com/INDIZbot" TargetMode="External"/><Relationship Id="rId6021" Type="http://schemas.openxmlformats.org/officeDocument/2006/relationships/hyperlink" Target="https://twitter.com/NicolasChulot/status/723072017054867456" TargetMode="External"/><Relationship Id="rId9591" Type="http://schemas.openxmlformats.org/officeDocument/2006/relationships/hyperlink" Target="https://twitter.com/Bitkom_I40/status/724212559381852160" TargetMode="External"/><Relationship Id="rId8193" Type="http://schemas.openxmlformats.org/officeDocument/2006/relationships/hyperlink" Target="https://twitter.com/croXXing_IBD" TargetMode="External"/><Relationship Id="rId9244" Type="http://schemas.openxmlformats.org/officeDocument/2006/relationships/hyperlink" Target="https://pbs.twimg.com/profile_images/723168530204483584/ps-VkHWy_normal.jpg" TargetMode="External"/><Relationship Id="rId950" Type="http://schemas.openxmlformats.org/officeDocument/2006/relationships/hyperlink" Target="https://pbs.twimg.com/profile_images/2183737733/Unknown-3_normal.png" TargetMode="External"/><Relationship Id="rId1580" Type="http://schemas.openxmlformats.org/officeDocument/2006/relationships/hyperlink" Target="https://twitter.com/BGarciaSchmidt/status/721204575273947136" TargetMode="External"/><Relationship Id="rId2631" Type="http://schemas.openxmlformats.org/officeDocument/2006/relationships/hyperlink" Target="https://twitter.com/BMBF_Bund/status/722072759015247872" TargetMode="External"/><Relationship Id="rId603" Type="http://schemas.openxmlformats.org/officeDocument/2006/relationships/hyperlink" Target="https://twitter.com/Geschnattere/status/720634099359182851" TargetMode="External"/><Relationship Id="rId1233" Type="http://schemas.openxmlformats.org/officeDocument/2006/relationships/hyperlink" Target="https://pbs.twimg.com/profile_images/722385992343285760/ww8YLZ2q_normal.jpg" TargetMode="External"/><Relationship Id="rId5854" Type="http://schemas.openxmlformats.org/officeDocument/2006/relationships/hyperlink" Target="https://pbs.twimg.com/profile_images/645716711723925506/t5G0qOS6_normal.jpg" TargetMode="External"/><Relationship Id="rId6905" Type="http://schemas.openxmlformats.org/officeDocument/2006/relationships/hyperlink" Target="https://twitter.com/Industry40/status/723186135359344643" TargetMode="External"/><Relationship Id="rId4456" Type="http://schemas.openxmlformats.org/officeDocument/2006/relationships/hyperlink" Target="https://twitter.com/automatisierer" TargetMode="External"/><Relationship Id="rId5507" Type="http://schemas.openxmlformats.org/officeDocument/2006/relationships/hyperlink" Target="https://pbs.twimg.com/profile_images/645716711723925506/t5G0qOS6_normal.jpg" TargetMode="External"/><Relationship Id="rId3058" Type="http://schemas.openxmlformats.org/officeDocument/2006/relationships/hyperlink" Target="https://twitter.com/fran_priebe/status/722308829287944192" TargetMode="External"/><Relationship Id="rId4109" Type="http://schemas.openxmlformats.org/officeDocument/2006/relationships/hyperlink" Target="https://pbs.twimg.com/profile_images/649572788148285440/Sxl5vTa3_normal.jpg" TargetMode="External"/><Relationship Id="rId7679" Type="http://schemas.openxmlformats.org/officeDocument/2006/relationships/hyperlink" Target="https://pbs.twimg.com/profile_images/716951093406728192/N9bkGpwE_normal.jpg" TargetMode="External"/><Relationship Id="rId460" Type="http://schemas.openxmlformats.org/officeDocument/2006/relationships/hyperlink" Target="https://twitter.com/EmreKayadelen2" TargetMode="External"/><Relationship Id="rId1090" Type="http://schemas.openxmlformats.org/officeDocument/2006/relationships/hyperlink" Target="https://twitter.com/DieLinkeKVKNO" TargetMode="External"/><Relationship Id="rId2141" Type="http://schemas.openxmlformats.org/officeDocument/2006/relationships/hyperlink" Target="https://twitter.com/INDIZbot/status/721944366277926912" TargetMode="External"/><Relationship Id="rId113" Type="http://schemas.openxmlformats.org/officeDocument/2006/relationships/hyperlink" Target="https://twitter.com/HFrapsauce/status/720514749725872130" TargetMode="External"/><Relationship Id="rId6762" Type="http://schemas.openxmlformats.org/officeDocument/2006/relationships/hyperlink" Target="https://pbs.twimg.com/profile_images/632832196001206272/A_Tfibsm_normal.jpg" TargetMode="External"/><Relationship Id="rId7813" Type="http://schemas.openxmlformats.org/officeDocument/2006/relationships/hyperlink" Target="https://twitter.com/iObeya" TargetMode="External"/><Relationship Id="rId5017" Type="http://schemas.openxmlformats.org/officeDocument/2006/relationships/hyperlink" Target="https://twitter.com/smarasek" TargetMode="External"/><Relationship Id="rId5364" Type="http://schemas.openxmlformats.org/officeDocument/2006/relationships/hyperlink" Target="https://twitter.com/WidasConcepts/status/722795301539414017" TargetMode="External"/><Relationship Id="rId6415" Type="http://schemas.openxmlformats.org/officeDocument/2006/relationships/hyperlink" Target="https://pbs.twimg.com/profile_images/587889223153270784/1kBsv0nC_normal.jpg" TargetMode="External"/><Relationship Id="rId9985" Type="http://schemas.openxmlformats.org/officeDocument/2006/relationships/hyperlink" Target="https://twitter.com/INDIZbot" TargetMode="External"/><Relationship Id="rId1974" Type="http://schemas.openxmlformats.org/officeDocument/2006/relationships/hyperlink" Target="https://twitter.com/H_IT_D" TargetMode="External"/><Relationship Id="rId8587" Type="http://schemas.openxmlformats.org/officeDocument/2006/relationships/hyperlink" Target="https://twitter.com/iotsecurity2" TargetMode="External"/><Relationship Id="rId9638" Type="http://schemas.openxmlformats.org/officeDocument/2006/relationships/hyperlink" Target="https://twitter.com/INDIZbot" TargetMode="External"/><Relationship Id="rId1627" Type="http://schemas.openxmlformats.org/officeDocument/2006/relationships/hyperlink" Target="https://twitter.com/Planer4U" TargetMode="External"/><Relationship Id="rId7189" Type="http://schemas.openxmlformats.org/officeDocument/2006/relationships/hyperlink" Target="https://twitter.com/INDIZbot" TargetMode="External"/><Relationship Id="rId3799" Type="http://schemas.openxmlformats.org/officeDocument/2006/relationships/hyperlink" Target="https://pbs.twimg.com/profile_images/662723326096224256/5V4KH9_O_normal.jpg" TargetMode="External"/><Relationship Id="rId4100" Type="http://schemas.openxmlformats.org/officeDocument/2006/relationships/hyperlink" Target="https://pbs.twimg.com/profile_images/709277508810702848/-itLCvSt_normal.jpg" TargetMode="External"/><Relationship Id="rId7670" Type="http://schemas.openxmlformats.org/officeDocument/2006/relationships/hyperlink" Target="https://pbs.twimg.com/profile_images/712259533599580160/jLEP38YT_normal.jpg" TargetMode="External"/><Relationship Id="rId8721" Type="http://schemas.openxmlformats.org/officeDocument/2006/relationships/hyperlink" Target="https://pbs.twimg.com/profile_images/645716711723925506/t5G0qOS6_normal.jpg" TargetMode="External"/><Relationship Id="rId6272" Type="http://schemas.openxmlformats.org/officeDocument/2006/relationships/hyperlink" Target="https://twitter.com/SGE" TargetMode="External"/><Relationship Id="rId7323" Type="http://schemas.openxmlformats.org/officeDocument/2006/relationships/hyperlink" Target="https://twitter.com/automotive_IT/status/723399902768721923" TargetMode="External"/><Relationship Id="rId9495" Type="http://schemas.openxmlformats.org/officeDocument/2006/relationships/hyperlink" Target="https://twitter.com/db_theblizz/status/724191076110749696" TargetMode="External"/><Relationship Id="rId10304" Type="http://schemas.openxmlformats.org/officeDocument/2006/relationships/hyperlink" Target="https://twitter.com/INDIZbot/status/724458349966823424" TargetMode="External"/><Relationship Id="rId2882" Type="http://schemas.openxmlformats.org/officeDocument/2006/relationships/hyperlink" Target="https://twitter.com/dustcloud_io/status/722147816655753216" TargetMode="External"/><Relationship Id="rId3933" Type="http://schemas.openxmlformats.org/officeDocument/2006/relationships/hyperlink" Target="https://twitter.com/aguittard/status/722459824135520256" TargetMode="External"/><Relationship Id="rId8097" Type="http://schemas.openxmlformats.org/officeDocument/2006/relationships/hyperlink" Target="https://twitter.com/Databanque/status/723494342292197376" TargetMode="External"/><Relationship Id="rId9148" Type="http://schemas.openxmlformats.org/officeDocument/2006/relationships/hyperlink" Target="https://pbs.twimg.com/profile_images/602304216468738049/_0sb-3oB_normal.jpg" TargetMode="External"/><Relationship Id="rId854" Type="http://schemas.openxmlformats.org/officeDocument/2006/relationships/hyperlink" Target="https://pbs.twimg.com/profile_images/423916767895769089/b3FaQ9P4_normal.jpeg" TargetMode="External"/><Relationship Id="rId1484" Type="http://schemas.openxmlformats.org/officeDocument/2006/relationships/hyperlink" Target="https://twitter.com/H_IT_D/status/721028968225222656" TargetMode="External"/><Relationship Id="rId2535" Type="http://schemas.openxmlformats.org/officeDocument/2006/relationships/hyperlink" Target="https://twitter.com/Yannick_IoT" TargetMode="External"/><Relationship Id="rId507" Type="http://schemas.openxmlformats.org/officeDocument/2006/relationships/hyperlink" Target="https://twitter.com/Teresa_Leggettt/status/720611817819619328" TargetMode="External"/><Relationship Id="rId1137" Type="http://schemas.openxmlformats.org/officeDocument/2006/relationships/hyperlink" Target="https://pbs.twimg.com/profile_images/645716711723925506/t5G0qOS6_normal.jpg" TargetMode="External"/><Relationship Id="rId5758" Type="http://schemas.openxmlformats.org/officeDocument/2006/relationships/hyperlink" Target="https://twitter.com/TLinn_Visionico/status/723028487380946948" TargetMode="External"/><Relationship Id="rId6809" Type="http://schemas.openxmlformats.org/officeDocument/2006/relationships/hyperlink" Target="https://twitter.com/H_IT_D/status/723174997456392194" TargetMode="External"/><Relationship Id="rId7180" Type="http://schemas.openxmlformats.org/officeDocument/2006/relationships/hyperlink" Target="https://twitter.com/germanbirdy" TargetMode="External"/><Relationship Id="rId8231" Type="http://schemas.openxmlformats.org/officeDocument/2006/relationships/hyperlink" Target="https://pbs.twimg.com/profile_images/641558874294628356/0gpa7sTF_normal.jpg" TargetMode="External"/><Relationship Id="rId10161" Type="http://schemas.openxmlformats.org/officeDocument/2006/relationships/hyperlink" Target="https://pbs.twimg.com/profile_images/669853588152283137/mqKB9aP__normal.jpg" TargetMode="External"/><Relationship Id="rId2392" Type="http://schemas.openxmlformats.org/officeDocument/2006/relationships/hyperlink" Target="https://twitter.com/BetzOliver" TargetMode="External"/><Relationship Id="rId3790" Type="http://schemas.openxmlformats.org/officeDocument/2006/relationships/hyperlink" Target="https://pbs.twimg.com/profile_images/563085898670411776/v47_gzDm_normal.jpeg" TargetMode="External"/><Relationship Id="rId4841" Type="http://schemas.openxmlformats.org/officeDocument/2006/relationships/hyperlink" Target="https://pbs.twimg.com/profile_images/479147477975588864/z94n3mRF_normal.jpeg" TargetMode="External"/><Relationship Id="rId364" Type="http://schemas.openxmlformats.org/officeDocument/2006/relationships/hyperlink" Target="https://twitter.com/IT_Connection" TargetMode="External"/><Relationship Id="rId2045" Type="http://schemas.openxmlformats.org/officeDocument/2006/relationships/hyperlink" Target="https://pbs.twimg.com/profile_images/645716711723925506/t5G0qOS6_normal.jpg" TargetMode="External"/><Relationship Id="rId3443" Type="http://schemas.openxmlformats.org/officeDocument/2006/relationships/hyperlink" Target="https://twitter.com/Stella_Vaskoudi" TargetMode="External"/><Relationship Id="rId6666" Type="http://schemas.openxmlformats.org/officeDocument/2006/relationships/hyperlink" Target="https://pbs.twimg.com/profile_images/477040016422486017/kspCX-mQ_normal.jpeg" TargetMode="External"/><Relationship Id="rId7717" Type="http://schemas.openxmlformats.org/officeDocument/2006/relationships/hyperlink" Target="https://twitter.com/AccenturePresse/status/723428427546529792" TargetMode="External"/><Relationship Id="rId5268" Type="http://schemas.openxmlformats.org/officeDocument/2006/relationships/hyperlink" Target="https://pbs.twimg.com/profile_images/721292749069291520/oMrDhdql_normal.jpg" TargetMode="External"/><Relationship Id="rId6319" Type="http://schemas.openxmlformats.org/officeDocument/2006/relationships/hyperlink" Target="https://twitter.com/Apandia/status/723112069252272128" TargetMode="External"/><Relationship Id="rId9889" Type="http://schemas.openxmlformats.org/officeDocument/2006/relationships/hyperlink" Target="https://twitter.com/mitunsdigital" TargetMode="External"/><Relationship Id="rId1878" Type="http://schemas.openxmlformats.org/officeDocument/2006/relationships/hyperlink" Target="https://twitter.com/condet020274/status/721602793182785536" TargetMode="External"/><Relationship Id="rId2929" Type="http://schemas.openxmlformats.org/officeDocument/2006/relationships/hyperlink" Target="https://pbs.twimg.com/profile_images/378800000138318067/0c1d2464e1c9f3b721cbd7a483d5c6cf_normal.jpeg" TargetMode="External"/><Relationship Id="rId4351" Type="http://schemas.openxmlformats.org/officeDocument/2006/relationships/hyperlink" Target="https://twitter.com/MindCommerce/status/722677968154271745" TargetMode="External"/><Relationship Id="rId5402" Type="http://schemas.openxmlformats.org/officeDocument/2006/relationships/hyperlink" Target="https://twitter.com/OasysSW" TargetMode="External"/><Relationship Id="rId6800" Type="http://schemas.openxmlformats.org/officeDocument/2006/relationships/hyperlink" Target="https://twitter.com/A_Ostertag/status/723171925049012225" TargetMode="External"/><Relationship Id="rId4004" Type="http://schemas.openxmlformats.org/officeDocument/2006/relationships/hyperlink" Target="https://twitter.com/TUslaender" TargetMode="External"/><Relationship Id="rId8972" Type="http://schemas.openxmlformats.org/officeDocument/2006/relationships/hyperlink" Target="https://twitter.com/INDIZbot/status/723876873617432576" TargetMode="External"/><Relationship Id="rId6176" Type="http://schemas.openxmlformats.org/officeDocument/2006/relationships/hyperlink" Target="https://pbs.twimg.com/profile_images/623849156159868928/BetFDR_i_normal.jpg" TargetMode="External"/><Relationship Id="rId7227" Type="http://schemas.openxmlformats.org/officeDocument/2006/relationships/hyperlink" Target="https://pbs.twimg.com/profile_images/720125925543800832/7_z3svpU_normal.jpg" TargetMode="External"/><Relationship Id="rId7574" Type="http://schemas.openxmlformats.org/officeDocument/2006/relationships/hyperlink" Target="https://pbs.twimg.com/profile_images/490060130231132160/qLmnir1s_normal.jpeg" TargetMode="External"/><Relationship Id="rId8625" Type="http://schemas.openxmlformats.org/officeDocument/2006/relationships/hyperlink" Target="https://pbs.twimg.com/profile_images/645716711723925506/t5G0qOS6_normal.jpg" TargetMode="External"/><Relationship Id="rId10208" Type="http://schemas.openxmlformats.org/officeDocument/2006/relationships/hyperlink" Target="https://twitter.com/gaadvancement/status/724368876499165184" TargetMode="External"/><Relationship Id="rId2786" Type="http://schemas.openxmlformats.org/officeDocument/2006/relationships/hyperlink" Target="https://pbs.twimg.com/profile_images/378800000464177829/21d2a3a1dc817ee9de1eab1a46418333_normal.jpeg" TargetMode="External"/><Relationship Id="rId3837" Type="http://schemas.openxmlformats.org/officeDocument/2006/relationships/hyperlink" Target="https://twitter.com/Gruendercoaches/status/722437537885761536" TargetMode="External"/><Relationship Id="rId9399" Type="http://schemas.openxmlformats.org/officeDocument/2006/relationships/hyperlink" Target="https://twitter.com/germanchassis/status/724171951351160833" TargetMode="External"/><Relationship Id="rId758" Type="http://schemas.openxmlformats.org/officeDocument/2006/relationships/hyperlink" Target="https://twitter.com/kommoptimierer" TargetMode="External"/><Relationship Id="rId1388" Type="http://schemas.openxmlformats.org/officeDocument/2006/relationships/hyperlink" Target="https://twitter.com/wilfriedhoge" TargetMode="External"/><Relationship Id="rId2439" Type="http://schemas.openxmlformats.org/officeDocument/2006/relationships/hyperlink" Target="https://pbs.twimg.com/profile_images/594934750122536960/nG4kmfDF_normal.jpg" TargetMode="External"/><Relationship Id="rId6310" Type="http://schemas.openxmlformats.org/officeDocument/2006/relationships/hyperlink" Target="https://twitter.com/LWalendy/status/723108996358365185" TargetMode="External"/><Relationship Id="rId9880" Type="http://schemas.openxmlformats.org/officeDocument/2006/relationships/hyperlink" Target="https://twitter.com/tuevnordpolitik" TargetMode="External"/><Relationship Id="rId94" Type="http://schemas.openxmlformats.org/officeDocument/2006/relationships/hyperlink" Target="https://twitter.com/natbxltec" TargetMode="External"/><Relationship Id="rId8482" Type="http://schemas.openxmlformats.org/officeDocument/2006/relationships/hyperlink" Target="https://twitter.com/JulijanaRistov" TargetMode="External"/><Relationship Id="rId9533" Type="http://schemas.openxmlformats.org/officeDocument/2006/relationships/hyperlink" Target="https://twitter.com/FERCHAU" TargetMode="External"/><Relationship Id="rId2920" Type="http://schemas.openxmlformats.org/officeDocument/2006/relationships/hyperlink" Target="https://pbs.twimg.com/profile_images/645716711723925506/t5G0qOS6_normal.jpg" TargetMode="External"/><Relationship Id="rId7084" Type="http://schemas.openxmlformats.org/officeDocument/2006/relationships/hyperlink" Target="https://twitter.com/LOSTnFOUNDAG" TargetMode="External"/><Relationship Id="rId8135" Type="http://schemas.openxmlformats.org/officeDocument/2006/relationships/hyperlink" Target="https://twitter.com/CapgeminiDE" TargetMode="External"/><Relationship Id="rId10065" Type="http://schemas.openxmlformats.org/officeDocument/2006/relationships/hyperlink" Target="https://pbs.twimg.com/profile_images/662218041833480192/KybAndDY_normal.jpg" TargetMode="External"/><Relationship Id="rId1522" Type="http://schemas.openxmlformats.org/officeDocument/2006/relationships/hyperlink" Target="https://twitter.com/PMiekautsch" TargetMode="External"/><Relationship Id="rId3694" Type="http://schemas.openxmlformats.org/officeDocument/2006/relationships/hyperlink" Target="https://pbs.twimg.com/profile_images/645716711723925506/t5G0qOS6_normal.jpg" TargetMode="External"/><Relationship Id="rId4745" Type="http://schemas.openxmlformats.org/officeDocument/2006/relationships/hyperlink" Target="https://pbs.twimg.com/profile_images/3187517551/d49d77b3273cb499285ee666e06418f8_normal.jpeg" TargetMode="External"/><Relationship Id="rId2296" Type="http://schemas.openxmlformats.org/officeDocument/2006/relationships/hyperlink" Target="https://twitter.com/BigDataTweetBot/status/721979376489906176" TargetMode="External"/><Relationship Id="rId3347" Type="http://schemas.openxmlformats.org/officeDocument/2006/relationships/hyperlink" Target="https://twitter.com/Frank_Reinelt/status/722352400183517184" TargetMode="External"/><Relationship Id="rId7968" Type="http://schemas.openxmlformats.org/officeDocument/2006/relationships/hyperlink" Target="https://twitter.com/SHC_GmbH/status/723474182181408768" TargetMode="External"/><Relationship Id="rId268" Type="http://schemas.openxmlformats.org/officeDocument/2006/relationships/hyperlink" Target="https://twitter.com/TizianoLenoci" TargetMode="External"/><Relationship Id="rId9390" Type="http://schemas.openxmlformats.org/officeDocument/2006/relationships/hyperlink" Target="https://twitter.com/IFCEBERT/status/724170959670906880" TargetMode="External"/><Relationship Id="rId2430" Type="http://schemas.openxmlformats.org/officeDocument/2006/relationships/hyperlink" Target="https://pbs.twimg.com/profile_images/552551275527938050/oM0Hdpyd_normal.jpeg" TargetMode="External"/><Relationship Id="rId9043" Type="http://schemas.openxmlformats.org/officeDocument/2006/relationships/hyperlink" Target="https://pbs.twimg.com/profile_images/493135970229690369/hv37Emhn_normal.jpeg" TargetMode="External"/><Relationship Id="rId402" Type="http://schemas.openxmlformats.org/officeDocument/2006/relationships/hyperlink" Target="https://pbs.twimg.com/profile_images/626731191715131393/jns17fVE_normal.png" TargetMode="External"/><Relationship Id="rId1032" Type="http://schemas.openxmlformats.org/officeDocument/2006/relationships/hyperlink" Target="https://pbs.twimg.com/profile_images/645716711723925506/t5G0qOS6_normal.jpg" TargetMode="External"/><Relationship Id="rId4255" Type="http://schemas.openxmlformats.org/officeDocument/2006/relationships/hyperlink" Target="https://twitter.com/INDIZbot/status/722563296872833024" TargetMode="External"/><Relationship Id="rId5306" Type="http://schemas.openxmlformats.org/officeDocument/2006/relationships/hyperlink" Target="https://twitter.com/BoschPresse/status/722789220935458816" TargetMode="External"/><Relationship Id="rId5653" Type="http://schemas.openxmlformats.org/officeDocument/2006/relationships/hyperlink" Target="https://twitter.com/prxagentur/status/722899331196432384" TargetMode="External"/><Relationship Id="rId6704" Type="http://schemas.openxmlformats.org/officeDocument/2006/relationships/hyperlink" Target="https://twitter.com/Konecranes_DE/status/723163131355213825" TargetMode="External"/><Relationship Id="rId8876" Type="http://schemas.openxmlformats.org/officeDocument/2006/relationships/hyperlink" Target="https://twitter.com/KUKA_Presse/status/723846685676412929" TargetMode="External"/><Relationship Id="rId9927" Type="http://schemas.openxmlformats.org/officeDocument/2006/relationships/hyperlink" Target="https://pbs.twimg.com/profile_images/645716711723925506/t5G0qOS6_normal.jpg" TargetMode="External"/><Relationship Id="rId1916" Type="http://schemas.openxmlformats.org/officeDocument/2006/relationships/hyperlink" Target="https://twitter.com/INDIZbot" TargetMode="External"/><Relationship Id="rId7478" Type="http://schemas.openxmlformats.org/officeDocument/2006/relationships/hyperlink" Target="https://pbs.twimg.com/profile_images/618449316055748612/F_9LrZDf_normal.jpg" TargetMode="External"/><Relationship Id="rId8529" Type="http://schemas.openxmlformats.org/officeDocument/2006/relationships/hyperlink" Target="https://pbs.twimg.com/profile_images/1683834342/foto_Robert_normal.JPG" TargetMode="External"/><Relationship Id="rId6561" Type="http://schemas.openxmlformats.org/officeDocument/2006/relationships/hyperlink" Target="https://twitter.com/INDIZbot/status/723139647442935808" TargetMode="External"/><Relationship Id="rId7612" Type="http://schemas.openxmlformats.org/officeDocument/2006/relationships/hyperlink" Target="https://twitter.com/kat2812/status/723417963630448640" TargetMode="External"/><Relationship Id="rId5163" Type="http://schemas.openxmlformats.org/officeDocument/2006/relationships/hyperlink" Target="https://pbs.twimg.com/profile_images/672343322632024064/4z8q3pp4_normal.jpg" TargetMode="External"/><Relationship Id="rId6214" Type="http://schemas.openxmlformats.org/officeDocument/2006/relationships/hyperlink" Target="https://twitter.com/JETZT_PRde" TargetMode="External"/><Relationship Id="rId9784" Type="http://schemas.openxmlformats.org/officeDocument/2006/relationships/hyperlink" Target="https://twitter.com/catkinEU" TargetMode="External"/><Relationship Id="rId8386" Type="http://schemas.openxmlformats.org/officeDocument/2006/relationships/hyperlink" Target="https://twitter.com/PROJECTCONSULT_/status/723552085887881221" TargetMode="External"/><Relationship Id="rId9437" Type="http://schemas.openxmlformats.org/officeDocument/2006/relationships/hyperlink" Target="https://twitter.com/BOLDLYGO_FFM" TargetMode="External"/><Relationship Id="rId1773" Type="http://schemas.openxmlformats.org/officeDocument/2006/relationships/hyperlink" Target="https://abs.twimg.com/sticky/default_profile_images/default_profile_3_normal.png" TargetMode="External"/><Relationship Id="rId2824" Type="http://schemas.openxmlformats.org/officeDocument/2006/relationships/hyperlink" Target="https://twitter.com/LReehten/status/722134455733874688" TargetMode="External"/><Relationship Id="rId8039" Type="http://schemas.openxmlformats.org/officeDocument/2006/relationships/hyperlink" Target="https://twitter.com/Ralf_Kuder" TargetMode="External"/><Relationship Id="rId1426" Type="http://schemas.openxmlformats.org/officeDocument/2006/relationships/hyperlink" Target="https://pbs.twimg.com/profile_images/677781149037514752/TcTK8Bpv_normal.png" TargetMode="External"/><Relationship Id="rId4996" Type="http://schemas.openxmlformats.org/officeDocument/2006/relationships/hyperlink" Target="https://twitter.com/StaplerPaul" TargetMode="External"/><Relationship Id="rId3598" Type="http://schemas.openxmlformats.org/officeDocument/2006/relationships/hyperlink" Target="https://pbs.twimg.com/profile_images/448785058711601152/lLXOAUVA_normal.png" TargetMode="External"/><Relationship Id="rId4649" Type="http://schemas.openxmlformats.org/officeDocument/2006/relationships/hyperlink" Target="https://pbs.twimg.com/profile_images/378800000664327316/6a5c3a2d43525a9b5044906960528925_normal.jpeg" TargetMode="External"/><Relationship Id="rId8520" Type="http://schemas.openxmlformats.org/officeDocument/2006/relationships/hyperlink" Target="https://pbs.twimg.com/profile_images/645716711723925506/t5G0qOS6_normal.jpg" TargetMode="External"/><Relationship Id="rId6071" Type="http://schemas.openxmlformats.org/officeDocument/2006/relationships/hyperlink" Target="https://twitter.com/koernerpark" TargetMode="External"/><Relationship Id="rId7122" Type="http://schemas.openxmlformats.org/officeDocument/2006/relationships/hyperlink" Target="https://pbs.twimg.com/profile_images/555439324096102400/jCOIm1RQ_normal.jpeg" TargetMode="External"/><Relationship Id="rId10103" Type="http://schemas.openxmlformats.org/officeDocument/2006/relationships/hyperlink" Target="https://twitter.com/sbolgard/status/724330233323642881" TargetMode="External"/><Relationship Id="rId2681" Type="http://schemas.openxmlformats.org/officeDocument/2006/relationships/hyperlink" Target="https://pbs.twimg.com/profile_images/722098538604281856/CcBxk1_M_normal.jpg" TargetMode="External"/><Relationship Id="rId9294" Type="http://schemas.openxmlformats.org/officeDocument/2006/relationships/hyperlink" Target="https://twitter.com/tecomschweiz/status/724130382434734081" TargetMode="External"/><Relationship Id="rId653" Type="http://schemas.openxmlformats.org/officeDocument/2006/relationships/hyperlink" Target="https://twitter.com/bengolder" TargetMode="External"/><Relationship Id="rId1283" Type="http://schemas.openxmlformats.org/officeDocument/2006/relationships/hyperlink" Target="https://twitter.com/AlexRaiHa/status/720942063475433472" TargetMode="External"/><Relationship Id="rId2334" Type="http://schemas.openxmlformats.org/officeDocument/2006/relationships/hyperlink" Target="https://pbs.twimg.com/profile_images/722385992343285760/ww8YLZ2q_normal.jpg" TargetMode="External"/><Relationship Id="rId3732" Type="http://schemas.openxmlformats.org/officeDocument/2006/relationships/hyperlink" Target="https://twitter.com/JETZT_PRde/status/722414450637193218" TargetMode="External"/><Relationship Id="rId306" Type="http://schemas.openxmlformats.org/officeDocument/2006/relationships/hyperlink" Target="https://pbs.twimg.com/profile_images/645716711723925506/t5G0qOS6_normal.jpg" TargetMode="External"/><Relationship Id="rId6955" Type="http://schemas.openxmlformats.org/officeDocument/2006/relationships/hyperlink" Target="https://twitter.com/BoschSI" TargetMode="External"/><Relationship Id="rId4159" Type="http://schemas.openxmlformats.org/officeDocument/2006/relationships/hyperlink" Target="https://twitter.com/LReehten/status/722514318772871168" TargetMode="External"/><Relationship Id="rId5557" Type="http://schemas.openxmlformats.org/officeDocument/2006/relationships/hyperlink" Target="https://twitter.com/brohleder/status/722851296504651776" TargetMode="External"/><Relationship Id="rId6608" Type="http://schemas.openxmlformats.org/officeDocument/2006/relationships/hyperlink" Target="https://pbs.twimg.com/profile_images/638754556663480320/Jrp0EyXi_normal.jpg" TargetMode="External"/><Relationship Id="rId8030" Type="http://schemas.openxmlformats.org/officeDocument/2006/relationships/hyperlink" Target="https://twitter.com/cybus_io" TargetMode="External"/><Relationship Id="rId4640" Type="http://schemas.openxmlformats.org/officeDocument/2006/relationships/hyperlink" Target="https://pbs.twimg.com/profile_images/631021673857290240/dsNYkRwd_normal.jpg" TargetMode="External"/><Relationship Id="rId2191" Type="http://schemas.openxmlformats.org/officeDocument/2006/relationships/hyperlink" Target="https://twitter.com/OXID_eSales" TargetMode="External"/><Relationship Id="rId3242" Type="http://schemas.openxmlformats.org/officeDocument/2006/relationships/hyperlink" Target="https://twitter.com/zwitscher66/status/722327337346461696" TargetMode="External"/><Relationship Id="rId163" Type="http://schemas.openxmlformats.org/officeDocument/2006/relationships/hyperlink" Target="https://twitter.com/zettel_kasten" TargetMode="External"/><Relationship Id="rId6465" Type="http://schemas.openxmlformats.org/officeDocument/2006/relationships/hyperlink" Target="https://twitter.com/BoschPresse/status/723130523019784192" TargetMode="External"/><Relationship Id="rId7516" Type="http://schemas.openxmlformats.org/officeDocument/2006/relationships/hyperlink" Target="https://twitter.com/INDIZbot/status/723411633721085952" TargetMode="External"/><Relationship Id="rId7863" Type="http://schemas.openxmlformats.org/officeDocument/2006/relationships/hyperlink" Target="https://pbs.twimg.com/profile_images/587507241588281344/FBLZh8Iv_normal.jpg" TargetMode="External"/><Relationship Id="rId8914" Type="http://schemas.openxmlformats.org/officeDocument/2006/relationships/hyperlink" Target="https://twitter.com/hannover_messe" TargetMode="External"/><Relationship Id="rId5067" Type="http://schemas.openxmlformats.org/officeDocument/2006/relationships/hyperlink" Target="https://pbs.twimg.com/profile_images/689452604405915648/JJBs_QZV_normal.jpg" TargetMode="External"/><Relationship Id="rId6118" Type="http://schemas.openxmlformats.org/officeDocument/2006/relationships/hyperlink" Target="https://twitter.com/lotsize1/status/723075074949939200" TargetMode="External"/><Relationship Id="rId9688" Type="http://schemas.openxmlformats.org/officeDocument/2006/relationships/hyperlink" Target="https://pbs.twimg.com/profile_images/657548982667743232/Ww53-EZT_normal.jpg" TargetMode="External"/><Relationship Id="rId1677" Type="http://schemas.openxmlformats.org/officeDocument/2006/relationships/hyperlink" Target="https://pbs.twimg.com/profile_images/645716711723925506/t5G0qOS6_normal.jpg" TargetMode="External"/><Relationship Id="rId2728" Type="http://schemas.openxmlformats.org/officeDocument/2006/relationships/hyperlink" Target="https://twitter.com/M_Sauermann/status/7221028969433702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26C7-EF01-4329-8824-BD341B2D4667}">
  <dimension ref="A1:P4432"/>
  <sheetViews>
    <sheetView tabSelected="1" workbookViewId="0">
      <pane ySplit="2" topLeftCell="A3" activePane="bottomLeft" state="frozen"/>
      <selection pane="bottomLeft" activeCell="D21" sqref="D21"/>
    </sheetView>
  </sheetViews>
  <sheetFormatPr baseColWidth="10" defaultColWidth="14.3984375" defaultRowHeight="15.75" customHeight="1" x14ac:dyDescent="0.35"/>
  <cols>
    <col min="1" max="1" width="15.265625" customWidth="1"/>
    <col min="3" max="3" width="16.265625" customWidth="1"/>
    <col min="4" max="4" width="38.3984375" customWidth="1"/>
    <col min="5" max="5" width="17.73046875" customWidth="1"/>
    <col min="6" max="6" width="16.1328125" customWidth="1"/>
    <col min="7" max="12" width="11.1328125" customWidth="1"/>
    <col min="14" max="14" width="18.86328125" customWidth="1"/>
    <col min="15" max="16" width="12" customWidth="1"/>
  </cols>
  <sheetData>
    <row r="1" spans="1:16" ht="25.5" customHeight="1" x14ac:dyDescent="0.35">
      <c r="A1" s="1" t="s">
        <v>0</v>
      </c>
      <c r="B1" s="2"/>
      <c r="C1" s="2"/>
      <c r="D1" s="2"/>
      <c r="E1" s="2"/>
      <c r="F1" s="2"/>
      <c r="G1" s="3" t="s">
        <v>1</v>
      </c>
      <c r="H1" s="2"/>
      <c r="I1" s="2"/>
      <c r="J1" s="2"/>
      <c r="K1" s="2"/>
      <c r="L1" s="2"/>
      <c r="M1" s="2"/>
      <c r="N1" s="2"/>
      <c r="O1" s="2"/>
      <c r="P1" s="4"/>
    </row>
    <row r="2" spans="1:16" ht="29.25" customHeight="1" x14ac:dyDescent="0.35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</row>
    <row r="3" spans="1:16" ht="12.75" x14ac:dyDescent="0.35">
      <c r="A3" s="7">
        <v>42474.487997685181</v>
      </c>
      <c r="B3" s="8" t="str">
        <f>HYPERLINK("https://twitter.com/FranckAtDell","@FranckAtDell")</f>
        <v>@FranckAtDell</v>
      </c>
      <c r="C3" s="9" t="s">
        <v>18</v>
      </c>
      <c r="D3" s="9" t="s">
        <v>19</v>
      </c>
      <c r="E3" s="10" t="str">
        <f>HYPERLINK("https://twitter.com/FranckAtDell/status/720494975885172736","720494975885172736")</f>
        <v>720494975885172736</v>
      </c>
      <c r="F3" s="11" t="s">
        <v>20</v>
      </c>
      <c r="G3" s="11">
        <v>4437</v>
      </c>
      <c r="H3" s="11">
        <v>4338</v>
      </c>
      <c r="I3" s="11">
        <v>24</v>
      </c>
      <c r="J3" s="11">
        <v>0</v>
      </c>
      <c r="K3" s="11" t="s">
        <v>21</v>
      </c>
      <c r="L3" s="7">
        <v>41393.736608796295</v>
      </c>
      <c r="M3" s="12" t="s">
        <v>22</v>
      </c>
      <c r="N3" s="12" t="s">
        <v>23</v>
      </c>
      <c r="O3" s="10" t="str">
        <f>HYPERLINK("https://pbs.twimg.com/profile_images/3590889218/63411ebe81977b1697c18aafbdadc4a7_normal.png","View")</f>
        <v>View</v>
      </c>
      <c r="P3" s="11"/>
    </row>
    <row r="4" spans="1:16" ht="12.75" x14ac:dyDescent="0.35">
      <c r="A4" s="7">
        <v>42474.489375000005</v>
      </c>
      <c r="B4" s="8" t="str">
        <f>HYPERLINK("https://twitter.com/LGLPpressPaca","@LGLPpressPaca")</f>
        <v>@LGLPpressPaca</v>
      </c>
      <c r="C4" s="9" t="s">
        <v>24</v>
      </c>
      <c r="D4" s="9" t="s">
        <v>19</v>
      </c>
      <c r="E4" s="10" t="str">
        <f>HYPERLINK("https://twitter.com/LGLPpressPaca/status/720495478014611456","720495478014611456")</f>
        <v>720495478014611456</v>
      </c>
      <c r="F4" s="11" t="s">
        <v>25</v>
      </c>
      <c r="G4" s="11">
        <v>230</v>
      </c>
      <c r="H4" s="11">
        <v>290</v>
      </c>
      <c r="I4" s="11">
        <v>24</v>
      </c>
      <c r="J4" s="11">
        <v>0</v>
      </c>
      <c r="K4" s="11" t="s">
        <v>21</v>
      </c>
      <c r="L4" s="7">
        <v>41542.593981481477</v>
      </c>
      <c r="M4" s="12"/>
      <c r="N4" s="12" t="s">
        <v>26</v>
      </c>
      <c r="O4" s="10" t="str">
        <f>HYPERLINK("https://pbs.twimg.com/profile_images/666899981706596352/tDP71eXm_normal.jpg","View")</f>
        <v>View</v>
      </c>
      <c r="P4" s="11"/>
    </row>
    <row r="5" spans="1:16" ht="12.75" x14ac:dyDescent="0.35">
      <c r="A5" s="7">
        <v>42474.490324074075</v>
      </c>
      <c r="B5" s="8" t="str">
        <f>HYPERLINK("https://twitter.com/PascaleOlea","@PascaleOlea")</f>
        <v>@PascaleOlea</v>
      </c>
      <c r="C5" s="9" t="s">
        <v>27</v>
      </c>
      <c r="D5" s="9" t="s">
        <v>28</v>
      </c>
      <c r="E5" s="10" t="str">
        <f>HYPERLINK("https://twitter.com/PascaleOlea/status/720495820387311620","720495820387311620")</f>
        <v>720495820387311620</v>
      </c>
      <c r="F5" s="11" t="s">
        <v>29</v>
      </c>
      <c r="G5" s="11">
        <v>87</v>
      </c>
      <c r="H5" s="11">
        <v>221</v>
      </c>
      <c r="I5" s="11">
        <v>9</v>
      </c>
      <c r="J5" s="11">
        <v>0</v>
      </c>
      <c r="K5" s="11" t="s">
        <v>21</v>
      </c>
      <c r="L5" s="7">
        <v>42410.890810185185</v>
      </c>
      <c r="M5" s="12"/>
      <c r="N5" s="12"/>
      <c r="O5" s="10" t="str">
        <f>HYPERLINK("https://pbs.twimg.com/profile_images/697448854355050496/WyNrK0BI_normal.jpg","View")</f>
        <v>View</v>
      </c>
      <c r="P5" s="11"/>
    </row>
    <row r="6" spans="1:16" ht="12.75" x14ac:dyDescent="0.35">
      <c r="A6" s="7">
        <v>42474.495393518519</v>
      </c>
      <c r="B6" s="8" t="str">
        <f>HYPERLINK("https://twitter.com/ASoumagne","@ASoumagne")</f>
        <v>@ASoumagne</v>
      </c>
      <c r="C6" s="9" t="s">
        <v>30</v>
      </c>
      <c r="D6" s="9" t="s">
        <v>19</v>
      </c>
      <c r="E6" s="10" t="str">
        <f>HYPERLINK("https://twitter.com/ASoumagne/status/720497658796892160","720497658796892160")</f>
        <v>720497658796892160</v>
      </c>
      <c r="F6" s="11" t="s">
        <v>31</v>
      </c>
      <c r="G6" s="11">
        <v>4534</v>
      </c>
      <c r="H6" s="11">
        <v>4420</v>
      </c>
      <c r="I6" s="11">
        <v>24</v>
      </c>
      <c r="J6" s="11">
        <v>0</v>
      </c>
      <c r="K6" s="11" t="s">
        <v>21</v>
      </c>
      <c r="L6" s="7">
        <v>41611.886446759258</v>
      </c>
      <c r="M6" s="12" t="s">
        <v>32</v>
      </c>
      <c r="N6" s="12" t="s">
        <v>33</v>
      </c>
      <c r="O6" s="10" t="str">
        <f>HYPERLINK("https://pbs.twimg.com/profile_images/524489483488854016/ENzhGsUX_normal.jpeg","View")</f>
        <v>View</v>
      </c>
      <c r="P6" s="11"/>
    </row>
    <row r="7" spans="1:16" ht="12.75" x14ac:dyDescent="0.35">
      <c r="A7" s="7">
        <v>42474.495833333334</v>
      </c>
      <c r="B7" s="8" t="str">
        <f>HYPERLINK("https://twitter.com/MichaGUERIN","@MichaGUERIN")</f>
        <v>@MichaGUERIN</v>
      </c>
      <c r="C7" s="9" t="s">
        <v>34</v>
      </c>
      <c r="D7" s="9" t="s">
        <v>19</v>
      </c>
      <c r="E7" s="10" t="str">
        <f>HYPERLINK("https://twitter.com/MichaGUERIN/status/720497819270967296","720497819270967296")</f>
        <v>720497819270967296</v>
      </c>
      <c r="F7" s="11" t="s">
        <v>20</v>
      </c>
      <c r="G7" s="11">
        <v>2429</v>
      </c>
      <c r="H7" s="11">
        <v>2092</v>
      </c>
      <c r="I7" s="11">
        <v>24</v>
      </c>
      <c r="J7" s="11">
        <v>0</v>
      </c>
      <c r="K7" s="11" t="s">
        <v>21</v>
      </c>
      <c r="L7" s="7">
        <v>40805.776400462964</v>
      </c>
      <c r="M7" s="12" t="s">
        <v>35</v>
      </c>
      <c r="N7" s="12" t="s">
        <v>36</v>
      </c>
      <c r="O7" s="10" t="str">
        <f>HYPERLINK("https://pbs.twimg.com/profile_images/720883693103910913/D1MjIUph_normal.jpg","View")</f>
        <v>View</v>
      </c>
      <c r="P7" s="11"/>
    </row>
    <row r="8" spans="1:16" ht="12.75" x14ac:dyDescent="0.35">
      <c r="A8" s="7">
        <v>42474.501273148147</v>
      </c>
      <c r="B8" s="8" t="str">
        <f>HYPERLINK("https://twitter.com/markherten","@markherten")</f>
        <v>@markherten</v>
      </c>
      <c r="C8" s="9" t="s">
        <v>37</v>
      </c>
      <c r="D8" s="9" t="s">
        <v>38</v>
      </c>
      <c r="E8" s="10" t="str">
        <f>HYPERLINK("https://twitter.com/markherten/status/720499788538634241","720499788538634241")</f>
        <v>720499788538634241</v>
      </c>
      <c r="F8" s="11" t="s">
        <v>39</v>
      </c>
      <c r="G8" s="11">
        <v>96</v>
      </c>
      <c r="H8" s="11">
        <v>176</v>
      </c>
      <c r="I8" s="11">
        <v>6</v>
      </c>
      <c r="J8" s="11">
        <v>0</v>
      </c>
      <c r="K8" s="11" t="s">
        <v>21</v>
      </c>
      <c r="L8" s="7">
        <v>40249.947696759264</v>
      </c>
      <c r="M8" s="12" t="s">
        <v>40</v>
      </c>
      <c r="N8" s="12" t="s">
        <v>41</v>
      </c>
      <c r="O8" s="10" t="str">
        <f>HYPERLINK("https://pbs.twimg.com/profile_images/718175389890310145/GX8DLe_h_normal.jpg","View")</f>
        <v>View</v>
      </c>
      <c r="P8" s="11"/>
    </row>
    <row r="9" spans="1:16" ht="12.75" x14ac:dyDescent="0.35">
      <c r="A9" s="7">
        <v>42474.501388888893</v>
      </c>
      <c r="B9" s="8" t="str">
        <f>HYPERLINK("https://twitter.com/demade_anajerem","@demade_anajerem")</f>
        <v>@demade_anajerem</v>
      </c>
      <c r="C9" s="9" t="s">
        <v>42</v>
      </c>
      <c r="D9" s="9" t="s">
        <v>28</v>
      </c>
      <c r="E9" s="10" t="str">
        <f>HYPERLINK("https://twitter.com/demade_anajerem/status/720499831874134017","720499831874134017")</f>
        <v>720499831874134017</v>
      </c>
      <c r="F9" s="11" t="s">
        <v>25</v>
      </c>
      <c r="G9" s="11">
        <v>21</v>
      </c>
      <c r="H9" s="11">
        <v>112</v>
      </c>
      <c r="I9" s="11">
        <v>9</v>
      </c>
      <c r="J9" s="11">
        <v>0</v>
      </c>
      <c r="K9" s="11" t="s">
        <v>21</v>
      </c>
      <c r="L9" s="7">
        <v>41957.776932870373</v>
      </c>
      <c r="M9" s="12" t="s">
        <v>43</v>
      </c>
      <c r="N9" s="12"/>
      <c r="O9" s="10" t="str">
        <f>HYPERLINK("https://pbs.twimg.com/profile_images/718388227015581696/UIsgPilR_normal.jpg","View")</f>
        <v>View</v>
      </c>
      <c r="P9" s="11"/>
    </row>
    <row r="10" spans="1:16" ht="12.75" x14ac:dyDescent="0.35">
      <c r="A10" s="7">
        <v>42474.503703703704</v>
      </c>
      <c r="B10" s="8" t="str">
        <f>HYPERLINK("https://twitter.com/MarcoIbanez27","@MarcoIbanez27")</f>
        <v>@MarcoIbanez27</v>
      </c>
      <c r="C10" s="9" t="s">
        <v>44</v>
      </c>
      <c r="D10" s="9" t="s">
        <v>19</v>
      </c>
      <c r="E10" s="10" t="str">
        <f>HYPERLINK("https://twitter.com/MarcoIbanez27/status/720500669837393921","720500669837393921")</f>
        <v>720500669837393921</v>
      </c>
      <c r="F10" s="11" t="s">
        <v>20</v>
      </c>
      <c r="G10" s="11">
        <v>38</v>
      </c>
      <c r="H10" s="11">
        <v>113</v>
      </c>
      <c r="I10" s="11">
        <v>24</v>
      </c>
      <c r="J10" s="11">
        <v>0</v>
      </c>
      <c r="K10" s="11" t="s">
        <v>21</v>
      </c>
      <c r="L10" s="7">
        <v>42016.981736111113</v>
      </c>
      <c r="M10" s="12" t="s">
        <v>45</v>
      </c>
      <c r="N10" s="12" t="s">
        <v>46</v>
      </c>
      <c r="O10" s="10" t="str">
        <f>HYPERLINK("https://pbs.twimg.com/profile_images/677070445489819648/vs7fK6QH_normal.jpg","View")</f>
        <v>View</v>
      </c>
      <c r="P10" s="11"/>
    </row>
    <row r="11" spans="1:16" ht="12.75" x14ac:dyDescent="0.35">
      <c r="A11" s="7">
        <v>42474.50403935185</v>
      </c>
      <c r="B11" s="8" t="str">
        <f>HYPERLINK("https://twitter.com/Svenastheimer","@Svenastheimer")</f>
        <v>@Svenastheimer</v>
      </c>
      <c r="C11" s="9" t="s">
        <v>47</v>
      </c>
      <c r="D11" s="9" t="s">
        <v>48</v>
      </c>
      <c r="E11" s="10" t="str">
        <f>HYPERLINK("https://twitter.com/Svenastheimer/status/720500790184525824","720500790184525824")</f>
        <v>720500790184525824</v>
      </c>
      <c r="F11" s="11" t="s">
        <v>25</v>
      </c>
      <c r="G11" s="11">
        <v>1400</v>
      </c>
      <c r="H11" s="11">
        <v>676</v>
      </c>
      <c r="I11" s="11">
        <v>2</v>
      </c>
      <c r="J11" s="11">
        <v>1</v>
      </c>
      <c r="K11" s="11" t="s">
        <v>21</v>
      </c>
      <c r="L11" s="7">
        <v>40004.816400462965</v>
      </c>
      <c r="M11" s="12" t="s">
        <v>49</v>
      </c>
      <c r="N11" s="12" t="s">
        <v>50</v>
      </c>
      <c r="O11" s="10" t="str">
        <f>HYPERLINK("https://pbs.twimg.com/profile_images/378800000739119738/7c3e727f748488617099bdd8a2191320_normal.jpeg","View")</f>
        <v>View</v>
      </c>
      <c r="P11" s="11"/>
    </row>
    <row r="12" spans="1:16" ht="12.75" x14ac:dyDescent="0.35">
      <c r="A12" s="7">
        <v>42474.504120370373</v>
      </c>
      <c r="B12" s="8" t="str">
        <f>HYPERLINK("https://twitter.com/jeangui","@jeangui")</f>
        <v>@jeangui</v>
      </c>
      <c r="C12" s="9" t="s">
        <v>51</v>
      </c>
      <c r="D12" s="9" t="s">
        <v>19</v>
      </c>
      <c r="E12" s="10" t="str">
        <f>HYPERLINK("https://twitter.com/jeangui/status/720500820278648836","720500820278648836")</f>
        <v>720500820278648836</v>
      </c>
      <c r="F12" s="11" t="s">
        <v>31</v>
      </c>
      <c r="G12" s="11">
        <v>586</v>
      </c>
      <c r="H12" s="11">
        <v>2433</v>
      </c>
      <c r="I12" s="11">
        <v>24</v>
      </c>
      <c r="J12" s="11">
        <v>0</v>
      </c>
      <c r="K12" s="11" t="s">
        <v>21</v>
      </c>
      <c r="L12" s="7">
        <v>39397.900960648149</v>
      </c>
      <c r="M12" s="12" t="s">
        <v>52</v>
      </c>
      <c r="N12" s="12"/>
      <c r="O12" s="10" t="str">
        <f>HYPERLINK("https://pbs.twimg.com/profile_images/666234701145837568/owL6gS5A_normal.jpg","View")</f>
        <v>View</v>
      </c>
      <c r="P12" s="11"/>
    </row>
    <row r="13" spans="1:16" ht="12.75" x14ac:dyDescent="0.35">
      <c r="A13" s="7">
        <v>42474.505300925928</v>
      </c>
      <c r="B13" s="8" t="str">
        <f>HYPERLINK("https://twitter.com/JuhaJalone","@JuhaJalone")</f>
        <v>@JuhaJalone</v>
      </c>
      <c r="C13" s="9" t="s">
        <v>53</v>
      </c>
      <c r="D13" s="9" t="s">
        <v>54</v>
      </c>
      <c r="E13" s="10" t="str">
        <f>HYPERLINK("https://twitter.com/JuhaJalone/status/720501249922240512","720501249922240512")</f>
        <v>720501249922240512</v>
      </c>
      <c r="F13" s="11" t="s">
        <v>20</v>
      </c>
      <c r="G13" s="11">
        <v>483</v>
      </c>
      <c r="H13" s="11">
        <v>1259</v>
      </c>
      <c r="I13" s="11">
        <v>0</v>
      </c>
      <c r="J13" s="11">
        <v>4</v>
      </c>
      <c r="K13" s="11" t="s">
        <v>21</v>
      </c>
      <c r="L13" s="7">
        <v>41659.719004629631</v>
      </c>
      <c r="M13" s="12" t="s">
        <v>55</v>
      </c>
      <c r="N13" s="12" t="s">
        <v>56</v>
      </c>
      <c r="O13" s="10" t="str">
        <f>HYPERLINK("https://pbs.twimg.com/profile_images/557807513484025856/qgHPBrKr_normal.jpeg","View")</f>
        <v>View</v>
      </c>
      <c r="P13" s="11"/>
    </row>
    <row r="14" spans="1:16" ht="12.75" x14ac:dyDescent="0.35">
      <c r="A14" s="7">
        <v>42474.508113425924</v>
      </c>
      <c r="B14" s="8" t="str">
        <f>HYPERLINK("https://twitter.com/mbaukarriere","@mbaukarriere")</f>
        <v>@mbaukarriere</v>
      </c>
      <c r="C14" s="9" t="s">
        <v>57</v>
      </c>
      <c r="D14" s="9" t="s">
        <v>58</v>
      </c>
      <c r="E14" s="10" t="str">
        <f>HYPERLINK("https://twitter.com/mbaukarriere/status/720502269213597697","720502269213597697")</f>
        <v>720502269213597697</v>
      </c>
      <c r="F14" s="11" t="s">
        <v>59</v>
      </c>
      <c r="G14" s="11">
        <v>519</v>
      </c>
      <c r="H14" s="11">
        <v>2730</v>
      </c>
      <c r="I14" s="11">
        <v>0</v>
      </c>
      <c r="J14" s="11">
        <v>1</v>
      </c>
      <c r="K14" s="11" t="s">
        <v>21</v>
      </c>
      <c r="L14" s="7">
        <v>42390.680983796294</v>
      </c>
      <c r="M14" s="12"/>
      <c r="N14" s="12" t="s">
        <v>60</v>
      </c>
      <c r="O14" s="10" t="str">
        <f>HYPERLINK("https://pbs.twimg.com/profile_images/690125049806884864/ET63bOiY_normal.jpg","View")</f>
        <v>View</v>
      </c>
      <c r="P14" s="11"/>
    </row>
    <row r="15" spans="1:16" ht="12.75" x14ac:dyDescent="0.35">
      <c r="A15" s="7">
        <v>42474.508738425924</v>
      </c>
      <c r="B15" s="8" t="str">
        <f>HYPERLINK("https://twitter.com/INDIZbot","@INDIZbot")</f>
        <v>@INDIZbot</v>
      </c>
      <c r="C15" s="9" t="s">
        <v>61</v>
      </c>
      <c r="D15" s="9" t="s">
        <v>38</v>
      </c>
      <c r="E15" s="10" t="str">
        <f>HYPERLINK("https://twitter.com/INDIZbot/status/720502493139070976","720502493139070976")</f>
        <v>720502493139070976</v>
      </c>
      <c r="F15" s="11" t="s">
        <v>62</v>
      </c>
      <c r="G15" s="11">
        <v>1762</v>
      </c>
      <c r="H15" s="11">
        <v>481</v>
      </c>
      <c r="I15" s="11">
        <v>6</v>
      </c>
      <c r="J15" s="11">
        <v>0</v>
      </c>
      <c r="K15" s="11" t="s">
        <v>21</v>
      </c>
      <c r="L15" s="7">
        <v>42267.011921296296</v>
      </c>
      <c r="M15" s="12"/>
      <c r="N15" s="12" t="s">
        <v>63</v>
      </c>
      <c r="O15" s="10" t="str">
        <f>HYPERLINK("https://pbs.twimg.com/profile_images/645716711723925506/t5G0qOS6_normal.jpg","View")</f>
        <v>View</v>
      </c>
      <c r="P15" s="11"/>
    </row>
    <row r="16" spans="1:16" ht="12.75" x14ac:dyDescent="0.35">
      <c r="A16" s="7">
        <v>42474.511030092588</v>
      </c>
      <c r="B16" s="8" t="str">
        <f>HYPERLINK("https://twitter.com/VINCENTRICHET","@VINCENTRICHET")</f>
        <v>@VINCENTRICHET</v>
      </c>
      <c r="C16" s="9" t="s">
        <v>64</v>
      </c>
      <c r="D16" s="9" t="s">
        <v>19</v>
      </c>
      <c r="E16" s="10" t="str">
        <f>HYPERLINK("https://twitter.com/VINCENTRICHET/status/720503325251223553","720503325251223553")</f>
        <v>720503325251223553</v>
      </c>
      <c r="F16" s="11" t="s">
        <v>20</v>
      </c>
      <c r="G16" s="11">
        <v>2074</v>
      </c>
      <c r="H16" s="11">
        <v>3504</v>
      </c>
      <c r="I16" s="11">
        <v>24</v>
      </c>
      <c r="J16" s="11">
        <v>0</v>
      </c>
      <c r="K16" s="11" t="s">
        <v>21</v>
      </c>
      <c r="L16" s="7">
        <v>40595.781944444447</v>
      </c>
      <c r="M16" s="12" t="s">
        <v>65</v>
      </c>
      <c r="N16" s="12" t="s">
        <v>66</v>
      </c>
      <c r="O16" s="10" t="str">
        <f>HYPERLINK("https://pbs.twimg.com/profile_images/667337830734143488/jSGGr2Ft_normal.jpg","View")</f>
        <v>View</v>
      </c>
      <c r="P16" s="11"/>
    </row>
    <row r="17" spans="1:16" ht="12.75" x14ac:dyDescent="0.35">
      <c r="A17" s="7">
        <v>42474.514537037037</v>
      </c>
      <c r="B17" s="8" t="str">
        <f>HYPERLINK("https://twitter.com/NeleReimers","@NeleReimers")</f>
        <v>@NeleReimers</v>
      </c>
      <c r="C17" s="9" t="s">
        <v>67</v>
      </c>
      <c r="D17" s="9" t="s">
        <v>68</v>
      </c>
      <c r="E17" s="10" t="str">
        <f>HYPERLINK("https://twitter.com/NeleReimers/status/720504595336806400","720504595336806400")</f>
        <v>720504595336806400</v>
      </c>
      <c r="F17" s="11" t="s">
        <v>25</v>
      </c>
      <c r="G17" s="11">
        <v>244</v>
      </c>
      <c r="H17" s="11">
        <v>270</v>
      </c>
      <c r="I17" s="11">
        <v>0</v>
      </c>
      <c r="J17" s="11">
        <v>1</v>
      </c>
      <c r="K17" s="11" t="s">
        <v>21</v>
      </c>
      <c r="L17" s="7">
        <v>41088.684537037036</v>
      </c>
      <c r="M17" s="12"/>
      <c r="N17" s="12" t="s">
        <v>69</v>
      </c>
      <c r="O17" s="10" t="str">
        <f>HYPERLINK("https://pbs.twimg.com/profile_images/667689986276392960/lHQvEvuO_normal.jpg","View")</f>
        <v>View</v>
      </c>
      <c r="P17" s="11"/>
    </row>
    <row r="18" spans="1:16" ht="12.75" x14ac:dyDescent="0.35">
      <c r="A18" s="7">
        <v>42474.514687499999</v>
      </c>
      <c r="B18" s="8" t="str">
        <f>HYPERLINK("https://twitter.com/FYoupi","@FYoupi")</f>
        <v>@FYoupi</v>
      </c>
      <c r="C18" s="9" t="s">
        <v>70</v>
      </c>
      <c r="D18" s="9" t="s">
        <v>19</v>
      </c>
      <c r="E18" s="10" t="str">
        <f>HYPERLINK("https://twitter.com/FYoupi/status/720504647778222080","720504647778222080")</f>
        <v>720504647778222080</v>
      </c>
      <c r="F18" s="11" t="s">
        <v>20</v>
      </c>
      <c r="G18" s="11">
        <v>184</v>
      </c>
      <c r="H18" s="11">
        <v>413</v>
      </c>
      <c r="I18" s="11">
        <v>24</v>
      </c>
      <c r="J18" s="11">
        <v>0</v>
      </c>
      <c r="K18" s="11" t="s">
        <v>21</v>
      </c>
      <c r="L18" s="7">
        <v>41975.676527777774</v>
      </c>
      <c r="M18" s="12"/>
      <c r="N18" s="12"/>
      <c r="O18" s="10" t="str">
        <f>HYPERLINK("https://pbs.twimg.com/profile_images/679767213046394881/pAZSTQBn_normal.jpg","View")</f>
        <v>View</v>
      </c>
      <c r="P18" s="11"/>
    </row>
    <row r="19" spans="1:16" ht="12.75" x14ac:dyDescent="0.35">
      <c r="A19" s="7">
        <v>42474.514907407407</v>
      </c>
      <c r="B19" s="8" t="str">
        <f>HYPERLINK("https://twitter.com/Vick0366","@Vick0366")</f>
        <v>@Vick0366</v>
      </c>
      <c r="C19" s="9" t="s">
        <v>71</v>
      </c>
      <c r="D19" s="9" t="s">
        <v>19</v>
      </c>
      <c r="E19" s="10" t="str">
        <f>HYPERLINK("https://twitter.com/Vick0366/status/720504730640850944","720504730640850944")</f>
        <v>720504730640850944</v>
      </c>
      <c r="F19" s="11" t="s">
        <v>31</v>
      </c>
      <c r="G19" s="11">
        <v>2077</v>
      </c>
      <c r="H19" s="11">
        <v>2425</v>
      </c>
      <c r="I19" s="11">
        <v>24</v>
      </c>
      <c r="J19" s="11">
        <v>0</v>
      </c>
      <c r="K19" s="11" t="s">
        <v>21</v>
      </c>
      <c r="L19" s="7">
        <v>41339.771168981482</v>
      </c>
      <c r="M19" s="12"/>
      <c r="N19" s="12" t="s">
        <v>72</v>
      </c>
      <c r="O19" s="10" t="str">
        <f>HYPERLINK("https://pbs.twimg.com/profile_images/378800000047776167/eeffdbcd3f1167f70311e7885dbc587b_normal.jpeg","View")</f>
        <v>View</v>
      </c>
      <c r="P19" s="11"/>
    </row>
    <row r="20" spans="1:16" ht="12.75" x14ac:dyDescent="0.35">
      <c r="A20" s="7">
        <v>42474.516111111108</v>
      </c>
      <c r="B20" s="8" t="str">
        <f>HYPERLINK("https://twitter.com/SAPlearn","@SAPlearn")</f>
        <v>@SAPlearn</v>
      </c>
      <c r="C20" s="9" t="s">
        <v>73</v>
      </c>
      <c r="D20" s="9" t="s">
        <v>74</v>
      </c>
      <c r="E20" s="10" t="str">
        <f>HYPERLINK("https://twitter.com/SAPlearn/status/720505166349340674","720505166349340674")</f>
        <v>720505166349340674</v>
      </c>
      <c r="F20" s="11" t="s">
        <v>25</v>
      </c>
      <c r="G20" s="11">
        <v>10367</v>
      </c>
      <c r="H20" s="11">
        <v>1566</v>
      </c>
      <c r="I20" s="11">
        <v>2</v>
      </c>
      <c r="J20" s="11">
        <v>2</v>
      </c>
      <c r="K20" s="11" t="s">
        <v>21</v>
      </c>
      <c r="L20" s="7">
        <v>39377.358854166669</v>
      </c>
      <c r="M20" s="12" t="s">
        <v>75</v>
      </c>
      <c r="N20" s="12" t="s">
        <v>76</v>
      </c>
      <c r="O20" s="10" t="str">
        <f>HYPERLINK("https://pbs.twimg.com/profile_images/609353055839064064/G4xcQR7r_normal.jpg","View")</f>
        <v>View</v>
      </c>
      <c r="P20" s="11"/>
    </row>
    <row r="21" spans="1:16" ht="12.75" x14ac:dyDescent="0.35">
      <c r="A21" s="7">
        <v>42474.516192129631</v>
      </c>
      <c r="B21" s="8" t="str">
        <f>HYPERLINK("https://twitter.com/ChrisSpahnADP","@ChrisSpahnADP")</f>
        <v>@ChrisSpahnADP</v>
      </c>
      <c r="C21" s="9" t="s">
        <v>77</v>
      </c>
      <c r="D21" s="9" t="s">
        <v>78</v>
      </c>
      <c r="E21" s="10" t="str">
        <f>HYPERLINK("https://twitter.com/ChrisSpahnADP/status/720505195000700929","720505195000700929")</f>
        <v>720505195000700929</v>
      </c>
      <c r="F21" s="11" t="s">
        <v>25</v>
      </c>
      <c r="G21" s="11">
        <v>672</v>
      </c>
      <c r="H21" s="11">
        <v>1219</v>
      </c>
      <c r="I21" s="11">
        <v>2</v>
      </c>
      <c r="J21" s="11">
        <v>3</v>
      </c>
      <c r="K21" s="11" t="s">
        <v>21</v>
      </c>
      <c r="L21" s="7">
        <v>42284.785925925928</v>
      </c>
      <c r="M21" s="12" t="s">
        <v>79</v>
      </c>
      <c r="N21" s="12" t="s">
        <v>80</v>
      </c>
      <c r="O21" s="10" t="str">
        <f>HYPERLINK("https://pbs.twimg.com/profile_images/651750095508086786/7EobC7Vn_normal.jpg","View")</f>
        <v>View</v>
      </c>
      <c r="P21" s="11"/>
    </row>
    <row r="22" spans="1:16" ht="12.75" x14ac:dyDescent="0.35">
      <c r="A22" s="7">
        <v>42474.518206018518</v>
      </c>
      <c r="B22" s="8" t="str">
        <f>HYPERLINK("https://twitter.com/NeleReimers","@NeleReimers")</f>
        <v>@NeleReimers</v>
      </c>
      <c r="C22" s="9" t="s">
        <v>67</v>
      </c>
      <c r="D22" s="9" t="s">
        <v>81</v>
      </c>
      <c r="E22" s="10" t="str">
        <f>HYPERLINK("https://twitter.com/NeleReimers/status/720505924037828608","720505924037828608")</f>
        <v>720505924037828608</v>
      </c>
      <c r="F22" s="11" t="s">
        <v>25</v>
      </c>
      <c r="G22" s="11">
        <v>244</v>
      </c>
      <c r="H22" s="11">
        <v>270</v>
      </c>
      <c r="I22" s="11">
        <v>0</v>
      </c>
      <c r="J22" s="11">
        <v>1</v>
      </c>
      <c r="K22" s="11" t="s">
        <v>21</v>
      </c>
      <c r="L22" s="7">
        <v>41088.684537037036</v>
      </c>
      <c r="M22" s="12"/>
      <c r="N22" s="12" t="s">
        <v>69</v>
      </c>
      <c r="O22" s="10" t="str">
        <f>HYPERLINK("https://pbs.twimg.com/profile_images/667689986276392960/lHQvEvuO_normal.jpg","View")</f>
        <v>View</v>
      </c>
      <c r="P22" s="11"/>
    </row>
    <row r="23" spans="1:16" ht="12.75" x14ac:dyDescent="0.35">
      <c r="A23" s="7">
        <v>42474.519120370373</v>
      </c>
      <c r="B23" s="8" t="str">
        <f>HYPERLINK("https://twitter.com/JuVid","@JuVid")</f>
        <v>@JuVid</v>
      </c>
      <c r="C23" s="9" t="s">
        <v>82</v>
      </c>
      <c r="D23" s="9" t="s">
        <v>83</v>
      </c>
      <c r="E23" s="10" t="str">
        <f>HYPERLINK("https://twitter.com/JuVid/status/720506255572410369","720506255572410369")</f>
        <v>720506255572410369</v>
      </c>
      <c r="F23" s="11" t="s">
        <v>84</v>
      </c>
      <c r="G23" s="11">
        <v>37</v>
      </c>
      <c r="H23" s="11">
        <v>47</v>
      </c>
      <c r="I23" s="11">
        <v>6</v>
      </c>
      <c r="J23" s="11">
        <v>0</v>
      </c>
      <c r="K23" s="11" t="s">
        <v>21</v>
      </c>
      <c r="L23" s="7">
        <v>39929.95239583333</v>
      </c>
      <c r="M23" s="12" t="s">
        <v>85</v>
      </c>
      <c r="N23" s="12" t="s">
        <v>86</v>
      </c>
      <c r="O23" s="10" t="str">
        <f>HYPERLINK("https://pbs.twimg.com/profile_images/1654309791/P1090797_normal.JPG","View")</f>
        <v>View</v>
      </c>
      <c r="P23" s="11"/>
    </row>
    <row r="24" spans="1:16" ht="12.75" x14ac:dyDescent="0.35">
      <c r="A24" s="7">
        <v>42474.51961805555</v>
      </c>
      <c r="B24" s="8" t="str">
        <f>HYPERLINK("https://twitter.com/Thierry_AlaNR","@Thierry_AlaNR")</f>
        <v>@Thierry_AlaNR</v>
      </c>
      <c r="C24" s="9" t="s">
        <v>87</v>
      </c>
      <c r="D24" s="9" t="s">
        <v>19</v>
      </c>
      <c r="E24" s="10" t="str">
        <f>HYPERLINK("https://twitter.com/Thierry_AlaNR/status/720506436233601024","720506436233601024")</f>
        <v>720506436233601024</v>
      </c>
      <c r="F24" s="11" t="s">
        <v>31</v>
      </c>
      <c r="G24" s="11">
        <v>1225</v>
      </c>
      <c r="H24" s="11">
        <v>927</v>
      </c>
      <c r="I24" s="11">
        <v>24</v>
      </c>
      <c r="J24" s="11">
        <v>0</v>
      </c>
      <c r="K24" s="11" t="s">
        <v>21</v>
      </c>
      <c r="L24" s="7">
        <v>39735.553645833337</v>
      </c>
      <c r="M24" s="12" t="s">
        <v>88</v>
      </c>
      <c r="N24" s="12" t="s">
        <v>89</v>
      </c>
      <c r="O24" s="10" t="str">
        <f>HYPERLINK("https://pbs.twimg.com/profile_images/527910533388050432/m_mD0yTa_normal.jpeg","View")</f>
        <v>View</v>
      </c>
      <c r="P24" s="11"/>
    </row>
    <row r="25" spans="1:16" ht="12.75" x14ac:dyDescent="0.35">
      <c r="A25" s="7">
        <v>42474.51966435185</v>
      </c>
      <c r="B25" s="8" t="str">
        <f>HYPERLINK("https://twitter.com/NeleReimers","@NeleReimers")</f>
        <v>@NeleReimers</v>
      </c>
      <c r="C25" s="9" t="s">
        <v>67</v>
      </c>
      <c r="D25" s="9" t="s">
        <v>38</v>
      </c>
      <c r="E25" s="10" t="str">
        <f>HYPERLINK("https://twitter.com/NeleReimers/status/720506453778427904","720506453778427904")</f>
        <v>720506453778427904</v>
      </c>
      <c r="F25" s="11" t="s">
        <v>25</v>
      </c>
      <c r="G25" s="11">
        <v>244</v>
      </c>
      <c r="H25" s="11">
        <v>270</v>
      </c>
      <c r="I25" s="11">
        <v>6</v>
      </c>
      <c r="J25" s="11">
        <v>0</v>
      </c>
      <c r="K25" s="11" t="s">
        <v>21</v>
      </c>
      <c r="L25" s="7">
        <v>41088.684537037036</v>
      </c>
      <c r="M25" s="12"/>
      <c r="N25" s="12" t="s">
        <v>69</v>
      </c>
      <c r="O25" s="10" t="str">
        <f>HYPERLINK("https://pbs.twimg.com/profile_images/667689986276392960/lHQvEvuO_normal.jpg","View")</f>
        <v>View</v>
      </c>
      <c r="P25" s="11"/>
    </row>
    <row r="26" spans="1:16" ht="12.75" x14ac:dyDescent="0.35">
      <c r="A26" s="7">
        <v>42474.521261574075</v>
      </c>
      <c r="B26" s="8" t="str">
        <f>HYPERLINK("https://twitter.com/JuliaSeverins","@JuliaSeverins")</f>
        <v>@JuliaSeverins</v>
      </c>
      <c r="C26" s="9" t="s">
        <v>90</v>
      </c>
      <c r="D26" s="9" t="s">
        <v>91</v>
      </c>
      <c r="E26" s="10" t="str">
        <f>HYPERLINK("https://twitter.com/JuliaSeverins/status/720507031166316545","720507031166316545")</f>
        <v>720507031166316545</v>
      </c>
      <c r="F26" s="11" t="s">
        <v>25</v>
      </c>
      <c r="G26" s="11">
        <v>450</v>
      </c>
      <c r="H26" s="11">
        <v>618</v>
      </c>
      <c r="I26" s="11">
        <v>2</v>
      </c>
      <c r="J26" s="11">
        <v>0</v>
      </c>
      <c r="K26" s="11" t="s">
        <v>21</v>
      </c>
      <c r="L26" s="7">
        <v>42144.498171296298</v>
      </c>
      <c r="M26" s="12" t="s">
        <v>92</v>
      </c>
      <c r="N26" s="12" t="s">
        <v>93</v>
      </c>
      <c r="O26" s="10" t="str">
        <f>HYPERLINK("https://pbs.twimg.com/profile_images/666906230967943172/CA_0d7PH_normal.jpg","View")</f>
        <v>View</v>
      </c>
      <c r="P26" s="11"/>
    </row>
    <row r="27" spans="1:16" ht="12.75" x14ac:dyDescent="0.35">
      <c r="A27" s="7">
        <v>42474.521354166667</v>
      </c>
      <c r="B27" s="8" t="str">
        <f>HYPERLINK("https://twitter.com/c_best01","@c_best01")</f>
        <v>@c_best01</v>
      </c>
      <c r="C27" s="9" t="s">
        <v>94</v>
      </c>
      <c r="D27" s="9" t="s">
        <v>19</v>
      </c>
      <c r="E27" s="10" t="str">
        <f>HYPERLINK("https://twitter.com/c_best01/status/720507066151018497","720507066151018497")</f>
        <v>720507066151018497</v>
      </c>
      <c r="F27" s="11" t="s">
        <v>31</v>
      </c>
      <c r="G27" s="11">
        <v>1936</v>
      </c>
      <c r="H27" s="11">
        <v>820</v>
      </c>
      <c r="I27" s="11">
        <v>24</v>
      </c>
      <c r="J27" s="11">
        <v>0</v>
      </c>
      <c r="K27" s="11" t="s">
        <v>21</v>
      </c>
      <c r="L27" s="7">
        <v>41505.870636574073</v>
      </c>
      <c r="M27" s="12" t="s">
        <v>95</v>
      </c>
      <c r="N27" s="12" t="s">
        <v>96</v>
      </c>
      <c r="O27" s="10" t="str">
        <f>HYPERLINK("https://pbs.twimg.com/profile_images/696677095200727040/JDNylP2p_normal.jpg","View")</f>
        <v>View</v>
      </c>
      <c r="P27" s="11"/>
    </row>
    <row r="28" spans="1:16" ht="12.75" x14ac:dyDescent="0.35">
      <c r="A28" s="7">
        <v>42474.521377314813</v>
      </c>
      <c r="B28" s="8" t="str">
        <f>HYPERLINK("https://twitter.com/PwC_France","@PwC_France")</f>
        <v>@PwC_France</v>
      </c>
      <c r="C28" s="9" t="s">
        <v>97</v>
      </c>
      <c r="D28" s="9" t="s">
        <v>98</v>
      </c>
      <c r="E28" s="10" t="str">
        <f>HYPERLINK("https://twitter.com/PwC_France/status/720507072346005505","720507072346005505")</f>
        <v>720507072346005505</v>
      </c>
      <c r="F28" s="11" t="s">
        <v>39</v>
      </c>
      <c r="G28" s="11">
        <v>8557</v>
      </c>
      <c r="H28" s="11">
        <v>345</v>
      </c>
      <c r="I28" s="11">
        <v>13</v>
      </c>
      <c r="J28" s="11">
        <v>10</v>
      </c>
      <c r="K28" s="11" t="s">
        <v>21</v>
      </c>
      <c r="L28" s="7">
        <v>39988.737199074072</v>
      </c>
      <c r="M28" s="12"/>
      <c r="N28" s="12" t="s">
        <v>99</v>
      </c>
      <c r="O28" s="10" t="str">
        <f>HYPERLINK("https://pbs.twimg.com/profile_images/623103587527344128/2HZGdh68_normal.png","View")</f>
        <v>View</v>
      </c>
      <c r="P28" s="11"/>
    </row>
    <row r="29" spans="1:16" ht="12.75" x14ac:dyDescent="0.35">
      <c r="A29" s="7">
        <v>42474.521527777775</v>
      </c>
      <c r="B29" s="8" t="str">
        <f>HYPERLINK("https://twitter.com/tresmo360","@tresmo360")</f>
        <v>@tresmo360</v>
      </c>
      <c r="C29" s="9" t="s">
        <v>100</v>
      </c>
      <c r="D29" s="9" t="s">
        <v>101</v>
      </c>
      <c r="E29" s="10" t="str">
        <f>HYPERLINK("https://twitter.com/tresmo360/status/720507130630049792","720507130630049792")</f>
        <v>720507130630049792</v>
      </c>
      <c r="F29" s="11" t="s">
        <v>39</v>
      </c>
      <c r="G29" s="11">
        <v>369</v>
      </c>
      <c r="H29" s="11">
        <v>741</v>
      </c>
      <c r="I29" s="11">
        <v>0</v>
      </c>
      <c r="J29" s="11">
        <v>0</v>
      </c>
      <c r="K29" s="11" t="s">
        <v>21</v>
      </c>
      <c r="L29" s="7">
        <v>42160.745358796295</v>
      </c>
      <c r="M29" s="12" t="s">
        <v>102</v>
      </c>
      <c r="N29" s="12" t="s">
        <v>103</v>
      </c>
      <c r="O29" s="10" t="str">
        <f>HYPERLINK("https://pbs.twimg.com/profile_images/606807918776877056/jQQIX31i_normal.png","View")</f>
        <v>View</v>
      </c>
      <c r="P29" s="11"/>
    </row>
    <row r="30" spans="1:16" ht="12.75" x14ac:dyDescent="0.35">
      <c r="A30" s="7">
        <v>42474.521643518514</v>
      </c>
      <c r="B30" s="8" t="str">
        <f>HYPERLINK("https://twitter.com/INDIZbot","@INDIZbot")</f>
        <v>@INDIZbot</v>
      </c>
      <c r="C30" s="9" t="s">
        <v>61</v>
      </c>
      <c r="D30" s="9" t="s">
        <v>91</v>
      </c>
      <c r="E30" s="10" t="str">
        <f>HYPERLINK("https://twitter.com/INDIZbot/status/720507169314074626","720507169314074626")</f>
        <v>720507169314074626</v>
      </c>
      <c r="F30" s="11" t="s">
        <v>62</v>
      </c>
      <c r="G30" s="11">
        <v>1762</v>
      </c>
      <c r="H30" s="11">
        <v>481</v>
      </c>
      <c r="I30" s="11">
        <v>2</v>
      </c>
      <c r="J30" s="11">
        <v>0</v>
      </c>
      <c r="K30" s="11" t="s">
        <v>21</v>
      </c>
      <c r="L30" s="7">
        <v>42267.011921296296</v>
      </c>
      <c r="M30" s="12"/>
      <c r="N30" s="12" t="s">
        <v>63</v>
      </c>
      <c r="O30" s="10" t="str">
        <f>HYPERLINK("https://pbs.twimg.com/profile_images/645716711723925506/t5G0qOS6_normal.jpg","View")</f>
        <v>View</v>
      </c>
      <c r="P30" s="11"/>
    </row>
    <row r="31" spans="1:16" ht="12.75" x14ac:dyDescent="0.35">
      <c r="A31" s="7">
        <v>42474.523738425924</v>
      </c>
      <c r="B31" s="8" t="str">
        <f>HYPERLINK("https://twitter.com/NeleReimers","@NeleReimers")</f>
        <v>@NeleReimers</v>
      </c>
      <c r="C31" s="9" t="s">
        <v>67</v>
      </c>
      <c r="D31" s="9" t="s">
        <v>104</v>
      </c>
      <c r="E31" s="10" t="str">
        <f>HYPERLINK("https://twitter.com/NeleReimers/status/720507929229660161","720507929229660161")</f>
        <v>720507929229660161</v>
      </c>
      <c r="F31" s="11" t="s">
        <v>25</v>
      </c>
      <c r="G31" s="11">
        <v>244</v>
      </c>
      <c r="H31" s="11">
        <v>270</v>
      </c>
      <c r="I31" s="11">
        <v>7</v>
      </c>
      <c r="J31" s="11">
        <v>0</v>
      </c>
      <c r="K31" s="11" t="s">
        <v>21</v>
      </c>
      <c r="L31" s="7">
        <v>41088.684537037036</v>
      </c>
      <c r="M31" s="12"/>
      <c r="N31" s="12" t="s">
        <v>69</v>
      </c>
      <c r="O31" s="10" t="str">
        <f>HYPERLINK("https://pbs.twimg.com/profile_images/667689986276392960/lHQvEvuO_normal.jpg","View")</f>
        <v>View</v>
      </c>
      <c r="P31" s="11"/>
    </row>
    <row r="32" spans="1:16" ht="12.75" x14ac:dyDescent="0.35">
      <c r="A32" s="7">
        <v>42474.526620370365</v>
      </c>
      <c r="B32" s="8" t="str">
        <f>HYPERLINK("https://twitter.com/SHC_GmbH","@SHC_GmbH")</f>
        <v>@SHC_GmbH</v>
      </c>
      <c r="C32" s="9" t="s">
        <v>105</v>
      </c>
      <c r="D32" s="9" t="s">
        <v>106</v>
      </c>
      <c r="E32" s="10" t="str">
        <f>HYPERLINK("https://twitter.com/SHC_GmbH/status/720508976165687297","720508976165687297")</f>
        <v>720508976165687297</v>
      </c>
      <c r="F32" s="11" t="s">
        <v>39</v>
      </c>
      <c r="G32" s="11">
        <v>427</v>
      </c>
      <c r="H32" s="11">
        <v>598</v>
      </c>
      <c r="I32" s="11">
        <v>0</v>
      </c>
      <c r="J32" s="11">
        <v>0</v>
      </c>
      <c r="K32" s="11" t="s">
        <v>21</v>
      </c>
      <c r="L32" s="7">
        <v>41423.549513888887</v>
      </c>
      <c r="M32" s="12" t="s">
        <v>107</v>
      </c>
      <c r="N32" s="12" t="s">
        <v>108</v>
      </c>
      <c r="O32" s="10" t="str">
        <f>HYPERLINK("https://pbs.twimg.com/profile_images/3726440228/9ba49ccb938cf571b195e3e83a4e1327_normal.jpeg","View")</f>
        <v>View</v>
      </c>
      <c r="P32" s="11"/>
    </row>
    <row r="33" spans="1:16" ht="12.75" x14ac:dyDescent="0.35">
      <c r="A33" s="7">
        <v>42474.530486111107</v>
      </c>
      <c r="B33" s="8" t="str">
        <f>HYPERLINK("https://twitter.com/MarioReinsch","@MarioReinsch")</f>
        <v>@MarioReinsch</v>
      </c>
      <c r="C33" s="9" t="s">
        <v>109</v>
      </c>
      <c r="D33" s="9" t="s">
        <v>110</v>
      </c>
      <c r="E33" s="10" t="str">
        <f>HYPERLINK("https://twitter.com/MarioReinsch/status/720510373376471040","720510373376471040")</f>
        <v>720510373376471040</v>
      </c>
      <c r="F33" s="11" t="s">
        <v>25</v>
      </c>
      <c r="G33" s="11">
        <v>203</v>
      </c>
      <c r="H33" s="11">
        <v>455</v>
      </c>
      <c r="I33" s="11">
        <v>1</v>
      </c>
      <c r="J33" s="11">
        <v>1</v>
      </c>
      <c r="K33" s="11" t="s">
        <v>21</v>
      </c>
      <c r="L33" s="7">
        <v>41858.737534722226</v>
      </c>
      <c r="M33" s="12" t="s">
        <v>111</v>
      </c>
      <c r="N33" s="12" t="s">
        <v>112</v>
      </c>
      <c r="O33" s="10" t="str">
        <f>HYPERLINK("https://pbs.twimg.com/profile_images/560799766007664640/lsjqv0TW_normal.jpeg","View")</f>
        <v>View</v>
      </c>
      <c r="P33" s="11"/>
    </row>
    <row r="34" spans="1:16" ht="12.75" x14ac:dyDescent="0.35">
      <c r="A34" s="7">
        <v>42474.53325231481</v>
      </c>
      <c r="B34" s="8" t="str">
        <f>HYPERLINK("https://twitter.com/natbxltec","@natbxltec")</f>
        <v>@natbxltec</v>
      </c>
      <c r="C34" s="9" t="s">
        <v>113</v>
      </c>
      <c r="D34" s="9" t="s">
        <v>114</v>
      </c>
      <c r="E34" s="10" t="str">
        <f>HYPERLINK("https://twitter.com/natbxltec/status/720511377010532352","720511377010532352")</f>
        <v>720511377010532352</v>
      </c>
      <c r="F34" s="11" t="s">
        <v>115</v>
      </c>
      <c r="G34" s="11">
        <v>379</v>
      </c>
      <c r="H34" s="11">
        <v>458</v>
      </c>
      <c r="I34" s="11">
        <v>0</v>
      </c>
      <c r="J34" s="11">
        <v>3</v>
      </c>
      <c r="K34" s="11" t="s">
        <v>21</v>
      </c>
      <c r="L34" s="7">
        <v>41646.632974537039</v>
      </c>
      <c r="M34" s="12" t="s">
        <v>116</v>
      </c>
      <c r="N34" s="12" t="s">
        <v>117</v>
      </c>
      <c r="O34" s="10" t="str">
        <f>HYPERLINK("https://pbs.twimg.com/profile_images/485734003618492416/G2fvyvKI_normal.jpeg","View")</f>
        <v>View</v>
      </c>
      <c r="P34" s="11"/>
    </row>
    <row r="35" spans="1:16" ht="12.75" x14ac:dyDescent="0.35">
      <c r="A35" s="7">
        <v>42474.534756944442</v>
      </c>
      <c r="B35" s="8" t="str">
        <f>HYPERLINK("https://twitter.com/VDI_News","@VDI_News")</f>
        <v>@VDI_News</v>
      </c>
      <c r="C35" s="9" t="s">
        <v>118</v>
      </c>
      <c r="D35" s="9" t="s">
        <v>119</v>
      </c>
      <c r="E35" s="10" t="str">
        <f>HYPERLINK("https://twitter.com/VDI_News/status/720511921443708929","720511921443708929")</f>
        <v>720511921443708929</v>
      </c>
      <c r="F35" s="11" t="s">
        <v>120</v>
      </c>
      <c r="G35" s="11">
        <v>8756</v>
      </c>
      <c r="H35" s="11">
        <v>514</v>
      </c>
      <c r="I35" s="11">
        <v>1</v>
      </c>
      <c r="J35" s="11">
        <v>4</v>
      </c>
      <c r="K35" s="11" t="s">
        <v>21</v>
      </c>
      <c r="L35" s="7">
        <v>39876.69908564815</v>
      </c>
      <c r="M35" s="12" t="s">
        <v>121</v>
      </c>
      <c r="N35" s="12" t="s">
        <v>122</v>
      </c>
      <c r="O35" s="10" t="str">
        <f>HYPERLINK("https://pbs.twimg.com/profile_images/469070945483628546/iD8AeJP6_normal.png","View")</f>
        <v>View</v>
      </c>
      <c r="P35" s="11"/>
    </row>
    <row r="36" spans="1:16" ht="12.75" x14ac:dyDescent="0.35">
      <c r="A36" s="7">
        <v>42474.536226851851</v>
      </c>
      <c r="B36" s="8" t="str">
        <f t="shared" ref="B36:B37" si="0">HYPERLINK("https://twitter.com/INDIZbot","@INDIZbot")</f>
        <v>@INDIZbot</v>
      </c>
      <c r="C36" s="9" t="s">
        <v>61</v>
      </c>
      <c r="D36" s="9" t="s">
        <v>123</v>
      </c>
      <c r="E36" s="10" t="str">
        <f>HYPERLINK("https://twitter.com/INDIZbot/status/720512453671587840","720512453671587840")</f>
        <v>720512453671587840</v>
      </c>
      <c r="F36" s="11" t="s">
        <v>62</v>
      </c>
      <c r="G36" s="11">
        <v>1762</v>
      </c>
      <c r="H36" s="11">
        <v>481</v>
      </c>
      <c r="I36" s="11">
        <v>1</v>
      </c>
      <c r="J36" s="11">
        <v>0</v>
      </c>
      <c r="K36" s="11" t="s">
        <v>21</v>
      </c>
      <c r="L36" s="7">
        <v>42267.011921296296</v>
      </c>
      <c r="M36" s="12"/>
      <c r="N36" s="12" t="s">
        <v>63</v>
      </c>
      <c r="O36" s="10" t="str">
        <f t="shared" ref="O36:O37" si="1">HYPERLINK("https://pbs.twimg.com/profile_images/645716711723925506/t5G0qOS6_normal.jpg","View")</f>
        <v>View</v>
      </c>
      <c r="P36" s="11"/>
    </row>
    <row r="37" spans="1:16" ht="12.75" x14ac:dyDescent="0.35">
      <c r="A37" s="7">
        <v>42474.536585648151</v>
      </c>
      <c r="B37" s="8" t="str">
        <f t="shared" si="0"/>
        <v>@INDIZbot</v>
      </c>
      <c r="C37" s="9" t="s">
        <v>61</v>
      </c>
      <c r="D37" s="9" t="s">
        <v>124</v>
      </c>
      <c r="E37" s="10" t="str">
        <f>HYPERLINK("https://twitter.com/INDIZbot/status/720512585012023296","720512585012023296")</f>
        <v>720512585012023296</v>
      </c>
      <c r="F37" s="11" t="s">
        <v>62</v>
      </c>
      <c r="G37" s="11">
        <v>1762</v>
      </c>
      <c r="H37" s="11">
        <v>481</v>
      </c>
      <c r="I37" s="11">
        <v>1</v>
      </c>
      <c r="J37" s="11">
        <v>0</v>
      </c>
      <c r="K37" s="11" t="s">
        <v>21</v>
      </c>
      <c r="L37" s="7">
        <v>42267.011921296296</v>
      </c>
      <c r="M37" s="12"/>
      <c r="N37" s="12" t="s">
        <v>63</v>
      </c>
      <c r="O37" s="10" t="str">
        <f t="shared" si="1"/>
        <v>View</v>
      </c>
      <c r="P37" s="11"/>
    </row>
    <row r="38" spans="1:16" ht="12.75" x14ac:dyDescent="0.35">
      <c r="A38" s="7">
        <v>42474.537106481483</v>
      </c>
      <c r="B38" s="8" t="str">
        <f>HYPERLINK("https://twitter.com/StipoNad","@StipoNad")</f>
        <v>@StipoNad</v>
      </c>
      <c r="C38" s="9" t="s">
        <v>125</v>
      </c>
      <c r="D38" s="9" t="s">
        <v>126</v>
      </c>
      <c r="E38" s="10" t="str">
        <f>HYPERLINK("https://twitter.com/StipoNad/status/720512775475343361","720512775475343361")</f>
        <v>720512775475343361</v>
      </c>
      <c r="F38" s="11" t="s">
        <v>25</v>
      </c>
      <c r="G38" s="11">
        <v>119</v>
      </c>
      <c r="H38" s="11">
        <v>152</v>
      </c>
      <c r="I38" s="11">
        <v>1</v>
      </c>
      <c r="J38" s="11">
        <v>0</v>
      </c>
      <c r="K38" s="11" t="s">
        <v>21</v>
      </c>
      <c r="L38" s="7">
        <v>41375.657060185185</v>
      </c>
      <c r="M38" s="12" t="s">
        <v>127</v>
      </c>
      <c r="N38" s="12" t="s">
        <v>128</v>
      </c>
      <c r="O38" s="10" t="str">
        <f>HYPERLINK("https://pbs.twimg.com/profile_images/656779070798172160/TNRHncFi_normal.jpg","View")</f>
        <v>View</v>
      </c>
      <c r="P38" s="11"/>
    </row>
    <row r="39" spans="1:16" ht="12.75" x14ac:dyDescent="0.35">
      <c r="A39" s="7">
        <v>42474.538657407407</v>
      </c>
      <c r="B39" s="8" t="str">
        <f>HYPERLINK("https://twitter.com/KPMG_DE","@KPMG_DE")</f>
        <v>@KPMG_DE</v>
      </c>
      <c r="C39" s="9" t="s">
        <v>129</v>
      </c>
      <c r="D39" s="9" t="s">
        <v>130</v>
      </c>
      <c r="E39" s="10" t="str">
        <f>HYPERLINK("https://twitter.com/KPMG_DE/status/720513337918943232","720513337918943232")</f>
        <v>720513337918943232</v>
      </c>
      <c r="F39" s="11" t="s">
        <v>25</v>
      </c>
      <c r="G39" s="11">
        <v>7632</v>
      </c>
      <c r="H39" s="11">
        <v>1297</v>
      </c>
      <c r="I39" s="11">
        <v>2</v>
      </c>
      <c r="J39" s="11">
        <v>0</v>
      </c>
      <c r="K39" s="11" t="s">
        <v>21</v>
      </c>
      <c r="L39" s="7">
        <v>39937.687476851854</v>
      </c>
      <c r="M39" s="12" t="s">
        <v>92</v>
      </c>
      <c r="N39" s="12" t="s">
        <v>131</v>
      </c>
      <c r="O39" s="10" t="str">
        <f>HYPERLINK("https://pbs.twimg.com/profile_images/672817485134045185/q-VTXmOg_normal.jpg","View")</f>
        <v>View</v>
      </c>
      <c r="P39" s="11"/>
    </row>
    <row r="40" spans="1:16" ht="12.75" x14ac:dyDescent="0.35">
      <c r="A40" s="7">
        <v>42474.542557870373</v>
      </c>
      <c r="B40" s="8" t="str">
        <f>HYPERLINK("https://twitter.com/HFrapsauce","@HFrapsauce")</f>
        <v>@HFrapsauce</v>
      </c>
      <c r="C40" s="9" t="s">
        <v>132</v>
      </c>
      <c r="D40" s="9" t="s">
        <v>19</v>
      </c>
      <c r="E40" s="10" t="str">
        <f>HYPERLINK("https://twitter.com/HFrapsauce/status/720514749725872130","720514749725872130")</f>
        <v>720514749725872130</v>
      </c>
      <c r="F40" s="11" t="s">
        <v>29</v>
      </c>
      <c r="G40" s="11">
        <v>117</v>
      </c>
      <c r="H40" s="11">
        <v>88</v>
      </c>
      <c r="I40" s="11">
        <v>24</v>
      </c>
      <c r="J40" s="11">
        <v>0</v>
      </c>
      <c r="K40" s="11" t="s">
        <v>21</v>
      </c>
      <c r="L40" s="7">
        <v>42177.538124999999</v>
      </c>
      <c r="M40" s="12" t="s">
        <v>45</v>
      </c>
      <c r="N40" s="12" t="s">
        <v>133</v>
      </c>
      <c r="O40" s="10" t="str">
        <f>HYPERLINK("https://pbs.twimg.com/profile_images/708237012436971520/D10uG94A_normal.jpg","View")</f>
        <v>View</v>
      </c>
      <c r="P40" s="11"/>
    </row>
    <row r="41" spans="1:16" ht="12.75" x14ac:dyDescent="0.35">
      <c r="A41" s="7">
        <v>42474.542916666665</v>
      </c>
      <c r="B41" s="8" t="str">
        <f>HYPERLINK("https://twitter.com/shyamvaran","@shyamvaran")</f>
        <v>@shyamvaran</v>
      </c>
      <c r="C41" s="9" t="s">
        <v>134</v>
      </c>
      <c r="D41" s="9" t="s">
        <v>135</v>
      </c>
      <c r="E41" s="10" t="str">
        <f>HYPERLINK("https://twitter.com/shyamvaran/status/720514879908683780","720514879908683780")</f>
        <v>720514879908683780</v>
      </c>
      <c r="F41" s="11" t="s">
        <v>25</v>
      </c>
      <c r="G41" s="11">
        <v>2792</v>
      </c>
      <c r="H41" s="11">
        <v>3200</v>
      </c>
      <c r="I41" s="11">
        <v>0</v>
      </c>
      <c r="J41" s="11">
        <v>0</v>
      </c>
      <c r="K41" s="11" t="s">
        <v>21</v>
      </c>
      <c r="L41" s="7">
        <v>39709.314606481479</v>
      </c>
      <c r="M41" s="12" t="s">
        <v>136</v>
      </c>
      <c r="N41" s="12" t="s">
        <v>137</v>
      </c>
      <c r="O41" s="10" t="str">
        <f>HYPERLINK("https://pbs.twimg.com/profile_images/589066803281661952/W0Sy8HcF_normal.jpg","View")</f>
        <v>View</v>
      </c>
      <c r="P41" s="11"/>
    </row>
    <row r="42" spans="1:16" ht="12.75" x14ac:dyDescent="0.35">
      <c r="A42" s="7">
        <v>42474.542997685188</v>
      </c>
      <c r="B42" s="8" t="str">
        <f>HYPERLINK("https://twitter.com/FlorianWoh","@FlorianWoh")</f>
        <v>@FlorianWoh</v>
      </c>
      <c r="C42" s="9" t="s">
        <v>138</v>
      </c>
      <c r="D42" s="9" t="s">
        <v>139</v>
      </c>
      <c r="E42" s="10" t="str">
        <f>HYPERLINK("https://twitter.com/FlorianWoh/status/720514910862581761","720514910862581761")</f>
        <v>720514910862581761</v>
      </c>
      <c r="F42" s="11" t="s">
        <v>25</v>
      </c>
      <c r="G42" s="11">
        <v>14</v>
      </c>
      <c r="H42" s="11">
        <v>107</v>
      </c>
      <c r="I42" s="11">
        <v>2</v>
      </c>
      <c r="J42" s="11">
        <v>3</v>
      </c>
      <c r="K42" s="11" t="s">
        <v>21</v>
      </c>
      <c r="L42" s="7">
        <v>42356.49113425926</v>
      </c>
      <c r="M42" s="12" t="s">
        <v>140</v>
      </c>
      <c r="N42" s="12" t="s">
        <v>141</v>
      </c>
      <c r="O42" s="10" t="str">
        <f>HYPERLINK("https://pbs.twimg.com/profile_images/722612493462282240/fgA7P-JK_normal.jpg","View")</f>
        <v>View</v>
      </c>
      <c r="P42" s="11"/>
    </row>
    <row r="43" spans="1:16" ht="12.75" x14ac:dyDescent="0.35">
      <c r="A43" s="7">
        <v>42474.543310185181</v>
      </c>
      <c r="B43" s="8" t="str">
        <f>HYPERLINK("https://twitter.com/h_scoshield","@h_scoshield")</f>
        <v>@h_scoshield</v>
      </c>
      <c r="C43" s="9" t="s">
        <v>142</v>
      </c>
      <c r="D43" s="9" t="s">
        <v>143</v>
      </c>
      <c r="E43" s="10" t="str">
        <f>HYPERLINK("https://twitter.com/h_scoshield/status/720515021218914304","720515021218914304")</f>
        <v>720515021218914304</v>
      </c>
      <c r="F43" s="11" t="s">
        <v>144</v>
      </c>
      <c r="G43" s="11">
        <v>1551</v>
      </c>
      <c r="H43" s="11">
        <v>1335</v>
      </c>
      <c r="I43" s="11">
        <v>2</v>
      </c>
      <c r="J43" s="11">
        <v>0</v>
      </c>
      <c r="K43" s="11" t="s">
        <v>21</v>
      </c>
      <c r="L43" s="7">
        <v>41780.822847222225</v>
      </c>
      <c r="M43" s="12" t="s">
        <v>145</v>
      </c>
      <c r="N43" s="12" t="s">
        <v>146</v>
      </c>
      <c r="O43" s="10" t="str">
        <f>HYPERLINK("https://pbs.twimg.com/profile_images/723056722634371072/L0JFDAVN_normal.jpg","View")</f>
        <v>View</v>
      </c>
      <c r="P43" s="11"/>
    </row>
    <row r="44" spans="1:16" ht="12.75" x14ac:dyDescent="0.35">
      <c r="A44" s="7">
        <v>42474.543912037036</v>
      </c>
      <c r="B44" s="8" t="str">
        <f>HYPERLINK("https://twitter.com/SchneiderElecDE","@SchneiderElecDE")</f>
        <v>@SchneiderElecDE</v>
      </c>
      <c r="C44" s="9" t="s">
        <v>147</v>
      </c>
      <c r="D44" s="9" t="s">
        <v>38</v>
      </c>
      <c r="E44" s="10" t="str">
        <f>HYPERLINK("https://twitter.com/SchneiderElecDE/status/720515239079505920","720515239079505920")</f>
        <v>720515239079505920</v>
      </c>
      <c r="F44" s="11" t="s">
        <v>29</v>
      </c>
      <c r="G44" s="11">
        <v>3011</v>
      </c>
      <c r="H44" s="11">
        <v>3002</v>
      </c>
      <c r="I44" s="11">
        <v>6</v>
      </c>
      <c r="J44" s="11">
        <v>0</v>
      </c>
      <c r="K44" s="11" t="s">
        <v>21</v>
      </c>
      <c r="L44" s="7">
        <v>41289.838483796295</v>
      </c>
      <c r="M44" s="12" t="s">
        <v>92</v>
      </c>
      <c r="N44" s="12" t="s">
        <v>148</v>
      </c>
      <c r="O44" s="10" t="str">
        <f>HYPERLINK("https://pbs.twimg.com/profile_images/3112599272/7446ab70cbab1cf15ac54e9b795d2849_normal.jpeg","View")</f>
        <v>View</v>
      </c>
      <c r="P44" s="11"/>
    </row>
    <row r="45" spans="1:16" ht="12.75" x14ac:dyDescent="0.35">
      <c r="A45" s="7">
        <v>42474.544212962966</v>
      </c>
      <c r="B45" s="8" t="str">
        <f>HYPERLINK("https://twitter.com/iotsecurity2","@iotsecurity2")</f>
        <v>@iotsecurity2</v>
      </c>
      <c r="C45" s="9" t="s">
        <v>149</v>
      </c>
      <c r="D45" s="9" t="s">
        <v>143</v>
      </c>
      <c r="E45" s="10" t="str">
        <f>HYPERLINK("https://twitter.com/iotsecurity2/status/720515351256162304","720515351256162304")</f>
        <v>720515351256162304</v>
      </c>
      <c r="F45" s="11" t="s">
        <v>150</v>
      </c>
      <c r="G45" s="11">
        <v>1277</v>
      </c>
      <c r="H45" s="11">
        <v>38</v>
      </c>
      <c r="I45" s="11">
        <v>2</v>
      </c>
      <c r="J45" s="11">
        <v>0</v>
      </c>
      <c r="K45" s="11" t="s">
        <v>21</v>
      </c>
      <c r="L45" s="7">
        <v>42420.891481481478</v>
      </c>
      <c r="M45" s="12"/>
      <c r="N45" s="12"/>
      <c r="O45" s="10" t="str">
        <f>HYPERLINK("https://abs.twimg.com/sticky/default_profile_images/default_profile_3_normal.png","View")</f>
        <v>View</v>
      </c>
      <c r="P45" s="11"/>
    </row>
    <row r="46" spans="1:16" ht="12.75" x14ac:dyDescent="0.35">
      <c r="A46" s="7">
        <v>42474.546111111107</v>
      </c>
      <c r="B46" s="8" t="str">
        <f>HYPERLINK("https://twitter.com/HPEstartupFR","@HPEstartupFR")</f>
        <v>@HPEstartupFR</v>
      </c>
      <c r="C46" s="9" t="s">
        <v>151</v>
      </c>
      <c r="D46" s="9" t="s">
        <v>19</v>
      </c>
      <c r="E46" s="10" t="str">
        <f>HYPERLINK("https://twitter.com/HPEstartupFR/status/720516037922418688","720516037922418688")</f>
        <v>720516037922418688</v>
      </c>
      <c r="F46" s="11" t="s">
        <v>25</v>
      </c>
      <c r="G46" s="11">
        <v>890</v>
      </c>
      <c r="H46" s="11">
        <v>1224</v>
      </c>
      <c r="I46" s="11">
        <v>24</v>
      </c>
      <c r="J46" s="11">
        <v>0</v>
      </c>
      <c r="K46" s="11" t="s">
        <v>21</v>
      </c>
      <c r="L46" s="7">
        <v>41991.651817129634</v>
      </c>
      <c r="M46" s="12"/>
      <c r="N46" s="12" t="s">
        <v>152</v>
      </c>
      <c r="O46" s="10" t="str">
        <f>HYPERLINK("https://pbs.twimg.com/profile_images/661090811535192064/8bnMYUx7_normal.jpg","View")</f>
        <v>View</v>
      </c>
      <c r="P46" s="11"/>
    </row>
    <row r="47" spans="1:16" ht="12.75" x14ac:dyDescent="0.35">
      <c r="A47" s="7">
        <v>42474.546666666662</v>
      </c>
      <c r="B47" s="8" t="str">
        <f>HYPERLINK("https://twitter.com/3itcom","@3itcom")</f>
        <v>@3itcom</v>
      </c>
      <c r="C47" s="9" t="s">
        <v>153</v>
      </c>
      <c r="D47" s="9" t="s">
        <v>19</v>
      </c>
      <c r="E47" s="10" t="str">
        <f>HYPERLINK("https://twitter.com/3itcom/status/720516236606640129","720516236606640129")</f>
        <v>720516236606640129</v>
      </c>
      <c r="F47" s="11" t="s">
        <v>25</v>
      </c>
      <c r="G47" s="11">
        <v>1690</v>
      </c>
      <c r="H47" s="11">
        <v>1679</v>
      </c>
      <c r="I47" s="11">
        <v>24</v>
      </c>
      <c r="J47" s="11">
        <v>0</v>
      </c>
      <c r="K47" s="11" t="s">
        <v>21</v>
      </c>
      <c r="L47" s="7">
        <v>40861.39644675926</v>
      </c>
      <c r="M47" s="12" t="s">
        <v>154</v>
      </c>
      <c r="N47" s="12" t="s">
        <v>155</v>
      </c>
      <c r="O47" s="10" t="str">
        <f>HYPERLINK("https://pbs.twimg.com/profile_images/553426987516051456/qL3FF1mU_normal.jpeg","View")</f>
        <v>View</v>
      </c>
      <c r="P47" s="11"/>
    </row>
    <row r="48" spans="1:16" ht="12.75" x14ac:dyDescent="0.35">
      <c r="A48" s="7">
        <v>42474.552349537036</v>
      </c>
      <c r="B48" s="8" t="str">
        <f>HYPERLINK("https://twitter.com/KreativNetzBW","@KreativNetzBW")</f>
        <v>@KreativNetzBW</v>
      </c>
      <c r="C48" s="9" t="s">
        <v>156</v>
      </c>
      <c r="D48" s="9" t="s">
        <v>104</v>
      </c>
      <c r="E48" s="10" t="str">
        <f>HYPERLINK("https://twitter.com/KreativNetzBW/status/720518298660691968","720518298660691968")</f>
        <v>720518298660691968</v>
      </c>
      <c r="F48" s="11" t="s">
        <v>25</v>
      </c>
      <c r="G48" s="11">
        <v>2126</v>
      </c>
      <c r="H48" s="11">
        <v>1972</v>
      </c>
      <c r="I48" s="11">
        <v>7</v>
      </c>
      <c r="J48" s="11">
        <v>0</v>
      </c>
      <c r="K48" s="11" t="s">
        <v>21</v>
      </c>
      <c r="L48" s="7">
        <v>39876.228726851856</v>
      </c>
      <c r="M48" s="12" t="s">
        <v>157</v>
      </c>
      <c r="N48" s="12" t="s">
        <v>158</v>
      </c>
      <c r="O48" s="10" t="str">
        <f>HYPERLINK("https://pbs.twimg.com/profile_images/468319824402055169/JIU0573N_normal.jpeg","View")</f>
        <v>View</v>
      </c>
      <c r="P48" s="11"/>
    </row>
    <row r="49" spans="1:16" ht="12.75" x14ac:dyDescent="0.35">
      <c r="A49" s="7">
        <v>42474.553773148145</v>
      </c>
      <c r="B49" s="8" t="str">
        <f>HYPERLINK("https://twitter.com/H_IT_D","@H_IT_D")</f>
        <v>@H_IT_D</v>
      </c>
      <c r="C49" s="9" t="s">
        <v>159</v>
      </c>
      <c r="D49" s="9" t="s">
        <v>160</v>
      </c>
      <c r="E49" s="10" t="str">
        <f>HYPERLINK("https://twitter.com/H_IT_D/status/720518815587565568","720518815587565568")</f>
        <v>720518815587565568</v>
      </c>
      <c r="F49" s="11" t="s">
        <v>161</v>
      </c>
      <c r="G49" s="11">
        <v>463</v>
      </c>
      <c r="H49" s="11">
        <v>467</v>
      </c>
      <c r="I49" s="11">
        <v>2</v>
      </c>
      <c r="J49" s="11">
        <v>0</v>
      </c>
      <c r="K49" s="11" t="s">
        <v>21</v>
      </c>
      <c r="L49" s="7">
        <v>40723.867673611108</v>
      </c>
      <c r="M49" s="12" t="s">
        <v>162</v>
      </c>
      <c r="N49" s="12" t="s">
        <v>163</v>
      </c>
      <c r="O49" s="10" t="str">
        <f>HYPERLINK("https://pbs.twimg.com/profile_images/662723326096224256/5V4KH9_O_normal.jpg","View")</f>
        <v>View</v>
      </c>
      <c r="P49" s="11"/>
    </row>
    <row r="50" spans="1:16" ht="12.75" x14ac:dyDescent="0.35">
      <c r="A50" s="7">
        <v>42474.554872685185</v>
      </c>
      <c r="B50" s="8" t="str">
        <f>HYPERLINK("https://twitter.com/WSWMUC","@WSWMUC")</f>
        <v>@WSWMUC</v>
      </c>
      <c r="C50" s="9" t="s">
        <v>164</v>
      </c>
      <c r="D50" s="9" t="s">
        <v>165</v>
      </c>
      <c r="E50" s="10" t="str">
        <f>HYPERLINK("https://twitter.com/WSWMUC/status/720519212926648320","720519212926648320")</f>
        <v>720519212926648320</v>
      </c>
      <c r="F50" s="11" t="s">
        <v>31</v>
      </c>
      <c r="G50" s="11">
        <v>1604</v>
      </c>
      <c r="H50" s="11">
        <v>2224</v>
      </c>
      <c r="I50" s="11">
        <v>1</v>
      </c>
      <c r="J50" s="11">
        <v>1</v>
      </c>
      <c r="K50" s="11" t="s">
        <v>21</v>
      </c>
      <c r="L50" s="7">
        <v>41446.59679398148</v>
      </c>
      <c r="M50" s="12" t="s">
        <v>166</v>
      </c>
      <c r="N50" s="12" t="s">
        <v>167</v>
      </c>
      <c r="O50" s="10" t="str">
        <f>HYPERLINK("https://pbs.twimg.com/profile_images/524295003107885059/1ADGv6Ps_normal.png","View")</f>
        <v>View</v>
      </c>
      <c r="P50" s="11"/>
    </row>
    <row r="51" spans="1:16" ht="12.75" x14ac:dyDescent="0.35">
      <c r="A51" s="7">
        <v>42474.556354166663</v>
      </c>
      <c r="B51" s="8" t="str">
        <f>HYPERLINK("https://twitter.com/INDIZbot","@INDIZbot")</f>
        <v>@INDIZbot</v>
      </c>
      <c r="C51" s="9" t="s">
        <v>61</v>
      </c>
      <c r="D51" s="9" t="s">
        <v>168</v>
      </c>
      <c r="E51" s="10" t="str">
        <f>HYPERLINK("https://twitter.com/INDIZbot/status/720519749470437376","720519749470437376")</f>
        <v>720519749470437376</v>
      </c>
      <c r="F51" s="11" t="s">
        <v>62</v>
      </c>
      <c r="G51" s="11">
        <v>1762</v>
      </c>
      <c r="H51" s="11">
        <v>481</v>
      </c>
      <c r="I51" s="11">
        <v>2</v>
      </c>
      <c r="J51" s="11">
        <v>0</v>
      </c>
      <c r="K51" s="11" t="s">
        <v>21</v>
      </c>
      <c r="L51" s="7">
        <v>42267.011921296296</v>
      </c>
      <c r="M51" s="12"/>
      <c r="N51" s="12" t="s">
        <v>63</v>
      </c>
      <c r="O51" s="10" t="str">
        <f>HYPERLINK("https://pbs.twimg.com/profile_images/645716711723925506/t5G0qOS6_normal.jpg","View")</f>
        <v>View</v>
      </c>
      <c r="P51" s="11"/>
    </row>
    <row r="52" spans="1:16" ht="12.75" x14ac:dyDescent="0.35">
      <c r="A52" s="7">
        <v>42474.559016203704</v>
      </c>
      <c r="B52" s="8" t="str">
        <f>HYPERLINK("https://twitter.com/3D_Genuity","@3D_Genuity")</f>
        <v>@3D_Genuity</v>
      </c>
      <c r="C52" s="9" t="s">
        <v>169</v>
      </c>
      <c r="D52" s="9" t="s">
        <v>170</v>
      </c>
      <c r="E52" s="10" t="str">
        <f>HYPERLINK("https://twitter.com/3D_Genuity/status/720520712960765952","720520712960765952")</f>
        <v>720520712960765952</v>
      </c>
      <c r="F52" s="11" t="s">
        <v>171</v>
      </c>
      <c r="G52" s="11">
        <v>4336</v>
      </c>
      <c r="H52" s="11">
        <v>3079</v>
      </c>
      <c r="I52" s="11">
        <v>1</v>
      </c>
      <c r="J52" s="11">
        <v>0</v>
      </c>
      <c r="K52" s="11" t="s">
        <v>21</v>
      </c>
      <c r="L52" s="7">
        <v>41935.914918981478</v>
      </c>
      <c r="M52" s="12"/>
      <c r="N52" s="12" t="s">
        <v>172</v>
      </c>
      <c r="O52" s="10" t="str">
        <f>HYPERLINK("https://pbs.twimg.com/profile_images/525336344407453696/5YpBXTz6_normal.jpeg","View")</f>
        <v>View</v>
      </c>
      <c r="P52" s="11"/>
    </row>
    <row r="53" spans="1:16" ht="12.75" x14ac:dyDescent="0.35">
      <c r="A53" s="7">
        <v>42474.559340277774</v>
      </c>
      <c r="B53" s="8" t="str">
        <f>HYPERLINK("https://twitter.com/asauguet","@asauguet")</f>
        <v>@asauguet</v>
      </c>
      <c r="C53" s="9" t="s">
        <v>173</v>
      </c>
      <c r="D53" s="9" t="s">
        <v>174</v>
      </c>
      <c r="E53" s="10" t="str">
        <f>HYPERLINK("https://twitter.com/asauguet/status/720520833035300864","720520833035300864")</f>
        <v>720520833035300864</v>
      </c>
      <c r="F53" s="11" t="s">
        <v>31</v>
      </c>
      <c r="G53" s="11">
        <v>93</v>
      </c>
      <c r="H53" s="11">
        <v>64</v>
      </c>
      <c r="I53" s="11">
        <v>1</v>
      </c>
      <c r="J53" s="11">
        <v>1</v>
      </c>
      <c r="K53" s="11" t="s">
        <v>21</v>
      </c>
      <c r="L53" s="7">
        <v>40949.683263888888</v>
      </c>
      <c r="M53" s="12" t="s">
        <v>175</v>
      </c>
      <c r="N53" s="12" t="s">
        <v>176</v>
      </c>
      <c r="O53" s="10" t="str">
        <f>HYPERLINK("https://pbs.twimg.com/profile_images/581023313683734528/7tF2bCnO_normal.png","View")</f>
        <v>View</v>
      </c>
      <c r="P53" s="11"/>
    </row>
    <row r="54" spans="1:16" ht="12.75" x14ac:dyDescent="0.35">
      <c r="A54" s="7">
        <v>42474.559872685189</v>
      </c>
      <c r="B54" s="8" t="str">
        <f>HYPERLINK("https://twitter.com/zettel_kasten","@zettel_kasten")</f>
        <v>@zettel_kasten</v>
      </c>
      <c r="C54" s="9" t="s">
        <v>177</v>
      </c>
      <c r="D54" s="9" t="s">
        <v>168</v>
      </c>
      <c r="E54" s="10" t="str">
        <f>HYPERLINK("https://twitter.com/zettel_kasten/status/720521025037983744","720521025037983744")</f>
        <v>720521025037983744</v>
      </c>
      <c r="F54" s="11" t="s">
        <v>31</v>
      </c>
      <c r="G54" s="11">
        <v>602</v>
      </c>
      <c r="H54" s="11">
        <v>824</v>
      </c>
      <c r="I54" s="11">
        <v>2</v>
      </c>
      <c r="J54" s="11">
        <v>0</v>
      </c>
      <c r="K54" s="11" t="s">
        <v>21</v>
      </c>
      <c r="L54" s="7">
        <v>40399.200254629628</v>
      </c>
      <c r="M54" s="12" t="s">
        <v>178</v>
      </c>
      <c r="N54" s="12" t="s">
        <v>179</v>
      </c>
      <c r="O54" s="10" t="str">
        <f>HYPERLINK("https://pbs.twimg.com/profile_images/672382311950901248/ZFhxdGcS_normal.png","View")</f>
        <v>View</v>
      </c>
      <c r="P54" s="11"/>
    </row>
    <row r="55" spans="1:16" ht="12.75" x14ac:dyDescent="0.35">
      <c r="A55" s="7">
        <v>42474.559953703705</v>
      </c>
      <c r="B55" s="8" t="str">
        <f>HYPERLINK("https://twitter.com/Johan__LB","@Johan__LB")</f>
        <v>@Johan__LB</v>
      </c>
      <c r="C55" s="9" t="s">
        <v>180</v>
      </c>
      <c r="D55" s="9" t="s">
        <v>181</v>
      </c>
      <c r="E55" s="10" t="str">
        <f>HYPERLINK("https://twitter.com/Johan__LB/status/720521055060758529","720521055060758529")</f>
        <v>720521055060758529</v>
      </c>
      <c r="F55" s="11" t="s">
        <v>31</v>
      </c>
      <c r="G55" s="11">
        <v>7</v>
      </c>
      <c r="H55" s="11">
        <v>98</v>
      </c>
      <c r="I55" s="11">
        <v>1</v>
      </c>
      <c r="J55" s="11">
        <v>0</v>
      </c>
      <c r="K55" s="11" t="s">
        <v>21</v>
      </c>
      <c r="L55" s="7">
        <v>42174.792962962965</v>
      </c>
      <c r="M55" s="12"/>
      <c r="N55" s="12"/>
      <c r="O55" s="10" t="str">
        <f>HYPERLINK("https://pbs.twimg.com/profile_images/665295074297778177/5goyYiwl_normal.jpg","View")</f>
        <v>View</v>
      </c>
      <c r="P55" s="11"/>
    </row>
    <row r="56" spans="1:16" ht="12.75" x14ac:dyDescent="0.35">
      <c r="A56" s="7">
        <v>42474.561469907407</v>
      </c>
      <c r="B56" s="8" t="str">
        <f>HYPERLINK("https://twitter.com/scnews_de","@scnews_de")</f>
        <v>@scnews_de</v>
      </c>
      <c r="C56" s="9" t="s">
        <v>182</v>
      </c>
      <c r="D56" s="9" t="s">
        <v>183</v>
      </c>
      <c r="E56" s="10" t="str">
        <f>HYPERLINK("https://twitter.com/scnews_de/status/720521604019654656","720521604019654656")</f>
        <v>720521604019654656</v>
      </c>
      <c r="F56" s="11" t="s">
        <v>25</v>
      </c>
      <c r="G56" s="11">
        <v>707</v>
      </c>
      <c r="H56" s="11">
        <v>762</v>
      </c>
      <c r="I56" s="11">
        <v>0</v>
      </c>
      <c r="J56" s="11">
        <v>0</v>
      </c>
      <c r="K56" s="11" t="s">
        <v>21</v>
      </c>
      <c r="L56" s="7">
        <v>41593.692280092597</v>
      </c>
      <c r="M56" s="12" t="s">
        <v>184</v>
      </c>
      <c r="N56" s="12" t="s">
        <v>185</v>
      </c>
      <c r="O56" s="10" t="str">
        <f>HYPERLINK("https://pbs.twimg.com/profile_images/458866402535800832/7sOdbIg4_normal.jpeg","View")</f>
        <v>View</v>
      </c>
      <c r="P56" s="11"/>
    </row>
    <row r="57" spans="1:16" ht="12.75" x14ac:dyDescent="0.35">
      <c r="A57" s="7">
        <v>42474.561643518522</v>
      </c>
      <c r="B57" s="8" t="str">
        <f>HYPERLINK("https://twitter.com/zettel_kasten","@zettel_kasten")</f>
        <v>@zettel_kasten</v>
      </c>
      <c r="C57" s="9" t="s">
        <v>177</v>
      </c>
      <c r="D57" s="9" t="s">
        <v>186</v>
      </c>
      <c r="E57" s="10" t="str">
        <f>HYPERLINK("https://twitter.com/zettel_kasten/status/720521664908406784","720521664908406784")</f>
        <v>720521664908406784</v>
      </c>
      <c r="F57" s="11" t="s">
        <v>31</v>
      </c>
      <c r="G57" s="11">
        <v>602</v>
      </c>
      <c r="H57" s="11">
        <v>824</v>
      </c>
      <c r="I57" s="11">
        <v>2</v>
      </c>
      <c r="J57" s="11">
        <v>0</v>
      </c>
      <c r="K57" s="11" t="s">
        <v>21</v>
      </c>
      <c r="L57" s="7">
        <v>40399.200254629628</v>
      </c>
      <c r="M57" s="12" t="s">
        <v>178</v>
      </c>
      <c r="N57" s="12" t="s">
        <v>179</v>
      </c>
      <c r="O57" s="10" t="str">
        <f>HYPERLINK("https://pbs.twimg.com/profile_images/672382311950901248/ZFhxdGcS_normal.png","View")</f>
        <v>View</v>
      </c>
      <c r="P57" s="11"/>
    </row>
    <row r="58" spans="1:16" ht="12.75" x14ac:dyDescent="0.35">
      <c r="A58" s="7">
        <v>42474.56212962963</v>
      </c>
      <c r="B58" s="8" t="str">
        <f t="shared" ref="B58:B59" si="2">HYPERLINK("https://twitter.com/CDechoux","@CDechoux")</f>
        <v>@CDechoux</v>
      </c>
      <c r="C58" s="9" t="s">
        <v>187</v>
      </c>
      <c r="D58" s="9" t="s">
        <v>188</v>
      </c>
      <c r="E58" s="10" t="str">
        <f>HYPERLINK("https://twitter.com/CDechoux/status/720521841048219648","720521841048219648")</f>
        <v>720521841048219648</v>
      </c>
      <c r="F58" s="11" t="s">
        <v>84</v>
      </c>
      <c r="G58" s="11">
        <v>54</v>
      </c>
      <c r="H58" s="11">
        <v>226</v>
      </c>
      <c r="I58" s="11">
        <v>13</v>
      </c>
      <c r="J58" s="11">
        <v>0</v>
      </c>
      <c r="K58" s="11" t="s">
        <v>21</v>
      </c>
      <c r="L58" s="7">
        <v>40962.636053240742</v>
      </c>
      <c r="M58" s="12" t="s">
        <v>189</v>
      </c>
      <c r="N58" s="12" t="s">
        <v>190</v>
      </c>
      <c r="O58" s="10" t="str">
        <f t="shared" ref="O58:O59" si="3">HYPERLINK("https://pbs.twimg.com/profile_images/693115470753480704/31tK3_Cm_normal.png","View")</f>
        <v>View</v>
      </c>
      <c r="P58" s="11"/>
    </row>
    <row r="59" spans="1:16" ht="12.75" x14ac:dyDescent="0.35">
      <c r="A59" s="7">
        <v>42474.562268518523</v>
      </c>
      <c r="B59" s="8" t="str">
        <f t="shared" si="2"/>
        <v>@CDechoux</v>
      </c>
      <c r="C59" s="9" t="s">
        <v>187</v>
      </c>
      <c r="D59" s="9" t="s">
        <v>83</v>
      </c>
      <c r="E59" s="10" t="str">
        <f>HYPERLINK("https://twitter.com/CDechoux/status/720521894160699393","720521894160699393")</f>
        <v>720521894160699393</v>
      </c>
      <c r="F59" s="11" t="s">
        <v>84</v>
      </c>
      <c r="G59" s="11">
        <v>54</v>
      </c>
      <c r="H59" s="11">
        <v>226</v>
      </c>
      <c r="I59" s="11">
        <v>6</v>
      </c>
      <c r="J59" s="11">
        <v>0</v>
      </c>
      <c r="K59" s="11" t="s">
        <v>21</v>
      </c>
      <c r="L59" s="7">
        <v>40962.636053240742</v>
      </c>
      <c r="M59" s="12" t="s">
        <v>189</v>
      </c>
      <c r="N59" s="12" t="s">
        <v>190</v>
      </c>
      <c r="O59" s="10" t="str">
        <f t="shared" si="3"/>
        <v>View</v>
      </c>
      <c r="P59" s="11"/>
    </row>
    <row r="60" spans="1:16" ht="12.75" x14ac:dyDescent="0.35">
      <c r="A60" s="7">
        <v>42474.563263888893</v>
      </c>
      <c r="B60" s="8" t="str">
        <f>HYPERLINK("https://twitter.com/VDMAonline","@VDMAonline")</f>
        <v>@VDMAonline</v>
      </c>
      <c r="C60" s="9" t="s">
        <v>191</v>
      </c>
      <c r="D60" s="9" t="s">
        <v>192</v>
      </c>
      <c r="E60" s="10" t="str">
        <f>HYPERLINK("https://twitter.com/VDMAonline/status/720522251351666689","720522251351666689")</f>
        <v>720522251351666689</v>
      </c>
      <c r="F60" s="11" t="s">
        <v>115</v>
      </c>
      <c r="G60" s="11">
        <v>6793</v>
      </c>
      <c r="H60" s="11">
        <v>4</v>
      </c>
      <c r="I60" s="11">
        <v>5</v>
      </c>
      <c r="J60" s="11">
        <v>2</v>
      </c>
      <c r="K60" s="11" t="s">
        <v>21</v>
      </c>
      <c r="L60" s="7">
        <v>39932.616342592592</v>
      </c>
      <c r="M60" s="12" t="s">
        <v>49</v>
      </c>
      <c r="N60" s="12" t="s">
        <v>193</v>
      </c>
      <c r="O60" s="10" t="str">
        <f>HYPERLINK("https://pbs.twimg.com/profile_images/609375510158774272/P5glOk4b_normal.jpg","View")</f>
        <v>View</v>
      </c>
      <c r="P60" s="11"/>
    </row>
    <row r="61" spans="1:16" ht="12.75" x14ac:dyDescent="0.35">
      <c r="A61" s="7">
        <v>42474.566053240742</v>
      </c>
      <c r="B61" s="8" t="str">
        <f>HYPERLINK("https://twitter.com/Reply_DE","@Reply_DE")</f>
        <v>@Reply_DE</v>
      </c>
      <c r="C61" s="9" t="s">
        <v>194</v>
      </c>
      <c r="D61" s="9" t="s">
        <v>195</v>
      </c>
      <c r="E61" s="10" t="str">
        <f>HYPERLINK("https://twitter.com/Reply_DE/status/720523264599199744","720523264599199744")</f>
        <v>720523264599199744</v>
      </c>
      <c r="F61" s="11" t="s">
        <v>25</v>
      </c>
      <c r="G61" s="11">
        <v>283</v>
      </c>
      <c r="H61" s="11">
        <v>116</v>
      </c>
      <c r="I61" s="11">
        <v>1</v>
      </c>
      <c r="J61" s="11">
        <v>0</v>
      </c>
      <c r="K61" s="11" t="s">
        <v>21</v>
      </c>
      <c r="L61" s="7">
        <v>41010.823182870372</v>
      </c>
      <c r="M61" s="12" t="s">
        <v>196</v>
      </c>
      <c r="N61" s="12" t="s">
        <v>197</v>
      </c>
      <c r="O61" s="10" t="str">
        <f>HYPERLINK("https://pbs.twimg.com/profile_images/686928810646867969/Ixv7AKdN_normal.png","View")</f>
        <v>View</v>
      </c>
      <c r="P61" s="11"/>
    </row>
    <row r="62" spans="1:16" ht="12.75" x14ac:dyDescent="0.35">
      <c r="A62" s="7">
        <v>42474.568831018521</v>
      </c>
      <c r="B62" s="8" t="str">
        <f>HYPERLINK("https://twitter.com/NavasGestion","@NavasGestion")</f>
        <v>@NavasGestion</v>
      </c>
      <c r="C62" s="9" t="s">
        <v>198</v>
      </c>
      <c r="D62" s="9" t="s">
        <v>19</v>
      </c>
      <c r="E62" s="10" t="str">
        <f>HYPERLINK("https://twitter.com/NavasGestion/status/720524271894835200","720524271894835200")</f>
        <v>720524271894835200</v>
      </c>
      <c r="F62" s="11" t="s">
        <v>25</v>
      </c>
      <c r="G62" s="11">
        <v>21</v>
      </c>
      <c r="H62" s="11">
        <v>22</v>
      </c>
      <c r="I62" s="11">
        <v>24</v>
      </c>
      <c r="J62" s="11">
        <v>0</v>
      </c>
      <c r="K62" s="11" t="s">
        <v>21</v>
      </c>
      <c r="L62" s="7">
        <v>42470.68236111111</v>
      </c>
      <c r="M62" s="12" t="s">
        <v>45</v>
      </c>
      <c r="N62" s="12"/>
      <c r="O62" s="10" t="str">
        <f>HYPERLINK("https://pbs.twimg.com/profile_images/719117304554995713/A7zuftvH_normal.jpg","View")</f>
        <v>View</v>
      </c>
      <c r="P62" s="11"/>
    </row>
    <row r="63" spans="1:16" ht="12.75" x14ac:dyDescent="0.35">
      <c r="A63" s="7">
        <v>42474.571203703701</v>
      </c>
      <c r="B63" s="8" t="str">
        <f>HYPERLINK("https://twitter.com/INDIZbot","@INDIZbot")</f>
        <v>@INDIZbot</v>
      </c>
      <c r="C63" s="9" t="s">
        <v>61</v>
      </c>
      <c r="D63" s="9" t="s">
        <v>199</v>
      </c>
      <c r="E63" s="10" t="str">
        <f>HYPERLINK("https://twitter.com/INDIZbot/status/720525129743261696","720525129743261696")</f>
        <v>720525129743261696</v>
      </c>
      <c r="F63" s="11" t="s">
        <v>62</v>
      </c>
      <c r="G63" s="11">
        <v>1762</v>
      </c>
      <c r="H63" s="11">
        <v>481</v>
      </c>
      <c r="I63" s="11">
        <v>1</v>
      </c>
      <c r="J63" s="11">
        <v>0</v>
      </c>
      <c r="K63" s="11" t="s">
        <v>21</v>
      </c>
      <c r="L63" s="7">
        <v>42267.011921296296</v>
      </c>
      <c r="M63" s="12"/>
      <c r="N63" s="12" t="s">
        <v>63</v>
      </c>
      <c r="O63" s="10" t="str">
        <f>HYPERLINK("https://pbs.twimg.com/profile_images/645716711723925506/t5G0qOS6_normal.jpg","View")</f>
        <v>View</v>
      </c>
      <c r="P63" s="11"/>
    </row>
    <row r="64" spans="1:16" ht="12.75" x14ac:dyDescent="0.35">
      <c r="A64" s="7">
        <v>42474.573113425926</v>
      </c>
      <c r="B64" s="8" t="str">
        <f>HYPERLINK("https://twitter.com/SHC_GmbH","@SHC_GmbH")</f>
        <v>@SHC_GmbH</v>
      </c>
      <c r="C64" s="9" t="s">
        <v>105</v>
      </c>
      <c r="D64" s="9" t="s">
        <v>200</v>
      </c>
      <c r="E64" s="10" t="str">
        <f>HYPERLINK("https://twitter.com/SHC_GmbH/status/720525824106098688","720525824106098688")</f>
        <v>720525824106098688</v>
      </c>
      <c r="F64" s="11" t="s">
        <v>39</v>
      </c>
      <c r="G64" s="11">
        <v>427</v>
      </c>
      <c r="H64" s="11">
        <v>598</v>
      </c>
      <c r="I64" s="11">
        <v>0</v>
      </c>
      <c r="J64" s="11">
        <v>0</v>
      </c>
      <c r="K64" s="11" t="s">
        <v>21</v>
      </c>
      <c r="L64" s="7">
        <v>41423.549513888887</v>
      </c>
      <c r="M64" s="12" t="s">
        <v>107</v>
      </c>
      <c r="N64" s="12" t="s">
        <v>108</v>
      </c>
      <c r="O64" s="10" t="str">
        <f>HYPERLINK("https://pbs.twimg.com/profile_images/3726440228/9ba49ccb938cf571b195e3e83a4e1327_normal.jpeg","View")</f>
        <v>View</v>
      </c>
      <c r="P64" s="11"/>
    </row>
    <row r="65" spans="1:16" ht="12.75" x14ac:dyDescent="0.35">
      <c r="A65" s="7">
        <v>42474.575844907406</v>
      </c>
      <c r="B65" s="8" t="str">
        <f>HYPERLINK("https://twitter.com/LeclercManou","@LeclercManou")</f>
        <v>@LeclercManou</v>
      </c>
      <c r="C65" s="9" t="s">
        <v>201</v>
      </c>
      <c r="D65" s="9" t="s">
        <v>19</v>
      </c>
      <c r="E65" s="10" t="str">
        <f>HYPERLINK("https://twitter.com/LeclercManou/status/720526811638165504","720526811638165504")</f>
        <v>720526811638165504</v>
      </c>
      <c r="F65" s="11" t="s">
        <v>31</v>
      </c>
      <c r="G65" s="11">
        <v>1498</v>
      </c>
      <c r="H65" s="11">
        <v>1855</v>
      </c>
      <c r="I65" s="11">
        <v>24</v>
      </c>
      <c r="J65" s="11">
        <v>0</v>
      </c>
      <c r="K65" s="11" t="s">
        <v>21</v>
      </c>
      <c r="L65" s="7">
        <v>40987.814282407409</v>
      </c>
      <c r="M65" s="12" t="s">
        <v>202</v>
      </c>
      <c r="N65" s="12" t="s">
        <v>203</v>
      </c>
      <c r="O65" s="10" t="str">
        <f>HYPERLINK("https://pbs.twimg.com/profile_images/551850203137835010/zUzY9zTC_normal.jpeg","View")</f>
        <v>View</v>
      </c>
      <c r="P65" s="11"/>
    </row>
    <row r="66" spans="1:16" ht="12.75" x14ac:dyDescent="0.35">
      <c r="A66" s="7">
        <v>42474.578287037039</v>
      </c>
      <c r="B66" s="8" t="str">
        <f>HYPERLINK("https://twitter.com/lasercongress","@lasercongress")</f>
        <v>@lasercongress</v>
      </c>
      <c r="C66" s="9" t="s">
        <v>204</v>
      </c>
      <c r="D66" s="9" t="s">
        <v>205</v>
      </c>
      <c r="E66" s="10" t="str">
        <f>HYPERLINK("https://twitter.com/lasercongress/status/720527695835242497","720527695835242497")</f>
        <v>720527695835242497</v>
      </c>
      <c r="F66" s="11" t="s">
        <v>25</v>
      </c>
      <c r="G66" s="11">
        <v>89</v>
      </c>
      <c r="H66" s="11">
        <v>22</v>
      </c>
      <c r="I66" s="11">
        <v>0</v>
      </c>
      <c r="J66" s="11">
        <v>0</v>
      </c>
      <c r="K66" s="11" t="s">
        <v>21</v>
      </c>
      <c r="L66" s="7">
        <v>42089.594699074078</v>
      </c>
      <c r="M66" s="12" t="s">
        <v>206</v>
      </c>
      <c r="N66" s="12" t="s">
        <v>207</v>
      </c>
      <c r="O66" s="10" t="str">
        <f>HYPERLINK("https://pbs.twimg.com/profile_images/582849320317145088/IwaXLITm_normal.jpg","View")</f>
        <v>View</v>
      </c>
      <c r="P66" s="11"/>
    </row>
    <row r="67" spans="1:16" ht="12.75" x14ac:dyDescent="0.35">
      <c r="A67" s="7">
        <v>42474.57917824074</v>
      </c>
      <c r="B67" s="8" t="str">
        <f>HYPERLINK("https://twitter.com/QuickFindsIn","@QuickFindsIn")</f>
        <v>@QuickFindsIn</v>
      </c>
      <c r="C67" s="9" t="s">
        <v>208</v>
      </c>
      <c r="D67" s="9" t="s">
        <v>209</v>
      </c>
      <c r="E67" s="10" t="str">
        <f>HYPERLINK("https://twitter.com/QuickFindsIn/status/720528020360966144","720528020360966144")</f>
        <v>720528020360966144</v>
      </c>
      <c r="F67" s="11" t="s">
        <v>210</v>
      </c>
      <c r="G67" s="11">
        <v>1895</v>
      </c>
      <c r="H67" s="11">
        <v>2758</v>
      </c>
      <c r="I67" s="11">
        <v>0</v>
      </c>
      <c r="J67" s="11">
        <v>0</v>
      </c>
      <c r="K67" s="11" t="s">
        <v>21</v>
      </c>
      <c r="L67" s="7">
        <v>42069.582048611112</v>
      </c>
      <c r="M67" s="12" t="s">
        <v>211</v>
      </c>
      <c r="N67" s="12" t="s">
        <v>212</v>
      </c>
      <c r="O67" s="10" t="str">
        <f>HYPERLINK("https://pbs.twimg.com/profile_images/591951396217327616/HbcCX2zX_normal.png","View")</f>
        <v>View</v>
      </c>
      <c r="P67" s="11"/>
    </row>
    <row r="68" spans="1:16" ht="12.75" x14ac:dyDescent="0.35">
      <c r="A68" s="7">
        <v>42474.590891203705</v>
      </c>
      <c r="B68" s="8" t="str">
        <f>HYPERLINK("https://twitter.com/J_Perbet","@J_Perbet")</f>
        <v>@J_Perbet</v>
      </c>
      <c r="C68" s="9" t="s">
        <v>213</v>
      </c>
      <c r="D68" s="9" t="s">
        <v>188</v>
      </c>
      <c r="E68" s="10" t="str">
        <f>HYPERLINK("https://twitter.com/J_Perbet/status/720532263058989056","720532263058989056")</f>
        <v>720532263058989056</v>
      </c>
      <c r="F68" s="11" t="s">
        <v>84</v>
      </c>
      <c r="G68" s="11">
        <v>138</v>
      </c>
      <c r="H68" s="11">
        <v>183</v>
      </c>
      <c r="I68" s="11">
        <v>13</v>
      </c>
      <c r="J68" s="11">
        <v>0</v>
      </c>
      <c r="K68" s="11" t="s">
        <v>21</v>
      </c>
      <c r="L68" s="7">
        <v>40194.797430555554</v>
      </c>
      <c r="M68" s="12" t="s">
        <v>214</v>
      </c>
      <c r="N68" s="12" t="s">
        <v>215</v>
      </c>
      <c r="O68" s="10" t="str">
        <f>HYPERLINK("https://pbs.twimg.com/profile_images/722057395141230593/99DLhj35_normal.jpg","View")</f>
        <v>View</v>
      </c>
      <c r="P68" s="11"/>
    </row>
    <row r="69" spans="1:16" ht="12.75" x14ac:dyDescent="0.35">
      <c r="A69" s="7">
        <v>42474.593055555553</v>
      </c>
      <c r="B69" s="8" t="str">
        <f>HYPERLINK("https://twitter.com/Bitkom","@Bitkom")</f>
        <v>@Bitkom</v>
      </c>
      <c r="C69" s="9" t="s">
        <v>216</v>
      </c>
      <c r="D69" s="9" t="s">
        <v>217</v>
      </c>
      <c r="E69" s="10" t="str">
        <f>HYPERLINK("https://twitter.com/Bitkom/status/720533049369305088","720533049369305088")</f>
        <v>720533049369305088</v>
      </c>
      <c r="F69" s="11" t="s">
        <v>25</v>
      </c>
      <c r="G69" s="11">
        <v>21088</v>
      </c>
      <c r="H69" s="11">
        <v>3258</v>
      </c>
      <c r="I69" s="11">
        <v>15</v>
      </c>
      <c r="J69" s="11">
        <v>10</v>
      </c>
      <c r="K69" s="11" t="s">
        <v>21</v>
      </c>
      <c r="L69" s="7">
        <v>39757.913229166668</v>
      </c>
      <c r="M69" s="12" t="s">
        <v>218</v>
      </c>
      <c r="N69" s="12" t="s">
        <v>219</v>
      </c>
      <c r="O69" s="10" t="str">
        <f>HYPERLINK("https://pbs.twimg.com/profile_images/615797525040136192/CKF9-v_o_normal.jpg","View")</f>
        <v>View</v>
      </c>
      <c r="P69" s="11"/>
    </row>
    <row r="70" spans="1:16" ht="12.75" x14ac:dyDescent="0.35">
      <c r="A70" s="7">
        <v>42474.594212962962</v>
      </c>
      <c r="B70" s="8" t="str">
        <f>HYPERLINK("https://twitter.com/ITK_OWL","@ITK_OWL")</f>
        <v>@ITK_OWL</v>
      </c>
      <c r="C70" s="9" t="s">
        <v>220</v>
      </c>
      <c r="D70" s="9" t="s">
        <v>221</v>
      </c>
      <c r="E70" s="10" t="str">
        <f>HYPERLINK("https://twitter.com/ITK_OWL/status/720533469462405120","720533469462405120")</f>
        <v>720533469462405120</v>
      </c>
      <c r="F70" s="11" t="s">
        <v>222</v>
      </c>
      <c r="G70" s="11">
        <v>199</v>
      </c>
      <c r="H70" s="11">
        <v>389</v>
      </c>
      <c r="I70" s="11">
        <v>0</v>
      </c>
      <c r="J70" s="11">
        <v>0</v>
      </c>
      <c r="K70" s="11" t="s">
        <v>21</v>
      </c>
      <c r="L70" s="7">
        <v>42146.57880787037</v>
      </c>
      <c r="M70" s="12" t="s">
        <v>223</v>
      </c>
      <c r="N70" s="12" t="s">
        <v>224</v>
      </c>
      <c r="O70" s="10" t="str">
        <f>HYPERLINK("https://pbs.twimg.com/profile_images/601673968551075840/MnulnKkj_normal.png","View")</f>
        <v>View</v>
      </c>
      <c r="P70" s="11"/>
    </row>
    <row r="71" spans="1:16" ht="12.75" x14ac:dyDescent="0.35">
      <c r="A71" s="7">
        <v>42474.594861111109</v>
      </c>
      <c r="B71" s="8" t="str">
        <f>HYPERLINK("https://twitter.com/R3Coms","@R3Coms")</f>
        <v>@R3Coms</v>
      </c>
      <c r="C71" s="9" t="s">
        <v>225</v>
      </c>
      <c r="D71" s="9" t="s">
        <v>226</v>
      </c>
      <c r="E71" s="10" t="str">
        <f>HYPERLINK("https://twitter.com/R3Coms/status/720533704725147651","720533704725147651")</f>
        <v>720533704725147651</v>
      </c>
      <c r="F71" s="11" t="s">
        <v>31</v>
      </c>
      <c r="G71" s="11">
        <v>35</v>
      </c>
      <c r="H71" s="11">
        <v>38</v>
      </c>
      <c r="I71" s="11">
        <v>3</v>
      </c>
      <c r="J71" s="11">
        <v>0</v>
      </c>
      <c r="K71" s="11" t="s">
        <v>21</v>
      </c>
      <c r="L71" s="7">
        <v>42255.582696759258</v>
      </c>
      <c r="M71" s="12" t="s">
        <v>227</v>
      </c>
      <c r="N71" s="12" t="s">
        <v>228</v>
      </c>
      <c r="O71" s="10" t="str">
        <f>HYPERLINK("https://pbs.twimg.com/profile_images/641185667557523456/GjYk8kF7_normal.png","View")</f>
        <v>View</v>
      </c>
      <c r="P71" s="11"/>
    </row>
    <row r="72" spans="1:16" ht="12.75" x14ac:dyDescent="0.35">
      <c r="A72" s="7">
        <v>42474.595636574071</v>
      </c>
      <c r="B72" s="8" t="str">
        <f>HYPERLINK("https://twitter.com/neitzelsecuweb","@neitzelsecuweb")</f>
        <v>@neitzelsecuweb</v>
      </c>
      <c r="C72" s="9" t="s">
        <v>229</v>
      </c>
      <c r="D72" s="9" t="s">
        <v>230</v>
      </c>
      <c r="E72" s="10" t="str">
        <f>HYPERLINK("https://twitter.com/neitzelsecuweb/status/720533984703299584","720533984703299584")</f>
        <v>720533984703299584</v>
      </c>
      <c r="F72" s="11" t="s">
        <v>25</v>
      </c>
      <c r="G72" s="11">
        <v>168</v>
      </c>
      <c r="H72" s="11">
        <v>213</v>
      </c>
      <c r="I72" s="11">
        <v>15</v>
      </c>
      <c r="J72" s="11">
        <v>0</v>
      </c>
      <c r="K72" s="11" t="s">
        <v>21</v>
      </c>
      <c r="L72" s="7">
        <v>40328.997187499997</v>
      </c>
      <c r="M72" s="12" t="s">
        <v>231</v>
      </c>
      <c r="N72" s="12" t="s">
        <v>232</v>
      </c>
      <c r="O72" s="10" t="str">
        <f>HYPERLINK("https://pbs.twimg.com/profile_images/1906449052/nw_normal.jpg","View")</f>
        <v>View</v>
      </c>
      <c r="P72" s="11"/>
    </row>
    <row r="73" spans="1:16" ht="12.75" x14ac:dyDescent="0.35">
      <c r="A73" s="7">
        <v>42474.59579861111</v>
      </c>
      <c r="B73" s="8" t="str">
        <f>HYPERLINK("https://twitter.com/RaphalBlanchard","@RaphalBlanchard")</f>
        <v>@RaphalBlanchard</v>
      </c>
      <c r="C73" s="9" t="s">
        <v>233</v>
      </c>
      <c r="D73" s="9" t="s">
        <v>19</v>
      </c>
      <c r="E73" s="10" t="str">
        <f>HYPERLINK("https://twitter.com/RaphalBlanchard/status/720534045361311744","720534045361311744")</f>
        <v>720534045361311744</v>
      </c>
      <c r="F73" s="11" t="s">
        <v>39</v>
      </c>
      <c r="G73" s="11">
        <v>636</v>
      </c>
      <c r="H73" s="11">
        <v>960</v>
      </c>
      <c r="I73" s="11">
        <v>24</v>
      </c>
      <c r="J73" s="11">
        <v>0</v>
      </c>
      <c r="K73" s="11" t="s">
        <v>21</v>
      </c>
      <c r="L73" s="7">
        <v>41424.559467592597</v>
      </c>
      <c r="M73" s="12" t="s">
        <v>88</v>
      </c>
      <c r="N73" s="12" t="s">
        <v>234</v>
      </c>
      <c r="O73" s="10" t="str">
        <f>HYPERLINK("https://pbs.twimg.com/profile_images/3731315100/2c6792fac1637e88e4eb8b91d06965b6_normal.jpeg","View")</f>
        <v>View</v>
      </c>
      <c r="P73" s="11"/>
    </row>
    <row r="74" spans="1:16" ht="12.75" x14ac:dyDescent="0.35">
      <c r="A74" s="7">
        <v>42474.59648148148</v>
      </c>
      <c r="B74" s="8" t="str">
        <f>HYPERLINK("https://twitter.com/Kiesi23","@Kiesi23")</f>
        <v>@Kiesi23</v>
      </c>
      <c r="C74" s="9" t="s">
        <v>235</v>
      </c>
      <c r="D74" s="9" t="s">
        <v>230</v>
      </c>
      <c r="E74" s="10" t="str">
        <f>HYPERLINK("https://twitter.com/Kiesi23/status/720534292108075008","720534292108075008")</f>
        <v>720534292108075008</v>
      </c>
      <c r="F74" s="11" t="s">
        <v>25</v>
      </c>
      <c r="G74" s="11">
        <v>133</v>
      </c>
      <c r="H74" s="11">
        <v>224</v>
      </c>
      <c r="I74" s="11">
        <v>15</v>
      </c>
      <c r="J74" s="11">
        <v>0</v>
      </c>
      <c r="K74" s="11" t="s">
        <v>21</v>
      </c>
      <c r="L74" s="7">
        <v>40962.802662037036</v>
      </c>
      <c r="M74" s="12" t="s">
        <v>236</v>
      </c>
      <c r="N74" s="12" t="s">
        <v>237</v>
      </c>
      <c r="O74" s="10" t="str">
        <f>HYPERLINK("https://pbs.twimg.com/profile_images/1863161460/SW_Bild_normal.JPG","View")</f>
        <v>View</v>
      </c>
      <c r="P74" s="11"/>
    </row>
    <row r="75" spans="1:16" ht="12.75" x14ac:dyDescent="0.35">
      <c r="A75" s="7">
        <v>42474.596712962964</v>
      </c>
      <c r="B75" s="8" t="str">
        <f>HYPERLINK("https://twitter.com/BitkomResearch","@BitkomResearch")</f>
        <v>@BitkomResearch</v>
      </c>
      <c r="C75" s="9" t="s">
        <v>238</v>
      </c>
      <c r="D75" s="9" t="s">
        <v>239</v>
      </c>
      <c r="E75" s="10" t="str">
        <f>HYPERLINK("https://twitter.com/BitkomResearch/status/720534373892812801","720534373892812801")</f>
        <v>720534373892812801</v>
      </c>
      <c r="F75" s="11" t="s">
        <v>25</v>
      </c>
      <c r="G75" s="11">
        <v>7067</v>
      </c>
      <c r="H75" s="11">
        <v>6781</v>
      </c>
      <c r="I75" s="11">
        <v>10</v>
      </c>
      <c r="J75" s="11">
        <v>8</v>
      </c>
      <c r="K75" s="11" t="s">
        <v>21</v>
      </c>
      <c r="L75" s="7">
        <v>42227.56631944445</v>
      </c>
      <c r="M75" s="12" t="s">
        <v>116</v>
      </c>
      <c r="N75" s="12" t="s">
        <v>240</v>
      </c>
      <c r="O75" s="10" t="str">
        <f>HYPERLINK("https://pbs.twimg.com/profile_images/631021673857290240/dsNYkRwd_normal.jpg","View")</f>
        <v>View</v>
      </c>
      <c r="P75" s="11"/>
    </row>
    <row r="76" spans="1:16" ht="12.75" x14ac:dyDescent="0.35">
      <c r="A76" s="7">
        <v>42474.598414351851</v>
      </c>
      <c r="B76" s="8" t="str">
        <f>HYPERLINK("https://twitter.com/INDIZbot","@INDIZbot")</f>
        <v>@INDIZbot</v>
      </c>
      <c r="C76" s="9" t="s">
        <v>61</v>
      </c>
      <c r="D76" s="9" t="s">
        <v>241</v>
      </c>
      <c r="E76" s="10" t="str">
        <f>HYPERLINK("https://twitter.com/INDIZbot/status/720534991868981248","720534991868981248")</f>
        <v>720534991868981248</v>
      </c>
      <c r="F76" s="11" t="s">
        <v>62</v>
      </c>
      <c r="G76" s="11">
        <v>1762</v>
      </c>
      <c r="H76" s="11">
        <v>481</v>
      </c>
      <c r="I76" s="11">
        <v>10</v>
      </c>
      <c r="J76" s="11">
        <v>0</v>
      </c>
      <c r="K76" s="11" t="s">
        <v>21</v>
      </c>
      <c r="L76" s="7">
        <v>42267.011921296296</v>
      </c>
      <c r="M76" s="12"/>
      <c r="N76" s="12" t="s">
        <v>63</v>
      </c>
      <c r="O76" s="10" t="str">
        <f>HYPERLINK("https://pbs.twimg.com/profile_images/645716711723925506/t5G0qOS6_normal.jpg","View")</f>
        <v>View</v>
      </c>
      <c r="P76" s="11"/>
    </row>
    <row r="77" spans="1:16" ht="12.75" x14ac:dyDescent="0.35">
      <c r="A77" s="7">
        <v>42474.598726851851</v>
      </c>
      <c r="B77" s="8" t="str">
        <f>HYPERLINK("https://twitter.com/Aurelien_T_K","@Aurelien_T_K")</f>
        <v>@Aurelien_T_K</v>
      </c>
      <c r="C77" s="9" t="s">
        <v>242</v>
      </c>
      <c r="D77" s="9" t="s">
        <v>188</v>
      </c>
      <c r="E77" s="10" t="str">
        <f>HYPERLINK("https://twitter.com/Aurelien_T_K/status/720535105719123968","720535105719123968")</f>
        <v>720535105719123968</v>
      </c>
      <c r="F77" s="11" t="s">
        <v>84</v>
      </c>
      <c r="G77" s="11">
        <v>135</v>
      </c>
      <c r="H77" s="11">
        <v>206</v>
      </c>
      <c r="I77" s="11">
        <v>13</v>
      </c>
      <c r="J77" s="11">
        <v>0</v>
      </c>
      <c r="K77" s="11" t="s">
        <v>21</v>
      </c>
      <c r="L77" s="7">
        <v>40052.385185185187</v>
      </c>
      <c r="M77" s="12" t="s">
        <v>243</v>
      </c>
      <c r="N77" s="12" t="s">
        <v>244</v>
      </c>
      <c r="O77" s="10" t="str">
        <f>HYPERLINK("https://pbs.twimg.com/profile_images/711460495795097600/GjVvY72S_normal.jpg","View")</f>
        <v>View</v>
      </c>
      <c r="P77" s="11"/>
    </row>
    <row r="78" spans="1:16" ht="12.75" x14ac:dyDescent="0.35">
      <c r="A78" s="7">
        <v>42474.598750000005</v>
      </c>
      <c r="B78" s="8" t="str">
        <f>HYPERLINK("https://twitter.com/INDIZbot","@INDIZbot")</f>
        <v>@INDIZbot</v>
      </c>
      <c r="C78" s="9" t="s">
        <v>61</v>
      </c>
      <c r="D78" s="9" t="s">
        <v>230</v>
      </c>
      <c r="E78" s="10" t="str">
        <f>HYPERLINK("https://twitter.com/INDIZbot/status/720535114770477057","720535114770477057")</f>
        <v>720535114770477057</v>
      </c>
      <c r="F78" s="11" t="s">
        <v>62</v>
      </c>
      <c r="G78" s="11">
        <v>1762</v>
      </c>
      <c r="H78" s="11">
        <v>481</v>
      </c>
      <c r="I78" s="11">
        <v>15</v>
      </c>
      <c r="J78" s="11">
        <v>0</v>
      </c>
      <c r="K78" s="11" t="s">
        <v>21</v>
      </c>
      <c r="L78" s="7">
        <v>42267.011921296296</v>
      </c>
      <c r="M78" s="12"/>
      <c r="N78" s="12" t="s">
        <v>63</v>
      </c>
      <c r="O78" s="10" t="str">
        <f>HYPERLINK("https://pbs.twimg.com/profile_images/645716711723925506/t5G0qOS6_normal.jpg","View")</f>
        <v>View</v>
      </c>
      <c r="P78" s="11"/>
    </row>
    <row r="79" spans="1:16" ht="12.75" x14ac:dyDescent="0.35">
      <c r="A79" s="7">
        <v>42474.600046296298</v>
      </c>
      <c r="B79" s="8" t="str">
        <f>HYPERLINK("https://twitter.com/Apandia","@Apandia")</f>
        <v>@Apandia</v>
      </c>
      <c r="C79" s="9" t="s">
        <v>245</v>
      </c>
      <c r="D79" s="9" t="s">
        <v>246</v>
      </c>
      <c r="E79" s="10" t="str">
        <f>HYPERLINK("https://twitter.com/Apandia/status/720535582095507456","720535582095507456")</f>
        <v>720535582095507456</v>
      </c>
      <c r="F79" s="11" t="s">
        <v>115</v>
      </c>
      <c r="G79" s="11">
        <v>196</v>
      </c>
      <c r="H79" s="11">
        <v>384</v>
      </c>
      <c r="I79" s="11">
        <v>0</v>
      </c>
      <c r="J79" s="11">
        <v>0</v>
      </c>
      <c r="K79" s="11" t="s">
        <v>21</v>
      </c>
      <c r="L79" s="7">
        <v>39966.049884259257</v>
      </c>
      <c r="M79" s="12" t="s">
        <v>247</v>
      </c>
      <c r="N79" s="12" t="s">
        <v>248</v>
      </c>
      <c r="O79" s="10" t="str">
        <f>HYPERLINK("https://pbs.twimg.com/profile_images/685327213/Apandia_normal.gif","View")</f>
        <v>View</v>
      </c>
      <c r="P79" s="11"/>
    </row>
    <row r="80" spans="1:16" ht="12.75" x14ac:dyDescent="0.35">
      <c r="A80" s="7">
        <v>42474.600775462968</v>
      </c>
      <c r="B80" s="8" t="str">
        <f>HYPERLINK("https://twitter.com/bonker82","@bonker82")</f>
        <v>@bonker82</v>
      </c>
      <c r="C80" s="9" t="s">
        <v>249</v>
      </c>
      <c r="D80" s="9" t="s">
        <v>241</v>
      </c>
      <c r="E80" s="10" t="str">
        <f>HYPERLINK("https://twitter.com/bonker82/status/720535846454226946","720535846454226946")</f>
        <v>720535846454226946</v>
      </c>
      <c r="F80" s="11" t="s">
        <v>31</v>
      </c>
      <c r="G80" s="11">
        <v>170</v>
      </c>
      <c r="H80" s="11">
        <v>113</v>
      </c>
      <c r="I80" s="11">
        <v>10</v>
      </c>
      <c r="J80" s="11">
        <v>0</v>
      </c>
      <c r="K80" s="11" t="s">
        <v>21</v>
      </c>
      <c r="L80" s="7">
        <v>40128.603865740741</v>
      </c>
      <c r="M80" s="12" t="s">
        <v>250</v>
      </c>
      <c r="N80" s="12" t="s">
        <v>251</v>
      </c>
      <c r="O80" s="10" t="str">
        <f>HYPERLINK("https://pbs.twimg.com/profile_images/636587051371114496/0AogKNXQ_normal.jpg","View")</f>
        <v>View</v>
      </c>
      <c r="P80" s="11"/>
    </row>
    <row r="81" spans="1:16" ht="12.75" x14ac:dyDescent="0.35">
      <c r="A81" s="7">
        <v>42474.601157407407</v>
      </c>
      <c r="B81" s="8" t="str">
        <f>HYPERLINK("https://twitter.com/croXXing_IBD","@croXXing_IBD")</f>
        <v>@croXXing_IBD</v>
      </c>
      <c r="C81" s="9" t="s">
        <v>252</v>
      </c>
      <c r="D81" s="9" t="s">
        <v>253</v>
      </c>
      <c r="E81" s="10" t="str">
        <f>HYPERLINK("https://twitter.com/croXXing_IBD/status/720535986179084288","720535986179084288")</f>
        <v>720535986179084288</v>
      </c>
      <c r="F81" s="11" t="s">
        <v>222</v>
      </c>
      <c r="G81" s="11">
        <v>40</v>
      </c>
      <c r="H81" s="11">
        <v>137</v>
      </c>
      <c r="I81" s="11">
        <v>0</v>
      </c>
      <c r="J81" s="11">
        <v>0</v>
      </c>
      <c r="K81" s="11" t="s">
        <v>21</v>
      </c>
      <c r="L81" s="7">
        <v>42140.148263888885</v>
      </c>
      <c r="M81" s="12" t="s">
        <v>223</v>
      </c>
      <c r="N81" s="12" t="s">
        <v>254</v>
      </c>
      <c r="O81" s="10" t="str">
        <f>HYPERLINK("https://pbs.twimg.com/profile_images/600279861282869249/IpIJ3MKX_normal.png","View")</f>
        <v>View</v>
      </c>
      <c r="P81" s="11"/>
    </row>
    <row r="82" spans="1:16" ht="12.75" x14ac:dyDescent="0.35">
      <c r="A82" s="7">
        <v>42474.602071759262</v>
      </c>
      <c r="B82" s="8" t="str">
        <f>HYPERLINK("https://twitter.com/RadioOffice","@RadioOffice")</f>
        <v>@RadioOffice</v>
      </c>
      <c r="C82" s="9" t="s">
        <v>255</v>
      </c>
      <c r="D82" s="9" t="s">
        <v>241</v>
      </c>
      <c r="E82" s="10" t="str">
        <f>HYPERLINK("https://twitter.com/RadioOffice/status/720536315457060864","720536315457060864")</f>
        <v>720536315457060864</v>
      </c>
      <c r="F82" s="11" t="s">
        <v>25</v>
      </c>
      <c r="G82" s="11">
        <v>291</v>
      </c>
      <c r="H82" s="11">
        <v>719</v>
      </c>
      <c r="I82" s="11">
        <v>10</v>
      </c>
      <c r="J82" s="11">
        <v>0</v>
      </c>
      <c r="K82" s="11" t="s">
        <v>21</v>
      </c>
      <c r="L82" s="7">
        <v>40947.81517361111</v>
      </c>
      <c r="M82" s="12" t="s">
        <v>256</v>
      </c>
      <c r="N82" s="12" t="s">
        <v>257</v>
      </c>
      <c r="O82" s="10" t="str">
        <f>HYPERLINK("https://pbs.twimg.com/profile_images/448430175877726209/15TCVypc_normal.jpeg","View")</f>
        <v>View</v>
      </c>
      <c r="P82" s="11"/>
    </row>
    <row r="83" spans="1:16" ht="12.75" x14ac:dyDescent="0.35">
      <c r="A83" s="7">
        <v>42474.604120370372</v>
      </c>
      <c r="B83" s="8" t="str">
        <f>HYPERLINK("https://twitter.com/AllemagneDiplo","@AllemagneDiplo")</f>
        <v>@AllemagneDiplo</v>
      </c>
      <c r="C83" s="9" t="s">
        <v>258</v>
      </c>
      <c r="D83" s="9" t="s">
        <v>259</v>
      </c>
      <c r="E83" s="10" t="str">
        <f>HYPERLINK("https://twitter.com/AllemagneDiplo/status/720537061036552192","720537061036552192")</f>
        <v>720537061036552192</v>
      </c>
      <c r="F83" s="11" t="s">
        <v>25</v>
      </c>
      <c r="G83" s="11">
        <v>3730</v>
      </c>
      <c r="H83" s="11">
        <v>324</v>
      </c>
      <c r="I83" s="11">
        <v>0</v>
      </c>
      <c r="J83" s="11">
        <v>1</v>
      </c>
      <c r="K83" s="11" t="s">
        <v>21</v>
      </c>
      <c r="L83" s="7">
        <v>40931.833425925928</v>
      </c>
      <c r="M83" s="12" t="s">
        <v>243</v>
      </c>
      <c r="N83" s="12" t="s">
        <v>260</v>
      </c>
      <c r="O83" s="10" t="str">
        <f>HYPERLINK("https://pbs.twimg.com/profile_images/534311198326419456/tVIBh5o0_normal.jpeg","View")</f>
        <v>View</v>
      </c>
      <c r="P83" s="11"/>
    </row>
    <row r="84" spans="1:16" ht="12.75" x14ac:dyDescent="0.35">
      <c r="A84" s="7">
        <v>42474.604189814811</v>
      </c>
      <c r="B84" s="8" t="str">
        <f>HYPERLINK("https://twitter.com/PASSnews","@PASSnews")</f>
        <v>@PASSnews</v>
      </c>
      <c r="C84" s="9" t="s">
        <v>261</v>
      </c>
      <c r="D84" s="9" t="s">
        <v>241</v>
      </c>
      <c r="E84" s="10" t="str">
        <f>HYPERLINK("https://twitter.com/PASSnews/status/720537084264607744","720537084264607744")</f>
        <v>720537084264607744</v>
      </c>
      <c r="F84" s="11" t="s">
        <v>115</v>
      </c>
      <c r="G84" s="11">
        <v>680</v>
      </c>
      <c r="H84" s="11">
        <v>666</v>
      </c>
      <c r="I84" s="11">
        <v>10</v>
      </c>
      <c r="J84" s="11">
        <v>0</v>
      </c>
      <c r="K84" s="11" t="s">
        <v>21</v>
      </c>
      <c r="L84" s="7">
        <v>39990.109155092592</v>
      </c>
      <c r="M84" s="12" t="s">
        <v>121</v>
      </c>
      <c r="N84" s="12" t="s">
        <v>262</v>
      </c>
      <c r="O84" s="10" t="str">
        <f>HYPERLINK("https://pbs.twimg.com/profile_images/378800000181509745/cc2ac55b1f8cf6de6ab7c9ea96eae6fa_normal.png","View")</f>
        <v>View</v>
      </c>
      <c r="P84" s="11"/>
    </row>
    <row r="85" spans="1:16" ht="12.75" x14ac:dyDescent="0.35">
      <c r="A85" s="7">
        <v>42474.604201388887</v>
      </c>
      <c r="B85" s="8" t="str">
        <f>HYPERLINK("https://twitter.com/verlinked","@verlinked")</f>
        <v>@verlinked</v>
      </c>
      <c r="C85" s="9" t="s">
        <v>263</v>
      </c>
      <c r="D85" s="9" t="s">
        <v>264</v>
      </c>
      <c r="E85" s="10" t="str">
        <f>HYPERLINK("https://twitter.com/verlinked/status/720537089620639744","720537089620639744")</f>
        <v>720537089620639744</v>
      </c>
      <c r="F85" s="11" t="s">
        <v>115</v>
      </c>
      <c r="G85" s="11">
        <v>600</v>
      </c>
      <c r="H85" s="11">
        <v>1201</v>
      </c>
      <c r="I85" s="11">
        <v>1</v>
      </c>
      <c r="J85" s="11">
        <v>0</v>
      </c>
      <c r="K85" s="11" t="s">
        <v>21</v>
      </c>
      <c r="L85" s="7">
        <v>41463.077627314815</v>
      </c>
      <c r="M85" s="12" t="s">
        <v>265</v>
      </c>
      <c r="N85" s="12" t="s">
        <v>266</v>
      </c>
      <c r="O85" s="10" t="str">
        <f>HYPERLINK("https://pbs.twimg.com/profile_images/722385992343285760/ww8YLZ2q_normal.jpg","View")</f>
        <v>View</v>
      </c>
      <c r="P85" s="11"/>
    </row>
    <row r="86" spans="1:16" ht="12.75" x14ac:dyDescent="0.35">
      <c r="A86" s="7">
        <v>42474.604444444441</v>
      </c>
      <c r="B86" s="8" t="str">
        <f>HYPERLINK("https://twitter.com/y_anniks","@y_anniks")</f>
        <v>@y_anniks</v>
      </c>
      <c r="C86" s="9" t="s">
        <v>267</v>
      </c>
      <c r="D86" s="9" t="s">
        <v>230</v>
      </c>
      <c r="E86" s="10" t="str">
        <f>HYPERLINK("https://twitter.com/y_anniks/status/720537174941265920","720537174941265920")</f>
        <v>720537174941265920</v>
      </c>
      <c r="F86" s="11" t="s">
        <v>268</v>
      </c>
      <c r="G86" s="11">
        <v>60</v>
      </c>
      <c r="H86" s="11">
        <v>187</v>
      </c>
      <c r="I86" s="11">
        <v>15</v>
      </c>
      <c r="J86" s="11">
        <v>0</v>
      </c>
      <c r="K86" s="11" t="s">
        <v>21</v>
      </c>
      <c r="L86" s="7">
        <v>40522.821030092593</v>
      </c>
      <c r="M86" s="12" t="s">
        <v>121</v>
      </c>
      <c r="N86" s="12" t="s">
        <v>269</v>
      </c>
      <c r="O86" s="10" t="str">
        <f>HYPERLINK("https://pbs.twimg.com/profile_images/644160034352459776/BdkZFdz5_normal.jpg","View")</f>
        <v>View</v>
      </c>
      <c r="P86" s="11"/>
    </row>
    <row r="87" spans="1:16" ht="12.75" x14ac:dyDescent="0.35">
      <c r="A87" s="7">
        <v>42474.604513888888</v>
      </c>
      <c r="B87" s="8" t="str">
        <f>HYPERLINK("https://twitter.com/kommoptimierer","@kommoptimierer")</f>
        <v>@kommoptimierer</v>
      </c>
      <c r="C87" s="9" t="s">
        <v>270</v>
      </c>
      <c r="D87" s="9" t="s">
        <v>271</v>
      </c>
      <c r="E87" s="10" t="str">
        <f>HYPERLINK("https://twitter.com/kommoptimierer/status/720537200505565184","720537200505565184")</f>
        <v>720537200505565184</v>
      </c>
      <c r="F87" s="11" t="s">
        <v>272</v>
      </c>
      <c r="G87" s="11">
        <v>1347</v>
      </c>
      <c r="H87" s="11">
        <v>1753</v>
      </c>
      <c r="I87" s="11">
        <v>1</v>
      </c>
      <c r="J87" s="11">
        <v>0</v>
      </c>
      <c r="K87" s="11" t="s">
        <v>21</v>
      </c>
      <c r="L87" s="7">
        <v>39986.860358796301</v>
      </c>
      <c r="M87" s="12" t="s">
        <v>273</v>
      </c>
      <c r="N87" s="12" t="s">
        <v>274</v>
      </c>
      <c r="O87" s="10" t="str">
        <f>HYPERLINK("https://pbs.twimg.com/profile_images/541146126158536704/IYardufS_normal.jpeg","View")</f>
        <v>View</v>
      </c>
      <c r="P87" s="11"/>
    </row>
    <row r="88" spans="1:16" ht="12.75" x14ac:dyDescent="0.35">
      <c r="A88" s="7">
        <v>42474.605231481481</v>
      </c>
      <c r="B88" s="8" t="str">
        <f>HYPERLINK("https://twitter.com/INDIZbot","@INDIZbot")</f>
        <v>@INDIZbot</v>
      </c>
      <c r="C88" s="9" t="s">
        <v>61</v>
      </c>
      <c r="D88" s="9" t="s">
        <v>275</v>
      </c>
      <c r="E88" s="10" t="str">
        <f>HYPERLINK("https://twitter.com/INDIZbot/status/720537463459024896","720537463459024896")</f>
        <v>720537463459024896</v>
      </c>
      <c r="F88" s="11" t="s">
        <v>62</v>
      </c>
      <c r="G88" s="11">
        <v>1762</v>
      </c>
      <c r="H88" s="11">
        <v>481</v>
      </c>
      <c r="I88" s="11">
        <v>1</v>
      </c>
      <c r="J88" s="11">
        <v>0</v>
      </c>
      <c r="K88" s="11" t="s">
        <v>21</v>
      </c>
      <c r="L88" s="7">
        <v>42267.011921296296</v>
      </c>
      <c r="M88" s="12"/>
      <c r="N88" s="12" t="s">
        <v>63</v>
      </c>
      <c r="O88" s="10" t="str">
        <f>HYPERLINK("https://pbs.twimg.com/profile_images/645716711723925506/t5G0qOS6_normal.jpg","View")</f>
        <v>View</v>
      </c>
      <c r="P88" s="11"/>
    </row>
    <row r="89" spans="1:16" ht="12.75" x14ac:dyDescent="0.35">
      <c r="A89" s="7">
        <v>42474.60538194445</v>
      </c>
      <c r="B89" s="8" t="str">
        <f>HYPERLINK("https://twitter.com/PeterMWald","@PeterMWald")</f>
        <v>@PeterMWald</v>
      </c>
      <c r="C89" s="9" t="s">
        <v>276</v>
      </c>
      <c r="D89" s="9" t="s">
        <v>241</v>
      </c>
      <c r="E89" s="10" t="str">
        <f>HYPERLINK("https://twitter.com/PeterMWald/status/720537517129351168","720537517129351168")</f>
        <v>720537517129351168</v>
      </c>
      <c r="F89" s="11" t="s">
        <v>25</v>
      </c>
      <c r="G89" s="11">
        <v>1736</v>
      </c>
      <c r="H89" s="11">
        <v>691</v>
      </c>
      <c r="I89" s="11">
        <v>10</v>
      </c>
      <c r="J89" s="11">
        <v>0</v>
      </c>
      <c r="K89" s="11" t="s">
        <v>21</v>
      </c>
      <c r="L89" s="7">
        <v>39879.800752314812</v>
      </c>
      <c r="M89" s="12" t="s">
        <v>277</v>
      </c>
      <c r="N89" s="12" t="s">
        <v>278</v>
      </c>
      <c r="O89" s="10" t="str">
        <f>HYPERLINK("https://pbs.twimg.com/profile_images/89764596/IMG_0027_normal.JPG","View")</f>
        <v>View</v>
      </c>
      <c r="P89" s="11"/>
    </row>
    <row r="90" spans="1:16" ht="12.75" x14ac:dyDescent="0.35">
      <c r="A90" s="7">
        <v>42474.605960648143</v>
      </c>
      <c r="B90" s="8" t="str">
        <f>HYPERLINK("https://twitter.com/INDIZbot","@INDIZbot")</f>
        <v>@INDIZbot</v>
      </c>
      <c r="C90" s="9" t="s">
        <v>61</v>
      </c>
      <c r="D90" s="9" t="s">
        <v>279</v>
      </c>
      <c r="E90" s="10" t="str">
        <f>HYPERLINK("https://twitter.com/INDIZbot/status/720537724407648256","720537724407648256")</f>
        <v>720537724407648256</v>
      </c>
      <c r="F90" s="11" t="s">
        <v>62</v>
      </c>
      <c r="G90" s="11">
        <v>1762</v>
      </c>
      <c r="H90" s="11">
        <v>481</v>
      </c>
      <c r="I90" s="11">
        <v>1</v>
      </c>
      <c r="J90" s="11">
        <v>0</v>
      </c>
      <c r="K90" s="11" t="s">
        <v>21</v>
      </c>
      <c r="L90" s="7">
        <v>42267.011921296296</v>
      </c>
      <c r="M90" s="12"/>
      <c r="N90" s="12" t="s">
        <v>63</v>
      </c>
      <c r="O90" s="10" t="str">
        <f>HYPERLINK("https://pbs.twimg.com/profile_images/645716711723925506/t5G0qOS6_normal.jpg","View")</f>
        <v>View</v>
      </c>
      <c r="P90" s="11"/>
    </row>
    <row r="91" spans="1:16" ht="12.75" x14ac:dyDescent="0.35">
      <c r="A91" s="7">
        <v>42474.607858796298</v>
      </c>
      <c r="B91" s="8" t="str">
        <f>HYPERLINK("https://twitter.com/CapgeminiDE","@CapgeminiDE")</f>
        <v>@CapgeminiDE</v>
      </c>
      <c r="C91" s="9" t="s">
        <v>280</v>
      </c>
      <c r="D91" s="9" t="s">
        <v>281</v>
      </c>
      <c r="E91" s="10" t="str">
        <f>HYPERLINK("https://twitter.com/CapgeminiDE/status/720538413624074240","720538413624074240")</f>
        <v>720538413624074240</v>
      </c>
      <c r="F91" s="11" t="s">
        <v>39</v>
      </c>
      <c r="G91" s="11">
        <v>1640</v>
      </c>
      <c r="H91" s="11">
        <v>509</v>
      </c>
      <c r="I91" s="11">
        <v>0</v>
      </c>
      <c r="J91" s="11">
        <v>0</v>
      </c>
      <c r="K91" s="11" t="s">
        <v>21</v>
      </c>
      <c r="L91" s="7">
        <v>40424.022048611107</v>
      </c>
      <c r="M91" s="12" t="s">
        <v>218</v>
      </c>
      <c r="N91" s="12" t="s">
        <v>282</v>
      </c>
      <c r="O91" s="10" t="str">
        <f>HYPERLINK("https://pbs.twimg.com/profile_images/666911961599315968/aP7ID_qm_normal.png","View")</f>
        <v>View</v>
      </c>
      <c r="P91" s="11"/>
    </row>
    <row r="92" spans="1:16" ht="12.75" x14ac:dyDescent="0.35">
      <c r="A92" s="7">
        <v>42474.615844907406</v>
      </c>
      <c r="B92" s="8" t="str">
        <f>HYPERLINK("https://twitter.com/TizianoLenoci","@TizianoLenoci")</f>
        <v>@TizianoLenoci</v>
      </c>
      <c r="C92" s="9" t="s">
        <v>283</v>
      </c>
      <c r="D92" s="9" t="s">
        <v>284</v>
      </c>
      <c r="E92" s="10" t="str">
        <f>HYPERLINK("https://twitter.com/TizianoLenoci/status/720541307026980864","720541307026980864")</f>
        <v>720541307026980864</v>
      </c>
      <c r="F92" s="11" t="s">
        <v>31</v>
      </c>
      <c r="G92" s="11">
        <v>1303</v>
      </c>
      <c r="H92" s="11">
        <v>1674</v>
      </c>
      <c r="I92" s="11">
        <v>3</v>
      </c>
      <c r="J92" s="11">
        <v>0</v>
      </c>
      <c r="K92" s="11" t="s">
        <v>21</v>
      </c>
      <c r="L92" s="7">
        <v>40703.516273148147</v>
      </c>
      <c r="M92" s="12" t="s">
        <v>285</v>
      </c>
      <c r="N92" s="12" t="s">
        <v>286</v>
      </c>
      <c r="O92" s="10" t="str">
        <f>HYPERLINK("https://pbs.twimg.com/profile_images/713084835712143360/xWrADVIr_normal.jpg","View")</f>
        <v>View</v>
      </c>
      <c r="P92" s="11"/>
    </row>
    <row r="93" spans="1:16" ht="12.75" x14ac:dyDescent="0.35">
      <c r="A93" s="7">
        <v>42474.61613425926</v>
      </c>
      <c r="B93" s="8" t="str">
        <f>HYPERLINK("https://twitter.com/Apandia","@Apandia")</f>
        <v>@Apandia</v>
      </c>
      <c r="C93" s="9" t="s">
        <v>245</v>
      </c>
      <c r="D93" s="9" t="s">
        <v>287</v>
      </c>
      <c r="E93" s="10" t="str">
        <f>HYPERLINK("https://twitter.com/Apandia/status/720541412245270528","720541412245270528")</f>
        <v>720541412245270528</v>
      </c>
      <c r="F93" s="11" t="s">
        <v>115</v>
      </c>
      <c r="G93" s="11">
        <v>196</v>
      </c>
      <c r="H93" s="11">
        <v>384</v>
      </c>
      <c r="I93" s="11">
        <v>3</v>
      </c>
      <c r="J93" s="11">
        <v>0</v>
      </c>
      <c r="K93" s="11" t="s">
        <v>21</v>
      </c>
      <c r="L93" s="7">
        <v>39966.049884259257</v>
      </c>
      <c r="M93" s="12" t="s">
        <v>247</v>
      </c>
      <c r="N93" s="12" t="s">
        <v>248</v>
      </c>
      <c r="O93" s="10" t="str">
        <f>HYPERLINK("https://pbs.twimg.com/profile_images/685327213/Apandia_normal.gif","View")</f>
        <v>View</v>
      </c>
      <c r="P93" s="11"/>
    </row>
    <row r="94" spans="1:16" ht="12.75" x14ac:dyDescent="0.35">
      <c r="A94" s="7">
        <v>42474.616990740746</v>
      </c>
      <c r="B94" s="8" t="str">
        <f>HYPERLINK("https://twitter.com/Tim_Caesar","@Tim_Caesar")</f>
        <v>@Tim_Caesar</v>
      </c>
      <c r="C94" s="9" t="s">
        <v>288</v>
      </c>
      <c r="D94" s="9" t="s">
        <v>289</v>
      </c>
      <c r="E94" s="10" t="str">
        <f>HYPERLINK("https://twitter.com/Tim_Caesar/status/720541721222889472","720541721222889472")</f>
        <v>720541721222889472</v>
      </c>
      <c r="F94" s="11" t="s">
        <v>31</v>
      </c>
      <c r="G94" s="11">
        <v>2056</v>
      </c>
      <c r="H94" s="11">
        <v>1543</v>
      </c>
      <c r="I94" s="11">
        <v>0</v>
      </c>
      <c r="J94" s="11">
        <v>1</v>
      </c>
      <c r="K94" s="11" t="s">
        <v>21</v>
      </c>
      <c r="L94" s="7">
        <v>40005.441817129627</v>
      </c>
      <c r="M94" s="12" t="s">
        <v>290</v>
      </c>
      <c r="N94" s="12" t="s">
        <v>291</v>
      </c>
      <c r="O94" s="10" t="str">
        <f>HYPERLINK("https://pbs.twimg.com/profile_images/574517024556089345/fuK3tcde_normal.jpeg","View")</f>
        <v>View</v>
      </c>
      <c r="P94" s="11"/>
    </row>
    <row r="95" spans="1:16" ht="12.75" x14ac:dyDescent="0.35">
      <c r="A95" s="7">
        <v>42474.619108796294</v>
      </c>
      <c r="B95" s="8" t="str">
        <f>HYPERLINK("https://twitter.com/VincentSchwerd","@VincentSchwerd")</f>
        <v>@VincentSchwerd</v>
      </c>
      <c r="C95" s="9" t="s">
        <v>292</v>
      </c>
      <c r="D95" s="9" t="s">
        <v>293</v>
      </c>
      <c r="E95" s="10" t="str">
        <f>HYPERLINK("https://twitter.com/VincentSchwerd/status/720542490806366209","720542490806366209")</f>
        <v>720542490806366209</v>
      </c>
      <c r="F95" s="11" t="s">
        <v>20</v>
      </c>
      <c r="G95" s="11">
        <v>54</v>
      </c>
      <c r="H95" s="11">
        <v>84</v>
      </c>
      <c r="I95" s="11">
        <v>0</v>
      </c>
      <c r="J95" s="11">
        <v>0</v>
      </c>
      <c r="K95" s="11" t="s">
        <v>21</v>
      </c>
      <c r="L95" s="7">
        <v>41810.76253472222</v>
      </c>
      <c r="M95" s="12" t="s">
        <v>294</v>
      </c>
      <c r="N95" s="12" t="s">
        <v>295</v>
      </c>
      <c r="O95" s="10" t="str">
        <f>HYPERLINK("https://pbs.twimg.com/profile_images/545571840358227968/nU5Ag3e7_normal.jpeg","View")</f>
        <v>View</v>
      </c>
      <c r="P95" s="11"/>
    </row>
    <row r="96" spans="1:16" ht="12.75" x14ac:dyDescent="0.35">
      <c r="A96" s="7">
        <v>42474.620868055557</v>
      </c>
      <c r="B96" s="8" t="str">
        <f>HYPERLINK("https://twitter.com/Apandia","@Apandia")</f>
        <v>@Apandia</v>
      </c>
      <c r="C96" s="9" t="s">
        <v>245</v>
      </c>
      <c r="D96" s="9" t="s">
        <v>296</v>
      </c>
      <c r="E96" s="10" t="str">
        <f>HYPERLINK("https://twitter.com/Apandia/status/720543126721421312","720543126721421312")</f>
        <v>720543126721421312</v>
      </c>
      <c r="F96" s="11" t="s">
        <v>115</v>
      </c>
      <c r="G96" s="11">
        <v>196</v>
      </c>
      <c r="H96" s="11">
        <v>384</v>
      </c>
      <c r="I96" s="11">
        <v>0</v>
      </c>
      <c r="J96" s="11">
        <v>0</v>
      </c>
      <c r="K96" s="11" t="s">
        <v>21</v>
      </c>
      <c r="L96" s="7">
        <v>39966.049884259257</v>
      </c>
      <c r="M96" s="12" t="s">
        <v>247</v>
      </c>
      <c r="N96" s="12" t="s">
        <v>248</v>
      </c>
      <c r="O96" s="10" t="str">
        <f>HYPERLINK("https://pbs.twimg.com/profile_images/685327213/Apandia_normal.gif","View")</f>
        <v>View</v>
      </c>
      <c r="P96" s="11"/>
    </row>
    <row r="97" spans="1:16" ht="12.75" x14ac:dyDescent="0.35">
      <c r="A97" s="7">
        <v>42474.621828703705</v>
      </c>
      <c r="B97" s="8" t="str">
        <f>HYPERLINK("https://twitter.com/automotive_IT","@automotive_IT")</f>
        <v>@automotive_IT</v>
      </c>
      <c r="C97" s="9" t="s">
        <v>297</v>
      </c>
      <c r="D97" s="9" t="s">
        <v>298</v>
      </c>
      <c r="E97" s="10" t="str">
        <f>HYPERLINK("https://twitter.com/automotive_IT/status/720543476065177602","720543476065177602")</f>
        <v>720543476065177602</v>
      </c>
      <c r="F97" s="11" t="s">
        <v>115</v>
      </c>
      <c r="G97" s="11">
        <v>1501</v>
      </c>
      <c r="H97" s="11">
        <v>385</v>
      </c>
      <c r="I97" s="11">
        <v>1</v>
      </c>
      <c r="J97" s="11">
        <v>0</v>
      </c>
      <c r="K97" s="11" t="s">
        <v>21</v>
      </c>
      <c r="L97" s="7">
        <v>39919.805219907408</v>
      </c>
      <c r="M97" s="12" t="s">
        <v>299</v>
      </c>
      <c r="N97" s="12" t="s">
        <v>300</v>
      </c>
      <c r="O97" s="10" t="str">
        <f>HYPERLINK("https://pbs.twimg.com/profile_images/616871511236997121/YFo9usbN_normal.png","View")</f>
        <v>View</v>
      </c>
      <c r="P97" s="11"/>
    </row>
    <row r="98" spans="1:16" ht="12.75" x14ac:dyDescent="0.35">
      <c r="A98" s="7">
        <v>42474.62226851852</v>
      </c>
      <c r="B98" s="8" t="str">
        <f>HYPERLINK("https://twitter.com/Tim_Caesar","@Tim_Caesar")</f>
        <v>@Tim_Caesar</v>
      </c>
      <c r="C98" s="9" t="s">
        <v>288</v>
      </c>
      <c r="D98" s="9" t="s">
        <v>301</v>
      </c>
      <c r="E98" s="10" t="str">
        <f>HYPERLINK("https://twitter.com/Tim_Caesar/status/720543636597915648","720543636597915648")</f>
        <v>720543636597915648</v>
      </c>
      <c r="F98" s="11" t="s">
        <v>31</v>
      </c>
      <c r="G98" s="11">
        <v>2056</v>
      </c>
      <c r="H98" s="11">
        <v>1543</v>
      </c>
      <c r="I98" s="11">
        <v>1</v>
      </c>
      <c r="J98" s="11">
        <v>0</v>
      </c>
      <c r="K98" s="11" t="s">
        <v>21</v>
      </c>
      <c r="L98" s="7">
        <v>40005.441817129627</v>
      </c>
      <c r="M98" s="12" t="s">
        <v>290</v>
      </c>
      <c r="N98" s="12" t="s">
        <v>291</v>
      </c>
      <c r="O98" s="10" t="str">
        <f>HYPERLINK("https://pbs.twimg.com/profile_images/574517024556089345/fuK3tcde_normal.jpeg","View")</f>
        <v>View</v>
      </c>
      <c r="P98" s="11"/>
    </row>
    <row r="99" spans="1:16" ht="12.75" x14ac:dyDescent="0.35">
      <c r="A99" s="7">
        <v>42474.623101851852</v>
      </c>
      <c r="B99" s="8" t="str">
        <f>HYPERLINK("https://twitter.com/MeinGeldMedien","@MeinGeldMedien")</f>
        <v>@MeinGeldMedien</v>
      </c>
      <c r="C99" s="9" t="s">
        <v>302</v>
      </c>
      <c r="D99" s="9" t="s">
        <v>303</v>
      </c>
      <c r="E99" s="10" t="str">
        <f>HYPERLINK("https://twitter.com/MeinGeldMedien/status/720543938105458689","720543938105458689")</f>
        <v>720543938105458689</v>
      </c>
      <c r="F99" s="11" t="s">
        <v>39</v>
      </c>
      <c r="G99" s="11">
        <v>694</v>
      </c>
      <c r="H99" s="11">
        <v>583</v>
      </c>
      <c r="I99" s="11">
        <v>1</v>
      </c>
      <c r="J99" s="11">
        <v>0</v>
      </c>
      <c r="K99" s="11" t="s">
        <v>21</v>
      </c>
      <c r="L99" s="7">
        <v>41793.608449074076</v>
      </c>
      <c r="M99" s="12" t="s">
        <v>218</v>
      </c>
      <c r="N99" s="12" t="s">
        <v>304</v>
      </c>
      <c r="O99" s="10" t="str">
        <f>HYPERLINK("https://pbs.twimg.com/profile_images/473759721023758338/3CcJL-Vq_normal.jpeg","View")</f>
        <v>View</v>
      </c>
      <c r="P99" s="11"/>
    </row>
    <row r="100" spans="1:16" ht="12.75" x14ac:dyDescent="0.35">
      <c r="A100" s="7">
        <v>42474.623738425929</v>
      </c>
      <c r="B100" s="8" t="str">
        <f>HYPERLINK("https://twitter.com/Marc_Leeuw","@Marc_Leeuw")</f>
        <v>@Marc_Leeuw</v>
      </c>
      <c r="C100" s="9" t="s">
        <v>305</v>
      </c>
      <c r="D100" s="9" t="s">
        <v>306</v>
      </c>
      <c r="E100" s="10" t="str">
        <f>HYPERLINK("https://twitter.com/Marc_Leeuw/status/720544166627962880","720544166627962880")</f>
        <v>720544166627962880</v>
      </c>
      <c r="F100" s="11" t="s">
        <v>39</v>
      </c>
      <c r="G100" s="11">
        <v>513</v>
      </c>
      <c r="H100" s="11">
        <v>394</v>
      </c>
      <c r="I100" s="11">
        <v>6</v>
      </c>
      <c r="J100" s="11">
        <v>0</v>
      </c>
      <c r="K100" s="11" t="s">
        <v>21</v>
      </c>
      <c r="L100" s="7">
        <v>39840.664594907408</v>
      </c>
      <c r="M100" s="12" t="s">
        <v>307</v>
      </c>
      <c r="N100" s="12" t="s">
        <v>308</v>
      </c>
      <c r="O100" s="10" t="str">
        <f>HYPERLINK("https://pbs.twimg.com/profile_images/636436164719833088/w9xzGNpd_normal.png","View")</f>
        <v>View</v>
      </c>
      <c r="P100" s="11"/>
    </row>
    <row r="101" spans="1:16" ht="12.75" x14ac:dyDescent="0.35">
      <c r="A101" s="7">
        <v>42474.624814814815</v>
      </c>
      <c r="B101" s="8" t="str">
        <f>HYPERLINK("https://twitter.com/blaudoux","@blaudoux")</f>
        <v>@blaudoux</v>
      </c>
      <c r="C101" s="9" t="s">
        <v>309</v>
      </c>
      <c r="D101" s="9" t="s">
        <v>310</v>
      </c>
      <c r="E101" s="10" t="str">
        <f>HYPERLINK("https://twitter.com/blaudoux/status/720544560213057536","720544560213057536")</f>
        <v>720544560213057536</v>
      </c>
      <c r="F101" s="11" t="s">
        <v>31</v>
      </c>
      <c r="G101" s="11">
        <v>138</v>
      </c>
      <c r="H101" s="11">
        <v>68</v>
      </c>
      <c r="I101" s="11">
        <v>0</v>
      </c>
      <c r="J101" s="11">
        <v>0</v>
      </c>
      <c r="K101" s="11" t="s">
        <v>21</v>
      </c>
      <c r="L101" s="7">
        <v>40962.882557870369</v>
      </c>
      <c r="M101" s="12" t="s">
        <v>45</v>
      </c>
      <c r="N101" s="12" t="s">
        <v>311</v>
      </c>
      <c r="O101" s="10" t="str">
        <f>HYPERLINK("https://pbs.twimg.com/profile_images/565182407536427008/csyYWkPB_normal.jpeg","View")</f>
        <v>View</v>
      </c>
      <c r="P101" s="11"/>
    </row>
    <row r="102" spans="1:16" ht="12.75" x14ac:dyDescent="0.35">
      <c r="A102" s="7">
        <v>42474.625798611116</v>
      </c>
      <c r="B102" s="8" t="str">
        <f t="shared" ref="B102:B104" si="4">HYPERLINK("https://twitter.com/INDIZbot","@INDIZbot")</f>
        <v>@INDIZbot</v>
      </c>
      <c r="C102" s="9" t="s">
        <v>61</v>
      </c>
      <c r="D102" s="9" t="s">
        <v>312</v>
      </c>
      <c r="E102" s="10" t="str">
        <f>HYPERLINK("https://twitter.com/INDIZbot/status/720544914489155584","720544914489155584")</f>
        <v>720544914489155584</v>
      </c>
      <c r="F102" s="11" t="s">
        <v>62</v>
      </c>
      <c r="G102" s="11">
        <v>1762</v>
      </c>
      <c r="H102" s="11">
        <v>481</v>
      </c>
      <c r="I102" s="11">
        <v>1</v>
      </c>
      <c r="J102" s="11">
        <v>0</v>
      </c>
      <c r="K102" s="11" t="s">
        <v>21</v>
      </c>
      <c r="L102" s="7">
        <v>42267.011921296296</v>
      </c>
      <c r="M102" s="12"/>
      <c r="N102" s="12" t="s">
        <v>63</v>
      </c>
      <c r="O102" s="10" t="str">
        <f t="shared" ref="O102:O104" si="5">HYPERLINK("https://pbs.twimg.com/profile_images/645716711723925506/t5G0qOS6_normal.jpg","View")</f>
        <v>View</v>
      </c>
      <c r="P102" s="11"/>
    </row>
    <row r="103" spans="1:16" ht="12.75" x14ac:dyDescent="0.35">
      <c r="A103" s="7">
        <v>42474.626111111109</v>
      </c>
      <c r="B103" s="8" t="str">
        <f t="shared" si="4"/>
        <v>@INDIZbot</v>
      </c>
      <c r="C103" s="9" t="s">
        <v>61</v>
      </c>
      <c r="D103" s="9" t="s">
        <v>313</v>
      </c>
      <c r="E103" s="10" t="str">
        <f>HYPERLINK("https://twitter.com/INDIZbot/status/720545028012175360","720545028012175360")</f>
        <v>720545028012175360</v>
      </c>
      <c r="F103" s="11" t="s">
        <v>62</v>
      </c>
      <c r="G103" s="11">
        <v>1762</v>
      </c>
      <c r="H103" s="11">
        <v>481</v>
      </c>
      <c r="I103" s="11">
        <v>1</v>
      </c>
      <c r="J103" s="11">
        <v>0</v>
      </c>
      <c r="K103" s="11" t="s">
        <v>21</v>
      </c>
      <c r="L103" s="7">
        <v>42267.011921296296</v>
      </c>
      <c r="M103" s="12"/>
      <c r="N103" s="12" t="s">
        <v>63</v>
      </c>
      <c r="O103" s="10" t="str">
        <f t="shared" si="5"/>
        <v>View</v>
      </c>
      <c r="P103" s="11"/>
    </row>
    <row r="104" spans="1:16" ht="12.75" x14ac:dyDescent="0.35">
      <c r="A104" s="7">
        <v>42474.626458333332</v>
      </c>
      <c r="B104" s="8" t="str">
        <f t="shared" si="4"/>
        <v>@INDIZbot</v>
      </c>
      <c r="C104" s="9" t="s">
        <v>61</v>
      </c>
      <c r="D104" s="9" t="s">
        <v>314</v>
      </c>
      <c r="E104" s="10" t="str">
        <f>HYPERLINK("https://twitter.com/INDIZbot/status/720545153115635713","720545153115635713")</f>
        <v>720545153115635713</v>
      </c>
      <c r="F104" s="11" t="s">
        <v>62</v>
      </c>
      <c r="G104" s="11">
        <v>1762</v>
      </c>
      <c r="H104" s="11">
        <v>481</v>
      </c>
      <c r="I104" s="11">
        <v>1</v>
      </c>
      <c r="J104" s="11">
        <v>0</v>
      </c>
      <c r="K104" s="11" t="s">
        <v>21</v>
      </c>
      <c r="L104" s="7">
        <v>42267.011921296296</v>
      </c>
      <c r="M104" s="12"/>
      <c r="N104" s="12" t="s">
        <v>63</v>
      </c>
      <c r="O104" s="10" t="str">
        <f t="shared" si="5"/>
        <v>View</v>
      </c>
      <c r="P104" s="11"/>
    </row>
    <row r="105" spans="1:16" ht="12.75" x14ac:dyDescent="0.35">
      <c r="A105" s="7">
        <v>42474.627523148149</v>
      </c>
      <c r="B105" s="8" t="str">
        <f>HYPERLINK("https://twitter.com/mbrilhault","@mbrilhault")</f>
        <v>@mbrilhault</v>
      </c>
      <c r="C105" s="9" t="s">
        <v>315</v>
      </c>
      <c r="D105" s="9" t="s">
        <v>188</v>
      </c>
      <c r="E105" s="10" t="str">
        <f>HYPERLINK("https://twitter.com/mbrilhault/status/720545539889242113","720545539889242113")</f>
        <v>720545539889242113</v>
      </c>
      <c r="F105" s="11" t="s">
        <v>84</v>
      </c>
      <c r="G105" s="11">
        <v>113</v>
      </c>
      <c r="H105" s="11">
        <v>311</v>
      </c>
      <c r="I105" s="11">
        <v>13</v>
      </c>
      <c r="J105" s="11">
        <v>0</v>
      </c>
      <c r="K105" s="11" t="s">
        <v>21</v>
      </c>
      <c r="L105" s="7">
        <v>40587.994375000002</v>
      </c>
      <c r="M105" s="12" t="s">
        <v>243</v>
      </c>
      <c r="N105" s="12" t="s">
        <v>316</v>
      </c>
      <c r="O105" s="10" t="str">
        <f>HYPERLINK("https://pbs.twimg.com/profile_images/570939838803632128/7pCUkjlR_normal.png","View")</f>
        <v>View</v>
      </c>
      <c r="P105" s="11"/>
    </row>
    <row r="106" spans="1:16" ht="12.75" x14ac:dyDescent="0.35">
      <c r="A106" s="7">
        <v>42474.632314814815</v>
      </c>
      <c r="B106" s="8" t="str">
        <f>HYPERLINK("https://twitter.com/mitunsdigital","@mitunsdigital")</f>
        <v>@mitunsdigital</v>
      </c>
      <c r="C106" s="9" t="s">
        <v>317</v>
      </c>
      <c r="D106" s="9" t="s">
        <v>318</v>
      </c>
      <c r="E106" s="10" t="str">
        <f>HYPERLINK("https://twitter.com/mitunsdigital/status/720547276477886464","720547276477886464")</f>
        <v>720547276477886464</v>
      </c>
      <c r="F106" s="11" t="s">
        <v>25</v>
      </c>
      <c r="G106" s="11">
        <v>31</v>
      </c>
      <c r="H106" s="11">
        <v>11</v>
      </c>
      <c r="I106" s="11">
        <v>0</v>
      </c>
      <c r="J106" s="11">
        <v>1</v>
      </c>
      <c r="K106" s="11" t="s">
        <v>21</v>
      </c>
      <c r="L106" s="7">
        <v>42404.75980324074</v>
      </c>
      <c r="M106" s="12"/>
      <c r="N106" s="12"/>
      <c r="O106" s="10" t="str">
        <f>HYPERLINK("https://pbs.twimg.com/profile_images/695227740136587265/5eHVsAlx_normal.png","View")</f>
        <v>View</v>
      </c>
      <c r="P106" s="11"/>
    </row>
    <row r="107" spans="1:16" ht="12.75" x14ac:dyDescent="0.35">
      <c r="A107" s="7">
        <v>42474.63381944444</v>
      </c>
      <c r="B107" s="8" t="str">
        <f>HYPERLINK("https://twitter.com/mint22com","@mint22com")</f>
        <v>@mint22com</v>
      </c>
      <c r="C107" s="9" t="s">
        <v>319</v>
      </c>
      <c r="D107" s="9" t="s">
        <v>320</v>
      </c>
      <c r="E107" s="10" t="str">
        <f>HYPERLINK("https://twitter.com/mint22com/status/720547820554620928","720547820554620928")</f>
        <v>720547820554620928</v>
      </c>
      <c r="F107" s="11" t="s">
        <v>25</v>
      </c>
      <c r="G107" s="11">
        <v>40</v>
      </c>
      <c r="H107" s="11">
        <v>109</v>
      </c>
      <c r="I107" s="11">
        <v>0</v>
      </c>
      <c r="J107" s="11">
        <v>1</v>
      </c>
      <c r="K107" s="11" t="s">
        <v>21</v>
      </c>
      <c r="L107" s="7">
        <v>42098.789085648154</v>
      </c>
      <c r="M107" s="12" t="s">
        <v>321</v>
      </c>
      <c r="N107" s="12" t="s">
        <v>322</v>
      </c>
      <c r="O107" s="10" t="str">
        <f>HYPERLINK("https://pbs.twimg.com/profile_images/709020486072713216/SRvMkEf1_normal.jpg","View")</f>
        <v>View</v>
      </c>
      <c r="P107" s="11"/>
    </row>
    <row r="108" spans="1:16" ht="12.75" x14ac:dyDescent="0.35">
      <c r="A108" s="7">
        <v>42474.635300925926</v>
      </c>
      <c r="B108" s="8" t="str">
        <f>HYPERLINK("https://twitter.com/derVITM","@derVITM")</f>
        <v>@derVITM</v>
      </c>
      <c r="C108" s="9" t="s">
        <v>323</v>
      </c>
      <c r="D108" s="9" t="s">
        <v>230</v>
      </c>
      <c r="E108" s="10" t="str">
        <f>HYPERLINK("https://twitter.com/derVITM/status/720548358893518848","720548358893518848")</f>
        <v>720548358893518848</v>
      </c>
      <c r="F108" s="11" t="s">
        <v>25</v>
      </c>
      <c r="G108" s="11">
        <v>24</v>
      </c>
      <c r="H108" s="11">
        <v>37</v>
      </c>
      <c r="I108" s="11">
        <v>15</v>
      </c>
      <c r="J108" s="11">
        <v>0</v>
      </c>
      <c r="K108" s="11" t="s">
        <v>21</v>
      </c>
      <c r="L108" s="7">
        <v>42290.809374999997</v>
      </c>
      <c r="M108" s="12" t="s">
        <v>324</v>
      </c>
      <c r="N108" s="12" t="s">
        <v>325</v>
      </c>
      <c r="O108" s="10" t="str">
        <f>HYPERLINK("https://pbs.twimg.com/profile_images/653933165556428800/DJXzWpgl_normal.jpg","View")</f>
        <v>View</v>
      </c>
      <c r="P108" s="11"/>
    </row>
    <row r="109" spans="1:16" ht="12.75" x14ac:dyDescent="0.35">
      <c r="A109" s="7">
        <v>42474.639664351853</v>
      </c>
      <c r="B109" s="8" t="str">
        <f t="shared" ref="B109:B110" si="6">HYPERLINK("https://twitter.com/digitale_Konst","@digitale_Konst")</f>
        <v>@digitale_Konst</v>
      </c>
      <c r="C109" s="9" t="s">
        <v>326</v>
      </c>
      <c r="D109" s="9" t="s">
        <v>327</v>
      </c>
      <c r="E109" s="10" t="str">
        <f>HYPERLINK("https://twitter.com/digitale_Konst/status/720549941404442624","720549941404442624")</f>
        <v>720549941404442624</v>
      </c>
      <c r="F109" s="11" t="s">
        <v>25</v>
      </c>
      <c r="G109" s="11">
        <v>1177</v>
      </c>
      <c r="H109" s="11">
        <v>1128</v>
      </c>
      <c r="I109" s="11">
        <v>0</v>
      </c>
      <c r="J109" s="11">
        <v>0</v>
      </c>
      <c r="K109" s="11" t="s">
        <v>21</v>
      </c>
      <c r="L109" s="7">
        <v>40267.770370370374</v>
      </c>
      <c r="M109" s="12" t="s">
        <v>121</v>
      </c>
      <c r="N109" s="12" t="s">
        <v>328</v>
      </c>
      <c r="O109" s="10" t="str">
        <f t="shared" ref="O109:O110" si="7">HYPERLINK("https://pbs.twimg.com/profile_images/464033027979354112/23dSqd5o_normal.jpeg","View")</f>
        <v>View</v>
      </c>
      <c r="P109" s="11"/>
    </row>
    <row r="110" spans="1:16" ht="12.75" x14ac:dyDescent="0.35">
      <c r="A110" s="7">
        <v>42474.640694444446</v>
      </c>
      <c r="B110" s="8" t="str">
        <f t="shared" si="6"/>
        <v>@digitale_Konst</v>
      </c>
      <c r="C110" s="9" t="s">
        <v>326</v>
      </c>
      <c r="D110" s="9" t="s">
        <v>329</v>
      </c>
      <c r="E110" s="10" t="str">
        <f>HYPERLINK("https://twitter.com/digitale_Konst/status/720550312889741312","720550312889741312")</f>
        <v>720550312889741312</v>
      </c>
      <c r="F110" s="11" t="s">
        <v>25</v>
      </c>
      <c r="G110" s="11">
        <v>1177</v>
      </c>
      <c r="H110" s="11">
        <v>1128</v>
      </c>
      <c r="I110" s="11">
        <v>0</v>
      </c>
      <c r="J110" s="11">
        <v>0</v>
      </c>
      <c r="K110" s="11" t="s">
        <v>21</v>
      </c>
      <c r="L110" s="7">
        <v>40267.770370370374</v>
      </c>
      <c r="M110" s="12" t="s">
        <v>121</v>
      </c>
      <c r="N110" s="12" t="s">
        <v>328</v>
      </c>
      <c r="O110" s="10" t="str">
        <f t="shared" si="7"/>
        <v>View</v>
      </c>
      <c r="P110" s="11"/>
    </row>
    <row r="111" spans="1:16" ht="12.75" x14ac:dyDescent="0.35">
      <c r="A111" s="7">
        <v>42474.641180555554</v>
      </c>
      <c r="B111" s="8" t="str">
        <f>HYPERLINK("https://twitter.com/dorn_v","@dorn_v")</f>
        <v>@dorn_v</v>
      </c>
      <c r="C111" s="9" t="s">
        <v>330</v>
      </c>
      <c r="D111" s="9" t="s">
        <v>230</v>
      </c>
      <c r="E111" s="10" t="str">
        <f>HYPERLINK("https://twitter.com/dorn_v/status/720550489864212480","720550489864212480")</f>
        <v>720550489864212480</v>
      </c>
      <c r="F111" s="11" t="s">
        <v>25</v>
      </c>
      <c r="G111" s="11">
        <v>922</v>
      </c>
      <c r="H111" s="11">
        <v>448</v>
      </c>
      <c r="I111" s="11">
        <v>15</v>
      </c>
      <c r="J111" s="11">
        <v>0</v>
      </c>
      <c r="K111" s="11" t="s">
        <v>21</v>
      </c>
      <c r="L111" s="7">
        <v>40001.176712962959</v>
      </c>
      <c r="M111" s="12" t="s">
        <v>299</v>
      </c>
      <c r="N111" s="12"/>
      <c r="O111" s="10" t="str">
        <f>HYPERLINK("https://pbs.twimg.com/profile_images/1109762201/dorn_v_normal.png","View")</f>
        <v>View</v>
      </c>
      <c r="P111" s="11"/>
    </row>
    <row r="112" spans="1:16" ht="12.75" x14ac:dyDescent="0.35">
      <c r="A112" s="7">
        <v>42474.642870370371</v>
      </c>
      <c r="B112" s="8" t="str">
        <f>HYPERLINK("https://twitter.com/SICOS_BW","@SICOS_BW")</f>
        <v>@SICOS_BW</v>
      </c>
      <c r="C112" s="9" t="s">
        <v>331</v>
      </c>
      <c r="D112" s="9" t="s">
        <v>332</v>
      </c>
      <c r="E112" s="10" t="str">
        <f>HYPERLINK("https://twitter.com/SICOS_BW/status/720551100852658176","720551100852658176")</f>
        <v>720551100852658176</v>
      </c>
      <c r="F112" s="11" t="s">
        <v>25</v>
      </c>
      <c r="G112" s="11">
        <v>108</v>
      </c>
      <c r="H112" s="11">
        <v>273</v>
      </c>
      <c r="I112" s="11">
        <v>0</v>
      </c>
      <c r="J112" s="11">
        <v>0</v>
      </c>
      <c r="K112" s="11" t="s">
        <v>21</v>
      </c>
      <c r="L112" s="7">
        <v>41661.844050925924</v>
      </c>
      <c r="M112" s="12" t="s">
        <v>157</v>
      </c>
      <c r="N112" s="12" t="s">
        <v>333</v>
      </c>
      <c r="O112" s="10" t="str">
        <f>HYPERLINK("https://pbs.twimg.com/profile_images/426286752676859904/7noNOVPy_normal.jpeg","View")</f>
        <v>View</v>
      </c>
      <c r="P112" s="11"/>
    </row>
    <row r="113" spans="1:16" ht="12.75" x14ac:dyDescent="0.35">
      <c r="A113" s="7">
        <v>42474.64675925926</v>
      </c>
      <c r="B113" s="8" t="str">
        <f>HYPERLINK("https://twitter.com/DIN_Innovation","@DIN_Innovation")</f>
        <v>@DIN_Innovation</v>
      </c>
      <c r="C113" s="9" t="s">
        <v>334</v>
      </c>
      <c r="D113" s="9" t="s">
        <v>335</v>
      </c>
      <c r="E113" s="10" t="str">
        <f>HYPERLINK("https://twitter.com/DIN_Innovation/status/720552511384526848","720552511384526848")</f>
        <v>720552511384526848</v>
      </c>
      <c r="F113" s="11" t="s">
        <v>31</v>
      </c>
      <c r="G113" s="11">
        <v>185</v>
      </c>
      <c r="H113" s="11">
        <v>118</v>
      </c>
      <c r="I113" s="11">
        <v>2</v>
      </c>
      <c r="J113" s="11">
        <v>0</v>
      </c>
      <c r="K113" s="11" t="s">
        <v>21</v>
      </c>
      <c r="L113" s="7">
        <v>42072.816782407404</v>
      </c>
      <c r="M113" s="12" t="s">
        <v>218</v>
      </c>
      <c r="N113" s="12" t="s">
        <v>336</v>
      </c>
      <c r="O113" s="10" t="str">
        <f>HYPERLINK("https://pbs.twimg.com/profile_images/574936239398240256/ExVwnQj9_normal.png","View")</f>
        <v>View</v>
      </c>
      <c r="P113" s="11"/>
    </row>
    <row r="114" spans="1:16" ht="12.75" x14ac:dyDescent="0.35">
      <c r="A114" s="7">
        <v>42474.649398148147</v>
      </c>
      <c r="B114" s="8" t="str">
        <f>HYPERLINK("https://twitter.com/LianeServices","@LianeServices")</f>
        <v>@LianeServices</v>
      </c>
      <c r="C114" s="9" t="s">
        <v>337</v>
      </c>
      <c r="D114" s="9" t="s">
        <v>28</v>
      </c>
      <c r="E114" s="10" t="str">
        <f>HYPERLINK("https://twitter.com/LianeServices/status/720553465232154625","720553465232154625")</f>
        <v>720553465232154625</v>
      </c>
      <c r="F114" s="11" t="s">
        <v>31</v>
      </c>
      <c r="G114" s="11">
        <v>29</v>
      </c>
      <c r="H114" s="11">
        <v>85</v>
      </c>
      <c r="I114" s="11">
        <v>9</v>
      </c>
      <c r="J114" s="11">
        <v>0</v>
      </c>
      <c r="K114" s="11" t="s">
        <v>21</v>
      </c>
      <c r="L114" s="7">
        <v>42153.06186342593</v>
      </c>
      <c r="M114" s="12"/>
      <c r="N114" s="12" t="s">
        <v>338</v>
      </c>
      <c r="O114" s="10" t="str">
        <f>HYPERLINK("https://pbs.twimg.com/profile_images/604027091823284224/YZAx05HJ_normal.jpg","View")</f>
        <v>View</v>
      </c>
      <c r="P114" s="11"/>
    </row>
    <row r="115" spans="1:16" ht="12.75" x14ac:dyDescent="0.35">
      <c r="A115" s="7">
        <v>42474.650613425925</v>
      </c>
      <c r="B115" s="8" t="str">
        <f>HYPERLINK("https://twitter.com/Brahim_M_Masri","@Brahim_M_Masri")</f>
        <v>@Brahim_M_Masri</v>
      </c>
      <c r="C115" s="9" t="s">
        <v>339</v>
      </c>
      <c r="D115" s="9" t="s">
        <v>188</v>
      </c>
      <c r="E115" s="10" t="str">
        <f>HYPERLINK("https://twitter.com/Brahim_M_Masri/status/720553908066787328","720553908066787328")</f>
        <v>720553908066787328</v>
      </c>
      <c r="F115" s="11" t="s">
        <v>84</v>
      </c>
      <c r="G115" s="11">
        <v>4</v>
      </c>
      <c r="H115" s="11">
        <v>37</v>
      </c>
      <c r="I115" s="11">
        <v>13</v>
      </c>
      <c r="J115" s="11">
        <v>0</v>
      </c>
      <c r="K115" s="11" t="s">
        <v>21</v>
      </c>
      <c r="L115" s="7">
        <v>42081.005173611113</v>
      </c>
      <c r="M115" s="12"/>
      <c r="N115" s="12" t="s">
        <v>340</v>
      </c>
      <c r="O115" s="10" t="str">
        <f>HYPERLINK("https://abs.twimg.com/sticky/default_profile_images/default_profile_6_normal.png","View")</f>
        <v>View</v>
      </c>
      <c r="P115" s="11"/>
    </row>
    <row r="116" spans="1:16" ht="12.75" x14ac:dyDescent="0.35">
      <c r="A116" s="7">
        <v>42474.654560185183</v>
      </c>
      <c r="B116" s="8" t="str">
        <f>HYPERLINK("https://twitter.com/bamitav","@bamitav")</f>
        <v>@bamitav</v>
      </c>
      <c r="C116" s="9" t="s">
        <v>341</v>
      </c>
      <c r="D116" s="9" t="s">
        <v>342</v>
      </c>
      <c r="E116" s="10" t="str">
        <f>HYPERLINK("https://twitter.com/bamitav/status/720555339691737088","720555339691737088")</f>
        <v>720555339691737088</v>
      </c>
      <c r="F116" s="11" t="s">
        <v>25</v>
      </c>
      <c r="G116" s="11">
        <v>7341</v>
      </c>
      <c r="H116" s="11">
        <v>6333</v>
      </c>
      <c r="I116" s="11">
        <v>2</v>
      </c>
      <c r="J116" s="11">
        <v>0</v>
      </c>
      <c r="K116" s="11" t="s">
        <v>21</v>
      </c>
      <c r="L116" s="7">
        <v>40138.933622685188</v>
      </c>
      <c r="M116" s="12" t="s">
        <v>343</v>
      </c>
      <c r="N116" s="12" t="s">
        <v>344</v>
      </c>
      <c r="O116" s="10" t="str">
        <f>HYPERLINK("https://pbs.twimg.com/profile_images/672794348442877952/m6Is-Nrc_normal.jpg","View")</f>
        <v>View</v>
      </c>
      <c r="P116" s="11"/>
    </row>
    <row r="117" spans="1:16" ht="12.75" x14ac:dyDescent="0.35">
      <c r="A117" s="7">
        <v>42474.655289351853</v>
      </c>
      <c r="B117" s="8" t="str">
        <f>HYPERLINK("https://twitter.com/iotsecurity2","@iotsecurity2")</f>
        <v>@iotsecurity2</v>
      </c>
      <c r="C117" s="9" t="s">
        <v>149</v>
      </c>
      <c r="D117" s="9" t="s">
        <v>345</v>
      </c>
      <c r="E117" s="10" t="str">
        <f>HYPERLINK("https://twitter.com/iotsecurity2/status/720555602846564352","720555602846564352")</f>
        <v>720555602846564352</v>
      </c>
      <c r="F117" s="11" t="s">
        <v>150</v>
      </c>
      <c r="G117" s="11">
        <v>1277</v>
      </c>
      <c r="H117" s="11">
        <v>38</v>
      </c>
      <c r="I117" s="11">
        <v>2</v>
      </c>
      <c r="J117" s="11">
        <v>0</v>
      </c>
      <c r="K117" s="11" t="s">
        <v>21</v>
      </c>
      <c r="L117" s="7">
        <v>42420.891481481478</v>
      </c>
      <c r="M117" s="12"/>
      <c r="N117" s="12"/>
      <c r="O117" s="10" t="str">
        <f>HYPERLINK("https://abs.twimg.com/sticky/default_profile_images/default_profile_3_normal.png","View")</f>
        <v>View</v>
      </c>
      <c r="P117" s="11"/>
    </row>
    <row r="118" spans="1:16" ht="12.75" x14ac:dyDescent="0.35">
      <c r="A118" s="7">
        <v>42474.655555555553</v>
      </c>
      <c r="B118" s="8" t="str">
        <f>HYPERLINK("https://twitter.com/gpodagrosi","@gpodagrosi")</f>
        <v>@gpodagrosi</v>
      </c>
      <c r="C118" s="9" t="s">
        <v>346</v>
      </c>
      <c r="D118" s="9" t="s">
        <v>345</v>
      </c>
      <c r="E118" s="10" t="str">
        <f>HYPERLINK("https://twitter.com/gpodagrosi/status/720555698413838336","720555698413838336")</f>
        <v>720555698413838336</v>
      </c>
      <c r="F118" s="11" t="s">
        <v>115</v>
      </c>
      <c r="G118" s="11">
        <v>2508</v>
      </c>
      <c r="H118" s="11">
        <v>1479</v>
      </c>
      <c r="I118" s="11">
        <v>2</v>
      </c>
      <c r="J118" s="11">
        <v>0</v>
      </c>
      <c r="K118" s="11" t="s">
        <v>21</v>
      </c>
      <c r="L118" s="7">
        <v>40649.951840277776</v>
      </c>
      <c r="M118" s="12" t="s">
        <v>347</v>
      </c>
      <c r="N118" s="12" t="s">
        <v>348</v>
      </c>
      <c r="O118" s="10" t="str">
        <f>HYPERLINK("https://pbs.twimg.com/profile_images/588981131996966912/55KBnYR7_normal.jpg","View")</f>
        <v>View</v>
      </c>
      <c r="P118" s="11"/>
    </row>
    <row r="119" spans="1:16" ht="12.75" x14ac:dyDescent="0.35">
      <c r="A119" s="7">
        <v>42474.656319444446</v>
      </c>
      <c r="B119" s="8" t="str">
        <f>HYPERLINK("https://twitter.com/induux_de","@induux_de")</f>
        <v>@induux_de</v>
      </c>
      <c r="C119" s="9" t="s">
        <v>349</v>
      </c>
      <c r="D119" s="9" t="s">
        <v>350</v>
      </c>
      <c r="E119" s="10" t="str">
        <f>HYPERLINK("https://twitter.com/induux_de/status/720555974784851968","720555974784851968")</f>
        <v>720555974784851968</v>
      </c>
      <c r="F119" s="11" t="s">
        <v>39</v>
      </c>
      <c r="G119" s="11">
        <v>1751</v>
      </c>
      <c r="H119" s="11">
        <v>2358</v>
      </c>
      <c r="I119" s="11">
        <v>1</v>
      </c>
      <c r="J119" s="11">
        <v>4</v>
      </c>
      <c r="K119" s="11" t="s">
        <v>21</v>
      </c>
      <c r="L119" s="7">
        <v>40222.837696759263</v>
      </c>
      <c r="M119" s="12" t="s">
        <v>351</v>
      </c>
      <c r="N119" s="12" t="s">
        <v>352</v>
      </c>
      <c r="O119" s="10" t="str">
        <f>HYPERLINK("https://pbs.twimg.com/profile_images/455629070454116352/ujZ3h7Ww_normal.png","View")</f>
        <v>View</v>
      </c>
      <c r="P119" s="11"/>
    </row>
    <row r="120" spans="1:16" ht="12.75" x14ac:dyDescent="0.35">
      <c r="A120" s="7">
        <v>42474.661099537036</v>
      </c>
      <c r="B120" s="8" t="str">
        <f>HYPERLINK("https://twitter.com/AWNarses","@AWNarses")</f>
        <v>@AWNarses</v>
      </c>
      <c r="C120" s="9" t="s">
        <v>353</v>
      </c>
      <c r="D120" s="9" t="s">
        <v>354</v>
      </c>
      <c r="E120" s="10" t="str">
        <f>HYPERLINK("https://twitter.com/AWNarses/status/720557708278108160","720557708278108160")</f>
        <v>720557708278108160</v>
      </c>
      <c r="F120" s="11" t="s">
        <v>31</v>
      </c>
      <c r="G120" s="11">
        <v>429</v>
      </c>
      <c r="H120" s="11">
        <v>598</v>
      </c>
      <c r="I120" s="11">
        <v>2</v>
      </c>
      <c r="J120" s="11">
        <v>0</v>
      </c>
      <c r="K120" s="11" t="s">
        <v>21</v>
      </c>
      <c r="L120" s="7">
        <v>40260.66269675926</v>
      </c>
      <c r="M120" s="12" t="s">
        <v>355</v>
      </c>
      <c r="N120" s="12" t="s">
        <v>356</v>
      </c>
      <c r="O120" s="10" t="str">
        <f>HYPERLINK("https://pbs.twimg.com/profile_images/553105273720561665/EBknbLOh_normal.jpeg","View")</f>
        <v>View</v>
      </c>
      <c r="P120" s="11"/>
    </row>
    <row r="121" spans="1:16" ht="12.75" x14ac:dyDescent="0.35">
      <c r="A121" s="7">
        <v>42474.675162037034</v>
      </c>
      <c r="B121" s="8" t="str">
        <f>HYPERLINK("https://twitter.com/Balluff","@Balluff")</f>
        <v>@Balluff</v>
      </c>
      <c r="C121" s="9" t="s">
        <v>357</v>
      </c>
      <c r="D121" s="9" t="s">
        <v>358</v>
      </c>
      <c r="E121" s="10" t="str">
        <f>HYPERLINK("https://twitter.com/Balluff/status/720562802662993920","720562802662993920")</f>
        <v>720562802662993920</v>
      </c>
      <c r="F121" s="11" t="s">
        <v>25</v>
      </c>
      <c r="G121" s="11">
        <v>1545</v>
      </c>
      <c r="H121" s="11">
        <v>444</v>
      </c>
      <c r="I121" s="11">
        <v>1</v>
      </c>
      <c r="J121" s="11">
        <v>0</v>
      </c>
      <c r="K121" s="11" t="s">
        <v>21</v>
      </c>
      <c r="L121" s="7">
        <v>39842.576643518521</v>
      </c>
      <c r="M121" s="12" t="s">
        <v>359</v>
      </c>
      <c r="N121" s="12" t="s">
        <v>360</v>
      </c>
      <c r="O121" s="10" t="str">
        <f>HYPERLINK("https://pbs.twimg.com/profile_images/663668561366245376/2ovYiiJf_normal.jpg","View")</f>
        <v>View</v>
      </c>
      <c r="P121" s="11"/>
    </row>
    <row r="122" spans="1:16" ht="12.75" x14ac:dyDescent="0.35">
      <c r="A122" s="7">
        <v>42474.676377314812</v>
      </c>
      <c r="B122" s="8" t="str">
        <f>HYPERLINK("https://twitter.com/cianfaranim","@cianfaranim")</f>
        <v>@cianfaranim</v>
      </c>
      <c r="C122" s="9" t="s">
        <v>361</v>
      </c>
      <c r="D122" s="9" t="s">
        <v>28</v>
      </c>
      <c r="E122" s="10" t="str">
        <f>HYPERLINK("https://twitter.com/cianfaranim/status/720563245417947136","720563245417947136")</f>
        <v>720563245417947136</v>
      </c>
      <c r="F122" s="11" t="s">
        <v>31</v>
      </c>
      <c r="G122" s="11">
        <v>191</v>
      </c>
      <c r="H122" s="11">
        <v>115</v>
      </c>
      <c r="I122" s="11">
        <v>9</v>
      </c>
      <c r="J122" s="11">
        <v>0</v>
      </c>
      <c r="K122" s="11" t="s">
        <v>21</v>
      </c>
      <c r="L122" s="7">
        <v>41290.634687500002</v>
      </c>
      <c r="M122" s="12" t="s">
        <v>362</v>
      </c>
      <c r="N122" s="12" t="s">
        <v>363</v>
      </c>
      <c r="O122" s="10" t="str">
        <f>HYPERLINK("https://pbs.twimg.com/profile_images/569775748420878336/9QtKa5WK_normal.png","View")</f>
        <v>View</v>
      </c>
      <c r="P122" s="11"/>
    </row>
    <row r="123" spans="1:16" ht="12.75" x14ac:dyDescent="0.35">
      <c r="A123" s="7">
        <v>42474.676863425921</v>
      </c>
      <c r="B123" s="8" t="str">
        <f>HYPERLINK("https://twitter.com/LeenenNils","@LeenenNils")</f>
        <v>@LeenenNils</v>
      </c>
      <c r="C123" s="9" t="s">
        <v>364</v>
      </c>
      <c r="D123" s="9" t="s">
        <v>365</v>
      </c>
      <c r="E123" s="10" t="str">
        <f>HYPERLINK("https://twitter.com/LeenenNils/status/720563420102332417","720563420102332417")</f>
        <v>720563420102332417</v>
      </c>
      <c r="F123" s="11" t="s">
        <v>31</v>
      </c>
      <c r="G123" s="11">
        <v>40</v>
      </c>
      <c r="H123" s="11">
        <v>63</v>
      </c>
      <c r="I123" s="11">
        <v>1</v>
      </c>
      <c r="J123" s="11">
        <v>0</v>
      </c>
      <c r="K123" s="11" t="s">
        <v>21</v>
      </c>
      <c r="L123" s="7">
        <v>41558.658090277779</v>
      </c>
      <c r="M123" s="12" t="s">
        <v>366</v>
      </c>
      <c r="N123" s="12" t="s">
        <v>367</v>
      </c>
      <c r="O123" s="10" t="str">
        <f>HYPERLINK("https://pbs.twimg.com/profile_images/378800000594328281/0f4e54fd3c2920f7ea26009ea43c0c3d_normal.jpeg","View")</f>
        <v>View</v>
      </c>
      <c r="P123" s="11"/>
    </row>
    <row r="124" spans="1:16" ht="12.75" x14ac:dyDescent="0.35">
      <c r="A124" s="7">
        <v>42474.686666666668</v>
      </c>
      <c r="B124" s="8" t="str">
        <f>HYPERLINK("https://twitter.com/IT_Connection","@IT_Connection")</f>
        <v>@IT_Connection</v>
      </c>
      <c r="C124" s="9" t="s">
        <v>368</v>
      </c>
      <c r="D124" s="9" t="s">
        <v>38</v>
      </c>
      <c r="E124" s="10" t="str">
        <f>HYPERLINK("https://twitter.com/IT_Connection/status/720566974993035264","720566974993035264")</f>
        <v>720566974993035264</v>
      </c>
      <c r="F124" s="11" t="s">
        <v>29</v>
      </c>
      <c r="G124" s="11">
        <v>10900</v>
      </c>
      <c r="H124" s="11">
        <v>10875</v>
      </c>
      <c r="I124" s="11">
        <v>6</v>
      </c>
      <c r="J124" s="11">
        <v>0</v>
      </c>
      <c r="K124" s="11" t="s">
        <v>21</v>
      </c>
      <c r="L124" s="7">
        <v>40411.751539351855</v>
      </c>
      <c r="M124" s="12" t="s">
        <v>369</v>
      </c>
      <c r="N124" s="12" t="s">
        <v>370</v>
      </c>
      <c r="O124" s="10" t="str">
        <f>HYPERLINK("https://pbs.twimg.com/profile_images/566986293888835584/_uYTcau__normal.png","View")</f>
        <v>View</v>
      </c>
      <c r="P124" s="11"/>
    </row>
    <row r="125" spans="1:16" ht="12.75" x14ac:dyDescent="0.35">
      <c r="A125" s="7">
        <v>42474.687569444446</v>
      </c>
      <c r="B125" s="8" t="str">
        <f>HYPERLINK("https://twitter.com/verlinked","@verlinked")</f>
        <v>@verlinked</v>
      </c>
      <c r="C125" s="9" t="s">
        <v>263</v>
      </c>
      <c r="D125" s="9" t="s">
        <v>371</v>
      </c>
      <c r="E125" s="10" t="str">
        <f>HYPERLINK("https://twitter.com/verlinked/status/720567299871084544","720567299871084544")</f>
        <v>720567299871084544</v>
      </c>
      <c r="F125" s="11" t="s">
        <v>115</v>
      </c>
      <c r="G125" s="11">
        <v>600</v>
      </c>
      <c r="H125" s="11">
        <v>1201</v>
      </c>
      <c r="I125" s="11">
        <v>0</v>
      </c>
      <c r="J125" s="11">
        <v>0</v>
      </c>
      <c r="K125" s="11" t="s">
        <v>21</v>
      </c>
      <c r="L125" s="7">
        <v>41463.077627314815</v>
      </c>
      <c r="M125" s="12" t="s">
        <v>265</v>
      </c>
      <c r="N125" s="12" t="s">
        <v>266</v>
      </c>
      <c r="O125" s="10" t="str">
        <f>HYPERLINK("https://pbs.twimg.com/profile_images/722385992343285760/ww8YLZ2q_normal.jpg","View")</f>
        <v>View</v>
      </c>
      <c r="P125" s="11"/>
    </row>
    <row r="126" spans="1:16" ht="12.75" x14ac:dyDescent="0.35">
      <c r="A126" s="7">
        <v>42474.690196759257</v>
      </c>
      <c r="B126" s="8" t="str">
        <f>HYPERLINK("https://twitter.com/H_IT_D","@H_IT_D")</f>
        <v>@H_IT_D</v>
      </c>
      <c r="C126" s="9" t="s">
        <v>159</v>
      </c>
      <c r="D126" s="9" t="s">
        <v>372</v>
      </c>
      <c r="E126" s="10" t="str">
        <f>HYPERLINK("https://twitter.com/H_IT_D/status/720568252502376448","720568252502376448")</f>
        <v>720568252502376448</v>
      </c>
      <c r="F126" s="11" t="s">
        <v>161</v>
      </c>
      <c r="G126" s="11">
        <v>463</v>
      </c>
      <c r="H126" s="11">
        <v>467</v>
      </c>
      <c r="I126" s="11">
        <v>0</v>
      </c>
      <c r="J126" s="11">
        <v>0</v>
      </c>
      <c r="K126" s="11" t="s">
        <v>21</v>
      </c>
      <c r="L126" s="7">
        <v>40723.867673611108</v>
      </c>
      <c r="M126" s="12" t="s">
        <v>162</v>
      </c>
      <c r="N126" s="12" t="s">
        <v>163</v>
      </c>
      <c r="O126" s="10" t="str">
        <f>HYPERLINK("https://pbs.twimg.com/profile_images/662723326096224256/5V4KH9_O_normal.jpg","View")</f>
        <v>View</v>
      </c>
      <c r="P126" s="11"/>
    </row>
    <row r="127" spans="1:16" ht="12.75" x14ac:dyDescent="0.35">
      <c r="A127" s="7">
        <v>42474.690995370373</v>
      </c>
      <c r="B127" s="8" t="str">
        <f>HYPERLINK("https://twitter.com/kommoptimierer","@kommoptimierer")</f>
        <v>@kommoptimierer</v>
      </c>
      <c r="C127" s="9" t="s">
        <v>270</v>
      </c>
      <c r="D127" s="9" t="s">
        <v>373</v>
      </c>
      <c r="E127" s="10" t="str">
        <f>HYPERLINK("https://twitter.com/kommoptimierer/status/720568540139532288","720568540139532288")</f>
        <v>720568540139532288</v>
      </c>
      <c r="F127" s="11" t="s">
        <v>272</v>
      </c>
      <c r="G127" s="11">
        <v>1347</v>
      </c>
      <c r="H127" s="11">
        <v>1753</v>
      </c>
      <c r="I127" s="11">
        <v>0</v>
      </c>
      <c r="J127" s="11">
        <v>0</v>
      </c>
      <c r="K127" s="11" t="s">
        <v>21</v>
      </c>
      <c r="L127" s="7">
        <v>39986.860358796301</v>
      </c>
      <c r="M127" s="12" t="s">
        <v>273</v>
      </c>
      <c r="N127" s="12" t="s">
        <v>274</v>
      </c>
      <c r="O127" s="10" t="str">
        <f>HYPERLINK("https://pbs.twimg.com/profile_images/541146126158536704/IYardufS_normal.jpeg","View")</f>
        <v>View</v>
      </c>
      <c r="P127" s="11"/>
    </row>
    <row r="128" spans="1:16" ht="12.75" x14ac:dyDescent="0.35">
      <c r="A128" s="7">
        <v>42474.691053240742</v>
      </c>
      <c r="B128" s="8" t="str">
        <f>HYPERLINK("https://twitter.com/INKA_Forum","@INKA_Forum")</f>
        <v>@INKA_Forum</v>
      </c>
      <c r="C128" s="9" t="s">
        <v>374</v>
      </c>
      <c r="D128" s="9" t="s">
        <v>375</v>
      </c>
      <c r="E128" s="10" t="str">
        <f>HYPERLINK("https://twitter.com/INKA_Forum/status/720568560880324608","720568560880324608")</f>
        <v>720568560880324608</v>
      </c>
      <c r="F128" s="11" t="s">
        <v>39</v>
      </c>
      <c r="G128" s="11">
        <v>98</v>
      </c>
      <c r="H128" s="11">
        <v>96</v>
      </c>
      <c r="I128" s="11">
        <v>1</v>
      </c>
      <c r="J128" s="11">
        <v>0</v>
      </c>
      <c r="K128" s="11" t="s">
        <v>21</v>
      </c>
      <c r="L128" s="7">
        <v>40862.807835648149</v>
      </c>
      <c r="M128" s="12" t="s">
        <v>376</v>
      </c>
      <c r="N128" s="12" t="s">
        <v>377</v>
      </c>
      <c r="O128" s="10" t="str">
        <f>HYPERLINK("https://pbs.twimg.com/profile_images/604242232300982273/waw_nkJr_normal.jpg","View")</f>
        <v>View</v>
      </c>
      <c r="P128" s="11"/>
    </row>
    <row r="129" spans="1:16" ht="12.75" x14ac:dyDescent="0.35">
      <c r="A129" s="7">
        <v>42474.694768518515</v>
      </c>
      <c r="B129" s="8" t="str">
        <f>HYPERLINK("https://twitter.com/CapgeminiDE","@CapgeminiDE")</f>
        <v>@CapgeminiDE</v>
      </c>
      <c r="C129" s="9" t="s">
        <v>280</v>
      </c>
      <c r="D129" s="9" t="s">
        <v>378</v>
      </c>
      <c r="E129" s="10" t="str">
        <f>HYPERLINK("https://twitter.com/CapgeminiDE/status/720569910213111808","720569910213111808")</f>
        <v>720569910213111808</v>
      </c>
      <c r="F129" s="11" t="s">
        <v>39</v>
      </c>
      <c r="G129" s="11">
        <v>1640</v>
      </c>
      <c r="H129" s="11">
        <v>509</v>
      </c>
      <c r="I129" s="11">
        <v>0</v>
      </c>
      <c r="J129" s="11">
        <v>0</v>
      </c>
      <c r="K129" s="11" t="s">
        <v>21</v>
      </c>
      <c r="L129" s="7">
        <v>40424.022048611107</v>
      </c>
      <c r="M129" s="12" t="s">
        <v>218</v>
      </c>
      <c r="N129" s="12" t="s">
        <v>282</v>
      </c>
      <c r="O129" s="10" t="str">
        <f>HYPERLINK("https://pbs.twimg.com/profile_images/666911961599315968/aP7ID_qm_normal.png","View")</f>
        <v>View</v>
      </c>
      <c r="P129" s="11"/>
    </row>
    <row r="130" spans="1:16" ht="12.75" x14ac:dyDescent="0.35">
      <c r="A130" s="7">
        <v>42474.695902777778</v>
      </c>
      <c r="B130" s="8" t="str">
        <f>HYPERLINK("https://twitter.com/zen_mfg","@zen_mfg")</f>
        <v>@zen_mfg</v>
      </c>
      <c r="C130" s="9" t="s">
        <v>379</v>
      </c>
      <c r="D130" s="9" t="s">
        <v>380</v>
      </c>
      <c r="E130" s="10" t="str">
        <f>HYPERLINK("https://twitter.com/zen_mfg/status/720570318503428096","720570318503428096")</f>
        <v>720570318503428096</v>
      </c>
      <c r="F130" s="11" t="s">
        <v>115</v>
      </c>
      <c r="G130" s="11">
        <v>20</v>
      </c>
      <c r="H130" s="11">
        <v>21</v>
      </c>
      <c r="I130" s="11">
        <v>3</v>
      </c>
      <c r="J130" s="11">
        <v>0</v>
      </c>
      <c r="K130" s="11" t="s">
        <v>21</v>
      </c>
      <c r="L130" s="7">
        <v>42465.011516203704</v>
      </c>
      <c r="M130" s="12" t="s">
        <v>381</v>
      </c>
      <c r="N130" s="12" t="s">
        <v>382</v>
      </c>
      <c r="O130" s="10" t="str">
        <f>HYPERLINK("https://pbs.twimg.com/profile_images/719855439022678017/ywr6leIV_normal.jpg","View")</f>
        <v>View</v>
      </c>
      <c r="P130" s="11"/>
    </row>
    <row r="131" spans="1:16" ht="12.75" x14ac:dyDescent="0.35">
      <c r="A131" s="7">
        <v>42474.69594907407</v>
      </c>
      <c r="B131" s="8" t="str">
        <f>HYPERLINK("https://twitter.com/LutzVA","@LutzVA")</f>
        <v>@LutzVA</v>
      </c>
      <c r="C131" s="9" t="s">
        <v>383</v>
      </c>
      <c r="D131" s="9" t="s">
        <v>384</v>
      </c>
      <c r="E131" s="10" t="str">
        <f>HYPERLINK("https://twitter.com/LutzVA/status/720570338698993664","720570338698993664")</f>
        <v>720570338698993664</v>
      </c>
      <c r="F131" s="11" t="s">
        <v>115</v>
      </c>
      <c r="G131" s="11">
        <v>917</v>
      </c>
      <c r="H131" s="11">
        <v>139</v>
      </c>
      <c r="I131" s="11">
        <v>3</v>
      </c>
      <c r="J131" s="11">
        <v>0</v>
      </c>
      <c r="K131" s="11" t="s">
        <v>21</v>
      </c>
      <c r="L131" s="7">
        <v>39819.790127314816</v>
      </c>
      <c r="M131" s="12" t="s">
        <v>385</v>
      </c>
      <c r="N131" s="12" t="s">
        <v>386</v>
      </c>
      <c r="O131" s="10" t="str">
        <f>HYPERLINK("https://pbs.twimg.com/profile_images/641558874294628356/0gpa7sTF_normal.jpg","View")</f>
        <v>View</v>
      </c>
      <c r="P131" s="11"/>
    </row>
    <row r="132" spans="1:16" ht="12.75" x14ac:dyDescent="0.35">
      <c r="A132" s="7">
        <v>42474.712048611109</v>
      </c>
      <c r="B132" s="8" t="str">
        <f>HYPERLINK("https://twitter.com/cdoerflinger","@cdoerflinger")</f>
        <v>@cdoerflinger</v>
      </c>
      <c r="C132" s="9" t="s">
        <v>387</v>
      </c>
      <c r="D132" s="9" t="s">
        <v>388</v>
      </c>
      <c r="E132" s="10" t="str">
        <f>HYPERLINK("https://twitter.com/cdoerflinger/status/720576171575001088","720576171575001088")</f>
        <v>720576171575001088</v>
      </c>
      <c r="F132" s="11" t="s">
        <v>31</v>
      </c>
      <c r="G132" s="11">
        <v>93</v>
      </c>
      <c r="H132" s="11">
        <v>321</v>
      </c>
      <c r="I132" s="11">
        <v>1</v>
      </c>
      <c r="J132" s="11">
        <v>0</v>
      </c>
      <c r="K132" s="11" t="s">
        <v>21</v>
      </c>
      <c r="L132" s="7">
        <v>40038.687118055554</v>
      </c>
      <c r="M132" s="12"/>
      <c r="N132" s="12" t="s">
        <v>389</v>
      </c>
      <c r="O132" s="10" t="str">
        <f>HYPERLINK("https://pbs.twimg.com/profile_images/715422612478894080/xCNNzr6__normal.jpg","View")</f>
        <v>View</v>
      </c>
      <c r="P132" s="11"/>
    </row>
    <row r="133" spans="1:16" ht="12.75" x14ac:dyDescent="0.35">
      <c r="A133" s="7">
        <v>42474.716574074075</v>
      </c>
      <c r="B133" s="8" t="str">
        <f>HYPERLINK("https://twitter.com/ZVEIorg","@ZVEIorg")</f>
        <v>@ZVEIorg</v>
      </c>
      <c r="C133" s="9" t="s">
        <v>390</v>
      </c>
      <c r="D133" s="9" t="s">
        <v>391</v>
      </c>
      <c r="E133" s="10" t="str">
        <f>HYPERLINK("https://twitter.com/ZVEIorg/status/720577810809663489","720577810809663489")</f>
        <v>720577810809663489</v>
      </c>
      <c r="F133" s="11" t="s">
        <v>115</v>
      </c>
      <c r="G133" s="11">
        <v>2546</v>
      </c>
      <c r="H133" s="11">
        <v>581</v>
      </c>
      <c r="I133" s="11">
        <v>5</v>
      </c>
      <c r="J133" s="11">
        <v>0</v>
      </c>
      <c r="K133" s="11" t="s">
        <v>21</v>
      </c>
      <c r="L133" s="7">
        <v>41247.641875000001</v>
      </c>
      <c r="M133" s="12" t="s">
        <v>392</v>
      </c>
      <c r="N133" s="12" t="s">
        <v>393</v>
      </c>
      <c r="O133" s="10" t="str">
        <f>HYPERLINK("https://pbs.twimg.com/profile_images/479147477975588864/z94n3mRF_normal.jpeg","View")</f>
        <v>View</v>
      </c>
      <c r="P133" s="11"/>
    </row>
    <row r="134" spans="1:16" ht="12.75" x14ac:dyDescent="0.35">
      <c r="A134" s="7">
        <v>42474.7190162037</v>
      </c>
      <c r="B134" s="8" t="str">
        <f>HYPERLINK("https://twitter.com/MeinGeldMedien","@MeinGeldMedien")</f>
        <v>@MeinGeldMedien</v>
      </c>
      <c r="C134" s="9" t="s">
        <v>302</v>
      </c>
      <c r="D134" s="9" t="s">
        <v>394</v>
      </c>
      <c r="E134" s="10" t="str">
        <f>HYPERLINK("https://twitter.com/MeinGeldMedien/status/720578696264945664","720578696264945664")</f>
        <v>720578696264945664</v>
      </c>
      <c r="F134" s="11" t="s">
        <v>39</v>
      </c>
      <c r="G134" s="11">
        <v>694</v>
      </c>
      <c r="H134" s="11">
        <v>583</v>
      </c>
      <c r="I134" s="11">
        <v>1</v>
      </c>
      <c r="J134" s="11">
        <v>0</v>
      </c>
      <c r="K134" s="11" t="s">
        <v>21</v>
      </c>
      <c r="L134" s="7">
        <v>41793.608449074076</v>
      </c>
      <c r="M134" s="12" t="s">
        <v>218</v>
      </c>
      <c r="N134" s="12" t="s">
        <v>304</v>
      </c>
      <c r="O134" s="10" t="str">
        <f>HYPERLINK("https://pbs.twimg.com/profile_images/473759721023758338/3CcJL-Vq_normal.jpeg","View")</f>
        <v>View</v>
      </c>
      <c r="P134" s="11"/>
    </row>
    <row r="135" spans="1:16" ht="12.75" x14ac:dyDescent="0.35">
      <c r="A135" s="7">
        <v>42474.723449074074</v>
      </c>
      <c r="B135" s="8" t="str">
        <f>HYPERLINK("https://twitter.com/INDIZbot","@INDIZbot")</f>
        <v>@INDIZbot</v>
      </c>
      <c r="C135" s="9" t="s">
        <v>61</v>
      </c>
      <c r="D135" s="9" t="s">
        <v>395</v>
      </c>
      <c r="E135" s="10" t="str">
        <f>HYPERLINK("https://twitter.com/INDIZbot/status/720580301852971008","720580301852971008")</f>
        <v>720580301852971008</v>
      </c>
      <c r="F135" s="11" t="s">
        <v>62</v>
      </c>
      <c r="G135" s="11">
        <v>1762</v>
      </c>
      <c r="H135" s="11">
        <v>481</v>
      </c>
      <c r="I135" s="11">
        <v>1</v>
      </c>
      <c r="J135" s="11">
        <v>0</v>
      </c>
      <c r="K135" s="11" t="s">
        <v>21</v>
      </c>
      <c r="L135" s="7">
        <v>42267.011921296296</v>
      </c>
      <c r="M135" s="12"/>
      <c r="N135" s="12" t="s">
        <v>63</v>
      </c>
      <c r="O135" s="10" t="str">
        <f>HYPERLINK("https://pbs.twimg.com/profile_images/645716711723925506/t5G0qOS6_normal.jpg","View")</f>
        <v>View</v>
      </c>
      <c r="P135" s="11"/>
    </row>
    <row r="136" spans="1:16" ht="12.75" x14ac:dyDescent="0.35">
      <c r="A136" s="7">
        <v>42474.729699074072</v>
      </c>
      <c r="B136" s="8" t="str">
        <f>HYPERLINK("https://twitter.com/opengateitalia","@opengateitalia")</f>
        <v>@opengateitalia</v>
      </c>
      <c r="C136" s="9" t="s">
        <v>396</v>
      </c>
      <c r="D136" s="9" t="s">
        <v>397</v>
      </c>
      <c r="E136" s="10" t="str">
        <f>HYPERLINK("https://twitter.com/opengateitalia/status/720582567087321088","720582567087321088")</f>
        <v>720582567087321088</v>
      </c>
      <c r="F136" s="11" t="s">
        <v>115</v>
      </c>
      <c r="G136" s="11">
        <v>874</v>
      </c>
      <c r="H136" s="11">
        <v>692</v>
      </c>
      <c r="I136" s="11">
        <v>0</v>
      </c>
      <c r="J136" s="11">
        <v>0</v>
      </c>
      <c r="K136" s="11" t="s">
        <v>21</v>
      </c>
      <c r="L136" s="7">
        <v>40389.197152777779</v>
      </c>
      <c r="M136" s="12" t="s">
        <v>398</v>
      </c>
      <c r="N136" s="12" t="s">
        <v>399</v>
      </c>
      <c r="O136" s="10" t="str">
        <f>HYPERLINK("https://pbs.twimg.com/profile_images/626731191715131393/jns17fVE_normal.png","View")</f>
        <v>View</v>
      </c>
      <c r="P136" s="11"/>
    </row>
    <row r="137" spans="1:16" ht="12.75" x14ac:dyDescent="0.35">
      <c r="A137" s="7">
        <v>42474.730833333335</v>
      </c>
      <c r="B137" s="8" t="str">
        <f>HYPERLINK("https://twitter.com/Ralf_Kuder","@Ralf_Kuder")</f>
        <v>@Ralf_Kuder</v>
      </c>
      <c r="C137" s="9" t="s">
        <v>400</v>
      </c>
      <c r="D137" s="9" t="s">
        <v>401</v>
      </c>
      <c r="E137" s="10" t="str">
        <f>HYPERLINK("https://twitter.com/Ralf_Kuder/status/720582979974742016","720582979974742016")</f>
        <v>720582979974742016</v>
      </c>
      <c r="F137" s="11" t="s">
        <v>25</v>
      </c>
      <c r="G137" s="11">
        <v>58</v>
      </c>
      <c r="H137" s="11">
        <v>76</v>
      </c>
      <c r="I137" s="11">
        <v>0</v>
      </c>
      <c r="J137" s="11">
        <v>0</v>
      </c>
      <c r="K137" s="11" t="s">
        <v>21</v>
      </c>
      <c r="L137" s="7">
        <v>41753.717210648145</v>
      </c>
      <c r="M137" s="12" t="s">
        <v>402</v>
      </c>
      <c r="N137" s="12" t="s">
        <v>403</v>
      </c>
      <c r="O137" s="10" t="str">
        <f>HYPERLINK("https://pbs.twimg.com/profile_images/721292749069291520/oMrDhdql_normal.jpg","View")</f>
        <v>View</v>
      </c>
      <c r="P137" s="11"/>
    </row>
    <row r="138" spans="1:16" ht="12.75" x14ac:dyDescent="0.35">
      <c r="A138" s="7">
        <v>42474.734849537039</v>
      </c>
      <c r="B138" s="8" t="str">
        <f>HYPERLINK("https://twitter.com/LoidlRudolf","@LoidlRudolf")</f>
        <v>@LoidlRudolf</v>
      </c>
      <c r="C138" s="9" t="s">
        <v>404</v>
      </c>
      <c r="D138" s="9" t="s">
        <v>405</v>
      </c>
      <c r="E138" s="10" t="str">
        <f>HYPERLINK("https://twitter.com/LoidlRudolf/status/720584435524050945","720584435524050945")</f>
        <v>720584435524050945</v>
      </c>
      <c r="F138" s="11" t="s">
        <v>25</v>
      </c>
      <c r="G138" s="11">
        <v>222</v>
      </c>
      <c r="H138" s="11">
        <v>690</v>
      </c>
      <c r="I138" s="11">
        <v>2</v>
      </c>
      <c r="J138" s="11">
        <v>1</v>
      </c>
      <c r="K138" s="11" t="s">
        <v>21</v>
      </c>
      <c r="L138" s="7">
        <v>41916.045127314814</v>
      </c>
      <c r="M138" s="12" t="s">
        <v>406</v>
      </c>
      <c r="N138" s="12" t="s">
        <v>407</v>
      </c>
      <c r="O138" s="10" t="str">
        <f>HYPERLINK("https://pbs.twimg.com/profile_images/530334369559625730/-6TCL4Zc_normal.jpeg","View")</f>
        <v>View</v>
      </c>
      <c r="P138" s="11"/>
    </row>
    <row r="139" spans="1:16" ht="12.75" x14ac:dyDescent="0.35">
      <c r="A139" s="7">
        <v>42474.737326388888</v>
      </c>
      <c r="B139" s="8" t="str">
        <f>HYPERLINK("https://twitter.com/IFS_D_A_CH","@IFS_D_A_CH")</f>
        <v>@IFS_D_A_CH</v>
      </c>
      <c r="C139" s="9" t="s">
        <v>408</v>
      </c>
      <c r="D139" s="9" t="s">
        <v>409</v>
      </c>
      <c r="E139" s="10" t="str">
        <f>HYPERLINK("https://twitter.com/IFS_D_A_CH/status/720585329397403648","720585329397403648")</f>
        <v>720585329397403648</v>
      </c>
      <c r="F139" s="11" t="s">
        <v>25</v>
      </c>
      <c r="G139" s="11">
        <v>461</v>
      </c>
      <c r="H139" s="11">
        <v>402</v>
      </c>
      <c r="I139" s="11">
        <v>0</v>
      </c>
      <c r="J139" s="11">
        <v>1</v>
      </c>
      <c r="K139" s="11" t="s">
        <v>21</v>
      </c>
      <c r="L139" s="7">
        <v>40044.831388888888</v>
      </c>
      <c r="M139" s="12" t="s">
        <v>410</v>
      </c>
      <c r="N139" s="12" t="s">
        <v>411</v>
      </c>
      <c r="O139" s="10" t="str">
        <f>HYPERLINK("https://pbs.twimg.com/profile_images/494599434/ifs_logo_rgb_normal.jpg","View")</f>
        <v>View</v>
      </c>
      <c r="P139" s="11"/>
    </row>
    <row r="140" spans="1:16" ht="12.75" x14ac:dyDescent="0.35">
      <c r="A140" s="7">
        <v>42474.741087962961</v>
      </c>
      <c r="B140" s="8" t="str">
        <f>HYPERLINK("https://twitter.com/z_eisberg","@z_eisberg")</f>
        <v>@z_eisberg</v>
      </c>
      <c r="C140" s="9" t="s">
        <v>412</v>
      </c>
      <c r="D140" s="9" t="s">
        <v>413</v>
      </c>
      <c r="E140" s="10" t="str">
        <f>HYPERLINK("https://twitter.com/z_eisberg/status/720586693859012608","720586693859012608")</f>
        <v>720586693859012608</v>
      </c>
      <c r="F140" s="11" t="s">
        <v>29</v>
      </c>
      <c r="G140" s="11">
        <v>2451</v>
      </c>
      <c r="H140" s="11">
        <v>3044</v>
      </c>
      <c r="I140" s="11">
        <v>2</v>
      </c>
      <c r="J140" s="11">
        <v>0</v>
      </c>
      <c r="K140" s="11" t="s">
        <v>21</v>
      </c>
      <c r="L140" s="7">
        <v>40871.673692129625</v>
      </c>
      <c r="M140" s="12" t="s">
        <v>414</v>
      </c>
      <c r="N140" s="12" t="s">
        <v>415</v>
      </c>
      <c r="O140" s="10" t="str">
        <f>HYPERLINK("https://pbs.twimg.com/profile_images/637165149456044032/CS70v85H_normal.jpg","View")</f>
        <v>View</v>
      </c>
      <c r="P140" s="11"/>
    </row>
    <row r="141" spans="1:16" ht="12.75" x14ac:dyDescent="0.35">
      <c r="A141" s="7">
        <v>42474.742638888885</v>
      </c>
      <c r="B141" s="8" t="str">
        <f>HYPERLINK("https://twitter.com/ROKAutomationUK","@ROKAutomationUK")</f>
        <v>@ROKAutomationUK</v>
      </c>
      <c r="C141" s="9" t="s">
        <v>416</v>
      </c>
      <c r="D141" s="9" t="s">
        <v>417</v>
      </c>
      <c r="E141" s="10" t="str">
        <f>HYPERLINK("https://twitter.com/ROKAutomationUK/status/720587255006371841","720587255006371841")</f>
        <v>720587255006371841</v>
      </c>
      <c r="F141" s="11" t="s">
        <v>418</v>
      </c>
      <c r="G141" s="11">
        <v>3188</v>
      </c>
      <c r="H141" s="11">
        <v>847</v>
      </c>
      <c r="I141" s="11">
        <v>1</v>
      </c>
      <c r="J141" s="11">
        <v>1</v>
      </c>
      <c r="K141" s="11" t="s">
        <v>21</v>
      </c>
      <c r="L141" s="7">
        <v>40886.893634259257</v>
      </c>
      <c r="M141" s="12" t="s">
        <v>419</v>
      </c>
      <c r="N141" s="12" t="s">
        <v>420</v>
      </c>
      <c r="O141" s="10" t="str">
        <f>HYPERLINK("https://pbs.twimg.com/profile_images/502402188295946240/rN3wbNyn_normal.jpeg","View")</f>
        <v>View</v>
      </c>
      <c r="P141" s="11"/>
    </row>
    <row r="142" spans="1:16" ht="12.75" x14ac:dyDescent="0.35">
      <c r="A142" s="7">
        <v>42474.74423611111</v>
      </c>
      <c r="B142" s="8" t="str">
        <f>HYPERLINK("https://twitter.com/INDIZbot","@INDIZbot")</f>
        <v>@INDIZbot</v>
      </c>
      <c r="C142" s="9" t="s">
        <v>61</v>
      </c>
      <c r="D142" s="9" t="s">
        <v>413</v>
      </c>
      <c r="E142" s="10" t="str">
        <f>HYPERLINK("https://twitter.com/INDIZbot/status/720587835628195840","720587835628195840")</f>
        <v>720587835628195840</v>
      </c>
      <c r="F142" s="11" t="s">
        <v>62</v>
      </c>
      <c r="G142" s="11">
        <v>1762</v>
      </c>
      <c r="H142" s="11">
        <v>481</v>
      </c>
      <c r="I142" s="11">
        <v>2</v>
      </c>
      <c r="J142" s="11">
        <v>0</v>
      </c>
      <c r="K142" s="11" t="s">
        <v>21</v>
      </c>
      <c r="L142" s="7">
        <v>42267.011921296296</v>
      </c>
      <c r="M142" s="12"/>
      <c r="N142" s="12" t="s">
        <v>63</v>
      </c>
      <c r="O142" s="10" t="str">
        <f>HYPERLINK("https://pbs.twimg.com/profile_images/645716711723925506/t5G0qOS6_normal.jpg","View")</f>
        <v>View</v>
      </c>
      <c r="P142" s="11"/>
    </row>
    <row r="143" spans="1:16" ht="12.75" x14ac:dyDescent="0.35">
      <c r="A143" s="7">
        <v>42474.746631944443</v>
      </c>
      <c r="B143" s="8" t="str">
        <f>HYPERLINK("https://twitter.com/celebalcorp","@celebalcorp")</f>
        <v>@celebalcorp</v>
      </c>
      <c r="C143" s="9" t="s">
        <v>421</v>
      </c>
      <c r="D143" s="9" t="s">
        <v>422</v>
      </c>
      <c r="E143" s="10" t="str">
        <f>HYPERLINK("https://twitter.com/celebalcorp/status/720588704453173248","720588704453173248")</f>
        <v>720588704453173248</v>
      </c>
      <c r="F143" s="11" t="s">
        <v>39</v>
      </c>
      <c r="G143" s="11">
        <v>67</v>
      </c>
      <c r="H143" s="11">
        <v>113</v>
      </c>
      <c r="I143" s="11">
        <v>2</v>
      </c>
      <c r="J143" s="11">
        <v>0</v>
      </c>
      <c r="K143" s="11" t="s">
        <v>21</v>
      </c>
      <c r="L143" s="7">
        <v>42345.55164351852</v>
      </c>
      <c r="M143" s="12"/>
      <c r="N143" s="12"/>
      <c r="O143" s="10" t="str">
        <f>HYPERLINK("https://pbs.twimg.com/profile_images/684329817961967616/5Xb2yHEP_normal.png","View")</f>
        <v>View</v>
      </c>
      <c r="P143" s="11"/>
    </row>
    <row r="144" spans="1:16" ht="12.75" x14ac:dyDescent="0.35">
      <c r="A144" s="7">
        <v>42474.748842592591</v>
      </c>
      <c r="B144" s="8" t="str">
        <f>HYPERLINK("https://twitter.com/acad_sup","@acad_sup")</f>
        <v>@acad_sup</v>
      </c>
      <c r="C144" s="9" t="s">
        <v>423</v>
      </c>
      <c r="D144" s="9" t="s">
        <v>424</v>
      </c>
      <c r="E144" s="10" t="str">
        <f>HYPERLINK("https://twitter.com/acad_sup/status/720589504868978688","720589504868978688")</f>
        <v>720589504868978688</v>
      </c>
      <c r="F144" s="11" t="s">
        <v>25</v>
      </c>
      <c r="G144" s="11">
        <v>7578</v>
      </c>
      <c r="H144" s="11">
        <v>860</v>
      </c>
      <c r="I144" s="11">
        <v>0</v>
      </c>
      <c r="J144" s="11">
        <v>1</v>
      </c>
      <c r="K144" s="11" t="s">
        <v>21</v>
      </c>
      <c r="L144" s="7">
        <v>40588.836400462962</v>
      </c>
      <c r="M144" s="12" t="s">
        <v>425</v>
      </c>
      <c r="N144" s="12" t="s">
        <v>426</v>
      </c>
      <c r="O144" s="10" t="str">
        <f>HYPERLINK("https://pbs.twimg.com/profile_images/502075263350349824/ANbb-SSS_normal.png","View")</f>
        <v>View</v>
      </c>
      <c r="P144" s="11"/>
    </row>
    <row r="145" spans="1:16" ht="12.75" x14ac:dyDescent="0.35">
      <c r="A145" s="7">
        <v>42474.750694444447</v>
      </c>
      <c r="B145" s="8" t="str">
        <f>HYPERLINK("https://twitter.com/NRWinEU","@NRWinEU")</f>
        <v>@NRWinEU</v>
      </c>
      <c r="C145" s="9" t="s">
        <v>427</v>
      </c>
      <c r="D145" s="9" t="s">
        <v>428</v>
      </c>
      <c r="E145" s="10" t="str">
        <f>HYPERLINK("https://twitter.com/NRWinEU/status/720590176217624576","720590176217624576")</f>
        <v>720590176217624576</v>
      </c>
      <c r="F145" s="11" t="s">
        <v>25</v>
      </c>
      <c r="G145" s="11">
        <v>748</v>
      </c>
      <c r="H145" s="11">
        <v>573</v>
      </c>
      <c r="I145" s="11">
        <v>0</v>
      </c>
      <c r="J145" s="11">
        <v>0</v>
      </c>
      <c r="K145" s="11" t="s">
        <v>21</v>
      </c>
      <c r="L145" s="7">
        <v>41733.620034722218</v>
      </c>
      <c r="M145" s="12" t="s">
        <v>429</v>
      </c>
      <c r="N145" s="12" t="s">
        <v>430</v>
      </c>
      <c r="O145" s="10" t="str">
        <f>HYPERLINK("https://pbs.twimg.com/profile_images/454290279252500480/JkMkXwUd_normal.jpeg","View")</f>
        <v>View</v>
      </c>
      <c r="P145" s="11"/>
    </row>
    <row r="146" spans="1:16" ht="12.75" x14ac:dyDescent="0.35">
      <c r="A146" s="7">
        <v>42474.754166666666</v>
      </c>
      <c r="B146" s="8" t="str">
        <f>HYPERLINK("https://twitter.com/HLinzenbold","@HLinzenbold")</f>
        <v>@HLinzenbold</v>
      </c>
      <c r="C146" s="9" t="s">
        <v>431</v>
      </c>
      <c r="D146" s="9" t="s">
        <v>432</v>
      </c>
      <c r="E146" s="10" t="str">
        <f>HYPERLINK("https://twitter.com/HLinzenbold/status/720591433791614976","720591433791614976")</f>
        <v>720591433791614976</v>
      </c>
      <c r="F146" s="11" t="s">
        <v>25</v>
      </c>
      <c r="G146" s="11">
        <v>93</v>
      </c>
      <c r="H146" s="11">
        <v>89</v>
      </c>
      <c r="I146" s="11">
        <v>0</v>
      </c>
      <c r="J146" s="11">
        <v>0</v>
      </c>
      <c r="K146" s="11" t="s">
        <v>21</v>
      </c>
      <c r="L146" s="7">
        <v>42236.799039351856</v>
      </c>
      <c r="M146" s="12" t="s">
        <v>433</v>
      </c>
      <c r="N146" s="12" t="s">
        <v>434</v>
      </c>
      <c r="O146" s="10" t="str">
        <f>HYPERLINK("https://pbs.twimg.com/profile_images/634361054064041984/Aq94Wi5i_normal.jpg","View")</f>
        <v>View</v>
      </c>
      <c r="P146" s="11"/>
    </row>
    <row r="147" spans="1:16" ht="12.75" x14ac:dyDescent="0.35">
      <c r="A147" s="7">
        <v>42474.754849537036</v>
      </c>
      <c r="B147" s="8" t="str">
        <f>HYPERLINK("https://twitter.com/IoTMinded","@IoTMinded")</f>
        <v>@IoTMinded</v>
      </c>
      <c r="C147" s="9" t="s">
        <v>435</v>
      </c>
      <c r="D147" s="9" t="s">
        <v>436</v>
      </c>
      <c r="E147" s="10" t="str">
        <f>HYPERLINK("https://twitter.com/IoTMinded/status/720591681561735168","720591681561735168")</f>
        <v>720591681561735168</v>
      </c>
      <c r="F147" s="11" t="s">
        <v>437</v>
      </c>
      <c r="G147" s="11">
        <v>1103</v>
      </c>
      <c r="H147" s="11">
        <v>656</v>
      </c>
      <c r="I147" s="11">
        <v>2</v>
      </c>
      <c r="J147" s="11">
        <v>0</v>
      </c>
      <c r="K147" s="11" t="s">
        <v>21</v>
      </c>
      <c r="L147" s="7">
        <v>40085.127789351856</v>
      </c>
      <c r="M147" s="12"/>
      <c r="N147" s="12" t="s">
        <v>438</v>
      </c>
      <c r="O147" s="10" t="str">
        <f>HYPERLINK("https://pbs.twimg.com/profile_images/603699032804859904/lb5IMG5x_normal.jpg","View")</f>
        <v>View</v>
      </c>
      <c r="P147" s="11"/>
    </row>
    <row r="148" spans="1:16" ht="12.75" x14ac:dyDescent="0.35">
      <c r="A148" s="7">
        <v>42474.756828703699</v>
      </c>
      <c r="B148" s="8" t="str">
        <f>HYPERLINK("https://twitter.com/corischindlbeck","@corischindlbeck")</f>
        <v>@corischindlbeck</v>
      </c>
      <c r="C148" s="9" t="s">
        <v>439</v>
      </c>
      <c r="D148" s="9" t="s">
        <v>241</v>
      </c>
      <c r="E148" s="10" t="str">
        <f>HYPERLINK("https://twitter.com/corischindlbeck/status/720592400025051137","720592400025051137")</f>
        <v>720592400025051137</v>
      </c>
      <c r="F148" s="11" t="s">
        <v>20</v>
      </c>
      <c r="G148" s="11">
        <v>624</v>
      </c>
      <c r="H148" s="11">
        <v>554</v>
      </c>
      <c r="I148" s="11">
        <v>10</v>
      </c>
      <c r="J148" s="11">
        <v>0</v>
      </c>
      <c r="K148" s="11" t="s">
        <v>21</v>
      </c>
      <c r="L148" s="7">
        <v>40233.931157407409</v>
      </c>
      <c r="M148" s="12" t="s">
        <v>440</v>
      </c>
      <c r="N148" s="12" t="s">
        <v>441</v>
      </c>
      <c r="O148" s="10" t="str">
        <f>HYPERLINK("https://pbs.twimg.com/profile_images/713459590608855041/fYp1lxGW_normal.jpg","View")</f>
        <v>View</v>
      </c>
      <c r="P148" s="11"/>
    </row>
    <row r="149" spans="1:16" ht="12.75" x14ac:dyDescent="0.35">
      <c r="A149" s="7">
        <v>42474.756944444445</v>
      </c>
      <c r="B149" s="8" t="str">
        <f>HYPERLINK("https://twitter.com/Electronic_Jobs","@Electronic_Jobs")</f>
        <v>@Electronic_Jobs</v>
      </c>
      <c r="C149" s="9" t="s">
        <v>442</v>
      </c>
      <c r="D149" s="9" t="s">
        <v>241</v>
      </c>
      <c r="E149" s="10" t="str">
        <f>HYPERLINK("https://twitter.com/Electronic_Jobs/status/720592440017690624","720592440017690624")</f>
        <v>720592440017690624</v>
      </c>
      <c r="F149" s="11" t="s">
        <v>20</v>
      </c>
      <c r="G149" s="11">
        <v>239</v>
      </c>
      <c r="H149" s="11">
        <v>427</v>
      </c>
      <c r="I149" s="11">
        <v>10</v>
      </c>
      <c r="J149" s="11">
        <v>0</v>
      </c>
      <c r="K149" s="11" t="s">
        <v>21</v>
      </c>
      <c r="L149" s="7">
        <v>40710.848819444444</v>
      </c>
      <c r="M149" s="12" t="s">
        <v>443</v>
      </c>
      <c r="N149" s="12" t="s">
        <v>444</v>
      </c>
      <c r="O149" s="10" t="str">
        <f>HYPERLINK("https://pbs.twimg.com/profile_images/646321353822498816/uxRoNbdD_normal.jpg","View")</f>
        <v>View</v>
      </c>
      <c r="P149" s="11"/>
    </row>
    <row r="150" spans="1:16" ht="12.75" x14ac:dyDescent="0.35">
      <c r="A150" s="7">
        <v>42474.762407407412</v>
      </c>
      <c r="B150" s="8" t="str">
        <f>HYPERLINK("https://twitter.com/EDV_Twitt","@EDV_Twitt")</f>
        <v>@EDV_Twitt</v>
      </c>
      <c r="C150" s="9" t="s">
        <v>445</v>
      </c>
      <c r="D150" s="9" t="s">
        <v>446</v>
      </c>
      <c r="E150" s="10" t="str">
        <f>HYPERLINK("https://twitter.com/EDV_Twitt/status/720594419792146432","720594419792146432")</f>
        <v>720594419792146432</v>
      </c>
      <c r="F150" s="11" t="s">
        <v>447</v>
      </c>
      <c r="G150" s="11">
        <v>1013</v>
      </c>
      <c r="H150" s="11">
        <v>970</v>
      </c>
      <c r="I150" s="11">
        <v>0</v>
      </c>
      <c r="J150" s="11">
        <v>0</v>
      </c>
      <c r="K150" s="11" t="s">
        <v>21</v>
      </c>
      <c r="L150" s="7">
        <v>40452.129027777773</v>
      </c>
      <c r="M150" s="12" t="s">
        <v>448</v>
      </c>
      <c r="N150" s="12" t="s">
        <v>449</v>
      </c>
      <c r="O150" s="10" t="str">
        <f>HYPERLINK("https://pbs.twimg.com/profile_images/703199515042418688/5Z4p9wxm_normal.png","View")</f>
        <v>View</v>
      </c>
      <c r="P150" s="11"/>
    </row>
    <row r="151" spans="1:16" ht="12.75" x14ac:dyDescent="0.35">
      <c r="A151" s="7">
        <v>42474.764340277776</v>
      </c>
      <c r="B151" s="8" t="str">
        <f>HYPERLINK("https://twitter.com/H_IT_D","@H_IT_D")</f>
        <v>@H_IT_D</v>
      </c>
      <c r="C151" s="9" t="s">
        <v>159</v>
      </c>
      <c r="D151" s="9" t="s">
        <v>450</v>
      </c>
      <c r="E151" s="10" t="str">
        <f>HYPERLINK("https://twitter.com/H_IT_D/status/720595120773406720","720595120773406720")</f>
        <v>720595120773406720</v>
      </c>
      <c r="F151" s="11" t="s">
        <v>161</v>
      </c>
      <c r="G151" s="11">
        <v>463</v>
      </c>
      <c r="H151" s="11">
        <v>467</v>
      </c>
      <c r="I151" s="11">
        <v>1</v>
      </c>
      <c r="J151" s="11">
        <v>0</v>
      </c>
      <c r="K151" s="11" t="s">
        <v>21</v>
      </c>
      <c r="L151" s="7">
        <v>40723.867673611108</v>
      </c>
      <c r="M151" s="12" t="s">
        <v>162</v>
      </c>
      <c r="N151" s="12" t="s">
        <v>163</v>
      </c>
      <c r="O151" s="10" t="str">
        <f>HYPERLINK("https://pbs.twimg.com/profile_images/662723326096224256/5V4KH9_O_normal.jpg","View")</f>
        <v>View</v>
      </c>
      <c r="P151" s="11"/>
    </row>
    <row r="152" spans="1:16" ht="12.75" x14ac:dyDescent="0.35">
      <c r="A152" s="7">
        <v>42474.765011574069</v>
      </c>
      <c r="B152" s="8" t="str">
        <f>HYPERLINK("https://twitter.com/INDIZbot","@INDIZbot")</f>
        <v>@INDIZbot</v>
      </c>
      <c r="C152" s="9" t="s">
        <v>61</v>
      </c>
      <c r="D152" s="9" t="s">
        <v>451</v>
      </c>
      <c r="E152" s="10" t="str">
        <f>HYPERLINK("https://twitter.com/INDIZbot/status/720595366173937664","720595366173937664")</f>
        <v>720595366173937664</v>
      </c>
      <c r="F152" s="11" t="s">
        <v>62</v>
      </c>
      <c r="G152" s="11">
        <v>1762</v>
      </c>
      <c r="H152" s="11">
        <v>481</v>
      </c>
      <c r="I152" s="11">
        <v>1</v>
      </c>
      <c r="J152" s="11">
        <v>0</v>
      </c>
      <c r="K152" s="11" t="s">
        <v>21</v>
      </c>
      <c r="L152" s="7">
        <v>42267.011921296296</v>
      </c>
      <c r="M152" s="12"/>
      <c r="N152" s="12" t="s">
        <v>63</v>
      </c>
      <c r="O152" s="10" t="str">
        <f>HYPERLINK("https://pbs.twimg.com/profile_images/645716711723925506/t5G0qOS6_normal.jpg","View")</f>
        <v>View</v>
      </c>
      <c r="P152" s="11"/>
    </row>
    <row r="153" spans="1:16" ht="12.75" x14ac:dyDescent="0.35">
      <c r="A153" s="7">
        <v>42474.770844907413</v>
      </c>
      <c r="B153" s="8" t="str">
        <f>HYPERLINK("https://twitter.com/QuickFindsIn","@QuickFindsIn")</f>
        <v>@QuickFindsIn</v>
      </c>
      <c r="C153" s="9" t="s">
        <v>208</v>
      </c>
      <c r="D153" s="9" t="s">
        <v>452</v>
      </c>
      <c r="E153" s="10" t="str">
        <f>HYPERLINK("https://twitter.com/QuickFindsIn/status/720597479125680128","720597479125680128")</f>
        <v>720597479125680128</v>
      </c>
      <c r="F153" s="11" t="s">
        <v>210</v>
      </c>
      <c r="G153" s="11">
        <v>1895</v>
      </c>
      <c r="H153" s="11">
        <v>2758</v>
      </c>
      <c r="I153" s="11">
        <v>0</v>
      </c>
      <c r="J153" s="11">
        <v>0</v>
      </c>
      <c r="K153" s="11" t="s">
        <v>21</v>
      </c>
      <c r="L153" s="7">
        <v>42069.582048611112</v>
      </c>
      <c r="M153" s="12" t="s">
        <v>211</v>
      </c>
      <c r="N153" s="12" t="s">
        <v>212</v>
      </c>
      <c r="O153" s="10" t="str">
        <f>HYPERLINK("https://pbs.twimg.com/profile_images/591951396217327616/HbcCX2zX_normal.png","View")</f>
        <v>View</v>
      </c>
      <c r="P153" s="11"/>
    </row>
    <row r="154" spans="1:16" ht="12.75" x14ac:dyDescent="0.35">
      <c r="A154" s="7">
        <v>42474.770844907413</v>
      </c>
      <c r="B154" s="8" t="str">
        <f>HYPERLINK("https://twitter.com/quickfindseotip","@quickfindseotip")</f>
        <v>@quickfindseotip</v>
      </c>
      <c r="C154" s="9" t="s">
        <v>453</v>
      </c>
      <c r="D154" s="9" t="s">
        <v>454</v>
      </c>
      <c r="E154" s="10" t="str">
        <f>HYPERLINK("https://twitter.com/quickfindseotip/status/720597479167623169","720597479167623169")</f>
        <v>720597479167623169</v>
      </c>
      <c r="F154" s="11" t="s">
        <v>455</v>
      </c>
      <c r="G154" s="11">
        <v>1674</v>
      </c>
      <c r="H154" s="11">
        <v>1698</v>
      </c>
      <c r="I154" s="11">
        <v>0</v>
      </c>
      <c r="J154" s="11">
        <v>0</v>
      </c>
      <c r="K154" s="11" t="s">
        <v>21</v>
      </c>
      <c r="L154" s="7">
        <v>42070.760324074072</v>
      </c>
      <c r="M154" s="12" t="s">
        <v>456</v>
      </c>
      <c r="N154" s="12" t="s">
        <v>457</v>
      </c>
      <c r="O154" s="10" t="str">
        <f>HYPERLINK("https://pbs.twimg.com/profile_images/592208932988264449/bM2abhue_normal.png","View")</f>
        <v>View</v>
      </c>
      <c r="P154" s="11"/>
    </row>
    <row r="155" spans="1:16" ht="12.75" x14ac:dyDescent="0.35">
      <c r="A155" s="7">
        <v>42474.770972222221</v>
      </c>
      <c r="B155" s="8" t="str">
        <f>HYPERLINK("https://twitter.com/verlinked","@verlinked")</f>
        <v>@verlinked</v>
      </c>
      <c r="C155" s="9" t="s">
        <v>263</v>
      </c>
      <c r="D155" s="9" t="s">
        <v>458</v>
      </c>
      <c r="E155" s="10" t="str">
        <f>HYPERLINK("https://twitter.com/verlinked/status/720597524294144000","720597524294144000")</f>
        <v>720597524294144000</v>
      </c>
      <c r="F155" s="11" t="s">
        <v>115</v>
      </c>
      <c r="G155" s="11">
        <v>600</v>
      </c>
      <c r="H155" s="11">
        <v>1201</v>
      </c>
      <c r="I155" s="11">
        <v>1</v>
      </c>
      <c r="J155" s="11">
        <v>0</v>
      </c>
      <c r="K155" s="11" t="s">
        <v>21</v>
      </c>
      <c r="L155" s="7">
        <v>41463.077627314815</v>
      </c>
      <c r="M155" s="12" t="s">
        <v>265</v>
      </c>
      <c r="N155" s="12" t="s">
        <v>266</v>
      </c>
      <c r="O155" s="10" t="str">
        <f>HYPERLINK("https://pbs.twimg.com/profile_images/722385992343285760/ww8YLZ2q_normal.jpg","View")</f>
        <v>View</v>
      </c>
      <c r="P155" s="11"/>
    </row>
    <row r="156" spans="1:16" ht="12.75" x14ac:dyDescent="0.35">
      <c r="A156" s="7">
        <v>42474.773263888885</v>
      </c>
      <c r="B156" s="8" t="str">
        <f>HYPERLINK("https://twitter.com/EmreKayadelen2","@EmreKayadelen2")</f>
        <v>@EmreKayadelen2</v>
      </c>
      <c r="C156" s="9" t="s">
        <v>459</v>
      </c>
      <c r="D156" s="9" t="s">
        <v>460</v>
      </c>
      <c r="E156" s="10" t="str">
        <f>HYPERLINK("https://twitter.com/EmreKayadelen2/status/720598356557500416","720598356557500416")</f>
        <v>720598356557500416</v>
      </c>
      <c r="F156" s="11" t="s">
        <v>31</v>
      </c>
      <c r="G156" s="11">
        <v>25</v>
      </c>
      <c r="H156" s="11">
        <v>256</v>
      </c>
      <c r="I156" s="11">
        <v>0</v>
      </c>
      <c r="J156" s="11">
        <v>1</v>
      </c>
      <c r="K156" s="11" t="s">
        <v>21</v>
      </c>
      <c r="L156" s="7">
        <v>41395.864525462966</v>
      </c>
      <c r="M156" s="12"/>
      <c r="N156" s="12" t="s">
        <v>461</v>
      </c>
      <c r="O156" s="10" t="str">
        <f>HYPERLINK("https://pbs.twimg.com/profile_images/650275357636038656/k7dfy49Q_normal.jpg","View")</f>
        <v>View</v>
      </c>
      <c r="P156" s="11"/>
    </row>
    <row r="157" spans="1:16" ht="12.75" x14ac:dyDescent="0.35">
      <c r="A157" s="7">
        <v>42474.776747685188</v>
      </c>
      <c r="B157" s="8" t="str">
        <f>HYPERLINK("https://twitter.com/Personalpraxis","@Personalpraxis")</f>
        <v>@Personalpraxis</v>
      </c>
      <c r="C157" s="8" t="s">
        <v>462</v>
      </c>
      <c r="D157" s="9" t="s">
        <v>463</v>
      </c>
      <c r="E157" s="10" t="str">
        <f>HYPERLINK("https://twitter.com/Personalpraxis/status/720599615821717504","720599615821717504")</f>
        <v>720599615821717504</v>
      </c>
      <c r="F157" s="11" t="s">
        <v>25</v>
      </c>
      <c r="G157" s="11">
        <v>1223</v>
      </c>
      <c r="H157" s="11">
        <v>473</v>
      </c>
      <c r="I157" s="11">
        <v>1</v>
      </c>
      <c r="J157" s="11">
        <v>0</v>
      </c>
      <c r="K157" s="11" t="s">
        <v>21</v>
      </c>
      <c r="L157" s="7">
        <v>39878.618993055556</v>
      </c>
      <c r="M157" s="12" t="s">
        <v>464</v>
      </c>
      <c r="N157" s="12" t="s">
        <v>465</v>
      </c>
      <c r="O157" s="10" t="str">
        <f>HYPERLINK("https://pbs.twimg.com/profile_images/1689149413/PP24_Twittervogel_normal.jpg","View")</f>
        <v>View</v>
      </c>
      <c r="P157" s="11"/>
    </row>
    <row r="158" spans="1:16" ht="12.75" x14ac:dyDescent="0.35">
      <c r="A158" s="7">
        <v>42474.777708333335</v>
      </c>
      <c r="B158" s="8" t="str">
        <f>HYPERLINK("https://twitter.com/abasERP","@abasERP")</f>
        <v>@abasERP</v>
      </c>
      <c r="C158" s="9" t="s">
        <v>466</v>
      </c>
      <c r="D158" s="9" t="s">
        <v>467</v>
      </c>
      <c r="E158" s="10" t="str">
        <f>HYPERLINK("https://twitter.com/abasERP/status/720599964636815360","720599964636815360")</f>
        <v>720599964636815360</v>
      </c>
      <c r="F158" s="11" t="s">
        <v>25</v>
      </c>
      <c r="G158" s="11">
        <v>2899</v>
      </c>
      <c r="H158" s="11">
        <v>2575</v>
      </c>
      <c r="I158" s="11">
        <v>65</v>
      </c>
      <c r="J158" s="11">
        <v>0</v>
      </c>
      <c r="K158" s="11" t="s">
        <v>21</v>
      </c>
      <c r="L158" s="7">
        <v>40064.753009259257</v>
      </c>
      <c r="M158" s="12" t="s">
        <v>468</v>
      </c>
      <c r="N158" s="12" t="s">
        <v>469</v>
      </c>
      <c r="O158" s="10" t="str">
        <f>HYPERLINK("https://pbs.twimg.com/profile_images/515120426473627649/wHhF7KVO_normal.png","View")</f>
        <v>View</v>
      </c>
      <c r="P158" s="11"/>
    </row>
    <row r="159" spans="1:16" ht="12.75" x14ac:dyDescent="0.35">
      <c r="A159" s="7">
        <v>42474.777939814812</v>
      </c>
      <c r="B159" s="8" t="str">
        <f>HYPERLINK("https://twitter.com/cmerhy","@cmerhy")</f>
        <v>@cmerhy</v>
      </c>
      <c r="C159" s="9" t="s">
        <v>470</v>
      </c>
      <c r="D159" s="9" t="s">
        <v>436</v>
      </c>
      <c r="E159" s="10" t="str">
        <f>HYPERLINK("https://twitter.com/cmerhy/status/720600049391136768","720600049391136768")</f>
        <v>720600049391136768</v>
      </c>
      <c r="F159" s="11" t="s">
        <v>20</v>
      </c>
      <c r="G159" s="11">
        <v>140</v>
      </c>
      <c r="H159" s="11">
        <v>134</v>
      </c>
      <c r="I159" s="11">
        <v>2</v>
      </c>
      <c r="J159" s="11">
        <v>0</v>
      </c>
      <c r="K159" s="11" t="s">
        <v>21</v>
      </c>
      <c r="L159" s="7">
        <v>39820.927858796298</v>
      </c>
      <c r="M159" s="12" t="s">
        <v>471</v>
      </c>
      <c r="N159" s="12" t="s">
        <v>472</v>
      </c>
      <c r="O159" s="10" t="str">
        <f>HYPERLINK("https://pbs.twimg.com/profile_images/498786740618792960/F5YajKYc_normal.jpeg","View")</f>
        <v>View</v>
      </c>
      <c r="P159" s="11"/>
    </row>
    <row r="160" spans="1:16" ht="12.75" x14ac:dyDescent="0.35">
      <c r="A160" s="7">
        <v>42474.779664351852</v>
      </c>
      <c r="B160" s="8" t="str">
        <f>HYPERLINK("https://twitter.com/INDIZbot","@INDIZbot")</f>
        <v>@INDIZbot</v>
      </c>
      <c r="C160" s="9" t="s">
        <v>61</v>
      </c>
      <c r="D160" s="9" t="s">
        <v>473</v>
      </c>
      <c r="E160" s="10" t="str">
        <f>HYPERLINK("https://twitter.com/INDIZbot/status/720600673780416513","720600673780416513")</f>
        <v>720600673780416513</v>
      </c>
      <c r="F160" s="11" t="s">
        <v>62</v>
      </c>
      <c r="G160" s="11">
        <v>1762</v>
      </c>
      <c r="H160" s="11">
        <v>481</v>
      </c>
      <c r="I160" s="11">
        <v>1</v>
      </c>
      <c r="J160" s="11">
        <v>0</v>
      </c>
      <c r="K160" s="11" t="s">
        <v>21</v>
      </c>
      <c r="L160" s="7">
        <v>42267.011921296296</v>
      </c>
      <c r="M160" s="12"/>
      <c r="N160" s="12" t="s">
        <v>63</v>
      </c>
      <c r="O160" s="10" t="str">
        <f>HYPERLINK("https://pbs.twimg.com/profile_images/645716711723925506/t5G0qOS6_normal.jpg","View")</f>
        <v>View</v>
      </c>
      <c r="P160" s="11"/>
    </row>
    <row r="161" spans="1:16" ht="12.75" x14ac:dyDescent="0.35">
      <c r="A161" s="7">
        <v>42474.781331018516</v>
      </c>
      <c r="B161" s="8" t="str">
        <f>HYPERLINK("https://twitter.com/ROKAutomationIT","@ROKAutomationIT")</f>
        <v>@ROKAutomationIT</v>
      </c>
      <c r="C161" s="9" t="s">
        <v>416</v>
      </c>
      <c r="D161" s="9" t="s">
        <v>474</v>
      </c>
      <c r="E161" s="10" t="str">
        <f>HYPERLINK("https://twitter.com/ROKAutomationIT/status/720601277076361216","720601277076361216")</f>
        <v>720601277076361216</v>
      </c>
      <c r="F161" s="11" t="s">
        <v>418</v>
      </c>
      <c r="G161" s="11">
        <v>950</v>
      </c>
      <c r="H161" s="11">
        <v>643</v>
      </c>
      <c r="I161" s="11">
        <v>3</v>
      </c>
      <c r="J161" s="11">
        <v>4</v>
      </c>
      <c r="K161" s="11" t="s">
        <v>21</v>
      </c>
      <c r="L161" s="7">
        <v>41004.653541666667</v>
      </c>
      <c r="M161" s="12" t="s">
        <v>475</v>
      </c>
      <c r="N161" s="12" t="s">
        <v>476</v>
      </c>
      <c r="O161" s="10" t="str">
        <f>HYPERLINK("https://pbs.twimg.com/profile_images/497752224643043331/9wtAAp-D_normal.jpeg","View")</f>
        <v>View</v>
      </c>
      <c r="P161" s="11"/>
    </row>
    <row r="162" spans="1:16" ht="12.75" x14ac:dyDescent="0.35">
      <c r="A162" s="7">
        <v>42474.781331018516</v>
      </c>
      <c r="B162" s="8" t="str">
        <f>HYPERLINK("https://twitter.com/ROKAutoCHIT","@ROKAutoCHIT")</f>
        <v>@ROKAutoCHIT</v>
      </c>
      <c r="C162" s="9" t="s">
        <v>416</v>
      </c>
      <c r="D162" s="9" t="s">
        <v>477</v>
      </c>
      <c r="E162" s="10" t="str">
        <f>HYPERLINK("https://twitter.com/ROKAutoCHIT/status/720601278481457152","720601278481457152")</f>
        <v>720601278481457152</v>
      </c>
      <c r="F162" s="11" t="s">
        <v>418</v>
      </c>
      <c r="G162" s="11">
        <v>739</v>
      </c>
      <c r="H162" s="11">
        <v>676</v>
      </c>
      <c r="I162" s="11">
        <v>0</v>
      </c>
      <c r="J162" s="11">
        <v>0</v>
      </c>
      <c r="K162" s="11" t="s">
        <v>21</v>
      </c>
      <c r="L162" s="7">
        <v>41017.697812500002</v>
      </c>
      <c r="M162" s="12" t="s">
        <v>478</v>
      </c>
      <c r="N162" s="12" t="s">
        <v>479</v>
      </c>
      <c r="O162" s="10" t="str">
        <f>HYPERLINK("https://pbs.twimg.com/profile_images/496687683813404674/YzNGUapS_normal.jpeg","View")</f>
        <v>View</v>
      </c>
      <c r="P162" s="11"/>
    </row>
    <row r="163" spans="1:16" ht="12.75" x14ac:dyDescent="0.35">
      <c r="A163" s="7">
        <v>42474.791574074072</v>
      </c>
      <c r="B163" s="8" t="str">
        <f>HYPERLINK("https://twitter.com/hjvsch","@hjvsch")</f>
        <v>@hjvsch</v>
      </c>
      <c r="C163" s="9" t="s">
        <v>480</v>
      </c>
      <c r="D163" s="9" t="s">
        <v>241</v>
      </c>
      <c r="E163" s="10" t="str">
        <f>HYPERLINK("https://twitter.com/hjvsch/status/720604990226755584","720604990226755584")</f>
        <v>720604990226755584</v>
      </c>
      <c r="F163" s="11" t="s">
        <v>31</v>
      </c>
      <c r="G163" s="11">
        <v>903</v>
      </c>
      <c r="H163" s="11">
        <v>1360</v>
      </c>
      <c r="I163" s="11">
        <v>10</v>
      </c>
      <c r="J163" s="11">
        <v>0</v>
      </c>
      <c r="K163" s="11" t="s">
        <v>21</v>
      </c>
      <c r="L163" s="7">
        <v>42430.610173611116</v>
      </c>
      <c r="M163" s="12" t="s">
        <v>481</v>
      </c>
      <c r="N163" s="12" t="s">
        <v>482</v>
      </c>
      <c r="O163" s="10" t="str">
        <f>HYPERLINK("https://pbs.twimg.com/profile_images/704596570717683712/S63wpVif_normal.jpg","View")</f>
        <v>View</v>
      </c>
      <c r="P163" s="11"/>
    </row>
    <row r="164" spans="1:16" ht="12.75" x14ac:dyDescent="0.35">
      <c r="A164" s="7">
        <v>42474.79378472222</v>
      </c>
      <c r="B164" s="8" t="str">
        <f>HYPERLINK("https://twitter.com/Metaalmagazine","@Metaalmagazine")</f>
        <v>@Metaalmagazine</v>
      </c>
      <c r="C164" s="9" t="s">
        <v>483</v>
      </c>
      <c r="D164" s="9" t="s">
        <v>467</v>
      </c>
      <c r="E164" s="10" t="str">
        <f>HYPERLINK("https://twitter.com/Metaalmagazine/status/720605789510111232","720605789510111232")</f>
        <v>720605789510111232</v>
      </c>
      <c r="F164" s="11" t="s">
        <v>25</v>
      </c>
      <c r="G164" s="11">
        <v>5089</v>
      </c>
      <c r="H164" s="11">
        <v>1120</v>
      </c>
      <c r="I164" s="11">
        <v>65</v>
      </c>
      <c r="J164" s="11">
        <v>0</v>
      </c>
      <c r="K164" s="11" t="s">
        <v>21</v>
      </c>
      <c r="L164" s="7">
        <v>39931.535868055558</v>
      </c>
      <c r="M164" s="12" t="s">
        <v>484</v>
      </c>
      <c r="N164" s="12" t="s">
        <v>485</v>
      </c>
      <c r="O164" s="10" t="str">
        <f>HYPERLINK("https://pbs.twimg.com/profile_images/694492956108009473/r9GcMUcI_normal.jpg","View")</f>
        <v>View</v>
      </c>
      <c r="P164" s="11"/>
    </row>
    <row r="165" spans="1:16" ht="12.75" x14ac:dyDescent="0.35">
      <c r="A165" s="7">
        <v>42474.795115740737</v>
      </c>
      <c r="B165" s="8" t="str">
        <f>HYPERLINK("https://twitter.com/BolognaFiere","@BolognaFiere")</f>
        <v>@BolognaFiere</v>
      </c>
      <c r="C165" s="9" t="s">
        <v>486</v>
      </c>
      <c r="D165" s="9" t="s">
        <v>487</v>
      </c>
      <c r="E165" s="10" t="str">
        <f>HYPERLINK("https://twitter.com/BolognaFiere/status/720606274195492864","720606274195492864")</f>
        <v>720606274195492864</v>
      </c>
      <c r="F165" s="11" t="s">
        <v>25</v>
      </c>
      <c r="G165" s="11">
        <v>6669</v>
      </c>
      <c r="H165" s="11">
        <v>5276</v>
      </c>
      <c r="I165" s="11">
        <v>3</v>
      </c>
      <c r="J165" s="11">
        <v>0</v>
      </c>
      <c r="K165" s="11" t="s">
        <v>21</v>
      </c>
      <c r="L165" s="7">
        <v>39930.63622685185</v>
      </c>
      <c r="M165" s="12" t="s">
        <v>488</v>
      </c>
      <c r="N165" s="12" t="s">
        <v>489</v>
      </c>
      <c r="O165" s="10" t="str">
        <f>HYPERLINK("https://pbs.twimg.com/profile_images/701807284599595008/bwjAwP-P_normal.jpg","View")</f>
        <v>View</v>
      </c>
      <c r="P165" s="11"/>
    </row>
    <row r="166" spans="1:16" ht="12.75" x14ac:dyDescent="0.35">
      <c r="A166" s="7">
        <v>42474.795289351852</v>
      </c>
      <c r="B166" s="8" t="str">
        <f>HYPERLINK("https://twitter.com/JIJmt","@JIJmt")</f>
        <v>@JIJmt</v>
      </c>
      <c r="C166" s="9" t="s">
        <v>490</v>
      </c>
      <c r="D166" s="9" t="s">
        <v>491</v>
      </c>
      <c r="E166" s="10" t="str">
        <f>HYPERLINK("https://twitter.com/JIJmt/status/720606335092592641","720606335092592641")</f>
        <v>720606335092592641</v>
      </c>
      <c r="F166" s="11" t="s">
        <v>39</v>
      </c>
      <c r="G166" s="11">
        <v>198</v>
      </c>
      <c r="H166" s="11">
        <v>401</v>
      </c>
      <c r="I166" s="11">
        <v>1</v>
      </c>
      <c r="J166" s="11">
        <v>1</v>
      </c>
      <c r="K166" s="11" t="s">
        <v>21</v>
      </c>
      <c r="L166" s="7">
        <v>41500.618020833332</v>
      </c>
      <c r="M166" s="12" t="s">
        <v>492</v>
      </c>
      <c r="N166" s="12" t="s">
        <v>493</v>
      </c>
      <c r="O166" s="10" t="str">
        <f>HYPERLINK("https://pbs.twimg.com/profile_images/671714912956243968/T1wpMEU5_normal.jpg","View")</f>
        <v>View</v>
      </c>
      <c r="P166" s="11"/>
    </row>
    <row r="167" spans="1:16" ht="12.75" x14ac:dyDescent="0.35">
      <c r="A167" s="7">
        <v>42474.797685185185</v>
      </c>
      <c r="B167" s="8" t="str">
        <f>HYPERLINK("https://twitter.com/HudsonFasteners","@HudsonFasteners")</f>
        <v>@HudsonFasteners</v>
      </c>
      <c r="C167" s="9" t="s">
        <v>494</v>
      </c>
      <c r="D167" s="9" t="s">
        <v>467</v>
      </c>
      <c r="E167" s="10" t="str">
        <f>HYPERLINK("https://twitter.com/HudsonFasteners/status/720607205586767873","720607205586767873")</f>
        <v>720607205586767873</v>
      </c>
      <c r="F167" s="11" t="s">
        <v>25</v>
      </c>
      <c r="G167" s="11">
        <v>2157</v>
      </c>
      <c r="H167" s="11">
        <v>1757</v>
      </c>
      <c r="I167" s="11">
        <v>65</v>
      </c>
      <c r="J167" s="11">
        <v>0</v>
      </c>
      <c r="K167" s="11" t="s">
        <v>21</v>
      </c>
      <c r="L167" s="7">
        <v>39617.691030092596</v>
      </c>
      <c r="M167" s="12" t="s">
        <v>495</v>
      </c>
      <c r="N167" s="12" t="s">
        <v>496</v>
      </c>
      <c r="O167" s="10" t="str">
        <f>HYPERLINK("https://pbs.twimg.com/profile_images/681576688258576389/mxs8SoHc_normal.png","View")</f>
        <v>View</v>
      </c>
      <c r="P167" s="11"/>
    </row>
    <row r="168" spans="1:16" ht="12.75" x14ac:dyDescent="0.35">
      <c r="A168" s="7">
        <v>42474.799513888887</v>
      </c>
      <c r="B168" s="8" t="str">
        <f>HYPERLINK("https://twitter.com/PSIPENTA","@PSIPENTA")</f>
        <v>@PSIPENTA</v>
      </c>
      <c r="C168" s="9" t="s">
        <v>497</v>
      </c>
      <c r="D168" s="9" t="s">
        <v>467</v>
      </c>
      <c r="E168" s="10" t="str">
        <f>HYPERLINK("https://twitter.com/PSIPENTA/status/720607865866739713","720607865866739713")</f>
        <v>720607865866739713</v>
      </c>
      <c r="F168" s="11" t="s">
        <v>25</v>
      </c>
      <c r="G168" s="11">
        <v>551</v>
      </c>
      <c r="H168" s="11">
        <v>542</v>
      </c>
      <c r="I168" s="11">
        <v>65</v>
      </c>
      <c r="J168" s="11">
        <v>0</v>
      </c>
      <c r="K168" s="11" t="s">
        <v>21</v>
      </c>
      <c r="L168" s="7">
        <v>40519.804988425924</v>
      </c>
      <c r="M168" s="12"/>
      <c r="N168" s="12" t="s">
        <v>498</v>
      </c>
      <c r="O168" s="10" t="str">
        <f>HYPERLINK("https://pbs.twimg.com/profile_images/684325175849037824/2vFq058g_normal.jpg","View")</f>
        <v>View</v>
      </c>
      <c r="P168" s="11"/>
    </row>
    <row r="169" spans="1:16" ht="12.75" x14ac:dyDescent="0.35">
      <c r="A169" s="7">
        <v>42474.800254629634</v>
      </c>
      <c r="B169" s="8" t="str">
        <f>HYPERLINK("https://twitter.com/Aurelien_T_K","@Aurelien_T_K")</f>
        <v>@Aurelien_T_K</v>
      </c>
      <c r="C169" s="9" t="s">
        <v>242</v>
      </c>
      <c r="D169" s="9" t="s">
        <v>83</v>
      </c>
      <c r="E169" s="10" t="str">
        <f>HYPERLINK("https://twitter.com/Aurelien_T_K/status/720608136252497920","720608136252497920")</f>
        <v>720608136252497920</v>
      </c>
      <c r="F169" s="11" t="s">
        <v>84</v>
      </c>
      <c r="G169" s="11">
        <v>135</v>
      </c>
      <c r="H169" s="11">
        <v>206</v>
      </c>
      <c r="I169" s="11">
        <v>6</v>
      </c>
      <c r="J169" s="11">
        <v>0</v>
      </c>
      <c r="K169" s="11" t="s">
        <v>21</v>
      </c>
      <c r="L169" s="7">
        <v>40052.385185185187</v>
      </c>
      <c r="M169" s="12" t="s">
        <v>243</v>
      </c>
      <c r="N169" s="12" t="s">
        <v>244</v>
      </c>
      <c r="O169" s="10" t="str">
        <f>HYPERLINK("https://pbs.twimg.com/profile_images/711460495795097600/GjVvY72S_normal.jpg","View")</f>
        <v>View</v>
      </c>
      <c r="P169" s="11"/>
    </row>
    <row r="170" spans="1:16" ht="12.75" x14ac:dyDescent="0.35">
      <c r="A170" s="7">
        <v>42474.800555555557</v>
      </c>
      <c r="B170" s="8" t="str">
        <f>HYPERLINK("https://twitter.com/prxpragma","@prxpragma")</f>
        <v>@prxpragma</v>
      </c>
      <c r="C170" s="9" t="s">
        <v>499</v>
      </c>
      <c r="D170" s="9" t="s">
        <v>500</v>
      </c>
      <c r="E170" s="10" t="str">
        <f>HYPERLINK("https://twitter.com/prxpragma/status/720608246487232512","720608246487232512")</f>
        <v>720608246487232512</v>
      </c>
      <c r="F170" s="11" t="s">
        <v>501</v>
      </c>
      <c r="G170" s="11">
        <v>306</v>
      </c>
      <c r="H170" s="11">
        <v>562</v>
      </c>
      <c r="I170" s="11">
        <v>0</v>
      </c>
      <c r="J170" s="11">
        <v>0</v>
      </c>
      <c r="K170" s="11" t="s">
        <v>21</v>
      </c>
      <c r="L170" s="7">
        <v>42129.922442129631</v>
      </c>
      <c r="M170" s="12"/>
      <c r="N170" s="12"/>
      <c r="O170" s="10" t="str">
        <f>HYPERLINK("https://pbs.twimg.com/profile_images/595629691249233920/PnZxF5UO_normal.jpg","View")</f>
        <v>View</v>
      </c>
      <c r="P170" s="11"/>
    </row>
    <row r="171" spans="1:16" ht="12.75" x14ac:dyDescent="0.35">
      <c r="A171" s="7">
        <v>42474.810416666667</v>
      </c>
      <c r="B171" s="8" t="str">
        <f>HYPERLINK("https://twitter.com/Teresa_Leggettt","@Teresa_Leggettt")</f>
        <v>@Teresa_Leggettt</v>
      </c>
      <c r="C171" s="9" t="s">
        <v>502</v>
      </c>
      <c r="D171" s="9" t="s">
        <v>467</v>
      </c>
      <c r="E171" s="10" t="str">
        <f>HYPERLINK("https://twitter.com/Teresa_Leggettt/status/720611817819619328","720611817819619328")</f>
        <v>720611817819619328</v>
      </c>
      <c r="F171" s="11" t="s">
        <v>25</v>
      </c>
      <c r="G171" s="11">
        <v>283</v>
      </c>
      <c r="H171" s="11">
        <v>556</v>
      </c>
      <c r="I171" s="11">
        <v>65</v>
      </c>
      <c r="J171" s="11">
        <v>0</v>
      </c>
      <c r="K171" s="11" t="s">
        <v>21</v>
      </c>
      <c r="L171" s="7">
        <v>42433.343449074076</v>
      </c>
      <c r="M171" s="12"/>
      <c r="N171" s="12" t="s">
        <v>503</v>
      </c>
      <c r="O171" s="10" t="str">
        <f>HYPERLINK("https://pbs.twimg.com/profile_images/711209126039146496/EGZvHaKr_normal.jpg","View")</f>
        <v>View</v>
      </c>
      <c r="P171" s="11"/>
    </row>
    <row r="172" spans="1:16" ht="12.75" x14ac:dyDescent="0.35">
      <c r="A172" s="7">
        <v>42474.812523148154</v>
      </c>
      <c r="B172" s="8" t="str">
        <f>HYPERLINK("https://twitter.com/QuickFindsIn","@QuickFindsIn")</f>
        <v>@QuickFindsIn</v>
      </c>
      <c r="C172" s="9" t="s">
        <v>208</v>
      </c>
      <c r="D172" s="9" t="s">
        <v>504</v>
      </c>
      <c r="E172" s="10" t="str">
        <f>HYPERLINK("https://twitter.com/QuickFindsIn/status/720612580213919744","720612580213919744")</f>
        <v>720612580213919744</v>
      </c>
      <c r="F172" s="11" t="s">
        <v>210</v>
      </c>
      <c r="G172" s="11">
        <v>1895</v>
      </c>
      <c r="H172" s="11">
        <v>2758</v>
      </c>
      <c r="I172" s="11">
        <v>0</v>
      </c>
      <c r="J172" s="11">
        <v>0</v>
      </c>
      <c r="K172" s="11" t="s">
        <v>21</v>
      </c>
      <c r="L172" s="7">
        <v>42069.582048611112</v>
      </c>
      <c r="M172" s="12" t="s">
        <v>211</v>
      </c>
      <c r="N172" s="12" t="s">
        <v>212</v>
      </c>
      <c r="O172" s="10" t="str">
        <f>HYPERLINK("https://pbs.twimg.com/profile_images/591951396217327616/HbcCX2zX_normal.png","View")</f>
        <v>View</v>
      </c>
      <c r="P172" s="11"/>
    </row>
    <row r="173" spans="1:16" ht="12.75" x14ac:dyDescent="0.35">
      <c r="A173" s="7">
        <v>42474.813877314809</v>
      </c>
      <c r="B173" s="8" t="str">
        <f>HYPERLINK("https://twitter.com/Tim_Caesar","@Tim_Caesar")</f>
        <v>@Tim_Caesar</v>
      </c>
      <c r="C173" s="9" t="s">
        <v>288</v>
      </c>
      <c r="D173" s="9" t="s">
        <v>287</v>
      </c>
      <c r="E173" s="10" t="str">
        <f>HYPERLINK("https://twitter.com/Tim_Caesar/status/720613072591839232","720613072591839232")</f>
        <v>720613072591839232</v>
      </c>
      <c r="F173" s="11" t="s">
        <v>31</v>
      </c>
      <c r="G173" s="11">
        <v>2056</v>
      </c>
      <c r="H173" s="11">
        <v>1543</v>
      </c>
      <c r="I173" s="11">
        <v>3</v>
      </c>
      <c r="J173" s="11">
        <v>0</v>
      </c>
      <c r="K173" s="11" t="s">
        <v>21</v>
      </c>
      <c r="L173" s="7">
        <v>40005.441817129627</v>
      </c>
      <c r="M173" s="12" t="s">
        <v>290</v>
      </c>
      <c r="N173" s="12" t="s">
        <v>291</v>
      </c>
      <c r="O173" s="10" t="str">
        <f>HYPERLINK("https://pbs.twimg.com/profile_images/574517024556089345/fuK3tcde_normal.jpeg","View")</f>
        <v>View</v>
      </c>
      <c r="P173" s="11"/>
    </row>
    <row r="174" spans="1:16" ht="12.75" x14ac:dyDescent="0.35">
      <c r="A174" s="7">
        <v>42474.815983796296</v>
      </c>
      <c r="B174" s="8" t="str">
        <f>HYPERLINK("https://twitter.com/kommoptimierer","@kommoptimierer")</f>
        <v>@kommoptimierer</v>
      </c>
      <c r="C174" s="9" t="s">
        <v>270</v>
      </c>
      <c r="D174" s="9" t="s">
        <v>505</v>
      </c>
      <c r="E174" s="10" t="str">
        <f>HYPERLINK("https://twitter.com/kommoptimierer/status/720613836185841664","720613836185841664")</f>
        <v>720613836185841664</v>
      </c>
      <c r="F174" s="11" t="s">
        <v>272</v>
      </c>
      <c r="G174" s="11">
        <v>1347</v>
      </c>
      <c r="H174" s="11">
        <v>1753</v>
      </c>
      <c r="I174" s="11">
        <v>0</v>
      </c>
      <c r="J174" s="11">
        <v>0</v>
      </c>
      <c r="K174" s="11" t="s">
        <v>21</v>
      </c>
      <c r="L174" s="7">
        <v>39986.860358796301</v>
      </c>
      <c r="M174" s="12" t="s">
        <v>273</v>
      </c>
      <c r="N174" s="12" t="s">
        <v>274</v>
      </c>
      <c r="O174" s="10" t="str">
        <f>HYPERLINK("https://pbs.twimg.com/profile_images/541146126158536704/IYardufS_normal.jpeg","View")</f>
        <v>View</v>
      </c>
      <c r="P174" s="11"/>
    </row>
    <row r="175" spans="1:16" ht="12.75" x14ac:dyDescent="0.35">
      <c r="A175" s="7">
        <v>42474.81726851852</v>
      </c>
      <c r="B175" s="8" t="str">
        <f>HYPERLINK("https://twitter.com/relayr_cloud","@relayr_cloud")</f>
        <v>@relayr_cloud</v>
      </c>
      <c r="C175" s="9" t="s">
        <v>506</v>
      </c>
      <c r="D175" s="9" t="s">
        <v>507</v>
      </c>
      <c r="E175" s="10" t="str">
        <f>HYPERLINK("https://twitter.com/relayr_cloud/status/720614299861958656","720614299861958656")</f>
        <v>720614299861958656</v>
      </c>
      <c r="F175" s="11" t="s">
        <v>508</v>
      </c>
      <c r="G175" s="11">
        <v>5992</v>
      </c>
      <c r="H175" s="11">
        <v>4138</v>
      </c>
      <c r="I175" s="11">
        <v>11</v>
      </c>
      <c r="J175" s="11">
        <v>11</v>
      </c>
      <c r="K175" s="11" t="s">
        <v>21</v>
      </c>
      <c r="L175" s="7">
        <v>41530.130694444444</v>
      </c>
      <c r="M175" s="12" t="s">
        <v>218</v>
      </c>
      <c r="N175" s="12" t="s">
        <v>509</v>
      </c>
      <c r="O175" s="10" t="str">
        <f>HYPERLINK("https://pbs.twimg.com/profile_images/704341480748535809/zvvtFziI_normal.jpg","View")</f>
        <v>View</v>
      </c>
      <c r="P175" s="11"/>
    </row>
    <row r="176" spans="1:16" ht="12.75" x14ac:dyDescent="0.35">
      <c r="A176" s="7">
        <v>42474.817893518513</v>
      </c>
      <c r="B176" s="8" t="str">
        <f>HYPERLINK("https://twitter.com/akquinet","@akquinet")</f>
        <v>@akquinet</v>
      </c>
      <c r="C176" s="9" t="s">
        <v>510</v>
      </c>
      <c r="D176" s="9" t="s">
        <v>511</v>
      </c>
      <c r="E176" s="10" t="str">
        <f>HYPERLINK("https://twitter.com/akquinet/status/720614526656344065","720614526656344065")</f>
        <v>720614526656344065</v>
      </c>
      <c r="F176" s="11" t="s">
        <v>25</v>
      </c>
      <c r="G176" s="11">
        <v>220</v>
      </c>
      <c r="H176" s="11">
        <v>129</v>
      </c>
      <c r="I176" s="11">
        <v>1</v>
      </c>
      <c r="J176" s="11">
        <v>0</v>
      </c>
      <c r="K176" s="11" t="s">
        <v>21</v>
      </c>
      <c r="L176" s="7">
        <v>40057.550069444442</v>
      </c>
      <c r="M176" s="12" t="s">
        <v>512</v>
      </c>
      <c r="N176" s="12" t="s">
        <v>513</v>
      </c>
      <c r="O176" s="10" t="str">
        <f>HYPERLINK("https://pbs.twimg.com/profile_images/509252372774653952/cl1TCi-g_normal.png","View")</f>
        <v>View</v>
      </c>
      <c r="P176" s="11"/>
    </row>
    <row r="177" spans="1:16" ht="12.75" x14ac:dyDescent="0.35">
      <c r="A177" s="7">
        <v>42474.818518518514</v>
      </c>
      <c r="B177" s="8" t="str">
        <f>HYPERLINK("https://twitter.com/HoptonPaul","@HoptonPaul")</f>
        <v>@HoptonPaul</v>
      </c>
      <c r="C177" s="9" t="s">
        <v>514</v>
      </c>
      <c r="D177" s="9" t="s">
        <v>515</v>
      </c>
      <c r="E177" s="10" t="str">
        <f>HYPERLINK("https://twitter.com/HoptonPaul/status/720614754901979136","720614754901979136")</f>
        <v>720614754901979136</v>
      </c>
      <c r="F177" s="11" t="s">
        <v>508</v>
      </c>
      <c r="G177" s="11">
        <v>262</v>
      </c>
      <c r="H177" s="11">
        <v>187</v>
      </c>
      <c r="I177" s="11">
        <v>11</v>
      </c>
      <c r="J177" s="11">
        <v>0</v>
      </c>
      <c r="K177" s="11" t="s">
        <v>21</v>
      </c>
      <c r="L177" s="7">
        <v>41520.541365740741</v>
      </c>
      <c r="M177" s="12" t="s">
        <v>218</v>
      </c>
      <c r="N177" s="12" t="s">
        <v>516</v>
      </c>
      <c r="O177" s="10" t="str">
        <f>HYPERLINK("https://pbs.twimg.com/profile_images/378800000740380059/fd2425e08af8db5b2d2cfa181f5efc97_normal.jpeg","View")</f>
        <v>View</v>
      </c>
      <c r="P177" s="11"/>
    </row>
    <row r="178" spans="1:16" ht="12.75" x14ac:dyDescent="0.35">
      <c r="A178" s="7">
        <v>42474.818576388891</v>
      </c>
      <c r="B178" s="8" t="str">
        <f>HYPERLINK("https://twitter.com/guneetIoT","@guneetIoT")</f>
        <v>@guneetIoT</v>
      </c>
      <c r="C178" s="9" t="s">
        <v>517</v>
      </c>
      <c r="D178" s="9" t="s">
        <v>515</v>
      </c>
      <c r="E178" s="10" t="str">
        <f>HYPERLINK("https://twitter.com/guneetIoT/status/720614773424013312","720614773424013312")</f>
        <v>720614773424013312</v>
      </c>
      <c r="F178" s="11" t="s">
        <v>508</v>
      </c>
      <c r="G178" s="11">
        <v>66</v>
      </c>
      <c r="H178" s="11">
        <v>83</v>
      </c>
      <c r="I178" s="11">
        <v>11</v>
      </c>
      <c r="J178" s="11">
        <v>0</v>
      </c>
      <c r="K178" s="11" t="s">
        <v>21</v>
      </c>
      <c r="L178" s="7">
        <v>42403.06585648148</v>
      </c>
      <c r="M178" s="12" t="s">
        <v>518</v>
      </c>
      <c r="N178" s="12" t="s">
        <v>519</v>
      </c>
      <c r="O178" s="10" t="str">
        <f>HYPERLINK("https://pbs.twimg.com/profile_images/695659196495212544/gFtjiHfg_normal.jpg","View")</f>
        <v>View</v>
      </c>
      <c r="P178" s="11"/>
    </row>
    <row r="179" spans="1:16" ht="12.75" x14ac:dyDescent="0.35">
      <c r="A179" s="7">
        <v>42474.818622685183</v>
      </c>
      <c r="B179" s="8" t="str">
        <f>HYPERLINK("https://twitter.com/JmuellerIoT","@JmuellerIoT")</f>
        <v>@JmuellerIoT</v>
      </c>
      <c r="C179" s="9" t="s">
        <v>520</v>
      </c>
      <c r="D179" s="9" t="s">
        <v>515</v>
      </c>
      <c r="E179" s="10" t="str">
        <f>HYPERLINK("https://twitter.com/JmuellerIoT/status/720614791040077825","720614791040077825")</f>
        <v>720614791040077825</v>
      </c>
      <c r="F179" s="11" t="s">
        <v>508</v>
      </c>
      <c r="G179" s="11">
        <v>238</v>
      </c>
      <c r="H179" s="11">
        <v>438</v>
      </c>
      <c r="I179" s="11">
        <v>11</v>
      </c>
      <c r="J179" s="11">
        <v>0</v>
      </c>
      <c r="K179" s="11" t="s">
        <v>21</v>
      </c>
      <c r="L179" s="7">
        <v>42022.647511574076</v>
      </c>
      <c r="M179" s="12" t="s">
        <v>443</v>
      </c>
      <c r="N179" s="12" t="s">
        <v>521</v>
      </c>
      <c r="O179" s="10" t="str">
        <f>HYPERLINK("https://pbs.twimg.com/profile_images/595262312518438912/sodQUqdg_normal.jpg","View")</f>
        <v>View</v>
      </c>
      <c r="P179" s="11"/>
    </row>
    <row r="180" spans="1:16" ht="12.75" x14ac:dyDescent="0.35">
      <c r="A180" s="7">
        <v>42474.818692129629</v>
      </c>
      <c r="B180" s="8" t="str">
        <f>HYPERLINK("https://twitter.com/jsbond","@jsbond")</f>
        <v>@jsbond</v>
      </c>
      <c r="C180" s="9" t="s">
        <v>522</v>
      </c>
      <c r="D180" s="9" t="s">
        <v>515</v>
      </c>
      <c r="E180" s="10" t="str">
        <f>HYPERLINK("https://twitter.com/jsbond/status/720614816524734465","720614816524734465")</f>
        <v>720614816524734465</v>
      </c>
      <c r="F180" s="11" t="s">
        <v>508</v>
      </c>
      <c r="G180" s="11">
        <v>1309</v>
      </c>
      <c r="H180" s="11">
        <v>1761</v>
      </c>
      <c r="I180" s="11">
        <v>11</v>
      </c>
      <c r="J180" s="11">
        <v>0</v>
      </c>
      <c r="K180" s="11" t="s">
        <v>21</v>
      </c>
      <c r="L180" s="7">
        <v>39699.686365740738</v>
      </c>
      <c r="M180" s="12" t="s">
        <v>227</v>
      </c>
      <c r="N180" s="12" t="s">
        <v>523</v>
      </c>
      <c r="O180" s="10" t="str">
        <f>HYPERLINK("https://pbs.twimg.com/profile_images/576881257138642944/jM7N3IE3_normal.png","View")</f>
        <v>View</v>
      </c>
      <c r="P180" s="11"/>
    </row>
    <row r="181" spans="1:16" ht="12.75" x14ac:dyDescent="0.35">
      <c r="A181" s="7">
        <v>42474.820138888885</v>
      </c>
      <c r="B181" s="8" t="str">
        <f>HYPERLINK("https://twitter.com/beSoLoMo","@beSoLoMo")</f>
        <v>@beSoLoMo</v>
      </c>
      <c r="C181" s="9" t="s">
        <v>524</v>
      </c>
      <c r="D181" s="9" t="s">
        <v>515</v>
      </c>
      <c r="E181" s="10" t="str">
        <f>HYPERLINK("https://twitter.com/beSoLoMo/status/720615339596378112","720615339596378112")</f>
        <v>720615339596378112</v>
      </c>
      <c r="F181" s="11" t="s">
        <v>437</v>
      </c>
      <c r="G181" s="11">
        <v>453</v>
      </c>
      <c r="H181" s="11">
        <v>662</v>
      </c>
      <c r="I181" s="11">
        <v>11</v>
      </c>
      <c r="J181" s="11">
        <v>0</v>
      </c>
      <c r="K181" s="11" t="s">
        <v>21</v>
      </c>
      <c r="L181" s="7">
        <v>41658.695787037039</v>
      </c>
      <c r="M181" s="12" t="s">
        <v>218</v>
      </c>
      <c r="N181" s="12" t="s">
        <v>525</v>
      </c>
      <c r="O181" s="10" t="str">
        <f>HYPERLINK("https://pbs.twimg.com/profile_images/424865513492074496/m4LeM9m0_normal.jpeg","View")</f>
        <v>View</v>
      </c>
      <c r="P181" s="11"/>
    </row>
    <row r="182" spans="1:16" ht="12.75" x14ac:dyDescent="0.35">
      <c r="A182" s="7">
        <v>42474.821481481486</v>
      </c>
      <c r="B182" s="8" t="str">
        <f>HYPERLINK("https://twitter.com/INDIZbot","@INDIZbot")</f>
        <v>@INDIZbot</v>
      </c>
      <c r="C182" s="9" t="s">
        <v>61</v>
      </c>
      <c r="D182" s="9" t="s">
        <v>526</v>
      </c>
      <c r="E182" s="10" t="str">
        <f>HYPERLINK("https://twitter.com/INDIZbot/status/720615827586838528","720615827586838528")</f>
        <v>720615827586838528</v>
      </c>
      <c r="F182" s="11" t="s">
        <v>62</v>
      </c>
      <c r="G182" s="11">
        <v>1762</v>
      </c>
      <c r="H182" s="11">
        <v>481</v>
      </c>
      <c r="I182" s="11">
        <v>1</v>
      </c>
      <c r="J182" s="11">
        <v>0</v>
      </c>
      <c r="K182" s="11" t="s">
        <v>21</v>
      </c>
      <c r="L182" s="7">
        <v>42267.011921296296</v>
      </c>
      <c r="M182" s="12"/>
      <c r="N182" s="12" t="s">
        <v>63</v>
      </c>
      <c r="O182" s="10" t="str">
        <f>HYPERLINK("https://pbs.twimg.com/profile_images/645716711723925506/t5G0qOS6_normal.jpg","View")</f>
        <v>View</v>
      </c>
      <c r="P182" s="11"/>
    </row>
    <row r="183" spans="1:16" ht="12.75" x14ac:dyDescent="0.35">
      <c r="A183" s="7">
        <v>42474.822430555556</v>
      </c>
      <c r="B183" s="8" t="str">
        <f>HYPERLINK("https://twitter.com/SchuermannChris","@SchuermannChris")</f>
        <v>@SchuermannChris</v>
      </c>
      <c r="C183" s="9" t="s">
        <v>527</v>
      </c>
      <c r="D183" s="9" t="s">
        <v>528</v>
      </c>
      <c r="E183" s="10" t="str">
        <f>HYPERLINK("https://twitter.com/SchuermannChris/status/720616174090915841","720616174090915841")</f>
        <v>720616174090915841</v>
      </c>
      <c r="F183" s="11" t="s">
        <v>25</v>
      </c>
      <c r="G183" s="11">
        <v>503</v>
      </c>
      <c r="H183" s="11">
        <v>125</v>
      </c>
      <c r="I183" s="11">
        <v>0</v>
      </c>
      <c r="J183" s="11">
        <v>1</v>
      </c>
      <c r="K183" s="11" t="s">
        <v>21</v>
      </c>
      <c r="L183" s="7">
        <v>41911.741284722222</v>
      </c>
      <c r="M183" s="12" t="s">
        <v>529</v>
      </c>
      <c r="N183" s="12" t="s">
        <v>530</v>
      </c>
      <c r="O183" s="10" t="str">
        <f>HYPERLINK("https://pbs.twimg.com/profile_images/516661653790670848/n3wtoDXf_normal.jpeg","View")</f>
        <v>View</v>
      </c>
      <c r="P183" s="11"/>
    </row>
    <row r="184" spans="1:16" ht="12.75" x14ac:dyDescent="0.35">
      <c r="A184" s="7">
        <v>42474.826041666667</v>
      </c>
      <c r="B184" s="8" t="str">
        <f>HYPERLINK("https://twitter.com/FalcoCS","@FalcoCS")</f>
        <v>@FalcoCS</v>
      </c>
      <c r="C184" s="9" t="s">
        <v>531</v>
      </c>
      <c r="D184" s="9" t="s">
        <v>515</v>
      </c>
      <c r="E184" s="10" t="str">
        <f>HYPERLINK("https://twitter.com/FalcoCS/status/720617481279270912","720617481279270912")</f>
        <v>720617481279270912</v>
      </c>
      <c r="F184" s="11" t="s">
        <v>31</v>
      </c>
      <c r="G184" s="11">
        <v>22</v>
      </c>
      <c r="H184" s="11">
        <v>49</v>
      </c>
      <c r="I184" s="11">
        <v>11</v>
      </c>
      <c r="J184" s="11">
        <v>0</v>
      </c>
      <c r="K184" s="11" t="s">
        <v>21</v>
      </c>
      <c r="L184" s="7">
        <v>42305.988020833334</v>
      </c>
      <c r="M184" s="12"/>
      <c r="N184" s="12" t="s">
        <v>532</v>
      </c>
      <c r="O184" s="10" t="str">
        <f>HYPERLINK("https://pbs.twimg.com/profile_images/659433862364307458/Mi7JDgeJ_normal.jpg","View")</f>
        <v>View</v>
      </c>
      <c r="P184" s="11"/>
    </row>
    <row r="185" spans="1:16" ht="12.75" x14ac:dyDescent="0.35">
      <c r="A185" s="7">
        <v>42474.826527777783</v>
      </c>
      <c r="B185" s="8" t="str">
        <f t="shared" ref="B185:B186" si="8">HYPERLINK("https://twitter.com/Global_Fairs","@Global_Fairs")</f>
        <v>@Global_Fairs</v>
      </c>
      <c r="C185" s="9" t="s">
        <v>533</v>
      </c>
      <c r="D185" s="9" t="s">
        <v>515</v>
      </c>
      <c r="E185" s="10" t="str">
        <f>HYPERLINK("https://twitter.com/Global_Fairs/status/720617657435877376","720617657435877376")</f>
        <v>720617657435877376</v>
      </c>
      <c r="F185" s="11" t="s">
        <v>25</v>
      </c>
      <c r="G185" s="11">
        <v>358</v>
      </c>
      <c r="H185" s="11">
        <v>674</v>
      </c>
      <c r="I185" s="11">
        <v>11</v>
      </c>
      <c r="J185" s="11">
        <v>0</v>
      </c>
      <c r="K185" s="11" t="s">
        <v>21</v>
      </c>
      <c r="L185" s="7">
        <v>41691.790775462963</v>
      </c>
      <c r="M185" s="12" t="s">
        <v>243</v>
      </c>
      <c r="N185" s="12" t="s">
        <v>534</v>
      </c>
      <c r="O185" s="10" t="str">
        <f t="shared" ref="O185:O186" si="9">HYPERLINK("https://pbs.twimg.com/profile_images/694530943139315712/TQHmYxMT_normal.png","View")</f>
        <v>View</v>
      </c>
      <c r="P185" s="11"/>
    </row>
    <row r="186" spans="1:16" ht="12.75" x14ac:dyDescent="0.35">
      <c r="A186" s="7">
        <v>42474.827291666668</v>
      </c>
      <c r="B186" s="8" t="str">
        <f t="shared" si="8"/>
        <v>@Global_Fairs</v>
      </c>
      <c r="C186" s="9" t="s">
        <v>533</v>
      </c>
      <c r="D186" s="9" t="s">
        <v>535</v>
      </c>
      <c r="E186" s="10" t="str">
        <f>HYPERLINK("https://twitter.com/Global_Fairs/status/720617933563670528","720617933563670528")</f>
        <v>720617933563670528</v>
      </c>
      <c r="F186" s="11" t="s">
        <v>25</v>
      </c>
      <c r="G186" s="11">
        <v>358</v>
      </c>
      <c r="H186" s="11">
        <v>674</v>
      </c>
      <c r="I186" s="11">
        <v>1</v>
      </c>
      <c r="J186" s="11">
        <v>0</v>
      </c>
      <c r="K186" s="11" t="s">
        <v>21</v>
      </c>
      <c r="L186" s="7">
        <v>41691.790775462963</v>
      </c>
      <c r="M186" s="12" t="s">
        <v>243</v>
      </c>
      <c r="N186" s="12" t="s">
        <v>534</v>
      </c>
      <c r="O186" s="10" t="str">
        <f t="shared" si="9"/>
        <v>View</v>
      </c>
      <c r="P186" s="11"/>
    </row>
    <row r="187" spans="1:16" ht="12.75" x14ac:dyDescent="0.35">
      <c r="A187" s="7">
        <v>42474.827893518523</v>
      </c>
      <c r="B187" s="8" t="str">
        <f>HYPERLINK("https://twitter.com/iDigitalTrends","@iDigitalTrends")</f>
        <v>@iDigitalTrends</v>
      </c>
      <c r="C187" s="9" t="s">
        <v>536</v>
      </c>
      <c r="D187" s="9" t="s">
        <v>515</v>
      </c>
      <c r="E187" s="10" t="str">
        <f>HYPERLINK("https://twitter.com/iDigitalTrends/status/720618153609400321","720618153609400321")</f>
        <v>720618153609400321</v>
      </c>
      <c r="F187" s="11" t="s">
        <v>437</v>
      </c>
      <c r="G187" s="11">
        <v>54626</v>
      </c>
      <c r="H187" s="11">
        <v>2783</v>
      </c>
      <c r="I187" s="11">
        <v>11</v>
      </c>
      <c r="J187" s="11">
        <v>0</v>
      </c>
      <c r="K187" s="11" t="s">
        <v>21</v>
      </c>
      <c r="L187" s="7">
        <v>40168.194571759261</v>
      </c>
      <c r="M187" s="12" t="s">
        <v>537</v>
      </c>
      <c r="N187" s="12" t="s">
        <v>538</v>
      </c>
      <c r="O187" s="10" t="str">
        <f>HYPERLINK("https://pbs.twimg.com/profile_images/683477524907732992/tC5jnkk8_normal.jpg","View")</f>
        <v>View</v>
      </c>
      <c r="P187" s="11"/>
    </row>
    <row r="188" spans="1:16" ht="12.75" x14ac:dyDescent="0.35">
      <c r="A188" s="7">
        <v>42474.834791666668</v>
      </c>
      <c r="B188" s="8" t="str">
        <f>HYPERLINK("https://twitter.com/EEIPEnMg","@EEIPEnMg")</f>
        <v>@EEIPEnMg</v>
      </c>
      <c r="C188" s="9" t="s">
        <v>539</v>
      </c>
      <c r="D188" s="9" t="s">
        <v>540</v>
      </c>
      <c r="E188" s="10" t="str">
        <f>HYPERLINK("https://twitter.com/EEIPEnMg/status/720620651552378882","720620651552378882")</f>
        <v>720620651552378882</v>
      </c>
      <c r="F188" s="11" t="s">
        <v>59</v>
      </c>
      <c r="G188" s="11">
        <v>10871</v>
      </c>
      <c r="H188" s="11">
        <v>8351</v>
      </c>
      <c r="I188" s="11">
        <v>0</v>
      </c>
      <c r="J188" s="11">
        <v>1</v>
      </c>
      <c r="K188" s="11" t="s">
        <v>21</v>
      </c>
      <c r="L188" s="7">
        <v>41084.808472222227</v>
      </c>
      <c r="M188" s="12" t="s">
        <v>541</v>
      </c>
      <c r="N188" s="12" t="s">
        <v>542</v>
      </c>
      <c r="O188" s="10" t="str">
        <f>HYPERLINK("https://pbs.twimg.com/profile_images/572354999586267136/ICM-pVdp_normal.png","View")</f>
        <v>View</v>
      </c>
      <c r="P188" s="11"/>
    </row>
    <row r="189" spans="1:16" ht="12.75" x14ac:dyDescent="0.35">
      <c r="A189" s="7">
        <v>42474.834918981476</v>
      </c>
      <c r="B189" s="8" t="str">
        <f>HYPERLINK("https://twitter.com/EnergyPages","@EnergyPages")</f>
        <v>@EnergyPages</v>
      </c>
      <c r="C189" s="9" t="s">
        <v>543</v>
      </c>
      <c r="D189" s="9" t="s">
        <v>544</v>
      </c>
      <c r="E189" s="10" t="str">
        <f>HYPERLINK("https://twitter.com/EnergyPages/status/720620696376893440","720620696376893440")</f>
        <v>720620696376893440</v>
      </c>
      <c r="F189" s="11" t="s">
        <v>59</v>
      </c>
      <c r="G189" s="11">
        <v>2617</v>
      </c>
      <c r="H189" s="11">
        <v>2979</v>
      </c>
      <c r="I189" s="11">
        <v>0</v>
      </c>
      <c r="J189" s="11">
        <v>0</v>
      </c>
      <c r="K189" s="11" t="s">
        <v>21</v>
      </c>
      <c r="L189" s="7">
        <v>42209.580092592594</v>
      </c>
      <c r="M189" s="12" t="s">
        <v>545</v>
      </c>
      <c r="N189" s="12" t="s">
        <v>546</v>
      </c>
      <c r="O189" s="10" t="str">
        <f>HYPERLINK("https://pbs.twimg.com/profile_images/624496248704270336/obg6_pOk_normal.png","View")</f>
        <v>View</v>
      </c>
      <c r="P189" s="11"/>
    </row>
    <row r="190" spans="1:16" ht="12.75" x14ac:dyDescent="0.35">
      <c r="A190" s="7">
        <v>42474.840844907405</v>
      </c>
      <c r="B190" s="8" t="str">
        <f>HYPERLINK("https://twitter.com/logistiknews","@logistiknews")</f>
        <v>@logistiknews</v>
      </c>
      <c r="C190" s="9" t="s">
        <v>547</v>
      </c>
      <c r="D190" s="9" t="s">
        <v>548</v>
      </c>
      <c r="E190" s="10" t="str">
        <f>HYPERLINK("https://twitter.com/logistiknews/status/720622845940916224","720622845940916224")</f>
        <v>720622845940916224</v>
      </c>
      <c r="F190" s="11" t="s">
        <v>25</v>
      </c>
      <c r="G190" s="11">
        <v>1027</v>
      </c>
      <c r="H190" s="11">
        <v>360</v>
      </c>
      <c r="I190" s="11">
        <v>0</v>
      </c>
      <c r="J190" s="11">
        <v>1</v>
      </c>
      <c r="K190" s="11" t="s">
        <v>21</v>
      </c>
      <c r="L190" s="7">
        <v>39835.782870370371</v>
      </c>
      <c r="M190" s="12" t="s">
        <v>549</v>
      </c>
      <c r="N190" s="12" t="s">
        <v>550</v>
      </c>
      <c r="O190" s="10" t="str">
        <f>HYPERLINK("https://pbs.twimg.com/profile_images/465833729533820928/XEgCMpMC_normal.jpeg","View")</f>
        <v>View</v>
      </c>
      <c r="P190" s="11"/>
    </row>
    <row r="191" spans="1:16" ht="12.75" x14ac:dyDescent="0.35">
      <c r="A191" s="7">
        <v>42474.850069444445</v>
      </c>
      <c r="B191" s="8" t="str">
        <f>HYPERLINK("https://twitter.com/Markenartikler","@Markenartikler")</f>
        <v>@Markenartikler</v>
      </c>
      <c r="C191" s="9" t="s">
        <v>551</v>
      </c>
      <c r="D191" s="9" t="s">
        <v>552</v>
      </c>
      <c r="E191" s="10" t="str">
        <f>HYPERLINK("https://twitter.com/Markenartikler/status/720626189304352769","720626189304352769")</f>
        <v>720626189304352769</v>
      </c>
      <c r="F191" s="11" t="s">
        <v>115</v>
      </c>
      <c r="G191" s="11">
        <v>1417</v>
      </c>
      <c r="H191" s="11">
        <v>417</v>
      </c>
      <c r="I191" s="11">
        <v>0</v>
      </c>
      <c r="J191" s="11">
        <v>0</v>
      </c>
      <c r="K191" s="11" t="s">
        <v>21</v>
      </c>
      <c r="L191" s="7">
        <v>41599.61445601852</v>
      </c>
      <c r="M191" s="12" t="s">
        <v>549</v>
      </c>
      <c r="N191" s="12" t="s">
        <v>553</v>
      </c>
      <c r="O191" s="10" t="str">
        <f>HYPERLINK("https://pbs.twimg.com/profile_images/684297499461423104/URLCw8tn_normal.jpg","View")</f>
        <v>View</v>
      </c>
      <c r="P191" s="11"/>
    </row>
    <row r="192" spans="1:16" ht="12.75" x14ac:dyDescent="0.35">
      <c r="A192" s="7">
        <v>42474.851400462961</v>
      </c>
      <c r="B192" s="8" t="str">
        <f>HYPERLINK("https://twitter.com/GSqueri","@GSqueri")</f>
        <v>@GSqueri</v>
      </c>
      <c r="C192" s="9" t="s">
        <v>554</v>
      </c>
      <c r="D192" s="9" t="s">
        <v>487</v>
      </c>
      <c r="E192" s="10" t="str">
        <f>HYPERLINK("https://twitter.com/GSqueri/status/720626669585833985","720626669585833985")</f>
        <v>720626669585833985</v>
      </c>
      <c r="F192" s="11" t="s">
        <v>25</v>
      </c>
      <c r="G192" s="11">
        <v>1248</v>
      </c>
      <c r="H192" s="11">
        <v>2520</v>
      </c>
      <c r="I192" s="11">
        <v>3</v>
      </c>
      <c r="J192" s="11">
        <v>0</v>
      </c>
      <c r="K192" s="11" t="s">
        <v>21</v>
      </c>
      <c r="L192" s="7">
        <v>40808.605555555558</v>
      </c>
      <c r="M192" s="12"/>
      <c r="N192" s="12" t="s">
        <v>555</v>
      </c>
      <c r="O192" s="10" t="str">
        <f>HYPERLINK("https://pbs.twimg.com/profile_images/470922785649209346/cy96pZaI_normal.jpeg","View")</f>
        <v>View</v>
      </c>
      <c r="P192" s="11"/>
    </row>
    <row r="193" spans="1:16" ht="12.75" x14ac:dyDescent="0.35">
      <c r="A193" s="7">
        <v>42474.863344907411</v>
      </c>
      <c r="B193" s="8" t="str">
        <f>HYPERLINK("https://twitter.com/logistiknews","@logistiknews")</f>
        <v>@logistiknews</v>
      </c>
      <c r="C193" s="9" t="s">
        <v>547</v>
      </c>
      <c r="D193" s="9" t="s">
        <v>556</v>
      </c>
      <c r="E193" s="10" t="str">
        <f>HYPERLINK("https://twitter.com/logistiknews/status/720631000515112960","720631000515112960")</f>
        <v>720631000515112960</v>
      </c>
      <c r="F193" s="11" t="s">
        <v>25</v>
      </c>
      <c r="G193" s="11">
        <v>1027</v>
      </c>
      <c r="H193" s="11">
        <v>360</v>
      </c>
      <c r="I193" s="11">
        <v>2</v>
      </c>
      <c r="J193" s="11">
        <v>0</v>
      </c>
      <c r="K193" s="11" t="s">
        <v>21</v>
      </c>
      <c r="L193" s="7">
        <v>39835.782870370371</v>
      </c>
      <c r="M193" s="12" t="s">
        <v>549</v>
      </c>
      <c r="N193" s="12" t="s">
        <v>550</v>
      </c>
      <c r="O193" s="10" t="str">
        <f>HYPERLINK("https://pbs.twimg.com/profile_images/465833729533820928/XEgCMpMC_normal.jpeg","View")</f>
        <v>View</v>
      </c>
      <c r="P193" s="11"/>
    </row>
    <row r="194" spans="1:16" ht="12.75" x14ac:dyDescent="0.35">
      <c r="A194" s="7">
        <v>42474.86509259259</v>
      </c>
      <c r="B194" s="8" t="str">
        <f>HYPERLINK("https://twitter.com/Becker_AnnaLisa","@Becker_AnnaLisa")</f>
        <v>@Becker_AnnaLisa</v>
      </c>
      <c r="C194" s="9" t="s">
        <v>557</v>
      </c>
      <c r="D194" s="9" t="s">
        <v>558</v>
      </c>
      <c r="E194" s="10" t="str">
        <f>HYPERLINK("https://twitter.com/Becker_AnnaLisa/status/720631633343356929","720631633343356929")</f>
        <v>720631633343356929</v>
      </c>
      <c r="F194" s="11" t="s">
        <v>39</v>
      </c>
      <c r="G194" s="11">
        <v>71</v>
      </c>
      <c r="H194" s="11">
        <v>128</v>
      </c>
      <c r="I194" s="11">
        <v>2</v>
      </c>
      <c r="J194" s="11">
        <v>1</v>
      </c>
      <c r="K194" s="11" t="s">
        <v>21</v>
      </c>
      <c r="L194" s="7">
        <v>41333.610949074078</v>
      </c>
      <c r="M194" s="12" t="s">
        <v>559</v>
      </c>
      <c r="N194" s="12" t="s">
        <v>560</v>
      </c>
      <c r="O194" s="10" t="str">
        <f>HYPERLINK("https://pbs.twimg.com/profile_images/676325832600743936/gCXpokOx_normal.jpg","View")</f>
        <v>View</v>
      </c>
      <c r="P194" s="11"/>
    </row>
    <row r="195" spans="1:16" ht="12.75" x14ac:dyDescent="0.35">
      <c r="A195" s="7">
        <v>42474.86509259259</v>
      </c>
      <c r="B195" s="8" t="str">
        <f>HYPERLINK("https://twitter.com/ScheerKarriere","@ScheerKarriere")</f>
        <v>@ScheerKarriere</v>
      </c>
      <c r="C195" s="9" t="s">
        <v>561</v>
      </c>
      <c r="D195" s="9" t="s">
        <v>562</v>
      </c>
      <c r="E195" s="10" t="str">
        <f>HYPERLINK("https://twitter.com/ScheerKarriere/status/720631633590804480","720631633590804480")</f>
        <v>720631633590804480</v>
      </c>
      <c r="F195" s="11" t="s">
        <v>39</v>
      </c>
      <c r="G195" s="11">
        <v>12</v>
      </c>
      <c r="H195" s="11">
        <v>7</v>
      </c>
      <c r="I195" s="11">
        <v>1</v>
      </c>
      <c r="J195" s="11">
        <v>1</v>
      </c>
      <c r="K195" s="11" t="s">
        <v>21</v>
      </c>
      <c r="L195" s="7">
        <v>42419.828622685185</v>
      </c>
      <c r="M195" s="12" t="s">
        <v>563</v>
      </c>
      <c r="N195" s="12" t="s">
        <v>564</v>
      </c>
      <c r="O195" s="10" t="str">
        <f>HYPERLINK("https://pbs.twimg.com/profile_images/704970625748697089/GQl2pOlK_normal.jpg","View")</f>
        <v>View</v>
      </c>
      <c r="P195" s="11"/>
    </row>
    <row r="196" spans="1:16" ht="12.75" x14ac:dyDescent="0.35">
      <c r="A196" s="7">
        <v>42474.86886574074</v>
      </c>
      <c r="B196" s="8" t="str">
        <f t="shared" ref="B196:B198" si="10">HYPERLINK("https://twitter.com/INDIZbot","@INDIZbot")</f>
        <v>@INDIZbot</v>
      </c>
      <c r="C196" s="9" t="s">
        <v>61</v>
      </c>
      <c r="D196" s="9" t="s">
        <v>565</v>
      </c>
      <c r="E196" s="10" t="str">
        <f>HYPERLINK("https://twitter.com/INDIZbot/status/720632997721059328","720632997721059328")</f>
        <v>720632997721059328</v>
      </c>
      <c r="F196" s="11" t="s">
        <v>62</v>
      </c>
      <c r="G196" s="11">
        <v>1762</v>
      </c>
      <c r="H196" s="11">
        <v>481</v>
      </c>
      <c r="I196" s="11">
        <v>1</v>
      </c>
      <c r="J196" s="11">
        <v>0</v>
      </c>
      <c r="K196" s="11" t="s">
        <v>21</v>
      </c>
      <c r="L196" s="7">
        <v>42267.011921296296</v>
      </c>
      <c r="M196" s="12"/>
      <c r="N196" s="12" t="s">
        <v>63</v>
      </c>
      <c r="O196" s="10" t="str">
        <f t="shared" ref="O196:O198" si="11">HYPERLINK("https://pbs.twimg.com/profile_images/645716711723925506/t5G0qOS6_normal.jpg","View")</f>
        <v>View</v>
      </c>
      <c r="P196" s="11"/>
    </row>
    <row r="197" spans="1:16" ht="12.75" x14ac:dyDescent="0.35">
      <c r="A197" s="7">
        <v>42474.869062500002</v>
      </c>
      <c r="B197" s="8" t="str">
        <f t="shared" si="10"/>
        <v>@INDIZbot</v>
      </c>
      <c r="C197" s="9" t="s">
        <v>61</v>
      </c>
      <c r="D197" s="9" t="s">
        <v>566</v>
      </c>
      <c r="E197" s="10" t="str">
        <f>HYPERLINK("https://twitter.com/INDIZbot/status/720633072677466113","720633072677466113")</f>
        <v>720633072677466113</v>
      </c>
      <c r="F197" s="11" t="s">
        <v>62</v>
      </c>
      <c r="G197" s="11">
        <v>1762</v>
      </c>
      <c r="H197" s="11">
        <v>481</v>
      </c>
      <c r="I197" s="11">
        <v>2</v>
      </c>
      <c r="J197" s="11">
        <v>0</v>
      </c>
      <c r="K197" s="11" t="s">
        <v>21</v>
      </c>
      <c r="L197" s="7">
        <v>42267.011921296296</v>
      </c>
      <c r="M197" s="12"/>
      <c r="N197" s="12" t="s">
        <v>63</v>
      </c>
      <c r="O197" s="10" t="str">
        <f t="shared" si="11"/>
        <v>View</v>
      </c>
      <c r="P197" s="11"/>
    </row>
    <row r="198" spans="1:16" ht="12.75" x14ac:dyDescent="0.35">
      <c r="A198" s="7">
        <v>42474.869409722218</v>
      </c>
      <c r="B198" s="8" t="str">
        <f t="shared" si="10"/>
        <v>@INDIZbot</v>
      </c>
      <c r="C198" s="9" t="s">
        <v>61</v>
      </c>
      <c r="D198" s="9" t="s">
        <v>567</v>
      </c>
      <c r="E198" s="10" t="str">
        <f>HYPERLINK("https://twitter.com/INDIZbot/status/720633198145880064","720633198145880064")</f>
        <v>720633198145880064</v>
      </c>
      <c r="F198" s="11" t="s">
        <v>62</v>
      </c>
      <c r="G198" s="11">
        <v>1762</v>
      </c>
      <c r="H198" s="11">
        <v>481</v>
      </c>
      <c r="I198" s="11">
        <v>2</v>
      </c>
      <c r="J198" s="11">
        <v>0</v>
      </c>
      <c r="K198" s="11" t="s">
        <v>21</v>
      </c>
      <c r="L198" s="7">
        <v>42267.011921296296</v>
      </c>
      <c r="M198" s="12"/>
      <c r="N198" s="12" t="s">
        <v>63</v>
      </c>
      <c r="O198" s="10" t="str">
        <f t="shared" si="11"/>
        <v>View</v>
      </c>
      <c r="P198" s="11"/>
    </row>
    <row r="199" spans="1:16" ht="12.75" x14ac:dyDescent="0.35">
      <c r="A199" s="7">
        <v>42474.871377314819</v>
      </c>
      <c r="B199" s="8" t="str">
        <f>HYPERLINK("https://twitter.com/S_Koebernick","@S_Koebernick")</f>
        <v>@S_Koebernick</v>
      </c>
      <c r="C199" s="9" t="s">
        <v>568</v>
      </c>
      <c r="D199" s="9" t="s">
        <v>569</v>
      </c>
      <c r="E199" s="10" t="str">
        <f>HYPERLINK("https://twitter.com/S_Koebernick/status/720633909080408065","720633909080408065")</f>
        <v>720633909080408065</v>
      </c>
      <c r="F199" s="11" t="s">
        <v>20</v>
      </c>
      <c r="G199" s="11">
        <v>106</v>
      </c>
      <c r="H199" s="11">
        <v>241</v>
      </c>
      <c r="I199" s="11">
        <v>0</v>
      </c>
      <c r="J199" s="11">
        <v>0</v>
      </c>
      <c r="K199" s="11" t="s">
        <v>21</v>
      </c>
      <c r="L199" s="7">
        <v>41040.836817129632</v>
      </c>
      <c r="M199" s="12"/>
      <c r="N199" s="12" t="s">
        <v>570</v>
      </c>
      <c r="O199" s="10" t="str">
        <f>HYPERLINK("https://pbs.twimg.com/profile_images/567384025568776192/u-T3fEX2_normal.jpeg","View")</f>
        <v>View</v>
      </c>
      <c r="P199" s="11"/>
    </row>
    <row r="200" spans="1:16" ht="12.75" x14ac:dyDescent="0.35">
      <c r="A200" s="7">
        <v>42474.871631944443</v>
      </c>
      <c r="B200" s="8" t="str">
        <f>HYPERLINK("https://twitter.com/Pamsav1","@Pamsav1")</f>
        <v>@Pamsav1</v>
      </c>
      <c r="C200" s="9" t="s">
        <v>571</v>
      </c>
      <c r="D200" s="9" t="s">
        <v>188</v>
      </c>
      <c r="E200" s="10" t="str">
        <f>HYPERLINK("https://twitter.com/Pamsav1/status/720634002630144000","720634002630144000")</f>
        <v>720634002630144000</v>
      </c>
      <c r="F200" s="11" t="s">
        <v>84</v>
      </c>
      <c r="G200" s="11">
        <v>54</v>
      </c>
      <c r="H200" s="11">
        <v>103</v>
      </c>
      <c r="I200" s="11">
        <v>13</v>
      </c>
      <c r="J200" s="11">
        <v>0</v>
      </c>
      <c r="K200" s="11" t="s">
        <v>21</v>
      </c>
      <c r="L200" s="7">
        <v>41022.873749999999</v>
      </c>
      <c r="M200" s="12" t="s">
        <v>572</v>
      </c>
      <c r="N200" s="12" t="s">
        <v>573</v>
      </c>
      <c r="O200" s="10" t="str">
        <f>HYPERLINK("https://pbs.twimg.com/profile_images/706811232695750657/fVFQauFe_normal.jpg","View")</f>
        <v>View</v>
      </c>
      <c r="P200" s="11"/>
    </row>
    <row r="201" spans="1:16" ht="12.75" x14ac:dyDescent="0.35">
      <c r="A201" s="7">
        <v>42474.871712962966</v>
      </c>
      <c r="B201" s="8" t="str">
        <f>HYPERLINK("https://twitter.com/AutotaskGmbH","@AutotaskGmbH")</f>
        <v>@AutotaskGmbH</v>
      </c>
      <c r="C201" s="9" t="s">
        <v>574</v>
      </c>
      <c r="D201" s="9" t="s">
        <v>230</v>
      </c>
      <c r="E201" s="10" t="str">
        <f>HYPERLINK("https://twitter.com/AutotaskGmbH/status/720634031377944579","720634031377944579")</f>
        <v>720634031377944579</v>
      </c>
      <c r="F201" s="11" t="s">
        <v>25</v>
      </c>
      <c r="G201" s="11">
        <v>798</v>
      </c>
      <c r="H201" s="11">
        <v>533</v>
      </c>
      <c r="I201" s="11">
        <v>15</v>
      </c>
      <c r="J201" s="11">
        <v>0</v>
      </c>
      <c r="K201" s="11" t="s">
        <v>21</v>
      </c>
      <c r="L201" s="7">
        <v>41439.735335648147</v>
      </c>
      <c r="M201" s="12" t="s">
        <v>575</v>
      </c>
      <c r="N201" s="12" t="s">
        <v>576</v>
      </c>
      <c r="O201" s="10" t="str">
        <f>HYPERLINK("https://pbs.twimg.com/profile_images/469841276188098560/7H13R02s_normal.jpeg","View")</f>
        <v>View</v>
      </c>
      <c r="P201" s="11"/>
    </row>
    <row r="202" spans="1:16" ht="12.75" x14ac:dyDescent="0.35">
      <c r="A202" s="7">
        <v>42474.871851851851</v>
      </c>
      <c r="B202" s="8" t="str">
        <f t="shared" ref="B202:B203" si="12">HYPERLINK("https://twitter.com/Geschnattere","@Geschnattere")</f>
        <v>@Geschnattere</v>
      </c>
      <c r="C202" s="9" t="s">
        <v>577</v>
      </c>
      <c r="D202" s="9" t="s">
        <v>567</v>
      </c>
      <c r="E202" s="10" t="str">
        <f>HYPERLINK("https://twitter.com/Geschnattere/status/720634083127201792","720634083127201792")</f>
        <v>720634083127201792</v>
      </c>
      <c r="F202" s="11" t="s">
        <v>578</v>
      </c>
      <c r="G202" s="11">
        <v>192</v>
      </c>
      <c r="H202" s="11">
        <v>360</v>
      </c>
      <c r="I202" s="11">
        <v>2</v>
      </c>
      <c r="J202" s="11">
        <v>0</v>
      </c>
      <c r="K202" s="11" t="s">
        <v>21</v>
      </c>
      <c r="L202" s="7">
        <v>42392.975821759261</v>
      </c>
      <c r="M202" s="12"/>
      <c r="N202" s="12"/>
      <c r="O202" s="10" t="str">
        <f t="shared" ref="O202:O203" si="13">HYPERLINK("https://pbs.twimg.com/profile_images/690957065490161664/Nat2upS4_normal.jpg","View")</f>
        <v>View</v>
      </c>
      <c r="P202" s="11"/>
    </row>
    <row r="203" spans="1:16" ht="12.75" x14ac:dyDescent="0.35">
      <c r="A203" s="7">
        <v>42474.871898148151</v>
      </c>
      <c r="B203" s="8" t="str">
        <f t="shared" si="12"/>
        <v>@Geschnattere</v>
      </c>
      <c r="C203" s="9" t="s">
        <v>577</v>
      </c>
      <c r="D203" s="9" t="s">
        <v>566</v>
      </c>
      <c r="E203" s="10" t="str">
        <f>HYPERLINK("https://twitter.com/Geschnattere/status/720634099359182851","720634099359182851")</f>
        <v>720634099359182851</v>
      </c>
      <c r="F203" s="11" t="s">
        <v>578</v>
      </c>
      <c r="G203" s="11">
        <v>192</v>
      </c>
      <c r="H203" s="11">
        <v>360</v>
      </c>
      <c r="I203" s="11">
        <v>2</v>
      </c>
      <c r="J203" s="11">
        <v>0</v>
      </c>
      <c r="K203" s="11" t="s">
        <v>21</v>
      </c>
      <c r="L203" s="7">
        <v>42392.975821759261</v>
      </c>
      <c r="M203" s="12"/>
      <c r="N203" s="12"/>
      <c r="O203" s="10" t="str">
        <f t="shared" si="13"/>
        <v>View</v>
      </c>
      <c r="P203" s="11"/>
    </row>
    <row r="204" spans="1:16" ht="12.75" x14ac:dyDescent="0.35">
      <c r="A204" s="7">
        <v>42474.872013888889</v>
      </c>
      <c r="B204" s="8" t="str">
        <f>HYPERLINK("https://twitter.com/Pamsav1","@Pamsav1")</f>
        <v>@Pamsav1</v>
      </c>
      <c r="C204" s="9" t="s">
        <v>571</v>
      </c>
      <c r="D204" s="9" t="s">
        <v>83</v>
      </c>
      <c r="E204" s="10" t="str">
        <f>HYPERLINK("https://twitter.com/Pamsav1/status/720634140115210240","720634140115210240")</f>
        <v>720634140115210240</v>
      </c>
      <c r="F204" s="11" t="s">
        <v>84</v>
      </c>
      <c r="G204" s="11">
        <v>54</v>
      </c>
      <c r="H204" s="11">
        <v>103</v>
      </c>
      <c r="I204" s="11">
        <v>6</v>
      </c>
      <c r="J204" s="11">
        <v>0</v>
      </c>
      <c r="K204" s="11" t="s">
        <v>21</v>
      </c>
      <c r="L204" s="7">
        <v>41022.873749999999</v>
      </c>
      <c r="M204" s="12" t="s">
        <v>572</v>
      </c>
      <c r="N204" s="12" t="s">
        <v>573</v>
      </c>
      <c r="O204" s="10" t="str">
        <f>HYPERLINK("https://pbs.twimg.com/profile_images/706811232695750657/fVFQauFe_normal.jpg","View")</f>
        <v>View</v>
      </c>
      <c r="P204" s="11"/>
    </row>
    <row r="205" spans="1:16" ht="12.75" x14ac:dyDescent="0.35">
      <c r="A205" s="7">
        <v>42474.8753587963</v>
      </c>
      <c r="B205" s="8" t="str">
        <f>HYPERLINK("https://twitter.com/TForwardingGmbH","@TForwardingGmbH")</f>
        <v>@TForwardingGmbH</v>
      </c>
      <c r="C205" s="9" t="s">
        <v>579</v>
      </c>
      <c r="D205" s="9" t="s">
        <v>580</v>
      </c>
      <c r="E205" s="10" t="str">
        <f>HYPERLINK("https://twitter.com/TForwardingGmbH/status/720635353325969408","720635353325969408")</f>
        <v>720635353325969408</v>
      </c>
      <c r="F205" s="11" t="s">
        <v>115</v>
      </c>
      <c r="G205" s="11">
        <v>1435</v>
      </c>
      <c r="H205" s="11">
        <v>454</v>
      </c>
      <c r="I205" s="11">
        <v>1</v>
      </c>
      <c r="J205" s="11">
        <v>0</v>
      </c>
      <c r="K205" s="11" t="s">
        <v>21</v>
      </c>
      <c r="L205" s="7">
        <v>41017.710127314815</v>
      </c>
      <c r="M205" s="12" t="s">
        <v>581</v>
      </c>
      <c r="N205" s="12" t="s">
        <v>582</v>
      </c>
      <c r="O205" s="10" t="str">
        <f>HYPERLINK("https://pbs.twimg.com/profile_images/2149665370/TF_beeldmerk_DEF_normal.jpg","View")</f>
        <v>View</v>
      </c>
      <c r="P205" s="11"/>
    </row>
    <row r="206" spans="1:16" ht="12.75" x14ac:dyDescent="0.35">
      <c r="A206" s="7">
        <v>42474.876377314809</v>
      </c>
      <c r="B206" s="8" t="str">
        <f>HYPERLINK("https://twitter.com/INDIZbot","@INDIZbot")</f>
        <v>@INDIZbot</v>
      </c>
      <c r="C206" s="9" t="s">
        <v>61</v>
      </c>
      <c r="D206" s="9" t="s">
        <v>583</v>
      </c>
      <c r="E206" s="10" t="str">
        <f>HYPERLINK("https://twitter.com/INDIZbot/status/720635721107812353","720635721107812353")</f>
        <v>720635721107812353</v>
      </c>
      <c r="F206" s="11" t="s">
        <v>62</v>
      </c>
      <c r="G206" s="11">
        <v>1762</v>
      </c>
      <c r="H206" s="11">
        <v>481</v>
      </c>
      <c r="I206" s="11">
        <v>1</v>
      </c>
      <c r="J206" s="11">
        <v>0</v>
      </c>
      <c r="K206" s="11" t="s">
        <v>21</v>
      </c>
      <c r="L206" s="7">
        <v>42267.011921296296</v>
      </c>
      <c r="M206" s="12"/>
      <c r="N206" s="12" t="s">
        <v>63</v>
      </c>
      <c r="O206" s="10" t="str">
        <f>HYPERLINK("https://pbs.twimg.com/profile_images/645716711723925506/t5G0qOS6_normal.jpg","View")</f>
        <v>View</v>
      </c>
      <c r="P206" s="11"/>
    </row>
    <row r="207" spans="1:16" ht="12.75" x14ac:dyDescent="0.35">
      <c r="A207" s="7">
        <v>42474.878738425927</v>
      </c>
      <c r="B207" s="8" t="str">
        <f>HYPERLINK("https://twitter.com/IT_Connection","@IT_Connection")</f>
        <v>@IT_Connection</v>
      </c>
      <c r="C207" s="9" t="s">
        <v>368</v>
      </c>
      <c r="D207" s="9" t="s">
        <v>584</v>
      </c>
      <c r="E207" s="10" t="str">
        <f>HYPERLINK("https://twitter.com/IT_Connection/status/720636576489947136","720636576489947136")</f>
        <v>720636576489947136</v>
      </c>
      <c r="F207" s="11" t="s">
        <v>39</v>
      </c>
      <c r="G207" s="11">
        <v>10900</v>
      </c>
      <c r="H207" s="11">
        <v>10875</v>
      </c>
      <c r="I207" s="11">
        <v>1</v>
      </c>
      <c r="J207" s="11">
        <v>0</v>
      </c>
      <c r="K207" s="11" t="s">
        <v>21</v>
      </c>
      <c r="L207" s="7">
        <v>40411.751539351855</v>
      </c>
      <c r="M207" s="12" t="s">
        <v>369</v>
      </c>
      <c r="N207" s="12" t="s">
        <v>370</v>
      </c>
      <c r="O207" s="10" t="str">
        <f>HYPERLINK("https://pbs.twimg.com/profile_images/566986293888835584/_uYTcau__normal.png","View")</f>
        <v>View</v>
      </c>
      <c r="P207" s="11"/>
    </row>
    <row r="208" spans="1:16" ht="12.75" x14ac:dyDescent="0.35">
      <c r="A208" s="7">
        <v>42474.879513888889</v>
      </c>
      <c r="B208" s="8" t="str">
        <f>HYPERLINK("https://twitter.com/neoAddons","@neoAddons")</f>
        <v>@neoAddons</v>
      </c>
      <c r="C208" s="9" t="s">
        <v>585</v>
      </c>
      <c r="D208" s="9" t="s">
        <v>586</v>
      </c>
      <c r="E208" s="10" t="str">
        <f>HYPERLINK("https://twitter.com/neoAddons/status/720636857915154432","720636857915154432")</f>
        <v>720636857915154432</v>
      </c>
      <c r="F208" s="11" t="s">
        <v>25</v>
      </c>
      <c r="G208" s="11">
        <v>1008</v>
      </c>
      <c r="H208" s="11">
        <v>1470</v>
      </c>
      <c r="I208" s="11">
        <v>1</v>
      </c>
      <c r="J208" s="11">
        <v>0</v>
      </c>
      <c r="K208" s="11" t="s">
        <v>21</v>
      </c>
      <c r="L208" s="7">
        <v>41787.735532407409</v>
      </c>
      <c r="M208" s="12" t="s">
        <v>587</v>
      </c>
      <c r="N208" s="12" t="s">
        <v>588</v>
      </c>
      <c r="O208" s="10" t="str">
        <f>HYPERLINK("https://pbs.twimg.com/profile_images/471625901646422018/85MkjfMR_normal.png","View")</f>
        <v>View</v>
      </c>
      <c r="P208" s="11"/>
    </row>
    <row r="209" spans="1:16" ht="12.75" x14ac:dyDescent="0.35">
      <c r="A209" s="7">
        <v>42474.880150462966</v>
      </c>
      <c r="B209" s="8" t="str">
        <f>HYPERLINK("https://twitter.com/proALPHA","@proALPHA")</f>
        <v>@proALPHA</v>
      </c>
      <c r="C209" s="9" t="s">
        <v>589</v>
      </c>
      <c r="D209" s="9" t="s">
        <v>590</v>
      </c>
      <c r="E209" s="10" t="str">
        <f>HYPERLINK("https://twitter.com/proALPHA/status/720637087544971264","720637087544971264")</f>
        <v>720637087544971264</v>
      </c>
      <c r="F209" s="11" t="s">
        <v>25</v>
      </c>
      <c r="G209" s="11">
        <v>179</v>
      </c>
      <c r="H209" s="11">
        <v>46</v>
      </c>
      <c r="I209" s="11">
        <v>1</v>
      </c>
      <c r="J209" s="11">
        <v>1</v>
      </c>
      <c r="K209" s="11" t="s">
        <v>21</v>
      </c>
      <c r="L209" s="7">
        <v>41416.626250000001</v>
      </c>
      <c r="M209" s="12"/>
      <c r="N209" s="12" t="s">
        <v>591</v>
      </c>
      <c r="O209" s="10" t="str">
        <f>HYPERLINK("https://pbs.twimg.com/profile_images/469026236916715520/DY-tlJ0c_normal.jpeg","View")</f>
        <v>View</v>
      </c>
      <c r="P209" s="11"/>
    </row>
    <row r="210" spans="1:16" ht="12.75" x14ac:dyDescent="0.35">
      <c r="A210" s="7">
        <v>42474.887638888889</v>
      </c>
      <c r="B210" s="8" t="str">
        <f>HYPERLINK("https://twitter.com/MiklosLoerinczi","@MiklosLoerinczi")</f>
        <v>@MiklosLoerinczi</v>
      </c>
      <c r="C210" s="9" t="s">
        <v>592</v>
      </c>
      <c r="D210" s="9" t="s">
        <v>241</v>
      </c>
      <c r="E210" s="10" t="str">
        <f>HYPERLINK("https://twitter.com/MiklosLoerinczi/status/720639802580852736","720639802580852736")</f>
        <v>720639802580852736</v>
      </c>
      <c r="F210" s="11" t="s">
        <v>20</v>
      </c>
      <c r="G210" s="11">
        <v>49</v>
      </c>
      <c r="H210" s="11">
        <v>138</v>
      </c>
      <c r="I210" s="11">
        <v>10</v>
      </c>
      <c r="J210" s="11">
        <v>0</v>
      </c>
      <c r="K210" s="11" t="s">
        <v>21</v>
      </c>
      <c r="L210" s="7">
        <v>42044.076666666668</v>
      </c>
      <c r="M210" s="12"/>
      <c r="N210" s="12"/>
      <c r="O210" s="10" t="str">
        <f>HYPERLINK("https://pbs.twimg.com/profile_images/564519770763300865/LzdRUs8v_normal.jpeg","View")</f>
        <v>View</v>
      </c>
      <c r="P210" s="11"/>
    </row>
    <row r="211" spans="1:16" ht="12.75" x14ac:dyDescent="0.35">
      <c r="A211" s="7">
        <v>42474.90556712963</v>
      </c>
      <c r="B211" s="8" t="str">
        <f>HYPERLINK("https://twitter.com/DocPeterAndrews","@DocPeterAndrews")</f>
        <v>@DocPeterAndrews</v>
      </c>
      <c r="C211" s="9" t="s">
        <v>593</v>
      </c>
      <c r="D211" s="9" t="s">
        <v>130</v>
      </c>
      <c r="E211" s="10" t="str">
        <f>HYPERLINK("https://twitter.com/DocPeterAndrews/status/720646298190352384","720646298190352384")</f>
        <v>720646298190352384</v>
      </c>
      <c r="F211" s="11" t="s">
        <v>20</v>
      </c>
      <c r="G211" s="11">
        <v>20</v>
      </c>
      <c r="H211" s="11">
        <v>74</v>
      </c>
      <c r="I211" s="11">
        <v>2</v>
      </c>
      <c r="J211" s="11">
        <v>0</v>
      </c>
      <c r="K211" s="11" t="s">
        <v>21</v>
      </c>
      <c r="L211" s="7">
        <v>39856.818240740744</v>
      </c>
      <c r="M211" s="12"/>
      <c r="N211" s="12" t="s">
        <v>594</v>
      </c>
      <c r="O211" s="10" t="str">
        <f>HYPERLINK("https://pbs.twimg.com/profile_images/3408651674/e9a95353a2e06d8ec7504966a971683c_normal.png","View")</f>
        <v>View</v>
      </c>
      <c r="P211" s="11"/>
    </row>
    <row r="212" spans="1:16" ht="12.75" x14ac:dyDescent="0.35">
      <c r="A212" s="7">
        <v>42474.906805555554</v>
      </c>
      <c r="B212" s="8" t="str">
        <f>HYPERLINK("https://twitter.com/awesigs","@awesigs")</f>
        <v>@awesigs</v>
      </c>
      <c r="C212" s="9" t="s">
        <v>595</v>
      </c>
      <c r="D212" s="9" t="s">
        <v>230</v>
      </c>
      <c r="E212" s="10" t="str">
        <f>HYPERLINK("https://twitter.com/awesigs/status/720646748570574848","720646748570574848")</f>
        <v>720646748570574848</v>
      </c>
      <c r="F212" s="11" t="s">
        <v>20</v>
      </c>
      <c r="G212" s="11">
        <v>26</v>
      </c>
      <c r="H212" s="11">
        <v>30</v>
      </c>
      <c r="I212" s="11">
        <v>15</v>
      </c>
      <c r="J212" s="11">
        <v>0</v>
      </c>
      <c r="K212" s="11" t="s">
        <v>21</v>
      </c>
      <c r="L212" s="7">
        <v>40253.894490740742</v>
      </c>
      <c r="M212" s="12"/>
      <c r="N212" s="12"/>
      <c r="O212" s="10" t="str">
        <f>HYPERLINK("https://pbs.twimg.com/profile_images/1398405138/wallpaper-85615_normal.jpg","View")</f>
        <v>View</v>
      </c>
      <c r="P212" s="11"/>
    </row>
    <row r="213" spans="1:16" ht="12.75" x14ac:dyDescent="0.35">
      <c r="A213" s="7">
        <v>42474.908900462964</v>
      </c>
      <c r="B213" s="8" t="str">
        <f>HYPERLINK("https://twitter.com/HolgerPaul66","@HolgerPaul66")</f>
        <v>@HolgerPaul66</v>
      </c>
      <c r="C213" s="9" t="s">
        <v>596</v>
      </c>
      <c r="D213" s="9" t="s">
        <v>391</v>
      </c>
      <c r="E213" s="10" t="str">
        <f>HYPERLINK("https://twitter.com/HolgerPaul66/status/720647509668950016","720647509668950016")</f>
        <v>720647509668950016</v>
      </c>
      <c r="F213" s="11" t="s">
        <v>25</v>
      </c>
      <c r="G213" s="11">
        <v>78</v>
      </c>
      <c r="H213" s="11">
        <v>76</v>
      </c>
      <c r="I213" s="11">
        <v>5</v>
      </c>
      <c r="J213" s="11">
        <v>0</v>
      </c>
      <c r="K213" s="11" t="s">
        <v>21</v>
      </c>
      <c r="L213" s="7">
        <v>41917.765775462962</v>
      </c>
      <c r="M213" s="12"/>
      <c r="N213" s="12"/>
      <c r="O213" s="10" t="str">
        <f>HYPERLINK("https://pbs.twimg.com/profile_images/525998513264410624/ZHDocuJo_normal.jpeg","View")</f>
        <v>View</v>
      </c>
      <c r="P213" s="11"/>
    </row>
    <row r="214" spans="1:16" ht="12.75" x14ac:dyDescent="0.35">
      <c r="A214" s="7">
        <v>42474.910787037035</v>
      </c>
      <c r="B214" s="8" t="str">
        <f>HYPERLINK("https://twitter.com/INDIZbot","@INDIZbot")</f>
        <v>@INDIZbot</v>
      </c>
      <c r="C214" s="9" t="s">
        <v>61</v>
      </c>
      <c r="D214" s="9" t="s">
        <v>391</v>
      </c>
      <c r="E214" s="10" t="str">
        <f>HYPERLINK("https://twitter.com/INDIZbot/status/720648191239196672","720648191239196672")</f>
        <v>720648191239196672</v>
      </c>
      <c r="F214" s="11" t="s">
        <v>62</v>
      </c>
      <c r="G214" s="11">
        <v>1762</v>
      </c>
      <c r="H214" s="11">
        <v>481</v>
      </c>
      <c r="I214" s="11">
        <v>5</v>
      </c>
      <c r="J214" s="11">
        <v>0</v>
      </c>
      <c r="K214" s="11" t="s">
        <v>21</v>
      </c>
      <c r="L214" s="7">
        <v>42267.011921296296</v>
      </c>
      <c r="M214" s="12"/>
      <c r="N214" s="12" t="s">
        <v>63</v>
      </c>
      <c r="O214" s="10" t="str">
        <f>HYPERLINK("https://pbs.twimg.com/profile_images/645716711723925506/t5G0qOS6_normal.jpg","View")</f>
        <v>View</v>
      </c>
      <c r="P214" s="11"/>
    </row>
    <row r="215" spans="1:16" ht="12.75" x14ac:dyDescent="0.35">
      <c r="A215" s="7">
        <v>42474.912499999999</v>
      </c>
      <c r="B215" s="8" t="str">
        <f>HYPERLINK("https://twitter.com/FranBlanSAP","@FranBlanSAP")</f>
        <v>@FranBlanSAP</v>
      </c>
      <c r="C215" s="9" t="s">
        <v>597</v>
      </c>
      <c r="D215" s="9" t="s">
        <v>598</v>
      </c>
      <c r="E215" s="10" t="str">
        <f>HYPERLINK("https://twitter.com/FranBlanSAP/status/720648812319154176","720648812319154176")</f>
        <v>720648812319154176</v>
      </c>
      <c r="F215" s="11" t="s">
        <v>31</v>
      </c>
      <c r="G215" s="11">
        <v>167</v>
      </c>
      <c r="H215" s="11">
        <v>128</v>
      </c>
      <c r="I215" s="11">
        <v>0</v>
      </c>
      <c r="J215" s="11">
        <v>0</v>
      </c>
      <c r="K215" s="11" t="s">
        <v>21</v>
      </c>
      <c r="L215" s="7">
        <v>41740.801423611112</v>
      </c>
      <c r="M215" s="12" t="s">
        <v>599</v>
      </c>
      <c r="N215" s="12" t="s">
        <v>600</v>
      </c>
      <c r="O215" s="10" t="str">
        <f>HYPERLINK("https://pbs.twimg.com/profile_images/526839119175880705/0Z9Mlwc5_normal.jpeg","View")</f>
        <v>View</v>
      </c>
      <c r="P215" s="11"/>
    </row>
    <row r="216" spans="1:16" ht="12.75" x14ac:dyDescent="0.35">
      <c r="A216" s="7">
        <v>42474.91337962963</v>
      </c>
      <c r="B216" s="8" t="str">
        <f>HYPERLINK("https://twitter.com/GalatiRita","@GalatiRita")</f>
        <v>@GalatiRita</v>
      </c>
      <c r="C216" s="9" t="s">
        <v>601</v>
      </c>
      <c r="D216" s="9" t="s">
        <v>602</v>
      </c>
      <c r="E216" s="10" t="str">
        <f>HYPERLINK("https://twitter.com/GalatiRita/status/720649131677642758","720649131677642758")</f>
        <v>720649131677642758</v>
      </c>
      <c r="F216" s="11" t="s">
        <v>603</v>
      </c>
      <c r="G216" s="11">
        <v>79</v>
      </c>
      <c r="H216" s="11">
        <v>137</v>
      </c>
      <c r="I216" s="11">
        <v>1</v>
      </c>
      <c r="J216" s="11">
        <v>0</v>
      </c>
      <c r="K216" s="11" t="s">
        <v>21</v>
      </c>
      <c r="L216" s="7">
        <v>41942.778634259259</v>
      </c>
      <c r="M216" s="12" t="s">
        <v>45</v>
      </c>
      <c r="N216" s="12" t="s">
        <v>604</v>
      </c>
      <c r="O216" s="10" t="str">
        <f>HYPERLINK("https://pbs.twimg.com/profile_images/527810716611260416/_hbIRCwV_normal.jpeg","View")</f>
        <v>View</v>
      </c>
      <c r="P216" s="11"/>
    </row>
    <row r="217" spans="1:16" ht="12.75" x14ac:dyDescent="0.35">
      <c r="A217" s="7">
        <v>42474.91469907407</v>
      </c>
      <c r="B217" s="8" t="str">
        <f>HYPERLINK("https://twitter.com/SFSFFrance","@SFSFFrance")</f>
        <v>@SFSFFrance</v>
      </c>
      <c r="C217" s="9" t="s">
        <v>605</v>
      </c>
      <c r="D217" s="9" t="s">
        <v>606</v>
      </c>
      <c r="E217" s="10" t="str">
        <f>HYPERLINK("https://twitter.com/SFSFFrance/status/720649607928221698","720649607928221698")</f>
        <v>720649607928221698</v>
      </c>
      <c r="F217" s="11" t="s">
        <v>25</v>
      </c>
      <c r="G217" s="11">
        <v>645</v>
      </c>
      <c r="H217" s="11">
        <v>424</v>
      </c>
      <c r="I217" s="11">
        <v>0</v>
      </c>
      <c r="J217" s="11">
        <v>0</v>
      </c>
      <c r="K217" s="11" t="s">
        <v>21</v>
      </c>
      <c r="L217" s="7">
        <v>40626.213726851856</v>
      </c>
      <c r="M217" s="12" t="s">
        <v>243</v>
      </c>
      <c r="N217" s="12" t="s">
        <v>607</v>
      </c>
      <c r="O217" s="10" t="str">
        <f>HYPERLINK("https://pbs.twimg.com/profile_images/2736953018/767c4769e70af7d38ca77d15108e500e_normal.png","View")</f>
        <v>View</v>
      </c>
      <c r="P217" s="11"/>
    </row>
    <row r="218" spans="1:16" ht="12.75" x14ac:dyDescent="0.35">
      <c r="A218" s="7">
        <v>42474.917314814811</v>
      </c>
      <c r="B218" s="8" t="str">
        <f>HYPERLINK("https://twitter.com/MichaelleSalmon","@MichaelleSalmon")</f>
        <v>@MichaelleSalmon</v>
      </c>
      <c r="C218" s="9" t="s">
        <v>608</v>
      </c>
      <c r="D218" s="9" t="s">
        <v>609</v>
      </c>
      <c r="E218" s="10" t="str">
        <f>HYPERLINK("https://twitter.com/MichaelleSalmon/status/720650557325754368","720650557325754368")</f>
        <v>720650557325754368</v>
      </c>
      <c r="F218" s="11" t="s">
        <v>31</v>
      </c>
      <c r="G218" s="11">
        <v>69</v>
      </c>
      <c r="H218" s="11">
        <v>177</v>
      </c>
      <c r="I218" s="11">
        <v>0</v>
      </c>
      <c r="J218" s="11">
        <v>1</v>
      </c>
      <c r="K218" s="11" t="s">
        <v>21</v>
      </c>
      <c r="L218" s="7">
        <v>42047.562824074077</v>
      </c>
      <c r="M218" s="12" t="s">
        <v>45</v>
      </c>
      <c r="N218" s="12" t="s">
        <v>610</v>
      </c>
      <c r="O218" s="10" t="str">
        <f>HYPERLINK("https://pbs.twimg.com/profile_images/565783312728215552/VwNqFg6U_normal.jpeg","View")</f>
        <v>View</v>
      </c>
      <c r="P218" s="11"/>
    </row>
    <row r="219" spans="1:16" ht="12.75" x14ac:dyDescent="0.35">
      <c r="A219" s="7">
        <v>42474.921932870369</v>
      </c>
      <c r="B219" s="8" t="str">
        <f>HYPERLINK("https://twitter.com/francoisdex","@francoisdex")</f>
        <v>@francoisdex</v>
      </c>
      <c r="C219" s="9" t="s">
        <v>611</v>
      </c>
      <c r="D219" s="9" t="s">
        <v>612</v>
      </c>
      <c r="E219" s="10" t="str">
        <f>HYPERLINK("https://twitter.com/francoisdex/status/720652232329469952","720652232329469952")</f>
        <v>720652232329469952</v>
      </c>
      <c r="F219" s="11" t="s">
        <v>25</v>
      </c>
      <c r="G219" s="11">
        <v>993</v>
      </c>
      <c r="H219" s="11">
        <v>2734</v>
      </c>
      <c r="I219" s="11">
        <v>1</v>
      </c>
      <c r="J219" s="11">
        <v>1</v>
      </c>
      <c r="K219" s="11" t="s">
        <v>21</v>
      </c>
      <c r="L219" s="7">
        <v>40504.134571759263</v>
      </c>
      <c r="M219" s="12" t="s">
        <v>243</v>
      </c>
      <c r="N219" s="12" t="s">
        <v>613</v>
      </c>
      <c r="O219" s="10" t="str">
        <f>HYPERLINK("https://pbs.twimg.com/profile_images/671733755254583296/Ad-8W4wG_normal.jpg","View")</f>
        <v>View</v>
      </c>
      <c r="P219" s="11"/>
    </row>
    <row r="220" spans="1:16" ht="12.75" x14ac:dyDescent="0.35">
      <c r="A220" s="7">
        <v>42474.922453703708</v>
      </c>
      <c r="B220" s="8" t="str">
        <f>HYPERLINK("https://twitter.com/bengolder","@bengolder")</f>
        <v>@bengolder</v>
      </c>
      <c r="C220" s="9" t="s">
        <v>614</v>
      </c>
      <c r="D220" s="9" t="s">
        <v>615</v>
      </c>
      <c r="E220" s="10" t="str">
        <f>HYPERLINK("https://twitter.com/bengolder/status/720652419911303170","720652419911303170")</f>
        <v>720652419911303170</v>
      </c>
      <c r="F220" s="11" t="s">
        <v>25</v>
      </c>
      <c r="G220" s="11">
        <v>590</v>
      </c>
      <c r="H220" s="11">
        <v>1539</v>
      </c>
      <c r="I220" s="11">
        <v>0</v>
      </c>
      <c r="J220" s="11">
        <v>1</v>
      </c>
      <c r="K220" s="11" t="s">
        <v>21</v>
      </c>
      <c r="L220" s="7">
        <v>40882.226898148147</v>
      </c>
      <c r="M220" s="12"/>
      <c r="N220" s="12" t="s">
        <v>616</v>
      </c>
      <c r="O220" s="10" t="str">
        <f>HYPERLINK("https://pbs.twimg.com/profile_images/719524881973571584/Qe9-Bm8r_normal.jpg","View")</f>
        <v>View</v>
      </c>
      <c r="P220" s="11"/>
    </row>
    <row r="221" spans="1:16" ht="12.75" x14ac:dyDescent="0.35">
      <c r="A221" s="7">
        <v>42474.928599537037</v>
      </c>
      <c r="B221" s="8" t="str">
        <f>HYPERLINK("https://twitter.com/maurelita","@maurelita")</f>
        <v>@maurelita</v>
      </c>
      <c r="C221" s="9" t="s">
        <v>617</v>
      </c>
      <c r="D221" s="9" t="s">
        <v>188</v>
      </c>
      <c r="E221" s="10" t="str">
        <f>HYPERLINK("https://twitter.com/maurelita/status/720654647762018304","720654647762018304")</f>
        <v>720654647762018304</v>
      </c>
      <c r="F221" s="11" t="s">
        <v>84</v>
      </c>
      <c r="G221" s="11">
        <v>2434</v>
      </c>
      <c r="H221" s="11">
        <v>1998</v>
      </c>
      <c r="I221" s="11">
        <v>13</v>
      </c>
      <c r="J221" s="11">
        <v>0</v>
      </c>
      <c r="K221" s="11" t="s">
        <v>21</v>
      </c>
      <c r="L221" s="7">
        <v>39802.824502314819</v>
      </c>
      <c r="M221" s="12" t="s">
        <v>243</v>
      </c>
      <c r="N221" s="12" t="s">
        <v>618</v>
      </c>
      <c r="O221" s="10" t="str">
        <f>HYPERLINK("https://pbs.twimg.com/profile_images/693723211972907008/LSMUxTvG_normal.jpg","View")</f>
        <v>View</v>
      </c>
      <c r="P221" s="11"/>
    </row>
    <row r="222" spans="1:16" ht="12.75" x14ac:dyDescent="0.35">
      <c r="A222" s="7">
        <v>42474.9296875</v>
      </c>
      <c r="B222" s="8" t="str">
        <f>HYPERLINK("https://twitter.com/GiselePrevost","@GiselePrevost")</f>
        <v>@GiselePrevost</v>
      </c>
      <c r="C222" s="9" t="s">
        <v>619</v>
      </c>
      <c r="D222" s="9" t="s">
        <v>620</v>
      </c>
      <c r="E222" s="10" t="str">
        <f>HYPERLINK("https://twitter.com/GiselePrevost/status/720655041053515777","720655041053515777")</f>
        <v>720655041053515777</v>
      </c>
      <c r="F222" s="11" t="s">
        <v>25</v>
      </c>
      <c r="G222" s="11">
        <v>111</v>
      </c>
      <c r="H222" s="11">
        <v>82</v>
      </c>
      <c r="I222" s="11">
        <v>1</v>
      </c>
      <c r="J222" s="11">
        <v>0</v>
      </c>
      <c r="K222" s="11" t="s">
        <v>21</v>
      </c>
      <c r="L222" s="7">
        <v>41800.559930555552</v>
      </c>
      <c r="M222" s="12"/>
      <c r="N222" s="12"/>
      <c r="O222" s="10" t="str">
        <f>HYPERLINK("https://pbs.twimg.com/profile_images/476275729806536704/jxs63xEZ_normal.jpeg","View")</f>
        <v>View</v>
      </c>
      <c r="P222" s="11"/>
    </row>
    <row r="223" spans="1:16" ht="12.75" x14ac:dyDescent="0.35">
      <c r="A223" s="7">
        <v>42474.934652777782</v>
      </c>
      <c r="B223" s="8" t="str">
        <f>HYPERLINK("https://twitter.com/MichaeloIoT","@MichaeloIoT")</f>
        <v>@MichaeloIoT</v>
      </c>
      <c r="C223" s="9" t="s">
        <v>621</v>
      </c>
      <c r="D223" s="9" t="s">
        <v>515</v>
      </c>
      <c r="E223" s="10" t="str">
        <f>HYPERLINK("https://twitter.com/MichaeloIoT/status/720656840674160641","720656840674160641")</f>
        <v>720656840674160641</v>
      </c>
      <c r="F223" s="11" t="s">
        <v>25</v>
      </c>
      <c r="G223" s="11">
        <v>50</v>
      </c>
      <c r="H223" s="11">
        <v>159</v>
      </c>
      <c r="I223" s="11">
        <v>11</v>
      </c>
      <c r="J223" s="11">
        <v>0</v>
      </c>
      <c r="K223" s="11" t="s">
        <v>21</v>
      </c>
      <c r="L223" s="7">
        <v>42454.589016203703</v>
      </c>
      <c r="M223" s="12" t="s">
        <v>622</v>
      </c>
      <c r="N223" s="12" t="s">
        <v>623</v>
      </c>
      <c r="O223" s="10" t="str">
        <f>HYPERLINK("https://pbs.twimg.com/profile_images/714825688344301568/KnFnw6t6_normal.jpg","View")</f>
        <v>View</v>
      </c>
      <c r="P223" s="11"/>
    </row>
    <row r="224" spans="1:16" ht="12.75" x14ac:dyDescent="0.35">
      <c r="A224" s="7">
        <v>42474.941296296296</v>
      </c>
      <c r="B224" s="8" t="str">
        <f>HYPERLINK("https://twitter.com/IT_Connection","@IT_Connection")</f>
        <v>@IT_Connection</v>
      </c>
      <c r="C224" s="9" t="s">
        <v>368</v>
      </c>
      <c r="D224" s="9" t="s">
        <v>624</v>
      </c>
      <c r="E224" s="10" t="str">
        <f>HYPERLINK("https://twitter.com/IT_Connection/status/720659247856545792","720659247856545792")</f>
        <v>720659247856545792</v>
      </c>
      <c r="F224" s="11" t="s">
        <v>39</v>
      </c>
      <c r="G224" s="11">
        <v>10900</v>
      </c>
      <c r="H224" s="11">
        <v>10875</v>
      </c>
      <c r="I224" s="11">
        <v>1</v>
      </c>
      <c r="J224" s="11">
        <v>0</v>
      </c>
      <c r="K224" s="11" t="s">
        <v>21</v>
      </c>
      <c r="L224" s="7">
        <v>40411.751539351855</v>
      </c>
      <c r="M224" s="12" t="s">
        <v>369</v>
      </c>
      <c r="N224" s="12" t="s">
        <v>370</v>
      </c>
      <c r="O224" s="10" t="str">
        <f>HYPERLINK("https://pbs.twimg.com/profile_images/566986293888835584/_uYTcau__normal.png","View")</f>
        <v>View</v>
      </c>
      <c r="P224" s="11"/>
    </row>
    <row r="225" spans="1:16" ht="12.75" x14ac:dyDescent="0.35">
      <c r="A225" s="7">
        <v>42474.945254629631</v>
      </c>
      <c r="B225" s="8" t="str">
        <f>HYPERLINK("https://twitter.com/INDIZbot","@INDIZbot")</f>
        <v>@INDIZbot</v>
      </c>
      <c r="C225" s="9" t="s">
        <v>61</v>
      </c>
      <c r="D225" s="9" t="s">
        <v>625</v>
      </c>
      <c r="E225" s="10" t="str">
        <f>HYPERLINK("https://twitter.com/INDIZbot/status/720660682979557376","720660682979557376")</f>
        <v>720660682979557376</v>
      </c>
      <c r="F225" s="11" t="s">
        <v>62</v>
      </c>
      <c r="G225" s="11">
        <v>1762</v>
      </c>
      <c r="H225" s="11">
        <v>481</v>
      </c>
      <c r="I225" s="11">
        <v>1</v>
      </c>
      <c r="J225" s="11">
        <v>0</v>
      </c>
      <c r="K225" s="11" t="s">
        <v>21</v>
      </c>
      <c r="L225" s="7">
        <v>42267.011921296296</v>
      </c>
      <c r="M225" s="12"/>
      <c r="N225" s="12" t="s">
        <v>63</v>
      </c>
      <c r="O225" s="10" t="str">
        <f>HYPERLINK("https://pbs.twimg.com/profile_images/645716711723925506/t5G0qOS6_normal.jpg","View")</f>
        <v>View</v>
      </c>
      <c r="P225" s="11"/>
    </row>
    <row r="226" spans="1:16" ht="12.75" x14ac:dyDescent="0.35">
      <c r="A226" s="7">
        <v>42474.950416666667</v>
      </c>
      <c r="B226" s="8" t="str">
        <f>HYPERLINK("https://twitter.com/FabLabLondon","@FabLabLondon")</f>
        <v>@FabLabLondon</v>
      </c>
      <c r="C226" s="9" t="s">
        <v>626</v>
      </c>
      <c r="D226" s="9" t="s">
        <v>384</v>
      </c>
      <c r="E226" s="10" t="str">
        <f>HYPERLINK("https://twitter.com/FabLabLondon/status/720662554373197824","720662554373197824")</f>
        <v>720662554373197824</v>
      </c>
      <c r="F226" s="11" t="s">
        <v>20</v>
      </c>
      <c r="G226" s="11">
        <v>4161</v>
      </c>
      <c r="H226" s="11">
        <v>3374</v>
      </c>
      <c r="I226" s="11">
        <v>3</v>
      </c>
      <c r="J226" s="11">
        <v>0</v>
      </c>
      <c r="K226" s="11" t="s">
        <v>21</v>
      </c>
      <c r="L226" s="7">
        <v>41584.10796296296</v>
      </c>
      <c r="M226" s="12" t="s">
        <v>627</v>
      </c>
      <c r="N226" s="12" t="s">
        <v>628</v>
      </c>
      <c r="O226" s="10" t="str">
        <f>HYPERLINK("https://pbs.twimg.com/profile_images/378800000700086175/017ad676773207b097a1b93a5b10074d_normal.png","View")</f>
        <v>View</v>
      </c>
      <c r="P226" s="11"/>
    </row>
    <row r="227" spans="1:16" ht="12.75" x14ac:dyDescent="0.35">
      <c r="A227" s="7">
        <v>42474.952152777776</v>
      </c>
      <c r="B227" s="8" t="str">
        <f>HYPERLINK("https://twitter.com/AndeGregson","@AndeGregson")</f>
        <v>@AndeGregson</v>
      </c>
      <c r="C227" s="9" t="s">
        <v>629</v>
      </c>
      <c r="D227" s="9" t="s">
        <v>384</v>
      </c>
      <c r="E227" s="10" t="str">
        <f>HYPERLINK("https://twitter.com/AndeGregson/status/720663181660721152","720663181660721152")</f>
        <v>720663181660721152</v>
      </c>
      <c r="F227" s="11" t="s">
        <v>20</v>
      </c>
      <c r="G227" s="11">
        <v>5137</v>
      </c>
      <c r="H227" s="11">
        <v>5147</v>
      </c>
      <c r="I227" s="11">
        <v>3</v>
      </c>
      <c r="J227" s="11">
        <v>0</v>
      </c>
      <c r="K227" s="11" t="s">
        <v>21</v>
      </c>
      <c r="L227" s="7">
        <v>39205.654814814814</v>
      </c>
      <c r="M227" s="12" t="s">
        <v>630</v>
      </c>
      <c r="N227" s="12" t="s">
        <v>631</v>
      </c>
      <c r="O227" s="10" t="str">
        <f>HYPERLINK("https://pbs.twimg.com/profile_images/2552626150/i2ig5lfbkrnpc07ugir7_normal.png","View")</f>
        <v>View</v>
      </c>
      <c r="P227" s="11"/>
    </row>
    <row r="228" spans="1:16" ht="12.75" x14ac:dyDescent="0.35">
      <c r="A228" s="7">
        <v>42474.975995370369</v>
      </c>
      <c r="B228" s="8" t="str">
        <f>HYPERLINK("https://twitter.com/GalatiRita","@GalatiRita")</f>
        <v>@GalatiRita</v>
      </c>
      <c r="C228" s="9" t="s">
        <v>601</v>
      </c>
      <c r="D228" s="9" t="s">
        <v>632</v>
      </c>
      <c r="E228" s="10" t="str">
        <f>HYPERLINK("https://twitter.com/GalatiRita/status/720671821054480384","720671821054480384")</f>
        <v>720671821054480384</v>
      </c>
      <c r="F228" s="11" t="s">
        <v>603</v>
      </c>
      <c r="G228" s="11">
        <v>79</v>
      </c>
      <c r="H228" s="11">
        <v>137</v>
      </c>
      <c r="I228" s="11">
        <v>0</v>
      </c>
      <c r="J228" s="11">
        <v>0</v>
      </c>
      <c r="K228" s="11" t="s">
        <v>21</v>
      </c>
      <c r="L228" s="7">
        <v>41942.778634259259</v>
      </c>
      <c r="M228" s="12" t="s">
        <v>45</v>
      </c>
      <c r="N228" s="12" t="s">
        <v>604</v>
      </c>
      <c r="O228" s="10" t="str">
        <f>HYPERLINK("https://pbs.twimg.com/profile_images/527810716611260416/_hbIRCwV_normal.jpeg","View")</f>
        <v>View</v>
      </c>
      <c r="P228" s="11"/>
    </row>
    <row r="229" spans="1:16" ht="12.75" x14ac:dyDescent="0.35">
      <c r="A229" s="7">
        <v>42474.980671296296</v>
      </c>
      <c r="B229" s="8" t="str">
        <f>HYPERLINK("https://twitter.com/FlashTweet","@FlashTweet")</f>
        <v>@FlashTweet</v>
      </c>
      <c r="C229" s="9" t="s">
        <v>633</v>
      </c>
      <c r="D229" s="9" t="s">
        <v>634</v>
      </c>
      <c r="E229" s="10" t="str">
        <f>HYPERLINK("https://twitter.com/FlashTweet/status/720673514638942209","720673514638942209")</f>
        <v>720673514638942209</v>
      </c>
      <c r="F229" s="11" t="s">
        <v>59</v>
      </c>
      <c r="G229" s="11">
        <v>17047</v>
      </c>
      <c r="H229" s="11">
        <v>2919</v>
      </c>
      <c r="I229" s="11">
        <v>4</v>
      </c>
      <c r="J229" s="11">
        <v>1</v>
      </c>
      <c r="K229" s="11" t="s">
        <v>21</v>
      </c>
      <c r="L229" s="7">
        <v>40226.81925925926</v>
      </c>
      <c r="M229" s="12" t="s">
        <v>635</v>
      </c>
      <c r="N229" s="12" t="s">
        <v>636</v>
      </c>
      <c r="O229" s="10" t="str">
        <f>HYPERLINK("https://pbs.twimg.com/profile_images/708264103798824960/BACwIYDp_normal.jpg","View")</f>
        <v>View</v>
      </c>
      <c r="P229" s="11"/>
    </row>
    <row r="230" spans="1:16" ht="12.75" x14ac:dyDescent="0.35">
      <c r="A230" s="7">
        <v>42474.982812499999</v>
      </c>
      <c r="B230" s="8" t="str">
        <f>HYPERLINK("https://twitter.com/sanjaydhumieres","@sanjaydhumieres")</f>
        <v>@sanjaydhumieres</v>
      </c>
      <c r="C230" s="9" t="s">
        <v>637</v>
      </c>
      <c r="D230" s="9" t="s">
        <v>638</v>
      </c>
      <c r="E230" s="10" t="str">
        <f>HYPERLINK("https://twitter.com/sanjaydhumieres/status/720674291541536773","720674291541536773")</f>
        <v>720674291541536773</v>
      </c>
      <c r="F230" s="11" t="s">
        <v>31</v>
      </c>
      <c r="G230" s="11">
        <v>1527</v>
      </c>
      <c r="H230" s="11">
        <v>1649</v>
      </c>
      <c r="I230" s="11">
        <v>4</v>
      </c>
      <c r="J230" s="11">
        <v>0</v>
      </c>
      <c r="K230" s="11" t="s">
        <v>21</v>
      </c>
      <c r="L230" s="7">
        <v>40318.09170138889</v>
      </c>
      <c r="M230" s="12" t="s">
        <v>639</v>
      </c>
      <c r="N230" s="12" t="s">
        <v>640</v>
      </c>
      <c r="O230" s="10" t="str">
        <f>HYPERLINK("https://pbs.twimg.com/profile_images/711638065056456704/F8v21TMA_normal.jpg","View")</f>
        <v>View</v>
      </c>
      <c r="P230" s="11"/>
    </row>
    <row r="231" spans="1:16" ht="12.75" x14ac:dyDescent="0.35">
      <c r="A231" s="7">
        <v>42474.992256944446</v>
      </c>
      <c r="B231" s="8" t="str">
        <f>HYPERLINK("https://twitter.com/brill_stefan","@brill_stefan")</f>
        <v>@brill_stefan</v>
      </c>
      <c r="C231" s="9" t="s">
        <v>641</v>
      </c>
      <c r="D231" s="9" t="s">
        <v>642</v>
      </c>
      <c r="E231" s="10" t="str">
        <f>HYPERLINK("https://twitter.com/brill_stefan/status/720677714622091264","720677714622091264")</f>
        <v>720677714622091264</v>
      </c>
      <c r="F231" s="11" t="s">
        <v>20</v>
      </c>
      <c r="G231" s="11">
        <v>100</v>
      </c>
      <c r="H231" s="11">
        <v>268</v>
      </c>
      <c r="I231" s="11">
        <v>0</v>
      </c>
      <c r="J231" s="11">
        <v>0</v>
      </c>
      <c r="K231" s="11" t="s">
        <v>21</v>
      </c>
      <c r="L231" s="7">
        <v>42136.926412037035</v>
      </c>
      <c r="M231" s="12" t="s">
        <v>643</v>
      </c>
      <c r="N231" s="12" t="s">
        <v>644</v>
      </c>
      <c r="O231" s="10" t="str">
        <f>HYPERLINK("https://pbs.twimg.com/profile_images/598166829174005760/M39Pe098_normal.jpg","View")</f>
        <v>View</v>
      </c>
      <c r="P231" s="11"/>
    </row>
    <row r="232" spans="1:16" ht="12.75" x14ac:dyDescent="0.35">
      <c r="A232" s="7">
        <v>42474.995740740742</v>
      </c>
      <c r="B232" s="8" t="str">
        <f>HYPERLINK("https://twitter.com/JCGeorghiou","@JCGeorghiou")</f>
        <v>@JCGeorghiou</v>
      </c>
      <c r="C232" s="9" t="s">
        <v>645</v>
      </c>
      <c r="D232" s="9" t="s">
        <v>188</v>
      </c>
      <c r="E232" s="10" t="str">
        <f>HYPERLINK("https://twitter.com/JCGeorghiou/status/720678979502546944","720678979502546944")</f>
        <v>720678979502546944</v>
      </c>
      <c r="F232" s="11" t="s">
        <v>84</v>
      </c>
      <c r="G232" s="11">
        <v>21</v>
      </c>
      <c r="H232" s="11">
        <v>20</v>
      </c>
      <c r="I232" s="11">
        <v>13</v>
      </c>
      <c r="J232" s="11">
        <v>0</v>
      </c>
      <c r="K232" s="11" t="s">
        <v>21</v>
      </c>
      <c r="L232" s="7">
        <v>41370.630671296298</v>
      </c>
      <c r="M232" s="12" t="s">
        <v>45</v>
      </c>
      <c r="N232" s="12" t="s">
        <v>646</v>
      </c>
      <c r="O232" s="10" t="str">
        <f>HYPERLINK("https://pbs.twimg.com/profile_images/692728796336754690/RKiqJiFN_normal.jpg","View")</f>
        <v>View</v>
      </c>
      <c r="P232" s="11"/>
    </row>
    <row r="233" spans="1:16" ht="12.75" x14ac:dyDescent="0.35">
      <c r="A233" s="7">
        <v>42474.997187500005</v>
      </c>
      <c r="B233" s="8" t="str">
        <f>HYPERLINK("https://twitter.com/HWachtersbach","@HWachtersbach")</f>
        <v>@HWachtersbach</v>
      </c>
      <c r="C233" s="9" t="s">
        <v>647</v>
      </c>
      <c r="D233" s="9" t="s">
        <v>230</v>
      </c>
      <c r="E233" s="10" t="str">
        <f>HYPERLINK("https://twitter.com/HWachtersbach/status/720679503362670592","720679503362670592")</f>
        <v>720679503362670592</v>
      </c>
      <c r="F233" s="11" t="s">
        <v>31</v>
      </c>
      <c r="G233" s="11">
        <v>359</v>
      </c>
      <c r="H233" s="11">
        <v>173</v>
      </c>
      <c r="I233" s="11">
        <v>15</v>
      </c>
      <c r="J233" s="11">
        <v>0</v>
      </c>
      <c r="K233" s="11" t="s">
        <v>21</v>
      </c>
      <c r="L233" s="7">
        <v>41582.843240740738</v>
      </c>
      <c r="M233" s="12"/>
      <c r="N233" s="12"/>
      <c r="O233" s="10" t="str">
        <f>HYPERLINK("https://pbs.twimg.com/profile_images/618481301654388736/vDFKHG_7_normal.jpg","View")</f>
        <v>View</v>
      </c>
      <c r="P233" s="11"/>
    </row>
    <row r="234" spans="1:16" ht="12.75" x14ac:dyDescent="0.35">
      <c r="A234" s="7">
        <v>42475.000335648147</v>
      </c>
      <c r="B234" s="8" t="str">
        <f>HYPERLINK("https://twitter.com/BWSAGROUP","@BWSAGROUP")</f>
        <v>@BWSAGROUP</v>
      </c>
      <c r="C234" s="9" t="s">
        <v>648</v>
      </c>
      <c r="D234" s="9" t="s">
        <v>230</v>
      </c>
      <c r="E234" s="10" t="str">
        <f>HYPERLINK("https://twitter.com/BWSAGROUP/status/720680644737675269","720680644737675269")</f>
        <v>720680644737675269</v>
      </c>
      <c r="F234" s="11" t="s">
        <v>20</v>
      </c>
      <c r="G234" s="11">
        <v>72</v>
      </c>
      <c r="H234" s="11">
        <v>160</v>
      </c>
      <c r="I234" s="11">
        <v>15</v>
      </c>
      <c r="J234" s="11">
        <v>0</v>
      </c>
      <c r="K234" s="11" t="s">
        <v>21</v>
      </c>
      <c r="L234" s="7">
        <v>41787.816932870366</v>
      </c>
      <c r="M234" s="12" t="s">
        <v>324</v>
      </c>
      <c r="N234" s="12" t="s">
        <v>649</v>
      </c>
      <c r="O234" s="10" t="str">
        <f>HYPERLINK("https://pbs.twimg.com/profile_images/656107467403870208/RXGOkKZu_normal.jpg","View")</f>
        <v>View</v>
      </c>
      <c r="P234" s="11"/>
    </row>
    <row r="235" spans="1:16" ht="12.75" x14ac:dyDescent="0.35">
      <c r="A235" s="7">
        <v>42475.000891203701</v>
      </c>
      <c r="B235" s="8" t="str">
        <f>HYPERLINK("https://twitter.com/ROKAutomationCZ","@ROKAutomationCZ")</f>
        <v>@ROKAutomationCZ</v>
      </c>
      <c r="C235" s="9" t="s">
        <v>416</v>
      </c>
      <c r="D235" s="9" t="s">
        <v>650</v>
      </c>
      <c r="E235" s="10" t="str">
        <f>HYPERLINK("https://twitter.com/ROKAutomationCZ/status/720680844172640256","720680844172640256")</f>
        <v>720680844172640256</v>
      </c>
      <c r="F235" s="11" t="s">
        <v>31</v>
      </c>
      <c r="G235" s="11">
        <v>338</v>
      </c>
      <c r="H235" s="11">
        <v>246</v>
      </c>
      <c r="I235" s="11">
        <v>1</v>
      </c>
      <c r="J235" s="11">
        <v>0</v>
      </c>
      <c r="K235" s="11" t="s">
        <v>21</v>
      </c>
      <c r="L235" s="7">
        <v>41003.860312500001</v>
      </c>
      <c r="M235" s="12" t="s">
        <v>651</v>
      </c>
      <c r="N235" s="12" t="s">
        <v>652</v>
      </c>
      <c r="O235" s="10" t="str">
        <f>HYPERLINK("https://pbs.twimg.com/profile_images/502403624635359232/dhMZDAHI_normal.jpeg","View")</f>
        <v>View</v>
      </c>
      <c r="P235" s="11"/>
    </row>
    <row r="236" spans="1:16" ht="12.75" x14ac:dyDescent="0.35">
      <c r="A236" s="7">
        <v>42475.003611111111</v>
      </c>
      <c r="B236" s="8" t="str">
        <f>HYPERLINK("https://twitter.com/MOC_AllianceBD","@MOC_AllianceBD")</f>
        <v>@MOC_AllianceBD</v>
      </c>
      <c r="C236" s="9" t="s">
        <v>653</v>
      </c>
      <c r="D236" s="9" t="s">
        <v>654</v>
      </c>
      <c r="E236" s="10" t="str">
        <f>HYPERLINK("https://twitter.com/MOC_AllianceBD/status/720681829615984642","720681829615984642")</f>
        <v>720681829615984642</v>
      </c>
      <c r="F236" s="11" t="s">
        <v>115</v>
      </c>
      <c r="G236" s="11">
        <v>1496</v>
      </c>
      <c r="H236" s="11">
        <v>1037</v>
      </c>
      <c r="I236" s="11">
        <v>2</v>
      </c>
      <c r="J236" s="11">
        <v>0</v>
      </c>
      <c r="K236" s="11" t="s">
        <v>21</v>
      </c>
      <c r="L236" s="7">
        <v>40343.778379629628</v>
      </c>
      <c r="M236" s="12" t="s">
        <v>655</v>
      </c>
      <c r="N236" s="12" t="s">
        <v>656</v>
      </c>
      <c r="O236" s="10" t="str">
        <f>HYPERLINK("https://pbs.twimg.com/profile_images/682836758464192512/-nudFO2c_normal.jpg","View")</f>
        <v>View</v>
      </c>
      <c r="P236" s="11"/>
    </row>
    <row r="237" spans="1:16" ht="12.75" x14ac:dyDescent="0.35">
      <c r="A237" s="7">
        <v>42475.007060185184</v>
      </c>
      <c r="B237" s="8" t="str">
        <f>HYPERLINK("https://twitter.com/JOUAILLECM","@JOUAILLECM")</f>
        <v>@JOUAILLECM</v>
      </c>
      <c r="C237" s="9" t="s">
        <v>657</v>
      </c>
      <c r="D237" s="9" t="s">
        <v>658</v>
      </c>
      <c r="E237" s="10" t="str">
        <f>HYPERLINK("https://twitter.com/JOUAILLECM/status/720683078667083777","720683078667083777")</f>
        <v>720683078667083777</v>
      </c>
      <c r="F237" s="11" t="s">
        <v>29</v>
      </c>
      <c r="G237" s="11">
        <v>85</v>
      </c>
      <c r="H237" s="11">
        <v>150</v>
      </c>
      <c r="I237" s="11">
        <v>2</v>
      </c>
      <c r="J237" s="11">
        <v>0</v>
      </c>
      <c r="K237" s="11" t="s">
        <v>21</v>
      </c>
      <c r="L237" s="7">
        <v>41003.899884259255</v>
      </c>
      <c r="M237" s="12" t="s">
        <v>659</v>
      </c>
      <c r="N237" s="12"/>
      <c r="O237" s="10" t="str">
        <f>HYPERLINK("https://pbs.twimg.com/profile_images/378800000753233896/be7abfe2b94083c25a106659b5859136_normal.jpeg","View")</f>
        <v>View</v>
      </c>
      <c r="P237" s="11"/>
    </row>
    <row r="238" spans="1:16" ht="12.75" x14ac:dyDescent="0.35">
      <c r="A238" s="7">
        <v>42475.009965277779</v>
      </c>
      <c r="B238" s="8" t="str">
        <f>HYPERLINK("https://twitter.com/DerLogistikfan","@DerLogistikfan")</f>
        <v>@DerLogistikfan</v>
      </c>
      <c r="C238" s="9" t="s">
        <v>660</v>
      </c>
      <c r="D238" s="9" t="s">
        <v>661</v>
      </c>
      <c r="E238" s="10" t="str">
        <f>HYPERLINK("https://twitter.com/DerLogistikfan/status/720684133484269572","720684133484269572")</f>
        <v>720684133484269572</v>
      </c>
      <c r="F238" s="11" t="s">
        <v>31</v>
      </c>
      <c r="G238" s="11">
        <v>160</v>
      </c>
      <c r="H238" s="11">
        <v>48</v>
      </c>
      <c r="I238" s="11">
        <v>1</v>
      </c>
      <c r="J238" s="11">
        <v>1</v>
      </c>
      <c r="K238" s="11" t="s">
        <v>21</v>
      </c>
      <c r="L238" s="7">
        <v>42069.718668981484</v>
      </c>
      <c r="M238" s="12" t="s">
        <v>662</v>
      </c>
      <c r="N238" s="12"/>
      <c r="O238" s="10" t="str">
        <f>HYPERLINK("https://pbs.twimg.com/profile_images/573813498947354624/g3IUfKZ5_normal.jpeg","View")</f>
        <v>View</v>
      </c>
      <c r="P238" s="11"/>
    </row>
    <row r="239" spans="1:16" ht="12.75" x14ac:dyDescent="0.35">
      <c r="A239" s="7">
        <v>42475.013611111106</v>
      </c>
      <c r="B239" s="8" t="str">
        <f>HYPERLINK("https://twitter.com/tuessl","@tuessl")</f>
        <v>@tuessl</v>
      </c>
      <c r="C239" s="9" t="s">
        <v>663</v>
      </c>
      <c r="D239" s="9" t="s">
        <v>664</v>
      </c>
      <c r="E239" s="10" t="str">
        <f>HYPERLINK("https://twitter.com/tuessl/status/720685451611385856","720685451611385856")</f>
        <v>720685451611385856</v>
      </c>
      <c r="F239" s="11" t="s">
        <v>25</v>
      </c>
      <c r="G239" s="11">
        <v>48</v>
      </c>
      <c r="H239" s="11">
        <v>84</v>
      </c>
      <c r="I239" s="11">
        <v>2</v>
      </c>
      <c r="J239" s="11">
        <v>0</v>
      </c>
      <c r="K239" s="11" t="s">
        <v>21</v>
      </c>
      <c r="L239" s="7">
        <v>42056.666099537033</v>
      </c>
      <c r="M239" s="12" t="s">
        <v>385</v>
      </c>
      <c r="N239" s="12" t="s">
        <v>665</v>
      </c>
      <c r="O239" s="10" t="str">
        <f>HYPERLINK("https://pbs.twimg.com/profile_images/666540900990984192/lziqwbbo_normal.jpg","View")</f>
        <v>View</v>
      </c>
      <c r="P239" s="11"/>
    </row>
    <row r="240" spans="1:16" ht="12.75" x14ac:dyDescent="0.35">
      <c r="A240" s="7">
        <v>42475.014675925922</v>
      </c>
      <c r="B240" s="8" t="str">
        <f t="shared" ref="B240:B241" si="14">HYPERLINK("https://twitter.com/INDIZbot","@INDIZbot")</f>
        <v>@INDIZbot</v>
      </c>
      <c r="C240" s="9" t="s">
        <v>61</v>
      </c>
      <c r="D240" s="9" t="s">
        <v>666</v>
      </c>
      <c r="E240" s="10" t="str">
        <f>HYPERLINK("https://twitter.com/INDIZbot/status/720685841220255745","720685841220255745")</f>
        <v>720685841220255745</v>
      </c>
      <c r="F240" s="11" t="s">
        <v>62</v>
      </c>
      <c r="G240" s="11">
        <v>1762</v>
      </c>
      <c r="H240" s="11">
        <v>481</v>
      </c>
      <c r="I240" s="11">
        <v>2</v>
      </c>
      <c r="J240" s="11">
        <v>0</v>
      </c>
      <c r="K240" s="11" t="s">
        <v>21</v>
      </c>
      <c r="L240" s="7">
        <v>42267.011921296296</v>
      </c>
      <c r="M240" s="12"/>
      <c r="N240" s="12" t="s">
        <v>63</v>
      </c>
      <c r="O240" s="10" t="str">
        <f t="shared" ref="O240:O241" si="15">HYPERLINK("https://pbs.twimg.com/profile_images/645716711723925506/t5G0qOS6_normal.jpg","View")</f>
        <v>View</v>
      </c>
      <c r="P240" s="11"/>
    </row>
    <row r="241" spans="1:16" ht="12.75" x14ac:dyDescent="0.35">
      <c r="A241" s="7">
        <v>42475.015104166669</v>
      </c>
      <c r="B241" s="8" t="str">
        <f t="shared" si="14"/>
        <v>@INDIZbot</v>
      </c>
      <c r="C241" s="9" t="s">
        <v>61</v>
      </c>
      <c r="D241" s="9" t="s">
        <v>667</v>
      </c>
      <c r="E241" s="10" t="str">
        <f>HYPERLINK("https://twitter.com/INDIZbot/status/720685995440676864","720685995440676864")</f>
        <v>720685995440676864</v>
      </c>
      <c r="F241" s="11" t="s">
        <v>62</v>
      </c>
      <c r="G241" s="11">
        <v>1762</v>
      </c>
      <c r="H241" s="11">
        <v>481</v>
      </c>
      <c r="I241" s="11">
        <v>1</v>
      </c>
      <c r="J241" s="11">
        <v>0</v>
      </c>
      <c r="K241" s="11" t="s">
        <v>21</v>
      </c>
      <c r="L241" s="7">
        <v>42267.011921296296</v>
      </c>
      <c r="M241" s="12"/>
      <c r="N241" s="12" t="s">
        <v>63</v>
      </c>
      <c r="O241" s="10" t="str">
        <f t="shared" si="15"/>
        <v>View</v>
      </c>
      <c r="P241" s="11"/>
    </row>
    <row r="242" spans="1:16" ht="12.75" x14ac:dyDescent="0.35">
      <c r="A242" s="7">
        <v>42475.018946759257</v>
      </c>
      <c r="B242" s="8" t="str">
        <f>HYPERLINK("https://twitter.com/corischindlbeck","@corischindlbeck")</f>
        <v>@corischindlbeck</v>
      </c>
      <c r="C242" s="9" t="s">
        <v>439</v>
      </c>
      <c r="D242" s="9" t="s">
        <v>668</v>
      </c>
      <c r="E242" s="10" t="str">
        <f>HYPERLINK("https://twitter.com/corischindlbeck/status/720687386603208704","720687386603208704")</f>
        <v>720687386603208704</v>
      </c>
      <c r="F242" s="11" t="s">
        <v>20</v>
      </c>
      <c r="G242" s="11">
        <v>624</v>
      </c>
      <c r="H242" s="11">
        <v>554</v>
      </c>
      <c r="I242" s="11">
        <v>2</v>
      </c>
      <c r="J242" s="11">
        <v>2</v>
      </c>
      <c r="K242" s="11" t="s">
        <v>21</v>
      </c>
      <c r="L242" s="7">
        <v>40233.931157407409</v>
      </c>
      <c r="M242" s="12" t="s">
        <v>440</v>
      </c>
      <c r="N242" s="12" t="s">
        <v>441</v>
      </c>
      <c r="O242" s="10" t="str">
        <f>HYPERLINK("https://pbs.twimg.com/profile_images/713459590608855041/fYp1lxGW_normal.jpg","View")</f>
        <v>View</v>
      </c>
      <c r="P242" s="11"/>
    </row>
    <row r="243" spans="1:16" ht="12.75" x14ac:dyDescent="0.35">
      <c r="A243" s="7">
        <v>42475.020844907413</v>
      </c>
      <c r="B243" s="8" t="str">
        <f>HYPERLINK("https://twitter.com/kommoptimierer","@kommoptimierer")</f>
        <v>@kommoptimierer</v>
      </c>
      <c r="C243" s="9" t="s">
        <v>270</v>
      </c>
      <c r="D243" s="9" t="s">
        <v>669</v>
      </c>
      <c r="E243" s="10" t="str">
        <f>HYPERLINK("https://twitter.com/kommoptimierer/status/720688076268380161","720688076268380161")</f>
        <v>720688076268380161</v>
      </c>
      <c r="F243" s="11" t="s">
        <v>272</v>
      </c>
      <c r="G243" s="11">
        <v>1347</v>
      </c>
      <c r="H243" s="11">
        <v>1753</v>
      </c>
      <c r="I243" s="11">
        <v>0</v>
      </c>
      <c r="J243" s="11">
        <v>0</v>
      </c>
      <c r="K243" s="11" t="s">
        <v>21</v>
      </c>
      <c r="L243" s="7">
        <v>39986.860358796301</v>
      </c>
      <c r="M243" s="12" t="s">
        <v>273</v>
      </c>
      <c r="N243" s="12" t="s">
        <v>274</v>
      </c>
      <c r="O243" s="10" t="str">
        <f>HYPERLINK("https://pbs.twimg.com/profile_images/541146126158536704/IYardufS_normal.jpeg","View")</f>
        <v>View</v>
      </c>
      <c r="P243" s="11"/>
    </row>
    <row r="244" spans="1:16" ht="12.75" x14ac:dyDescent="0.35">
      <c r="A244" s="7">
        <v>42475.021018518513</v>
      </c>
      <c r="B244" s="8" t="str">
        <f>HYPERLINK("https://twitter.com/bgebot","@bgebot")</f>
        <v>@bgebot</v>
      </c>
      <c r="C244" s="9" t="s">
        <v>670</v>
      </c>
      <c r="D244" s="9" t="s">
        <v>666</v>
      </c>
      <c r="E244" s="10" t="str">
        <f>HYPERLINK("https://twitter.com/bgebot/status/720688138394472449","720688138394472449")</f>
        <v>720688138394472449</v>
      </c>
      <c r="F244" s="11" t="s">
        <v>671</v>
      </c>
      <c r="G244" s="11">
        <v>1092</v>
      </c>
      <c r="H244" s="11">
        <v>11</v>
      </c>
      <c r="I244" s="11">
        <v>2</v>
      </c>
      <c r="J244" s="11">
        <v>0</v>
      </c>
      <c r="K244" s="11" t="s">
        <v>21</v>
      </c>
      <c r="L244" s="7">
        <v>40489.74255787037</v>
      </c>
      <c r="M244" s="12"/>
      <c r="N244" s="12" t="s">
        <v>672</v>
      </c>
      <c r="O244" s="10" t="str">
        <f>HYPERLINK("https://pbs.twimg.com/profile_images/1161922354/bge-bot-big-twitterversion2_normal.png","View")</f>
        <v>View</v>
      </c>
      <c r="P244" s="11"/>
    </row>
    <row r="245" spans="1:16" ht="12.75" x14ac:dyDescent="0.35">
      <c r="A245" s="7">
        <v>42475.022245370375</v>
      </c>
      <c r="B245" s="8" t="str">
        <f>HYPERLINK("https://twitter.com/MiklosLoerinczi","@MiklosLoerinczi")</f>
        <v>@MiklosLoerinczi</v>
      </c>
      <c r="C245" s="9" t="s">
        <v>592</v>
      </c>
      <c r="D245" s="9" t="s">
        <v>673</v>
      </c>
      <c r="E245" s="10" t="str">
        <f>HYPERLINK("https://twitter.com/MiklosLoerinczi/status/720688584701911041","720688584701911041")</f>
        <v>720688584701911041</v>
      </c>
      <c r="F245" s="11" t="s">
        <v>20</v>
      </c>
      <c r="G245" s="11">
        <v>49</v>
      </c>
      <c r="H245" s="11">
        <v>138</v>
      </c>
      <c r="I245" s="11">
        <v>2</v>
      </c>
      <c r="J245" s="11">
        <v>0</v>
      </c>
      <c r="K245" s="11" t="s">
        <v>21</v>
      </c>
      <c r="L245" s="7">
        <v>42044.076666666668</v>
      </c>
      <c r="M245" s="12"/>
      <c r="N245" s="12"/>
      <c r="O245" s="10" t="str">
        <f>HYPERLINK("https://pbs.twimg.com/profile_images/564519770763300865/LzdRUs8v_normal.jpeg","View")</f>
        <v>View</v>
      </c>
      <c r="P245" s="11"/>
    </row>
    <row r="246" spans="1:16" ht="12.75" x14ac:dyDescent="0.35">
      <c r="A246" s="7">
        <v>42475.02611111111</v>
      </c>
      <c r="B246" s="8" t="str">
        <f>HYPERLINK("https://twitter.com/paoloigna1","@paoloigna1")</f>
        <v>@paoloigna1</v>
      </c>
      <c r="C246" s="9" t="s">
        <v>674</v>
      </c>
      <c r="D246" s="9" t="s">
        <v>487</v>
      </c>
      <c r="E246" s="10" t="str">
        <f>HYPERLINK("https://twitter.com/paoloigna1/status/720689985586905089","720689985586905089")</f>
        <v>720689985586905089</v>
      </c>
      <c r="F246" s="11" t="s">
        <v>25</v>
      </c>
      <c r="G246" s="11">
        <v>47269</v>
      </c>
      <c r="H246" s="11">
        <v>51989</v>
      </c>
      <c r="I246" s="11">
        <v>3</v>
      </c>
      <c r="J246" s="11">
        <v>0</v>
      </c>
      <c r="K246" s="11" t="s">
        <v>21</v>
      </c>
      <c r="L246" s="7">
        <v>41374.624594907407</v>
      </c>
      <c r="M246" s="12"/>
      <c r="N246" s="12" t="s">
        <v>675</v>
      </c>
      <c r="O246" s="10" t="str">
        <f>HYPERLINK("https://pbs.twimg.com/profile_images/418795472472383488/YQgyHWog_normal.jpeg","View")</f>
        <v>View</v>
      </c>
      <c r="P246" s="11"/>
    </row>
    <row r="247" spans="1:16" ht="12.75" x14ac:dyDescent="0.35">
      <c r="A247" s="7">
        <v>42475.029062500005</v>
      </c>
      <c r="B247" s="8" t="str">
        <f>HYPERLINK("https://twitter.com/INDIZbot","@INDIZbot")</f>
        <v>@INDIZbot</v>
      </c>
      <c r="C247" s="9" t="s">
        <v>61</v>
      </c>
      <c r="D247" s="9" t="s">
        <v>673</v>
      </c>
      <c r="E247" s="10" t="str">
        <f>HYPERLINK("https://twitter.com/INDIZbot/status/720691054425587712","720691054425587712")</f>
        <v>720691054425587712</v>
      </c>
      <c r="F247" s="11" t="s">
        <v>62</v>
      </c>
      <c r="G247" s="11">
        <v>1762</v>
      </c>
      <c r="H247" s="11">
        <v>481</v>
      </c>
      <c r="I247" s="11">
        <v>2</v>
      </c>
      <c r="J247" s="11">
        <v>0</v>
      </c>
      <c r="K247" s="11" t="s">
        <v>21</v>
      </c>
      <c r="L247" s="7">
        <v>42267.011921296296</v>
      </c>
      <c r="M247" s="12"/>
      <c r="N247" s="12" t="s">
        <v>63</v>
      </c>
      <c r="O247" s="10" t="str">
        <f>HYPERLINK("https://pbs.twimg.com/profile_images/645716711723925506/t5G0qOS6_normal.jpg","View")</f>
        <v>View</v>
      </c>
      <c r="P247" s="11"/>
    </row>
    <row r="248" spans="1:16" ht="12.75" x14ac:dyDescent="0.35">
      <c r="A248" s="7">
        <v>42475.029664351852</v>
      </c>
      <c r="B248" s="8" t="str">
        <f>HYPERLINK("https://twitter.com/mfritz_fhg","@mfritz_fhg")</f>
        <v>@mfritz_fhg</v>
      </c>
      <c r="C248" s="9" t="s">
        <v>676</v>
      </c>
      <c r="D248" s="9" t="s">
        <v>677</v>
      </c>
      <c r="E248" s="10" t="str">
        <f>HYPERLINK("https://twitter.com/mfritz_fhg/status/720691272126709761","720691272126709761")</f>
        <v>720691272126709761</v>
      </c>
      <c r="F248" s="11" t="s">
        <v>31</v>
      </c>
      <c r="G248" s="11">
        <v>92</v>
      </c>
      <c r="H248" s="11">
        <v>224</v>
      </c>
      <c r="I248" s="11">
        <v>0</v>
      </c>
      <c r="J248" s="11">
        <v>1</v>
      </c>
      <c r="K248" s="11" t="s">
        <v>21</v>
      </c>
      <c r="L248" s="7">
        <v>42214.190844907411</v>
      </c>
      <c r="M248" s="12" t="s">
        <v>440</v>
      </c>
      <c r="N248" s="12" t="s">
        <v>678</v>
      </c>
      <c r="O248" s="10" t="str">
        <f>HYPERLINK("https://pbs.twimg.com/profile_images/653481171414872064/-C8HD5Mf_normal.jpg","View")</f>
        <v>View</v>
      </c>
      <c r="P248" s="11"/>
    </row>
    <row r="249" spans="1:16" ht="12.75" x14ac:dyDescent="0.35">
      <c r="A249" s="7">
        <v>42475.037025462967</v>
      </c>
      <c r="B249" s="8" t="str">
        <f>HYPERLINK("https://twitter.com/TUslaender","@TUslaender")</f>
        <v>@TUslaender</v>
      </c>
      <c r="C249" s="9" t="s">
        <v>679</v>
      </c>
      <c r="D249" s="9" t="s">
        <v>354</v>
      </c>
      <c r="E249" s="10" t="str">
        <f>HYPERLINK("https://twitter.com/TUslaender/status/720693938756173824","720693938756173824")</f>
        <v>720693938756173824</v>
      </c>
      <c r="F249" s="11" t="s">
        <v>31</v>
      </c>
      <c r="G249" s="11">
        <v>33</v>
      </c>
      <c r="H249" s="11">
        <v>22</v>
      </c>
      <c r="I249" s="11">
        <v>2</v>
      </c>
      <c r="J249" s="11">
        <v>0</v>
      </c>
      <c r="K249" s="11" t="s">
        <v>21</v>
      </c>
      <c r="L249" s="7">
        <v>41372.877152777779</v>
      </c>
      <c r="M249" s="12"/>
      <c r="N249" s="12"/>
      <c r="O249" s="10" t="str">
        <f>HYPERLINK("https://pbs.twimg.com/profile_images/504569405494161410/4CpoyfPM_normal.jpeg","View")</f>
        <v>View</v>
      </c>
      <c r="P249" s="11"/>
    </row>
    <row r="250" spans="1:16" ht="12.75" x14ac:dyDescent="0.35">
      <c r="A250" s="7">
        <v>42475.038958333331</v>
      </c>
      <c r="B250" s="8" t="str">
        <f>HYPERLINK("https://twitter.com/c_best01","@c_best01")</f>
        <v>@c_best01</v>
      </c>
      <c r="C250" s="9" t="s">
        <v>94</v>
      </c>
      <c r="D250" s="9" t="s">
        <v>638</v>
      </c>
      <c r="E250" s="10" t="str">
        <f>HYPERLINK("https://twitter.com/c_best01/status/720694637988560896","720694637988560896")</f>
        <v>720694637988560896</v>
      </c>
      <c r="F250" s="11" t="s">
        <v>31</v>
      </c>
      <c r="G250" s="11">
        <v>1936</v>
      </c>
      <c r="H250" s="11">
        <v>820</v>
      </c>
      <c r="I250" s="11">
        <v>4</v>
      </c>
      <c r="J250" s="11">
        <v>0</v>
      </c>
      <c r="K250" s="11" t="s">
        <v>21</v>
      </c>
      <c r="L250" s="7">
        <v>41505.870636574073</v>
      </c>
      <c r="M250" s="12" t="s">
        <v>95</v>
      </c>
      <c r="N250" s="12" t="s">
        <v>96</v>
      </c>
      <c r="O250" s="10" t="str">
        <f>HYPERLINK("https://pbs.twimg.com/profile_images/696677095200727040/JDNylP2p_normal.jpg","View")</f>
        <v>View</v>
      </c>
      <c r="P250" s="11"/>
    </row>
    <row r="251" spans="1:16" ht="12.75" x14ac:dyDescent="0.35">
      <c r="A251" s="7">
        <v>42475.039664351847</v>
      </c>
      <c r="B251" s="8" t="str">
        <f>HYPERLINK("https://twitter.com/rapifireio","@rapifireio")</f>
        <v>@rapifireio</v>
      </c>
      <c r="C251" s="9" t="s">
        <v>680</v>
      </c>
      <c r="D251" s="9" t="s">
        <v>681</v>
      </c>
      <c r="E251" s="10" t="str">
        <f>HYPERLINK("https://twitter.com/rapifireio/status/720694895971688448","720694895971688448")</f>
        <v>720694895971688448</v>
      </c>
      <c r="F251" s="11" t="s">
        <v>115</v>
      </c>
      <c r="G251" s="11">
        <v>1296</v>
      </c>
      <c r="H251" s="11">
        <v>1852</v>
      </c>
      <c r="I251" s="11">
        <v>0</v>
      </c>
      <c r="J251" s="11">
        <v>0</v>
      </c>
      <c r="K251" s="11" t="s">
        <v>21</v>
      </c>
      <c r="L251" s="7">
        <v>42353.632280092592</v>
      </c>
      <c r="M251" s="12" t="s">
        <v>682</v>
      </c>
      <c r="N251" s="12" t="s">
        <v>683</v>
      </c>
      <c r="O251" s="10" t="str">
        <f>HYPERLINK("https://pbs.twimg.com/profile_images/676700631248166912/ZVQvTezj_normal.png","View")</f>
        <v>View</v>
      </c>
      <c r="P251" s="11"/>
    </row>
    <row r="252" spans="1:16" ht="12.75" x14ac:dyDescent="0.35">
      <c r="A252" s="7">
        <v>42475.041678240741</v>
      </c>
      <c r="B252" s="8" t="str">
        <f>HYPERLINK("https://twitter.com/kommoptimierer","@kommoptimierer")</f>
        <v>@kommoptimierer</v>
      </c>
      <c r="C252" s="9" t="s">
        <v>270</v>
      </c>
      <c r="D252" s="9" t="s">
        <v>684</v>
      </c>
      <c r="E252" s="10" t="str">
        <f>HYPERLINK("https://twitter.com/kommoptimierer/status/720695626187542528","720695626187542528")</f>
        <v>720695626187542528</v>
      </c>
      <c r="F252" s="11" t="s">
        <v>272</v>
      </c>
      <c r="G252" s="11">
        <v>1347</v>
      </c>
      <c r="H252" s="11">
        <v>1753</v>
      </c>
      <c r="I252" s="11">
        <v>0</v>
      </c>
      <c r="J252" s="11">
        <v>0</v>
      </c>
      <c r="K252" s="11" t="s">
        <v>21</v>
      </c>
      <c r="L252" s="7">
        <v>39986.860358796301</v>
      </c>
      <c r="M252" s="12" t="s">
        <v>273</v>
      </c>
      <c r="N252" s="12" t="s">
        <v>274</v>
      </c>
      <c r="O252" s="10" t="str">
        <f>HYPERLINK("https://pbs.twimg.com/profile_images/541146126158536704/IYardufS_normal.jpeg","View")</f>
        <v>View</v>
      </c>
      <c r="P252" s="11"/>
    </row>
    <row r="253" spans="1:16" ht="12.75" x14ac:dyDescent="0.35">
      <c r="A253" s="7">
        <v>42475.051805555559</v>
      </c>
      <c r="B253" s="8" t="str">
        <f>HYPERLINK("https://twitter.com/ke13ds","@ke13ds")</f>
        <v>@ke13ds</v>
      </c>
      <c r="C253" s="9" t="s">
        <v>685</v>
      </c>
      <c r="D253" s="9" t="s">
        <v>686</v>
      </c>
      <c r="E253" s="10" t="str">
        <f>HYPERLINK("https://twitter.com/ke13ds/status/720699296874643459","720699296874643459")</f>
        <v>720699296874643459</v>
      </c>
      <c r="F253" s="11" t="s">
        <v>31</v>
      </c>
      <c r="G253" s="11">
        <v>184</v>
      </c>
      <c r="H253" s="11">
        <v>351</v>
      </c>
      <c r="I253" s="11">
        <v>1</v>
      </c>
      <c r="J253" s="11">
        <v>0</v>
      </c>
      <c r="K253" s="11" t="s">
        <v>21</v>
      </c>
      <c r="L253" s="7">
        <v>41654.903900462959</v>
      </c>
      <c r="M253" s="12" t="s">
        <v>92</v>
      </c>
      <c r="N253" s="12" t="s">
        <v>687</v>
      </c>
      <c r="O253" s="10" t="str">
        <f>HYPERLINK("https://pbs.twimg.com/profile_images/660034078662664192/fW_fR4oj_normal.jpg","View")</f>
        <v>View</v>
      </c>
      <c r="P253" s="11"/>
    </row>
    <row r="254" spans="1:16" ht="12.75" x14ac:dyDescent="0.35">
      <c r="A254" s="7">
        <v>42475.05740740741</v>
      </c>
      <c r="B254" s="8" t="str">
        <f>HYPERLINK("https://twitter.com/PTMAkademie","@PTMAkademie")</f>
        <v>@PTMAkademie</v>
      </c>
      <c r="C254" s="9" t="s">
        <v>688</v>
      </c>
      <c r="D254" s="9" t="s">
        <v>230</v>
      </c>
      <c r="E254" s="10" t="str">
        <f>HYPERLINK("https://twitter.com/PTMAkademie/status/720701324669685761","720701324669685761")</f>
        <v>720701324669685761</v>
      </c>
      <c r="F254" s="11" t="s">
        <v>31</v>
      </c>
      <c r="G254" s="11">
        <v>141</v>
      </c>
      <c r="H254" s="11">
        <v>303</v>
      </c>
      <c r="I254" s="11">
        <v>15</v>
      </c>
      <c r="J254" s="11">
        <v>0</v>
      </c>
      <c r="K254" s="11" t="s">
        <v>21</v>
      </c>
      <c r="L254" s="7">
        <v>41897.793576388889</v>
      </c>
      <c r="M254" s="12" t="s">
        <v>689</v>
      </c>
      <c r="N254" s="12" t="s">
        <v>690</v>
      </c>
      <c r="O254" s="10" t="str">
        <f>HYPERLINK("https://pbs.twimg.com/profile_images/521588968844836864/_szXnEc__normal.jpeg","View")</f>
        <v>View</v>
      </c>
      <c r="P254" s="11"/>
    </row>
    <row r="255" spans="1:16" ht="12.75" x14ac:dyDescent="0.35">
      <c r="A255" s="7">
        <v>42475.065995370373</v>
      </c>
      <c r="B255" s="8" t="str">
        <f>HYPERLINK("https://twitter.com/kommoptimierer","@kommoptimierer")</f>
        <v>@kommoptimierer</v>
      </c>
      <c r="C255" s="9" t="s">
        <v>270</v>
      </c>
      <c r="D255" s="9" t="s">
        <v>691</v>
      </c>
      <c r="E255" s="10" t="str">
        <f>HYPERLINK("https://twitter.com/kommoptimierer/status/720704435404554245","720704435404554245")</f>
        <v>720704435404554245</v>
      </c>
      <c r="F255" s="11" t="s">
        <v>272</v>
      </c>
      <c r="G255" s="11">
        <v>1347</v>
      </c>
      <c r="H255" s="11">
        <v>1753</v>
      </c>
      <c r="I255" s="11">
        <v>0</v>
      </c>
      <c r="J255" s="11">
        <v>0</v>
      </c>
      <c r="K255" s="11" t="s">
        <v>21</v>
      </c>
      <c r="L255" s="7">
        <v>39986.860358796301</v>
      </c>
      <c r="M255" s="12" t="s">
        <v>273</v>
      </c>
      <c r="N255" s="12" t="s">
        <v>274</v>
      </c>
      <c r="O255" s="10" t="str">
        <f>HYPERLINK("https://pbs.twimg.com/profile_images/541146126158536704/IYardufS_normal.jpeg","View")</f>
        <v>View</v>
      </c>
      <c r="P255" s="11"/>
    </row>
    <row r="256" spans="1:16" ht="12.75" x14ac:dyDescent="0.35">
      <c r="A256" s="7">
        <v>42475.079965277779</v>
      </c>
      <c r="B256" s="8" t="str">
        <f>HYPERLINK("https://twitter.com/dutchhts","@dutchhts")</f>
        <v>@dutchhts</v>
      </c>
      <c r="C256" s="9" t="s">
        <v>692</v>
      </c>
      <c r="D256" s="9" t="s">
        <v>693</v>
      </c>
      <c r="E256" s="10" t="str">
        <f>HYPERLINK("https://twitter.com/dutchhts/status/720709501490475008","720709501490475008")</f>
        <v>720709501490475008</v>
      </c>
      <c r="F256" s="11" t="s">
        <v>39</v>
      </c>
      <c r="G256" s="11">
        <v>2848</v>
      </c>
      <c r="H256" s="11">
        <v>2469</v>
      </c>
      <c r="I256" s="11">
        <v>4</v>
      </c>
      <c r="J256" s="11">
        <v>0</v>
      </c>
      <c r="K256" s="11" t="s">
        <v>21</v>
      </c>
      <c r="L256" s="7">
        <v>40523.812465277777</v>
      </c>
      <c r="M256" s="12" t="s">
        <v>694</v>
      </c>
      <c r="N256" s="12" t="s">
        <v>695</v>
      </c>
      <c r="O256" s="10" t="str">
        <f>HYPERLINK("https://pbs.twimg.com/profile_images/523906834000650242/-PpDUEnV_normal.jpeg","View")</f>
        <v>View</v>
      </c>
      <c r="P256" s="11"/>
    </row>
    <row r="257" spans="1:16" ht="12.75" x14ac:dyDescent="0.35">
      <c r="A257" s="7">
        <v>42475.083645833336</v>
      </c>
      <c r="B257" s="8" t="str">
        <f>HYPERLINK("https://twitter.com/H_IT_D","@H_IT_D")</f>
        <v>@H_IT_D</v>
      </c>
      <c r="C257" s="9" t="s">
        <v>159</v>
      </c>
      <c r="D257" s="9" t="s">
        <v>696</v>
      </c>
      <c r="E257" s="10" t="str">
        <f>HYPERLINK("https://twitter.com/H_IT_D/status/720710832867254272","720710832867254272")</f>
        <v>720710832867254272</v>
      </c>
      <c r="F257" s="11" t="s">
        <v>161</v>
      </c>
      <c r="G257" s="11">
        <v>463</v>
      </c>
      <c r="H257" s="11">
        <v>467</v>
      </c>
      <c r="I257" s="11">
        <v>0</v>
      </c>
      <c r="J257" s="11">
        <v>0</v>
      </c>
      <c r="K257" s="11" t="s">
        <v>21</v>
      </c>
      <c r="L257" s="7">
        <v>40723.867673611108</v>
      </c>
      <c r="M257" s="12" t="s">
        <v>162</v>
      </c>
      <c r="N257" s="12" t="s">
        <v>163</v>
      </c>
      <c r="O257" s="10" t="str">
        <f>HYPERLINK("https://pbs.twimg.com/profile_images/662723326096224256/5V4KH9_O_normal.jpg","View")</f>
        <v>View</v>
      </c>
      <c r="P257" s="11"/>
    </row>
    <row r="258" spans="1:16" ht="12.75" x14ac:dyDescent="0.35">
      <c r="A258" s="7">
        <v>42475.091273148151</v>
      </c>
      <c r="B258" s="8" t="str">
        <f>HYPERLINK("https://twitter.com/MahsaGivehchi","@MahsaGivehchi")</f>
        <v>@MahsaGivehchi</v>
      </c>
      <c r="C258" s="9" t="s">
        <v>697</v>
      </c>
      <c r="D258" s="9" t="s">
        <v>698</v>
      </c>
      <c r="E258" s="10" t="str">
        <f>HYPERLINK("https://twitter.com/MahsaGivehchi/status/720713599543558144","720713599543558144")</f>
        <v>720713599543558144</v>
      </c>
      <c r="F258" s="11" t="s">
        <v>25</v>
      </c>
      <c r="G258" s="11">
        <v>134</v>
      </c>
      <c r="H258" s="11">
        <v>153</v>
      </c>
      <c r="I258" s="11">
        <v>0</v>
      </c>
      <c r="J258" s="11">
        <v>0</v>
      </c>
      <c r="K258" s="11" t="s">
        <v>21</v>
      </c>
      <c r="L258" s="7">
        <v>42087.918437500004</v>
      </c>
      <c r="M258" s="12"/>
      <c r="N258" s="12"/>
      <c r="O258" s="10" t="str">
        <f>HYPERLINK("https://pbs.twimg.com/profile_images/638673774603321344/HCV91gN7_normal.jpg","View")</f>
        <v>View</v>
      </c>
      <c r="P258" s="11"/>
    </row>
    <row r="259" spans="1:16" ht="12.75" x14ac:dyDescent="0.35">
      <c r="A259" s="7">
        <v>42475.093229166669</v>
      </c>
      <c r="B259" s="8" t="str">
        <f>HYPERLINK("https://twitter.com/LeanKnowledge","@LeanKnowledge")</f>
        <v>@LeanKnowledge</v>
      </c>
      <c r="C259" s="9" t="s">
        <v>699</v>
      </c>
      <c r="D259" s="9" t="s">
        <v>700</v>
      </c>
      <c r="E259" s="10" t="str">
        <f>HYPERLINK("https://twitter.com/LeanKnowledge/status/720714306241826818","720714306241826818")</f>
        <v>720714306241826818</v>
      </c>
      <c r="F259" s="11" t="s">
        <v>25</v>
      </c>
      <c r="G259" s="11">
        <v>89</v>
      </c>
      <c r="H259" s="11">
        <v>36</v>
      </c>
      <c r="I259" s="11">
        <v>1</v>
      </c>
      <c r="J259" s="11">
        <v>1</v>
      </c>
      <c r="K259" s="11" t="s">
        <v>21</v>
      </c>
      <c r="L259" s="7">
        <v>42328.584224537037</v>
      </c>
      <c r="M259" s="12" t="s">
        <v>92</v>
      </c>
      <c r="N259" s="12" t="s">
        <v>701</v>
      </c>
      <c r="O259" s="10" t="str">
        <f>HYPERLINK("https://pbs.twimg.com/profile_images/667622351345950720/HAHOiaMn_normal.jpg","View")</f>
        <v>View</v>
      </c>
      <c r="P259" s="11"/>
    </row>
    <row r="260" spans="1:16" ht="12.75" x14ac:dyDescent="0.35">
      <c r="A260" s="7">
        <v>42475.095081018517</v>
      </c>
      <c r="B260" s="8" t="str">
        <f>HYPERLINK("https://twitter.com/boerni_w","@boerni_w")</f>
        <v>@boerni_w</v>
      </c>
      <c r="C260" s="9" t="s">
        <v>702</v>
      </c>
      <c r="D260" s="9" t="s">
        <v>38</v>
      </c>
      <c r="E260" s="10" t="str">
        <f>HYPERLINK("https://twitter.com/boerni_w/status/720714978651742208","720714978651742208")</f>
        <v>720714978651742208</v>
      </c>
      <c r="F260" s="11" t="s">
        <v>31</v>
      </c>
      <c r="G260" s="11">
        <v>781</v>
      </c>
      <c r="H260" s="11">
        <v>804</v>
      </c>
      <c r="I260" s="11">
        <v>6</v>
      </c>
      <c r="J260" s="11">
        <v>0</v>
      </c>
      <c r="K260" s="11" t="s">
        <v>21</v>
      </c>
      <c r="L260" s="7">
        <v>41612.819016203706</v>
      </c>
      <c r="M260" s="12" t="s">
        <v>703</v>
      </c>
      <c r="N260" s="12" t="s">
        <v>704</v>
      </c>
      <c r="O260" s="10" t="str">
        <f>HYPERLINK("https://pbs.twimg.com/profile_images/378800000832540984/08f85f5a644d0edf1fc387140334494b_normal.jpeg","View")</f>
        <v>View</v>
      </c>
      <c r="P260" s="11"/>
    </row>
    <row r="261" spans="1:16" ht="12.75" x14ac:dyDescent="0.35">
      <c r="A261" s="7">
        <v>42475.098645833335</v>
      </c>
      <c r="B261" s="8" t="str">
        <f>HYPERLINK("https://twitter.com/Lean_john","@Lean_john")</f>
        <v>@Lean_john</v>
      </c>
      <c r="C261" s="9" t="s">
        <v>705</v>
      </c>
      <c r="D261" s="9" t="s">
        <v>706</v>
      </c>
      <c r="E261" s="10" t="str">
        <f>HYPERLINK("https://twitter.com/Lean_john/status/720716268362444800","720716268362444800")</f>
        <v>720716268362444800</v>
      </c>
      <c r="F261" s="11" t="s">
        <v>222</v>
      </c>
      <c r="G261" s="11">
        <v>725</v>
      </c>
      <c r="H261" s="11">
        <v>398</v>
      </c>
      <c r="I261" s="11">
        <v>0</v>
      </c>
      <c r="J261" s="11">
        <v>0</v>
      </c>
      <c r="K261" s="11" t="s">
        <v>21</v>
      </c>
      <c r="L261" s="7">
        <v>40703.67690972222</v>
      </c>
      <c r="M261" s="12" t="s">
        <v>162</v>
      </c>
      <c r="N261" s="12" t="s">
        <v>707</v>
      </c>
      <c r="O261" s="10" t="str">
        <f>HYPERLINK("https://pbs.twimg.com/profile_images/2181612837/Johann_normal.jpg","View")</f>
        <v>View</v>
      </c>
      <c r="P261" s="11"/>
    </row>
    <row r="262" spans="1:16" ht="12.75" x14ac:dyDescent="0.35">
      <c r="A262" s="7">
        <v>42475.100740740745</v>
      </c>
      <c r="B262" s="8" t="str">
        <f>HYPERLINK("https://twitter.com/heikevangeel","@heikevangeel")</f>
        <v>@heikevangeel</v>
      </c>
      <c r="C262" s="9" t="s">
        <v>708</v>
      </c>
      <c r="D262" s="9" t="s">
        <v>391</v>
      </c>
      <c r="E262" s="10" t="str">
        <f>HYPERLINK("https://twitter.com/heikevangeel/status/720717026625458176","720717026625458176")</f>
        <v>720717026625458176</v>
      </c>
      <c r="F262" s="11" t="s">
        <v>31</v>
      </c>
      <c r="G262" s="11">
        <v>863</v>
      </c>
      <c r="H262" s="11">
        <v>858</v>
      </c>
      <c r="I262" s="11">
        <v>5</v>
      </c>
      <c r="J262" s="11">
        <v>0</v>
      </c>
      <c r="K262" s="11" t="s">
        <v>21</v>
      </c>
      <c r="L262" s="7">
        <v>39631.327708333338</v>
      </c>
      <c r="M262" s="12" t="s">
        <v>218</v>
      </c>
      <c r="N262" s="12" t="s">
        <v>709</v>
      </c>
      <c r="O262" s="10" t="str">
        <f>HYPERLINK("https://pbs.twimg.com/profile_images/491236810560114688/qHaoNgg2_normal.jpeg","View")</f>
        <v>View</v>
      </c>
      <c r="P262" s="11"/>
    </row>
    <row r="263" spans="1:16" ht="12.75" x14ac:dyDescent="0.35">
      <c r="A263" s="7">
        <v>42475.104178240741</v>
      </c>
      <c r="B263" s="8" t="str">
        <f>HYPERLINK("https://twitter.com/QuickFindsIn","@QuickFindsIn")</f>
        <v>@QuickFindsIn</v>
      </c>
      <c r="C263" s="9" t="s">
        <v>208</v>
      </c>
      <c r="D263" s="9" t="s">
        <v>710</v>
      </c>
      <c r="E263" s="10" t="str">
        <f>HYPERLINK("https://twitter.com/QuickFindsIn/status/720718275181580288","720718275181580288")</f>
        <v>720718275181580288</v>
      </c>
      <c r="F263" s="11" t="s">
        <v>210</v>
      </c>
      <c r="G263" s="11">
        <v>1895</v>
      </c>
      <c r="H263" s="11">
        <v>2758</v>
      </c>
      <c r="I263" s="11">
        <v>0</v>
      </c>
      <c r="J263" s="11">
        <v>0</v>
      </c>
      <c r="K263" s="11" t="s">
        <v>21</v>
      </c>
      <c r="L263" s="7">
        <v>42069.582048611112</v>
      </c>
      <c r="M263" s="12" t="s">
        <v>211</v>
      </c>
      <c r="N263" s="12" t="s">
        <v>212</v>
      </c>
      <c r="O263" s="10" t="str">
        <f>HYPERLINK("https://pbs.twimg.com/profile_images/591951396217327616/HbcCX2zX_normal.png","View")</f>
        <v>View</v>
      </c>
      <c r="P263" s="11"/>
    </row>
    <row r="264" spans="1:16" ht="12.75" x14ac:dyDescent="0.35">
      <c r="A264" s="7">
        <v>42475.105046296296</v>
      </c>
      <c r="B264" s="8" t="str">
        <f>HYPERLINK("https://twitter.com/hermvdbeek","@hermvdbeek")</f>
        <v>@hermvdbeek</v>
      </c>
      <c r="C264" s="9" t="s">
        <v>711</v>
      </c>
      <c r="D264" s="9" t="s">
        <v>693</v>
      </c>
      <c r="E264" s="10" t="str">
        <f>HYPERLINK("https://twitter.com/hermvdbeek/status/720718588647251972","720718588647251972")</f>
        <v>720718588647251972</v>
      </c>
      <c r="F264" s="11" t="s">
        <v>29</v>
      </c>
      <c r="G264" s="11">
        <v>678</v>
      </c>
      <c r="H264" s="11">
        <v>592</v>
      </c>
      <c r="I264" s="11">
        <v>4</v>
      </c>
      <c r="J264" s="11">
        <v>0</v>
      </c>
      <c r="K264" s="11" t="s">
        <v>21</v>
      </c>
      <c r="L264" s="7">
        <v>41236.10633101852</v>
      </c>
      <c r="M264" s="12" t="s">
        <v>712</v>
      </c>
      <c r="N264" s="12" t="s">
        <v>713</v>
      </c>
      <c r="O264" s="10" t="str">
        <f>HYPERLINK("https://pbs.twimg.com/profile_images/3481397109/ab4243c43a6b51f42c9e99664026c1a1_normal.jpeg","View")</f>
        <v>View</v>
      </c>
      <c r="P264" s="11"/>
    </row>
    <row r="265" spans="1:16" ht="12.75" x14ac:dyDescent="0.35">
      <c r="A265" s="7">
        <v>42475.106030092589</v>
      </c>
      <c r="B265" s="8" t="str">
        <f>HYPERLINK("https://twitter.com/AgnesGrange","@AgnesGrange")</f>
        <v>@AgnesGrange</v>
      </c>
      <c r="C265" s="9" t="s">
        <v>714</v>
      </c>
      <c r="D265" s="9" t="s">
        <v>638</v>
      </c>
      <c r="E265" s="10" t="str">
        <f>HYPERLINK("https://twitter.com/AgnesGrange/status/720718946375176193","720718946375176193")</f>
        <v>720718946375176193</v>
      </c>
      <c r="F265" s="11" t="s">
        <v>31</v>
      </c>
      <c r="G265" s="11">
        <v>5039</v>
      </c>
      <c r="H265" s="11">
        <v>4835</v>
      </c>
      <c r="I265" s="11">
        <v>4</v>
      </c>
      <c r="J265" s="11">
        <v>0</v>
      </c>
      <c r="K265" s="11" t="s">
        <v>21</v>
      </c>
      <c r="L265" s="7">
        <v>41073.442476851851</v>
      </c>
      <c r="M265" s="12"/>
      <c r="N265" s="12" t="s">
        <v>715</v>
      </c>
      <c r="O265" s="10" t="str">
        <f>HYPERLINK("https://pbs.twimg.com/profile_images/721092664930779137/ztqd4vFK_normal.jpg","View")</f>
        <v>View</v>
      </c>
      <c r="P265" s="11"/>
    </row>
    <row r="266" spans="1:16" ht="12.75" x14ac:dyDescent="0.35">
      <c r="A266" s="7">
        <v>42475.11001157407</v>
      </c>
      <c r="B266" s="8" t="str">
        <f>HYPERLINK("https://twitter.com/willempoterman","@willempoterman")</f>
        <v>@willempoterman</v>
      </c>
      <c r="C266" s="9" t="s">
        <v>716</v>
      </c>
      <c r="D266" s="9" t="s">
        <v>693</v>
      </c>
      <c r="E266" s="10" t="str">
        <f>HYPERLINK("https://twitter.com/willempoterman/status/720720390004326400","720720390004326400")</f>
        <v>720720390004326400</v>
      </c>
      <c r="F266" s="11" t="s">
        <v>25</v>
      </c>
      <c r="G266" s="11">
        <v>451</v>
      </c>
      <c r="H266" s="11">
        <v>31</v>
      </c>
      <c r="I266" s="11">
        <v>4</v>
      </c>
      <c r="J266" s="11">
        <v>0</v>
      </c>
      <c r="K266" s="11" t="s">
        <v>21</v>
      </c>
      <c r="L266" s="7">
        <v>40112.970729166671</v>
      </c>
      <c r="M266" s="12" t="s">
        <v>717</v>
      </c>
      <c r="N266" s="12" t="s">
        <v>718</v>
      </c>
      <c r="O266" s="10" t="str">
        <f>HYPERLINK("https://pbs.twimg.com/profile_images/578308237197488128/jHoPuLF7_normal.jpeg","View")</f>
        <v>View</v>
      </c>
      <c r="P266" s="11"/>
    </row>
    <row r="267" spans="1:16" ht="12.75" x14ac:dyDescent="0.35">
      <c r="A267" s="7">
        <v>42475.110706018517</v>
      </c>
      <c r="B267" s="8" t="str">
        <f>HYPERLINK("https://twitter.com/AbockAngela","@AbockAngela")</f>
        <v>@AbockAngela</v>
      </c>
      <c r="C267" s="9" t="s">
        <v>719</v>
      </c>
      <c r="D267" s="9" t="s">
        <v>241</v>
      </c>
      <c r="E267" s="10" t="str">
        <f>HYPERLINK("https://twitter.com/AbockAngela/status/720720640467169280","720720640467169280")</f>
        <v>720720640467169280</v>
      </c>
      <c r="F267" s="11" t="s">
        <v>29</v>
      </c>
      <c r="G267" s="11">
        <v>36</v>
      </c>
      <c r="H267" s="11">
        <v>99</v>
      </c>
      <c r="I267" s="11">
        <v>10</v>
      </c>
      <c r="J267" s="11">
        <v>0</v>
      </c>
      <c r="K267" s="11" t="s">
        <v>21</v>
      </c>
      <c r="L267" s="7">
        <v>41208.956863425927</v>
      </c>
      <c r="M267" s="12" t="s">
        <v>720</v>
      </c>
      <c r="N267" s="12"/>
      <c r="O267" s="10" t="str">
        <f>HYPERLINK("https://abs.twimg.com/sticky/default_profile_images/default_profile_1_normal.png","View")</f>
        <v>View</v>
      </c>
      <c r="P267" s="11"/>
    </row>
    <row r="268" spans="1:16" ht="12.75" x14ac:dyDescent="0.35">
      <c r="A268" s="7">
        <v>42475.128634259258</v>
      </c>
      <c r="B268" s="8" t="str">
        <f>HYPERLINK("https://twitter.com/IT2Industry","@IT2Industry")</f>
        <v>@IT2Industry</v>
      </c>
      <c r="C268" s="9" t="s">
        <v>721</v>
      </c>
      <c r="D268" s="9" t="s">
        <v>722</v>
      </c>
      <c r="E268" s="10" t="str">
        <f>HYPERLINK("https://twitter.com/IT2Industry/status/720727138379382784","720727138379382784")</f>
        <v>720727138379382784</v>
      </c>
      <c r="F268" s="10" t="s">
        <v>723</v>
      </c>
      <c r="G268" s="11">
        <v>1930</v>
      </c>
      <c r="H268" s="11">
        <v>992</v>
      </c>
      <c r="I268" s="11">
        <v>1</v>
      </c>
      <c r="J268" s="11">
        <v>2</v>
      </c>
      <c r="K268" s="11" t="s">
        <v>21</v>
      </c>
      <c r="L268" s="7">
        <v>39771.779502314814</v>
      </c>
      <c r="M268" s="12" t="s">
        <v>443</v>
      </c>
      <c r="N268" s="12" t="s">
        <v>724</v>
      </c>
      <c r="O268" s="10" t="str">
        <f>HYPERLINK("https://pbs.twimg.com/profile_images/489403559394304001/8SQlWWA1_normal.jpeg","View")</f>
        <v>View</v>
      </c>
      <c r="P268" s="11"/>
    </row>
    <row r="269" spans="1:16" ht="12.75" x14ac:dyDescent="0.35">
      <c r="A269" s="7">
        <v>42475.13962962963</v>
      </c>
      <c r="B269" s="8" t="str">
        <f>HYPERLINK("https://twitter.com/m_biscarrat","@m_biscarrat")</f>
        <v>@m_biscarrat</v>
      </c>
      <c r="C269" s="9" t="s">
        <v>725</v>
      </c>
      <c r="D269" s="9" t="s">
        <v>726</v>
      </c>
      <c r="E269" s="10" t="str">
        <f>HYPERLINK("https://twitter.com/m_biscarrat/status/720731121290502148","720731121290502148")</f>
        <v>720731121290502148</v>
      </c>
      <c r="F269" s="11" t="s">
        <v>31</v>
      </c>
      <c r="G269" s="11">
        <v>217</v>
      </c>
      <c r="H269" s="11">
        <v>398</v>
      </c>
      <c r="I269" s="11">
        <v>0</v>
      </c>
      <c r="J269" s="11">
        <v>1</v>
      </c>
      <c r="K269" s="11" t="s">
        <v>21</v>
      </c>
      <c r="L269" s="7">
        <v>40156.914143518516</v>
      </c>
      <c r="M269" s="12" t="s">
        <v>243</v>
      </c>
      <c r="N269" s="12" t="s">
        <v>727</v>
      </c>
      <c r="O269" s="10" t="str">
        <f>HYPERLINK("https://pbs.twimg.com/profile_images/699724829713428484/rUT0r7Dq_normal.jpg","View")</f>
        <v>View</v>
      </c>
      <c r="P269" s="11"/>
    </row>
    <row r="270" spans="1:16" ht="12.75" x14ac:dyDescent="0.35">
      <c r="A270" s="7">
        <v>42475.142858796295</v>
      </c>
      <c r="B270" s="8" t="str">
        <f>HYPERLINK("https://twitter.com/RolandKnoor","@RolandKnoor")</f>
        <v>@RolandKnoor</v>
      </c>
      <c r="C270" s="9" t="s">
        <v>728</v>
      </c>
      <c r="D270" s="9" t="s">
        <v>729</v>
      </c>
      <c r="E270" s="10" t="str">
        <f>HYPERLINK("https://twitter.com/RolandKnoor/status/720732289777430528","720732289777430528")</f>
        <v>720732289777430528</v>
      </c>
      <c r="F270" s="11" t="s">
        <v>20</v>
      </c>
      <c r="G270" s="11">
        <v>37</v>
      </c>
      <c r="H270" s="11">
        <v>85</v>
      </c>
      <c r="I270" s="11">
        <v>2</v>
      </c>
      <c r="J270" s="11">
        <v>0</v>
      </c>
      <c r="K270" s="11" t="s">
        <v>21</v>
      </c>
      <c r="L270" s="7">
        <v>41294.227372685185</v>
      </c>
      <c r="M270" s="12" t="s">
        <v>549</v>
      </c>
      <c r="N270" s="12"/>
      <c r="O270" s="10" t="str">
        <f>HYPERLINK("https://pbs.twimg.com/profile_images/3131255869/66d4286d22da313e15d729036f46103d_normal.jpeg","View")</f>
        <v>View</v>
      </c>
      <c r="P270" s="11"/>
    </row>
    <row r="271" spans="1:16" ht="12.75" x14ac:dyDescent="0.35">
      <c r="A271" s="7">
        <v>42475.158148148148</v>
      </c>
      <c r="B271" s="8" t="str">
        <f>HYPERLINK("https://twitter.com/JulienGre38","@JulienGre38")</f>
        <v>@JulienGre38</v>
      </c>
      <c r="C271" s="9" t="s">
        <v>730</v>
      </c>
      <c r="D271" s="9" t="s">
        <v>188</v>
      </c>
      <c r="E271" s="10" t="str">
        <f>HYPERLINK("https://twitter.com/JulienGre38/status/720737830717300736","720737830717300736")</f>
        <v>720737830717300736</v>
      </c>
      <c r="F271" s="11" t="s">
        <v>84</v>
      </c>
      <c r="G271" s="11">
        <v>413</v>
      </c>
      <c r="H271" s="11">
        <v>840</v>
      </c>
      <c r="I271" s="11">
        <v>13</v>
      </c>
      <c r="J271" s="11">
        <v>0</v>
      </c>
      <c r="K271" s="11" t="s">
        <v>21</v>
      </c>
      <c r="L271" s="7">
        <v>42139.971631944441</v>
      </c>
      <c r="M271" s="12" t="s">
        <v>88</v>
      </c>
      <c r="N271" s="12" t="s">
        <v>731</v>
      </c>
      <c r="O271" s="10" t="str">
        <f>HYPERLINK("https://pbs.twimg.com/profile_images/618126359622221824/GH4y7y_J_normal.jpg","View")</f>
        <v>View</v>
      </c>
      <c r="P271" s="11"/>
    </row>
    <row r="272" spans="1:16" ht="12.75" x14ac:dyDescent="0.35">
      <c r="A272" s="7">
        <v>42475.262511574074</v>
      </c>
      <c r="B272" s="8" t="str">
        <f>HYPERLINK("https://twitter.com/QuickFindsIn","@QuickFindsIn")</f>
        <v>@QuickFindsIn</v>
      </c>
      <c r="C272" s="9" t="s">
        <v>208</v>
      </c>
      <c r="D272" s="9" t="s">
        <v>209</v>
      </c>
      <c r="E272" s="10" t="str">
        <f>HYPERLINK("https://twitter.com/QuickFindsIn/status/720775652371083264","720775652371083264")</f>
        <v>720775652371083264</v>
      </c>
      <c r="F272" s="11" t="s">
        <v>210</v>
      </c>
      <c r="G272" s="11">
        <v>1895</v>
      </c>
      <c r="H272" s="11">
        <v>2758</v>
      </c>
      <c r="I272" s="11">
        <v>0</v>
      </c>
      <c r="J272" s="11">
        <v>0</v>
      </c>
      <c r="K272" s="11" t="s">
        <v>21</v>
      </c>
      <c r="L272" s="7">
        <v>42069.582048611112</v>
      </c>
      <c r="M272" s="12" t="s">
        <v>211</v>
      </c>
      <c r="N272" s="12" t="s">
        <v>212</v>
      </c>
      <c r="O272" s="10" t="str">
        <f>HYPERLINK("https://pbs.twimg.com/profile_images/591951396217327616/HbcCX2zX_normal.png","View")</f>
        <v>View</v>
      </c>
      <c r="P272" s="11"/>
    </row>
    <row r="273" spans="1:16" ht="12.75" x14ac:dyDescent="0.35">
      <c r="A273" s="7">
        <v>42475.309166666666</v>
      </c>
      <c r="B273" s="8" t="str">
        <f>HYPERLINK("https://twitter.com/H_IT_D","@H_IT_D")</f>
        <v>@H_IT_D</v>
      </c>
      <c r="C273" s="9" t="s">
        <v>159</v>
      </c>
      <c r="D273" s="9" t="s">
        <v>732</v>
      </c>
      <c r="E273" s="10" t="str">
        <f>HYPERLINK("https://twitter.com/H_IT_D/status/720792558176055296","720792558176055296")</f>
        <v>720792558176055296</v>
      </c>
      <c r="F273" s="11" t="s">
        <v>161</v>
      </c>
      <c r="G273" s="11">
        <v>463</v>
      </c>
      <c r="H273" s="11">
        <v>467</v>
      </c>
      <c r="I273" s="11">
        <v>1</v>
      </c>
      <c r="J273" s="11">
        <v>0</v>
      </c>
      <c r="K273" s="11" t="s">
        <v>21</v>
      </c>
      <c r="L273" s="7">
        <v>40723.867673611108</v>
      </c>
      <c r="M273" s="12" t="s">
        <v>162</v>
      </c>
      <c r="N273" s="12" t="s">
        <v>163</v>
      </c>
      <c r="O273" s="10" t="str">
        <f>HYPERLINK("https://pbs.twimg.com/profile_images/662723326096224256/5V4KH9_O_normal.jpg","View")</f>
        <v>View</v>
      </c>
      <c r="P273" s="11"/>
    </row>
    <row r="274" spans="1:16" ht="12.75" x14ac:dyDescent="0.35">
      <c r="A274" s="7">
        <v>42475.312523148154</v>
      </c>
      <c r="B274" s="8" t="str">
        <f>HYPERLINK("https://twitter.com/QuickFindsIn","@QuickFindsIn")</f>
        <v>@QuickFindsIn</v>
      </c>
      <c r="C274" s="9" t="s">
        <v>208</v>
      </c>
      <c r="D274" s="9" t="s">
        <v>733</v>
      </c>
      <c r="E274" s="10" t="str">
        <f>HYPERLINK("https://twitter.com/QuickFindsIn/status/720793776101326848","720793776101326848")</f>
        <v>720793776101326848</v>
      </c>
      <c r="F274" s="11" t="s">
        <v>210</v>
      </c>
      <c r="G274" s="11">
        <v>1895</v>
      </c>
      <c r="H274" s="11">
        <v>2758</v>
      </c>
      <c r="I274" s="11">
        <v>0</v>
      </c>
      <c r="J274" s="11">
        <v>0</v>
      </c>
      <c r="K274" s="11" t="s">
        <v>21</v>
      </c>
      <c r="L274" s="7">
        <v>42069.582048611112</v>
      </c>
      <c r="M274" s="12" t="s">
        <v>211</v>
      </c>
      <c r="N274" s="12" t="s">
        <v>212</v>
      </c>
      <c r="O274" s="10" t="str">
        <f>HYPERLINK("https://pbs.twimg.com/profile_images/591951396217327616/HbcCX2zX_normal.png","View")</f>
        <v>View</v>
      </c>
      <c r="P274" s="11"/>
    </row>
    <row r="275" spans="1:16" ht="12.75" x14ac:dyDescent="0.35">
      <c r="A275" s="7">
        <v>42475.313090277778</v>
      </c>
      <c r="B275" s="8" t="str">
        <f>HYPERLINK("https://twitter.com/INDIZbot","@INDIZbot")</f>
        <v>@INDIZbot</v>
      </c>
      <c r="C275" s="9" t="s">
        <v>61</v>
      </c>
      <c r="D275" s="9" t="s">
        <v>734</v>
      </c>
      <c r="E275" s="10" t="str">
        <f>HYPERLINK("https://twitter.com/INDIZbot/status/720793982830317569","720793982830317569")</f>
        <v>720793982830317569</v>
      </c>
      <c r="F275" s="11" t="s">
        <v>62</v>
      </c>
      <c r="G275" s="11">
        <v>1762</v>
      </c>
      <c r="H275" s="11">
        <v>481</v>
      </c>
      <c r="I275" s="11">
        <v>1</v>
      </c>
      <c r="J275" s="11">
        <v>0</v>
      </c>
      <c r="K275" s="11" t="s">
        <v>21</v>
      </c>
      <c r="L275" s="7">
        <v>42267.011921296296</v>
      </c>
      <c r="M275" s="12"/>
      <c r="N275" s="12" t="s">
        <v>63</v>
      </c>
      <c r="O275" s="10" t="str">
        <f>HYPERLINK("https://pbs.twimg.com/profile_images/645716711723925506/t5G0qOS6_normal.jpg","View")</f>
        <v>View</v>
      </c>
      <c r="P275" s="11"/>
    </row>
    <row r="276" spans="1:16" ht="12.75" x14ac:dyDescent="0.35">
      <c r="A276" s="7">
        <v>42475.348252314812</v>
      </c>
      <c r="B276" s="8" t="str">
        <f>HYPERLINK("https://twitter.com/condet020274","@condet020274")</f>
        <v>@condet020274</v>
      </c>
      <c r="C276" s="9" t="s">
        <v>735</v>
      </c>
      <c r="D276" s="9" t="s">
        <v>736</v>
      </c>
      <c r="E276" s="10" t="str">
        <f>HYPERLINK("https://twitter.com/condet020274/status/720806721535479809","720806721535479809")</f>
        <v>720806721535479809</v>
      </c>
      <c r="F276" s="11" t="s">
        <v>31</v>
      </c>
      <c r="G276" s="11">
        <v>257</v>
      </c>
      <c r="H276" s="11">
        <v>274</v>
      </c>
      <c r="I276" s="11">
        <v>1</v>
      </c>
      <c r="J276" s="11">
        <v>0</v>
      </c>
      <c r="K276" s="11" t="s">
        <v>21</v>
      </c>
      <c r="L276" s="7">
        <v>41421.427025462966</v>
      </c>
      <c r="M276" s="12"/>
      <c r="N276" s="12" t="s">
        <v>737</v>
      </c>
      <c r="O276" s="10" t="str">
        <f>HYPERLINK("https://pbs.twimg.com/profile_images/507399803509026816/KdF-WSKm_normal.jpeg","View")</f>
        <v>View</v>
      </c>
      <c r="P276" s="11"/>
    </row>
    <row r="277" spans="1:16" ht="12.75" x14ac:dyDescent="0.35">
      <c r="A277" s="7">
        <v>42475.398356481484</v>
      </c>
      <c r="B277" s="8" t="str">
        <f>HYPERLINK("https://twitter.com/bamitav","@bamitav")</f>
        <v>@bamitav</v>
      </c>
      <c r="C277" s="9" t="s">
        <v>341</v>
      </c>
      <c r="D277" s="9" t="s">
        <v>738</v>
      </c>
      <c r="E277" s="10" t="str">
        <f>HYPERLINK("https://twitter.com/bamitav/status/720824880870989825","720824880870989825")</f>
        <v>720824880870989825</v>
      </c>
      <c r="F277" s="11" t="s">
        <v>25</v>
      </c>
      <c r="G277" s="11">
        <v>7341</v>
      </c>
      <c r="H277" s="11">
        <v>6333</v>
      </c>
      <c r="I277" s="11">
        <v>2</v>
      </c>
      <c r="J277" s="11">
        <v>3</v>
      </c>
      <c r="K277" s="11" t="s">
        <v>21</v>
      </c>
      <c r="L277" s="7">
        <v>40138.933622685188</v>
      </c>
      <c r="M277" s="12" t="s">
        <v>343</v>
      </c>
      <c r="N277" s="12" t="s">
        <v>344</v>
      </c>
      <c r="O277" s="10" t="str">
        <f>HYPERLINK("https://pbs.twimg.com/profile_images/672794348442877952/m6Is-Nrc_normal.jpg","View")</f>
        <v>View</v>
      </c>
      <c r="P277" s="11"/>
    </row>
    <row r="278" spans="1:16" ht="12.75" x14ac:dyDescent="0.35">
      <c r="A278" s="7">
        <v>42475.419467592597</v>
      </c>
      <c r="B278" s="8" t="str">
        <f>HYPERLINK("https://twitter.com/DataCentreUG","@DataCentreUG")</f>
        <v>@DataCentreUG</v>
      </c>
      <c r="C278" s="9" t="s">
        <v>739</v>
      </c>
      <c r="D278" s="9" t="s">
        <v>740</v>
      </c>
      <c r="E278" s="10" t="str">
        <f>HYPERLINK("https://twitter.com/DataCentreUG/status/720832531952640000","720832531952640000")</f>
        <v>720832531952640000</v>
      </c>
      <c r="F278" s="11" t="s">
        <v>741</v>
      </c>
      <c r="G278" s="11">
        <v>1281</v>
      </c>
      <c r="H278" s="11">
        <v>337</v>
      </c>
      <c r="I278" s="11">
        <v>2</v>
      </c>
      <c r="J278" s="11">
        <v>0</v>
      </c>
      <c r="K278" s="11" t="s">
        <v>21</v>
      </c>
      <c r="L278" s="7">
        <v>41411.70149305556</v>
      </c>
      <c r="M278" s="12" t="s">
        <v>742</v>
      </c>
      <c r="N278" s="12" t="s">
        <v>743</v>
      </c>
      <c r="O278" s="10" t="str">
        <f>HYPERLINK("https://pbs.twimg.com/profile_images/509268388779020288/SUPeF7yO_normal.png","View")</f>
        <v>View</v>
      </c>
      <c r="P278" s="11"/>
    </row>
    <row r="279" spans="1:16" ht="12.75" x14ac:dyDescent="0.35">
      <c r="A279" s="7">
        <v>42475.425347222219</v>
      </c>
      <c r="B279" s="8" t="str">
        <f>HYPERLINK("https://twitter.com/josebaghdad","@josebaghdad")</f>
        <v>@josebaghdad</v>
      </c>
      <c r="C279" s="9" t="s">
        <v>744</v>
      </c>
      <c r="D279" s="9" t="s">
        <v>188</v>
      </c>
      <c r="E279" s="10" t="str">
        <f>HYPERLINK("https://twitter.com/josebaghdad/status/720834662436745217","720834662436745217")</f>
        <v>720834662436745217</v>
      </c>
      <c r="F279" s="11" t="s">
        <v>84</v>
      </c>
      <c r="G279" s="11">
        <v>361</v>
      </c>
      <c r="H279" s="11">
        <v>426</v>
      </c>
      <c r="I279" s="11">
        <v>13</v>
      </c>
      <c r="J279" s="11">
        <v>0</v>
      </c>
      <c r="K279" s="11" t="s">
        <v>21</v>
      </c>
      <c r="L279" s="7">
        <v>40832.823379629626</v>
      </c>
      <c r="M279" s="12" t="s">
        <v>243</v>
      </c>
      <c r="N279" s="12" t="s">
        <v>745</v>
      </c>
      <c r="O279" s="10" t="str">
        <f>HYPERLINK("https://pbs.twimg.com/profile_images/697158646841610240/jndBu0u2_normal.jpg","View")</f>
        <v>View</v>
      </c>
      <c r="P279" s="11"/>
    </row>
    <row r="280" spans="1:16" ht="12.75" x14ac:dyDescent="0.35">
      <c r="A280" s="7">
        <v>42475.427361111113</v>
      </c>
      <c r="B280" s="8" t="str">
        <f>HYPERLINK("https://twitter.com/joworf","@joworf")</f>
        <v>@joworf</v>
      </c>
      <c r="C280" s="9" t="s">
        <v>746</v>
      </c>
      <c r="D280" s="9" t="s">
        <v>230</v>
      </c>
      <c r="E280" s="10" t="str">
        <f>HYPERLINK("https://twitter.com/joworf/status/720835389850693632","720835389850693632")</f>
        <v>720835389850693632</v>
      </c>
      <c r="F280" s="11" t="s">
        <v>31</v>
      </c>
      <c r="G280" s="11">
        <v>221</v>
      </c>
      <c r="H280" s="11">
        <v>264</v>
      </c>
      <c r="I280" s="11">
        <v>15</v>
      </c>
      <c r="J280" s="11">
        <v>0</v>
      </c>
      <c r="K280" s="11" t="s">
        <v>21</v>
      </c>
      <c r="L280" s="7">
        <v>41445.874745370369</v>
      </c>
      <c r="M280" s="12" t="s">
        <v>121</v>
      </c>
      <c r="N280" s="12" t="s">
        <v>747</v>
      </c>
      <c r="O280" s="10" t="str">
        <f>HYPERLINK("https://pbs.twimg.com/profile_images/378800000730237374/61248132aea1de8788bfabe0f46145e3_normal.jpeg","View")</f>
        <v>View</v>
      </c>
      <c r="P280" s="11"/>
    </row>
    <row r="281" spans="1:16" ht="12.75" x14ac:dyDescent="0.35">
      <c r="A281" s="7">
        <v>42475.429837962962</v>
      </c>
      <c r="B281" s="8" t="str">
        <f>HYPERLINK("https://twitter.com/TheSDDC","@TheSDDC")</f>
        <v>@TheSDDC</v>
      </c>
      <c r="C281" s="9" t="s">
        <v>748</v>
      </c>
      <c r="D281" s="9" t="s">
        <v>740</v>
      </c>
      <c r="E281" s="10" t="str">
        <f>HYPERLINK("https://twitter.com/TheSDDC/status/720836289025576960","720836289025576960")</f>
        <v>720836289025576960</v>
      </c>
      <c r="F281" s="11" t="s">
        <v>437</v>
      </c>
      <c r="G281" s="11">
        <v>7051</v>
      </c>
      <c r="H281" s="11">
        <v>1231</v>
      </c>
      <c r="I281" s="11">
        <v>2</v>
      </c>
      <c r="J281" s="11">
        <v>0</v>
      </c>
      <c r="K281" s="11" t="s">
        <v>21</v>
      </c>
      <c r="L281" s="7">
        <v>41472.672581018516</v>
      </c>
      <c r="M281" s="12"/>
      <c r="N281" s="12" t="s">
        <v>749</v>
      </c>
      <c r="O281" s="10" t="str">
        <f>HYPERLINK("https://pbs.twimg.com/profile_images/378800000177102465/9fe3601a963678befe4f668ccae2773f_normal.png","View")</f>
        <v>View</v>
      </c>
      <c r="P281" s="11"/>
    </row>
    <row r="282" spans="1:16" ht="12.75" x14ac:dyDescent="0.35">
      <c r="A282" s="7">
        <v>42475.449861111112</v>
      </c>
      <c r="B282" s="8" t="str">
        <f t="shared" ref="B282:B283" si="16">HYPERLINK("https://twitter.com/bastihollmann","@bastihollmann")</f>
        <v>@bastihollmann</v>
      </c>
      <c r="C282" s="9" t="s">
        <v>750</v>
      </c>
      <c r="D282" s="9" t="s">
        <v>751</v>
      </c>
      <c r="E282" s="10" t="str">
        <f>HYPERLINK("https://twitter.com/bastihollmann/status/720843543644733443","720843543644733443")</f>
        <v>720843543644733443</v>
      </c>
      <c r="F282" s="11" t="s">
        <v>31</v>
      </c>
      <c r="G282" s="11">
        <v>283</v>
      </c>
      <c r="H282" s="11">
        <v>175</v>
      </c>
      <c r="I282" s="11">
        <v>6</v>
      </c>
      <c r="J282" s="11">
        <v>3</v>
      </c>
      <c r="K282" s="11" t="s">
        <v>21</v>
      </c>
      <c r="L282" s="7">
        <v>40487.681481481479</v>
      </c>
      <c r="M282" s="12" t="s">
        <v>752</v>
      </c>
      <c r="N282" s="12" t="s">
        <v>753</v>
      </c>
      <c r="O282" s="10" t="str">
        <f t="shared" ref="O282:O283" si="17">HYPERLINK("https://pbs.twimg.com/profile_images/593054907936186369/zjxLhMTm_normal.jpg","View")</f>
        <v>View</v>
      </c>
      <c r="P282" s="11"/>
    </row>
    <row r="283" spans="1:16" ht="12.75" x14ac:dyDescent="0.35">
      <c r="A283" s="7">
        <v>42475.451273148152</v>
      </c>
      <c r="B283" s="8" t="str">
        <f t="shared" si="16"/>
        <v>@bastihollmann</v>
      </c>
      <c r="C283" s="9" t="s">
        <v>750</v>
      </c>
      <c r="D283" s="9" t="s">
        <v>754</v>
      </c>
      <c r="E283" s="10" t="str">
        <f>HYPERLINK("https://twitter.com/bastihollmann/status/720844059137290240","720844059137290240")</f>
        <v>720844059137290240</v>
      </c>
      <c r="F283" s="11" t="s">
        <v>31</v>
      </c>
      <c r="G283" s="11">
        <v>283</v>
      </c>
      <c r="H283" s="11">
        <v>175</v>
      </c>
      <c r="I283" s="11">
        <v>9</v>
      </c>
      <c r="J283" s="11">
        <v>3</v>
      </c>
      <c r="K283" s="11" t="s">
        <v>21</v>
      </c>
      <c r="L283" s="7">
        <v>40487.681481481479</v>
      </c>
      <c r="M283" s="12" t="s">
        <v>752</v>
      </c>
      <c r="N283" s="12" t="s">
        <v>753</v>
      </c>
      <c r="O283" s="10" t="str">
        <f t="shared" si="17"/>
        <v>View</v>
      </c>
      <c r="P283" s="11"/>
    </row>
    <row r="284" spans="1:16" ht="12.75" x14ac:dyDescent="0.35">
      <c r="A284" s="7">
        <v>42475.452187499999</v>
      </c>
      <c r="B284" s="8" t="str">
        <f t="shared" ref="B284:B285" si="18">HYPERLINK("https://twitter.com/INDIZbot","@INDIZbot")</f>
        <v>@INDIZbot</v>
      </c>
      <c r="C284" s="9" t="s">
        <v>61</v>
      </c>
      <c r="D284" s="9" t="s">
        <v>755</v>
      </c>
      <c r="E284" s="10" t="str">
        <f>HYPERLINK("https://twitter.com/INDIZbot/status/720844386670481409","720844386670481409")</f>
        <v>720844386670481409</v>
      </c>
      <c r="F284" s="11" t="s">
        <v>62</v>
      </c>
      <c r="G284" s="11">
        <v>1762</v>
      </c>
      <c r="H284" s="11">
        <v>481</v>
      </c>
      <c r="I284" s="11">
        <v>9</v>
      </c>
      <c r="J284" s="11">
        <v>0</v>
      </c>
      <c r="K284" s="11" t="s">
        <v>21</v>
      </c>
      <c r="L284" s="7">
        <v>42267.011921296296</v>
      </c>
      <c r="M284" s="12"/>
      <c r="N284" s="12" t="s">
        <v>63</v>
      </c>
      <c r="O284" s="10" t="str">
        <f t="shared" ref="O284:O285" si="19">HYPERLINK("https://pbs.twimg.com/profile_images/645716711723925506/t5G0qOS6_normal.jpg","View")</f>
        <v>View</v>
      </c>
      <c r="P284" s="11"/>
    </row>
    <row r="285" spans="1:16" ht="12.75" x14ac:dyDescent="0.35">
      <c r="A285" s="7">
        <v>42475.452303240745</v>
      </c>
      <c r="B285" s="8" t="str">
        <f t="shared" si="18"/>
        <v>@INDIZbot</v>
      </c>
      <c r="C285" s="9" t="s">
        <v>61</v>
      </c>
      <c r="D285" s="9" t="s">
        <v>756</v>
      </c>
      <c r="E285" s="10" t="str">
        <f>HYPERLINK("https://twitter.com/INDIZbot/status/720844432128389120","720844432128389120")</f>
        <v>720844432128389120</v>
      </c>
      <c r="F285" s="11" t="s">
        <v>62</v>
      </c>
      <c r="G285" s="11">
        <v>1762</v>
      </c>
      <c r="H285" s="11">
        <v>481</v>
      </c>
      <c r="I285" s="11">
        <v>6</v>
      </c>
      <c r="J285" s="11">
        <v>0</v>
      </c>
      <c r="K285" s="11" t="s">
        <v>21</v>
      </c>
      <c r="L285" s="7">
        <v>42267.011921296296</v>
      </c>
      <c r="M285" s="12"/>
      <c r="N285" s="12" t="s">
        <v>63</v>
      </c>
      <c r="O285" s="10" t="str">
        <f t="shared" si="19"/>
        <v>View</v>
      </c>
      <c r="P285" s="11"/>
    </row>
    <row r="286" spans="1:16" ht="12.75" x14ac:dyDescent="0.35">
      <c r="A286" s="7">
        <v>42475.461377314816</v>
      </c>
      <c r="B286" s="8" t="str">
        <f>HYPERLINK("https://twitter.com/DrBorisOtto","@DrBorisOtto")</f>
        <v>@DrBorisOtto</v>
      </c>
      <c r="C286" s="9" t="s">
        <v>757</v>
      </c>
      <c r="D286" s="9" t="s">
        <v>758</v>
      </c>
      <c r="E286" s="10" t="str">
        <f>HYPERLINK("https://twitter.com/DrBorisOtto/status/720847717480595456","720847717480595456")</f>
        <v>720847717480595456</v>
      </c>
      <c r="F286" s="11" t="s">
        <v>25</v>
      </c>
      <c r="G286" s="11">
        <v>175</v>
      </c>
      <c r="H286" s="11">
        <v>151</v>
      </c>
      <c r="I286" s="11">
        <v>1</v>
      </c>
      <c r="J286" s="11">
        <v>0</v>
      </c>
      <c r="K286" s="11" t="s">
        <v>21</v>
      </c>
      <c r="L286" s="7">
        <v>41053.570520833331</v>
      </c>
      <c r="M286" s="12" t="s">
        <v>759</v>
      </c>
      <c r="N286" s="12" t="s">
        <v>760</v>
      </c>
      <c r="O286" s="10" t="str">
        <f>HYPERLINK("https://pbs.twimg.com/profile_images/423916767895769089/b3FaQ9P4_normal.jpeg","View")</f>
        <v>View</v>
      </c>
      <c r="P286" s="11"/>
    </row>
    <row r="287" spans="1:16" ht="12.75" x14ac:dyDescent="0.35">
      <c r="A287" s="7">
        <v>42475.463622685187</v>
      </c>
      <c r="B287" s="8" t="str">
        <f>HYPERLINK("https://twitter.com/nicolaikr","@nicolaikr")</f>
        <v>@nicolaikr</v>
      </c>
      <c r="C287" s="9" t="s">
        <v>761</v>
      </c>
      <c r="D287" s="9" t="s">
        <v>755</v>
      </c>
      <c r="E287" s="10" t="str">
        <f>HYPERLINK("https://twitter.com/nicolaikr/status/720848533058785280","720848533058785280")</f>
        <v>720848533058785280</v>
      </c>
      <c r="F287" s="11" t="s">
        <v>25</v>
      </c>
      <c r="G287" s="11">
        <v>583</v>
      </c>
      <c r="H287" s="11">
        <v>327</v>
      </c>
      <c r="I287" s="11">
        <v>9</v>
      </c>
      <c r="J287" s="11">
        <v>0</v>
      </c>
      <c r="K287" s="11" t="s">
        <v>21</v>
      </c>
      <c r="L287" s="7">
        <v>40015.864930555559</v>
      </c>
      <c r="M287" s="12" t="s">
        <v>762</v>
      </c>
      <c r="N287" s="12" t="s">
        <v>763</v>
      </c>
      <c r="O287" s="10" t="str">
        <f>HYPERLINK("https://pbs.twimg.com/profile_images/709356351768686592/BWnChYSq_normal.jpg","View")</f>
        <v>View</v>
      </c>
      <c r="P287" s="11"/>
    </row>
    <row r="288" spans="1:16" ht="12.75" x14ac:dyDescent="0.35">
      <c r="A288" s="7">
        <v>42475.469293981485</v>
      </c>
      <c r="B288" s="8" t="str">
        <f>HYPERLINK("https://twitter.com/marcusreif","@marcusreif")</f>
        <v>@marcusreif</v>
      </c>
      <c r="C288" s="9" t="s">
        <v>764</v>
      </c>
      <c r="D288" s="9" t="s">
        <v>756</v>
      </c>
      <c r="E288" s="10" t="str">
        <f>HYPERLINK("https://twitter.com/marcusreif/status/720850588389347332","720850588389347332")</f>
        <v>720850588389347332</v>
      </c>
      <c r="F288" s="11" t="s">
        <v>29</v>
      </c>
      <c r="G288" s="11">
        <v>2582</v>
      </c>
      <c r="H288" s="11">
        <v>2212</v>
      </c>
      <c r="I288" s="11">
        <v>6</v>
      </c>
      <c r="J288" s="11">
        <v>0</v>
      </c>
      <c r="K288" s="11" t="s">
        <v>21</v>
      </c>
      <c r="L288" s="7">
        <v>39573.506030092591</v>
      </c>
      <c r="M288" s="12" t="s">
        <v>765</v>
      </c>
      <c r="N288" s="12" t="s">
        <v>766</v>
      </c>
      <c r="O288" s="10" t="str">
        <f>HYPERLINK("https://pbs.twimg.com/profile_images/712549274660298752/BZvASwsz_normal.jpg","View")</f>
        <v>View</v>
      </c>
      <c r="P288" s="11"/>
    </row>
    <row r="289" spans="1:16" ht="12.75" x14ac:dyDescent="0.35">
      <c r="A289" s="7">
        <v>42475.469664351855</v>
      </c>
      <c r="B289" s="8" t="str">
        <f>HYPERLINK("https://twitter.com/PChbx","@PChbx")</f>
        <v>@PChbx</v>
      </c>
      <c r="C289" s="9" t="s">
        <v>767</v>
      </c>
      <c r="D289" s="9" t="s">
        <v>768</v>
      </c>
      <c r="E289" s="10" t="str">
        <f>HYPERLINK("https://twitter.com/PChbx/status/720850722300932096","720850722300932096")</f>
        <v>720850722300932096</v>
      </c>
      <c r="F289" s="11" t="s">
        <v>769</v>
      </c>
      <c r="G289" s="11">
        <v>127</v>
      </c>
      <c r="H289" s="11">
        <v>220</v>
      </c>
      <c r="I289" s="11">
        <v>1</v>
      </c>
      <c r="J289" s="11">
        <v>0</v>
      </c>
      <c r="K289" s="11" t="s">
        <v>21</v>
      </c>
      <c r="L289" s="7">
        <v>41145.6403587963</v>
      </c>
      <c r="M289" s="12" t="s">
        <v>88</v>
      </c>
      <c r="N289" s="12" t="s">
        <v>770</v>
      </c>
      <c r="O289" s="10" t="str">
        <f>HYPERLINK("https://pbs.twimg.com/profile_images/456733287579258880/TyCf6C1b_normal.png","View")</f>
        <v>View</v>
      </c>
      <c r="P289" s="11"/>
    </row>
    <row r="290" spans="1:16" ht="12.75" x14ac:dyDescent="0.35">
      <c r="A290" s="7">
        <v>42475.477465277778</v>
      </c>
      <c r="B290" s="8" t="str">
        <f>HYPERLINK("https://twitter.com/hirschtec","@hirschtec")</f>
        <v>@hirschtec</v>
      </c>
      <c r="C290" s="9" t="s">
        <v>771</v>
      </c>
      <c r="D290" s="9" t="s">
        <v>755</v>
      </c>
      <c r="E290" s="10" t="str">
        <f>HYPERLINK("https://twitter.com/hirschtec/status/720853546766184448","720853546766184448")</f>
        <v>720853546766184448</v>
      </c>
      <c r="F290" s="11" t="s">
        <v>31</v>
      </c>
      <c r="G290" s="11">
        <v>1434</v>
      </c>
      <c r="H290" s="11">
        <v>2195</v>
      </c>
      <c r="I290" s="11">
        <v>9</v>
      </c>
      <c r="J290" s="11">
        <v>0</v>
      </c>
      <c r="K290" s="11" t="s">
        <v>21</v>
      </c>
      <c r="L290" s="7">
        <v>39853.855104166665</v>
      </c>
      <c r="M290" s="12" t="s">
        <v>549</v>
      </c>
      <c r="N290" s="12" t="s">
        <v>772</v>
      </c>
      <c r="O290" s="10" t="str">
        <f>HYPERLINK("https://pbs.twimg.com/profile_images/454550195015925761/IwecjfOb_normal.jpeg","View")</f>
        <v>View</v>
      </c>
      <c r="P290" s="11"/>
    </row>
    <row r="291" spans="1:16" ht="12.75" x14ac:dyDescent="0.35">
      <c r="A291" s="7">
        <v>42475.477534722224</v>
      </c>
      <c r="B291" s="8" t="str">
        <f>HYPERLINK("https://twitter.com/stefan_hagen","@stefan_hagen")</f>
        <v>@stefan_hagen</v>
      </c>
      <c r="C291" s="9" t="s">
        <v>773</v>
      </c>
      <c r="D291" s="9" t="s">
        <v>755</v>
      </c>
      <c r="E291" s="10" t="str">
        <f>HYPERLINK("https://twitter.com/stefan_hagen/status/720853574452793344","720853574452793344")</f>
        <v>720853574452793344</v>
      </c>
      <c r="F291" s="11" t="s">
        <v>774</v>
      </c>
      <c r="G291" s="11">
        <v>2873</v>
      </c>
      <c r="H291" s="11">
        <v>1496</v>
      </c>
      <c r="I291" s="11">
        <v>9</v>
      </c>
      <c r="J291" s="11">
        <v>0</v>
      </c>
      <c r="K291" s="11" t="s">
        <v>21</v>
      </c>
      <c r="L291" s="7">
        <v>39613.09034722222</v>
      </c>
      <c r="M291" s="12" t="s">
        <v>775</v>
      </c>
      <c r="N291" s="12" t="s">
        <v>776</v>
      </c>
      <c r="O291" s="10" t="str">
        <f>HYPERLINK("https://pbs.twimg.com/profile_images/670963753677029376/auLx_NC4_normal.jpg","View")</f>
        <v>View</v>
      </c>
      <c r="P291" s="11"/>
    </row>
    <row r="292" spans="1:16" ht="12.75" x14ac:dyDescent="0.35">
      <c r="A292" s="7">
        <v>42475.480196759258</v>
      </c>
      <c r="B292" s="8" t="str">
        <f>HYPERLINK("https://twitter.com/VernierB","@VernierB")</f>
        <v>@VernierB</v>
      </c>
      <c r="C292" s="9" t="s">
        <v>777</v>
      </c>
      <c r="D292" s="9" t="s">
        <v>638</v>
      </c>
      <c r="E292" s="10" t="str">
        <f>HYPERLINK("https://twitter.com/VernierB/status/720854537448214528","720854537448214528")</f>
        <v>720854537448214528</v>
      </c>
      <c r="F292" s="11" t="s">
        <v>25</v>
      </c>
      <c r="G292" s="11">
        <v>642</v>
      </c>
      <c r="H292" s="11">
        <v>1608</v>
      </c>
      <c r="I292" s="11">
        <v>4</v>
      </c>
      <c r="J292" s="11">
        <v>0</v>
      </c>
      <c r="K292" s="11" t="s">
        <v>21</v>
      </c>
      <c r="L292" s="7">
        <v>40736.634525462963</v>
      </c>
      <c r="M292" s="12" t="s">
        <v>778</v>
      </c>
      <c r="N292" s="12" t="s">
        <v>779</v>
      </c>
      <c r="O292" s="10" t="str">
        <f>HYPERLINK("https://pbs.twimg.com/profile_images/3247582182/3d83644b326395fb82d61be288193eae_normal.jpeg","View")</f>
        <v>View</v>
      </c>
      <c r="P292" s="11"/>
    </row>
    <row r="293" spans="1:16" ht="12.75" x14ac:dyDescent="0.35">
      <c r="A293" s="7">
        <v>42475.482847222222</v>
      </c>
      <c r="B293" s="8" t="str">
        <f>HYPERLINK("https://twitter.com/SALIM__S","@SALIM__S")</f>
        <v>@SALIM__S</v>
      </c>
      <c r="C293" s="9" t="s">
        <v>780</v>
      </c>
      <c r="D293" s="9" t="s">
        <v>188</v>
      </c>
      <c r="E293" s="10" t="str">
        <f>HYPERLINK("https://twitter.com/SALIM__S/status/720855499420225536","720855499420225536")</f>
        <v>720855499420225536</v>
      </c>
      <c r="F293" s="11" t="s">
        <v>84</v>
      </c>
      <c r="G293" s="11">
        <v>113</v>
      </c>
      <c r="H293" s="11">
        <v>1526</v>
      </c>
      <c r="I293" s="11">
        <v>13</v>
      </c>
      <c r="J293" s="11">
        <v>0</v>
      </c>
      <c r="K293" s="11" t="s">
        <v>21</v>
      </c>
      <c r="L293" s="7">
        <v>41163.095694444448</v>
      </c>
      <c r="M293" s="12" t="s">
        <v>243</v>
      </c>
      <c r="N293" s="12"/>
      <c r="O293" s="10" t="str">
        <f>HYPERLINK("https://pbs.twimg.com/profile_images/707651451284287488/OJug5o2o_normal.jpg","View")</f>
        <v>View</v>
      </c>
      <c r="P293" s="11"/>
    </row>
    <row r="294" spans="1:16" ht="12.75" x14ac:dyDescent="0.35">
      <c r="A294" s="7">
        <v>42475.483796296292</v>
      </c>
      <c r="B294" s="8" t="str">
        <f>HYPERLINK("https://twitter.com/catkinEU","@catkinEU")</f>
        <v>@catkinEU</v>
      </c>
      <c r="C294" s="9" t="s">
        <v>781</v>
      </c>
      <c r="D294" s="9" t="s">
        <v>755</v>
      </c>
      <c r="E294" s="10" t="str">
        <f>HYPERLINK("https://twitter.com/catkinEU/status/720855843793543168","720855843793543168")</f>
        <v>720855843793543168</v>
      </c>
      <c r="F294" s="11" t="s">
        <v>29</v>
      </c>
      <c r="G294" s="11">
        <v>403</v>
      </c>
      <c r="H294" s="11">
        <v>541</v>
      </c>
      <c r="I294" s="11">
        <v>9</v>
      </c>
      <c r="J294" s="11">
        <v>0</v>
      </c>
      <c r="K294" s="11" t="s">
        <v>21</v>
      </c>
      <c r="L294" s="7">
        <v>42153.955763888887</v>
      </c>
      <c r="M294" s="12"/>
      <c r="N294" s="12" t="s">
        <v>782</v>
      </c>
      <c r="O294" s="10" t="str">
        <f>HYPERLINK("https://pbs.twimg.com/profile_images/604338428227010560/6jzSa8us_normal.png","View")</f>
        <v>View</v>
      </c>
      <c r="P294" s="11"/>
    </row>
    <row r="295" spans="1:16" ht="12.75" x14ac:dyDescent="0.35">
      <c r="A295" s="7">
        <v>42475.4847337963</v>
      </c>
      <c r="B295" s="8" t="str">
        <f>HYPERLINK("https://twitter.com/UL_Commercial","@UL_Commercial")</f>
        <v>@UL_Commercial</v>
      </c>
      <c r="C295" s="9" t="s">
        <v>783</v>
      </c>
      <c r="D295" s="9" t="s">
        <v>784</v>
      </c>
      <c r="E295" s="10" t="str">
        <f>HYPERLINK("https://twitter.com/UL_Commercial/status/720856183439908865","720856183439908865")</f>
        <v>720856183439908865</v>
      </c>
      <c r="F295" s="11" t="s">
        <v>785</v>
      </c>
      <c r="G295" s="11">
        <v>396</v>
      </c>
      <c r="H295" s="11">
        <v>106</v>
      </c>
      <c r="I295" s="11">
        <v>1</v>
      </c>
      <c r="J295" s="11">
        <v>0</v>
      </c>
      <c r="K295" s="11" t="s">
        <v>21</v>
      </c>
      <c r="L295" s="7">
        <v>42311.859340277777</v>
      </c>
      <c r="M295" s="12" t="s">
        <v>786</v>
      </c>
      <c r="N295" s="12" t="s">
        <v>787</v>
      </c>
      <c r="O295" s="10" t="str">
        <f>HYPERLINK("https://pbs.twimg.com/profile_images/661569725550469124/-Uzw8rQt_normal.jpg","View")</f>
        <v>View</v>
      </c>
      <c r="P295" s="11"/>
    </row>
    <row r="296" spans="1:16" ht="12.75" x14ac:dyDescent="0.35">
      <c r="A296" s="7">
        <v>42475.4847337963</v>
      </c>
      <c r="B296" s="8" t="str">
        <f>HYPERLINK("https://twitter.com/ULdialogue","@ULdialogue")</f>
        <v>@ULdialogue</v>
      </c>
      <c r="C296" s="9" t="s">
        <v>788</v>
      </c>
      <c r="D296" s="9" t="s">
        <v>789</v>
      </c>
      <c r="E296" s="10" t="str">
        <f>HYPERLINK("https://twitter.com/ULdialogue/status/720856184471683073","720856184471683073")</f>
        <v>720856184471683073</v>
      </c>
      <c r="F296" s="11" t="s">
        <v>785</v>
      </c>
      <c r="G296" s="11">
        <v>23159</v>
      </c>
      <c r="H296" s="11">
        <v>1948</v>
      </c>
      <c r="I296" s="11">
        <v>1</v>
      </c>
      <c r="J296" s="11">
        <v>0</v>
      </c>
      <c r="K296" s="11" t="s">
        <v>21</v>
      </c>
      <c r="L296" s="7">
        <v>40897.152025462965</v>
      </c>
      <c r="M296" s="12"/>
      <c r="N296" s="12" t="s">
        <v>790</v>
      </c>
      <c r="O296" s="10" t="str">
        <f>HYPERLINK("https://pbs.twimg.com/profile_images/458696399211606016/rUZELqAc_normal.jpeg","View")</f>
        <v>View</v>
      </c>
      <c r="P296" s="11"/>
    </row>
    <row r="297" spans="1:16" ht="12.75" x14ac:dyDescent="0.35">
      <c r="A297" s="7">
        <v>42475.486921296295</v>
      </c>
      <c r="B297" s="8" t="str">
        <f t="shared" ref="B297:B298" si="20">HYPERLINK("https://twitter.com/INDIZbot","@INDIZbot")</f>
        <v>@INDIZbot</v>
      </c>
      <c r="C297" s="9" t="s">
        <v>61</v>
      </c>
      <c r="D297" s="9" t="s">
        <v>791</v>
      </c>
      <c r="E297" s="10" t="str">
        <f>HYPERLINK("https://twitter.com/INDIZbot/status/720856974011670529","720856974011670529")</f>
        <v>720856974011670529</v>
      </c>
      <c r="F297" s="11" t="s">
        <v>62</v>
      </c>
      <c r="G297" s="11">
        <v>1762</v>
      </c>
      <c r="H297" s="11">
        <v>481</v>
      </c>
      <c r="I297" s="11">
        <v>1</v>
      </c>
      <c r="J297" s="11">
        <v>0</v>
      </c>
      <c r="K297" s="11" t="s">
        <v>21</v>
      </c>
      <c r="L297" s="7">
        <v>42267.011921296296</v>
      </c>
      <c r="M297" s="12"/>
      <c r="N297" s="12" t="s">
        <v>63</v>
      </c>
      <c r="O297" s="10" t="str">
        <f t="shared" ref="O297:O298" si="21">HYPERLINK("https://pbs.twimg.com/profile_images/645716711723925506/t5G0qOS6_normal.jpg","View")</f>
        <v>View</v>
      </c>
      <c r="P297" s="11"/>
    </row>
    <row r="298" spans="1:16" ht="12.75" x14ac:dyDescent="0.35">
      <c r="A298" s="7">
        <v>42475.48704861111</v>
      </c>
      <c r="B298" s="8" t="str">
        <f t="shared" si="20"/>
        <v>@INDIZbot</v>
      </c>
      <c r="C298" s="9" t="s">
        <v>61</v>
      </c>
      <c r="D298" s="9" t="s">
        <v>792</v>
      </c>
      <c r="E298" s="10" t="str">
        <f>HYPERLINK("https://twitter.com/INDIZbot/status/720857023231832066","720857023231832066")</f>
        <v>720857023231832066</v>
      </c>
      <c r="F298" s="11" t="s">
        <v>62</v>
      </c>
      <c r="G298" s="11">
        <v>1762</v>
      </c>
      <c r="H298" s="11">
        <v>481</v>
      </c>
      <c r="I298" s="11">
        <v>1</v>
      </c>
      <c r="J298" s="11">
        <v>0</v>
      </c>
      <c r="K298" s="11" t="s">
        <v>21</v>
      </c>
      <c r="L298" s="7">
        <v>42267.011921296296</v>
      </c>
      <c r="M298" s="12"/>
      <c r="N298" s="12" t="s">
        <v>63</v>
      </c>
      <c r="O298" s="10" t="str">
        <f t="shared" si="21"/>
        <v>View</v>
      </c>
      <c r="P298" s="11"/>
    </row>
    <row r="299" spans="1:16" ht="12.75" x14ac:dyDescent="0.35">
      <c r="A299" s="7">
        <v>42475.487430555557</v>
      </c>
      <c r="B299" s="8" t="str">
        <f>HYPERLINK("https://twitter.com/AKTIVWirtschaft","@AKTIVWirtschaft")</f>
        <v>@AKTIVWirtschaft</v>
      </c>
      <c r="C299" s="9" t="s">
        <v>793</v>
      </c>
      <c r="D299" s="9" t="s">
        <v>794</v>
      </c>
      <c r="E299" s="10" t="str">
        <f>HYPERLINK("https://twitter.com/AKTIVWirtschaft/status/720857160771461121","720857160771461121")</f>
        <v>720857160771461121</v>
      </c>
      <c r="F299" s="11" t="s">
        <v>25</v>
      </c>
      <c r="G299" s="11">
        <v>409</v>
      </c>
      <c r="H299" s="11">
        <v>115</v>
      </c>
      <c r="I299" s="11">
        <v>1</v>
      </c>
      <c r="J299" s="11">
        <v>0</v>
      </c>
      <c r="K299" s="11" t="s">
        <v>21</v>
      </c>
      <c r="L299" s="7">
        <v>42031.539224537039</v>
      </c>
      <c r="M299" s="12"/>
      <c r="N299" s="12" t="s">
        <v>795</v>
      </c>
      <c r="O299" s="10" t="str">
        <f>HYPERLINK("https://pbs.twimg.com/profile_images/562224809635893251/EqGfRP_d_normal.png","View")</f>
        <v>View</v>
      </c>
      <c r="P299" s="11"/>
    </row>
    <row r="300" spans="1:16" ht="12.75" x14ac:dyDescent="0.35">
      <c r="A300" s="7">
        <v>42475.490104166667</v>
      </c>
      <c r="B300" s="8" t="str">
        <f>HYPERLINK("https://twitter.com/samuel_vuadens","@samuel_vuadens")</f>
        <v>@samuel_vuadens</v>
      </c>
      <c r="C300" s="9" t="s">
        <v>796</v>
      </c>
      <c r="D300" s="9" t="s">
        <v>797</v>
      </c>
      <c r="E300" s="10" t="str">
        <f>HYPERLINK("https://twitter.com/samuel_vuadens/status/720858129781489664","720858129781489664")</f>
        <v>720858129781489664</v>
      </c>
      <c r="F300" s="11" t="s">
        <v>39</v>
      </c>
      <c r="G300" s="11">
        <v>295</v>
      </c>
      <c r="H300" s="11">
        <v>433</v>
      </c>
      <c r="I300" s="11">
        <v>0</v>
      </c>
      <c r="J300" s="11">
        <v>0</v>
      </c>
      <c r="K300" s="11" t="s">
        <v>21</v>
      </c>
      <c r="L300" s="7">
        <v>40318.859363425923</v>
      </c>
      <c r="M300" s="12" t="s">
        <v>798</v>
      </c>
      <c r="N300" s="12" t="s">
        <v>799</v>
      </c>
      <c r="O300" s="10" t="str">
        <f>HYPERLINK("https://pbs.twimg.com/profile_images/645921258018725888/K6K3dJyf_normal.jpg","View")</f>
        <v>View</v>
      </c>
      <c r="P300" s="11"/>
    </row>
    <row r="301" spans="1:16" ht="12.75" x14ac:dyDescent="0.35">
      <c r="A301" s="7">
        <v>42475.49722222222</v>
      </c>
      <c r="B301" s="8" t="str">
        <f>HYPERLINK("https://twitter.com/TopsRP","@TopsRP")</f>
        <v>@TopsRP</v>
      </c>
      <c r="C301" s="9" t="s">
        <v>800</v>
      </c>
      <c r="D301" s="9" t="s">
        <v>693</v>
      </c>
      <c r="E301" s="10" t="str">
        <f>HYPERLINK("https://twitter.com/TopsRP/status/720860707080654849","720860707080654849")</f>
        <v>720860707080654849</v>
      </c>
      <c r="F301" s="11" t="s">
        <v>31</v>
      </c>
      <c r="G301" s="11">
        <v>45</v>
      </c>
      <c r="H301" s="11">
        <v>58</v>
      </c>
      <c r="I301" s="11">
        <v>4</v>
      </c>
      <c r="J301" s="11">
        <v>0</v>
      </c>
      <c r="K301" s="11" t="s">
        <v>21</v>
      </c>
      <c r="L301" s="7">
        <v>40710.647685185184</v>
      </c>
      <c r="M301" s="12" t="s">
        <v>801</v>
      </c>
      <c r="N301" s="12"/>
      <c r="O301" s="10" t="str">
        <f>HYPERLINK("https://pbs.twimg.com/profile_images/3240405961/d15add510d44741aba20fbeab0ea49d2_normal.jpeg","View")</f>
        <v>View</v>
      </c>
      <c r="P301" s="11"/>
    </row>
    <row r="302" spans="1:16" ht="12.75" x14ac:dyDescent="0.35">
      <c r="A302" s="7">
        <v>42475.501446759255</v>
      </c>
      <c r="B302" s="8" t="str">
        <f>HYPERLINK("https://twitter.com/EnergyPages","@EnergyPages")</f>
        <v>@EnergyPages</v>
      </c>
      <c r="C302" s="9" t="s">
        <v>543</v>
      </c>
      <c r="D302" s="9" t="s">
        <v>802</v>
      </c>
      <c r="E302" s="10" t="str">
        <f>HYPERLINK("https://twitter.com/EnergyPages/status/720862239058632704","720862239058632704")</f>
        <v>720862239058632704</v>
      </c>
      <c r="F302" s="11" t="s">
        <v>59</v>
      </c>
      <c r="G302" s="11">
        <v>2617</v>
      </c>
      <c r="H302" s="11">
        <v>2980</v>
      </c>
      <c r="I302" s="11">
        <v>1</v>
      </c>
      <c r="J302" s="11">
        <v>0</v>
      </c>
      <c r="K302" s="11" t="s">
        <v>21</v>
      </c>
      <c r="L302" s="7">
        <v>42209.580092592594</v>
      </c>
      <c r="M302" s="12" t="s">
        <v>545</v>
      </c>
      <c r="N302" s="12" t="s">
        <v>546</v>
      </c>
      <c r="O302" s="10" t="str">
        <f>HYPERLINK("https://pbs.twimg.com/profile_images/624496248704270336/obg6_pOk_normal.png","View")</f>
        <v>View</v>
      </c>
      <c r="P302" s="11"/>
    </row>
    <row r="303" spans="1:16" ht="12.75" x14ac:dyDescent="0.35">
      <c r="A303" s="7">
        <v>42475.501828703702</v>
      </c>
      <c r="B303" s="8" t="str">
        <f>HYPERLINK("https://twitter.com/nicolaikr","@nicolaikr")</f>
        <v>@nicolaikr</v>
      </c>
      <c r="C303" s="9" t="s">
        <v>761</v>
      </c>
      <c r="D303" s="9" t="s">
        <v>756</v>
      </c>
      <c r="E303" s="10" t="str">
        <f>HYPERLINK("https://twitter.com/nicolaikr/status/720862378263326720","720862378263326720")</f>
        <v>720862378263326720</v>
      </c>
      <c r="F303" s="11" t="s">
        <v>20</v>
      </c>
      <c r="G303" s="11">
        <v>583</v>
      </c>
      <c r="H303" s="11">
        <v>327</v>
      </c>
      <c r="I303" s="11">
        <v>6</v>
      </c>
      <c r="J303" s="11">
        <v>0</v>
      </c>
      <c r="K303" s="11" t="s">
        <v>21</v>
      </c>
      <c r="L303" s="7">
        <v>40015.864930555559</v>
      </c>
      <c r="M303" s="12" t="s">
        <v>762</v>
      </c>
      <c r="N303" s="12" t="s">
        <v>763</v>
      </c>
      <c r="O303" s="10" t="str">
        <f>HYPERLINK("https://pbs.twimg.com/profile_images/709356351768686592/BWnChYSq_normal.jpg","View")</f>
        <v>View</v>
      </c>
      <c r="P303" s="11"/>
    </row>
    <row r="304" spans="1:16" ht="12.75" x14ac:dyDescent="0.35">
      <c r="A304" s="7">
        <v>42475.506979166668</v>
      </c>
      <c r="B304" s="8" t="str">
        <f>HYPERLINK("https://twitter.com/kommoptimierer","@kommoptimierer")</f>
        <v>@kommoptimierer</v>
      </c>
      <c r="C304" s="9" t="s">
        <v>270</v>
      </c>
      <c r="D304" s="9" t="s">
        <v>803</v>
      </c>
      <c r="E304" s="10" t="str">
        <f>HYPERLINK("https://twitter.com/kommoptimierer/status/720864244690857986","720864244690857986")</f>
        <v>720864244690857986</v>
      </c>
      <c r="F304" s="11" t="s">
        <v>272</v>
      </c>
      <c r="G304" s="11">
        <v>1347</v>
      </c>
      <c r="H304" s="11">
        <v>1753</v>
      </c>
      <c r="I304" s="11">
        <v>1</v>
      </c>
      <c r="J304" s="11">
        <v>0</v>
      </c>
      <c r="K304" s="11" t="s">
        <v>21</v>
      </c>
      <c r="L304" s="7">
        <v>39986.860358796301</v>
      </c>
      <c r="M304" s="12" t="s">
        <v>273</v>
      </c>
      <c r="N304" s="12" t="s">
        <v>274</v>
      </c>
      <c r="O304" s="10" t="str">
        <f>HYPERLINK("https://pbs.twimg.com/profile_images/541146126158536704/IYardufS_normal.jpeg","View")</f>
        <v>View</v>
      </c>
      <c r="P304" s="11"/>
    </row>
    <row r="305" spans="1:16" ht="12.75" x14ac:dyDescent="0.35">
      <c r="A305" s="7">
        <v>42475.507743055554</v>
      </c>
      <c r="B305" s="8" t="str">
        <f>HYPERLINK("https://twitter.com/INDIZbot","@INDIZbot")</f>
        <v>@INDIZbot</v>
      </c>
      <c r="C305" s="9" t="s">
        <v>61</v>
      </c>
      <c r="D305" s="9" t="s">
        <v>804</v>
      </c>
      <c r="E305" s="10" t="str">
        <f>HYPERLINK("https://twitter.com/INDIZbot/status/720864522014031872","720864522014031872")</f>
        <v>720864522014031872</v>
      </c>
      <c r="F305" s="11" t="s">
        <v>62</v>
      </c>
      <c r="G305" s="11">
        <v>1762</v>
      </c>
      <c r="H305" s="11">
        <v>481</v>
      </c>
      <c r="I305" s="11">
        <v>1</v>
      </c>
      <c r="J305" s="11">
        <v>0</v>
      </c>
      <c r="K305" s="11" t="s">
        <v>21</v>
      </c>
      <c r="L305" s="7">
        <v>42267.011921296296</v>
      </c>
      <c r="M305" s="12"/>
      <c r="N305" s="12" t="s">
        <v>63</v>
      </c>
      <c r="O305" s="10" t="str">
        <f>HYPERLINK("https://pbs.twimg.com/profile_images/645716711723925506/t5G0qOS6_normal.jpg","View")</f>
        <v>View</v>
      </c>
      <c r="P305" s="11"/>
    </row>
    <row r="306" spans="1:16" ht="12.75" x14ac:dyDescent="0.35">
      <c r="A306" s="7">
        <v>42475.510428240741</v>
      </c>
      <c r="B306" s="8" t="str">
        <f>HYPERLINK("https://twitter.com/LWalendy","@LWalendy")</f>
        <v>@LWalendy</v>
      </c>
      <c r="C306" s="9" t="s">
        <v>805</v>
      </c>
      <c r="D306" s="9" t="s">
        <v>806</v>
      </c>
      <c r="E306" s="10" t="str">
        <f>HYPERLINK("https://twitter.com/LWalendy/status/720865494945767428","720865494945767428")</f>
        <v>720865494945767428</v>
      </c>
      <c r="F306" s="11" t="s">
        <v>25</v>
      </c>
      <c r="G306" s="11">
        <v>412</v>
      </c>
      <c r="H306" s="11">
        <v>588</v>
      </c>
      <c r="I306" s="11">
        <v>1</v>
      </c>
      <c r="J306" s="11">
        <v>1</v>
      </c>
      <c r="K306" s="11" t="s">
        <v>21</v>
      </c>
      <c r="L306" s="7">
        <v>42156.821215277778</v>
      </c>
      <c r="M306" s="12"/>
      <c r="N306" s="12" t="s">
        <v>807</v>
      </c>
      <c r="O306" s="10" t="str">
        <f>HYPERLINK("https://pbs.twimg.com/profile_images/606758558391246848/OeI4jq0j_normal.jpg","View")</f>
        <v>View</v>
      </c>
      <c r="P306" s="11"/>
    </row>
    <row r="307" spans="1:16" ht="12.75" x14ac:dyDescent="0.35">
      <c r="A307" s="7">
        <v>42475.513124999998</v>
      </c>
      <c r="B307" s="8" t="str">
        <f>HYPERLINK("https://twitter.com/bengolder","@bengolder")</f>
        <v>@bengolder</v>
      </c>
      <c r="C307" s="9" t="s">
        <v>614</v>
      </c>
      <c r="D307" s="9" t="s">
        <v>808</v>
      </c>
      <c r="E307" s="10" t="str">
        <f>HYPERLINK("https://twitter.com/bengolder/status/720866470117269506","720866470117269506")</f>
        <v>720866470117269506</v>
      </c>
      <c r="F307" s="11" t="s">
        <v>31</v>
      </c>
      <c r="G307" s="11">
        <v>590</v>
      </c>
      <c r="H307" s="11">
        <v>1539</v>
      </c>
      <c r="I307" s="11">
        <v>2</v>
      </c>
      <c r="J307" s="11">
        <v>2</v>
      </c>
      <c r="K307" s="11" t="s">
        <v>21</v>
      </c>
      <c r="L307" s="7">
        <v>40882.226898148147</v>
      </c>
      <c r="M307" s="12"/>
      <c r="N307" s="12" t="s">
        <v>616</v>
      </c>
      <c r="O307" s="10" t="str">
        <f>HYPERLINK("https://pbs.twimg.com/profile_images/719524881973571584/Qe9-Bm8r_normal.jpg","View")</f>
        <v>View</v>
      </c>
      <c r="P307" s="11"/>
    </row>
    <row r="308" spans="1:16" ht="12.75" x14ac:dyDescent="0.35">
      <c r="A308" s="7">
        <v>42475.514722222222</v>
      </c>
      <c r="B308" s="8" t="str">
        <f>HYPERLINK("https://twitter.com/ThorstenRamus","@ThorstenRamus")</f>
        <v>@ThorstenRamus</v>
      </c>
      <c r="C308" s="9" t="s">
        <v>809</v>
      </c>
      <c r="D308" s="9" t="s">
        <v>756</v>
      </c>
      <c r="E308" s="10" t="str">
        <f>HYPERLINK("https://twitter.com/ThorstenRamus/status/720867050378268672","720867050378268672")</f>
        <v>720867050378268672</v>
      </c>
      <c r="F308" s="11" t="s">
        <v>20</v>
      </c>
      <c r="G308" s="11">
        <v>869</v>
      </c>
      <c r="H308" s="11">
        <v>632</v>
      </c>
      <c r="I308" s="11">
        <v>6</v>
      </c>
      <c r="J308" s="11">
        <v>0</v>
      </c>
      <c r="K308" s="11" t="s">
        <v>21</v>
      </c>
      <c r="L308" s="7">
        <v>41323.90556712963</v>
      </c>
      <c r="M308" s="12" t="s">
        <v>810</v>
      </c>
      <c r="N308" s="12" t="s">
        <v>811</v>
      </c>
      <c r="O308" s="10" t="str">
        <f>HYPERLINK("https://pbs.twimg.com/profile_images/649160019590684676/25rXh6pN_normal.jpg","View")</f>
        <v>View</v>
      </c>
      <c r="P308" s="11"/>
    </row>
    <row r="309" spans="1:16" ht="12.75" x14ac:dyDescent="0.35">
      <c r="A309" s="7">
        <v>42475.515868055554</v>
      </c>
      <c r="B309" s="8" t="str">
        <f>HYPERLINK("https://twitter.com/MichaelleSalmon","@MichaelleSalmon")</f>
        <v>@MichaelleSalmon</v>
      </c>
      <c r="C309" s="9" t="s">
        <v>608</v>
      </c>
      <c r="D309" s="9" t="s">
        <v>812</v>
      </c>
      <c r="E309" s="10" t="str">
        <f>HYPERLINK("https://twitter.com/MichaelleSalmon/status/720867466264444928","720867466264444928")</f>
        <v>720867466264444928</v>
      </c>
      <c r="F309" s="11" t="s">
        <v>31</v>
      </c>
      <c r="G309" s="11">
        <v>69</v>
      </c>
      <c r="H309" s="11">
        <v>177</v>
      </c>
      <c r="I309" s="11">
        <v>0</v>
      </c>
      <c r="J309" s="11">
        <v>0</v>
      </c>
      <c r="K309" s="11" t="s">
        <v>21</v>
      </c>
      <c r="L309" s="7">
        <v>42047.562824074077</v>
      </c>
      <c r="M309" s="12" t="s">
        <v>45</v>
      </c>
      <c r="N309" s="12" t="s">
        <v>610</v>
      </c>
      <c r="O309" s="10" t="str">
        <f>HYPERLINK("https://pbs.twimg.com/profile_images/565783312728215552/VwNqFg6U_normal.jpeg","View")</f>
        <v>View</v>
      </c>
      <c r="P309" s="11"/>
    </row>
    <row r="310" spans="1:16" ht="12.75" x14ac:dyDescent="0.35">
      <c r="A310" s="7">
        <v>42475.516909722224</v>
      </c>
      <c r="B310" s="8" t="str">
        <f>HYPERLINK("https://twitter.com/StipoNad","@StipoNad")</f>
        <v>@StipoNad</v>
      </c>
      <c r="C310" s="9" t="s">
        <v>125</v>
      </c>
      <c r="D310" s="9" t="s">
        <v>813</v>
      </c>
      <c r="E310" s="10" t="str">
        <f>HYPERLINK("https://twitter.com/StipoNad/status/720867841117782016","720867841117782016")</f>
        <v>720867841117782016</v>
      </c>
      <c r="F310" s="11" t="s">
        <v>25</v>
      </c>
      <c r="G310" s="11">
        <v>119</v>
      </c>
      <c r="H310" s="11">
        <v>152</v>
      </c>
      <c r="I310" s="11">
        <v>0</v>
      </c>
      <c r="J310" s="11">
        <v>0</v>
      </c>
      <c r="K310" s="11" t="s">
        <v>21</v>
      </c>
      <c r="L310" s="7">
        <v>41375.657060185185</v>
      </c>
      <c r="M310" s="12" t="s">
        <v>127</v>
      </c>
      <c r="N310" s="12" t="s">
        <v>128</v>
      </c>
      <c r="O310" s="10" t="str">
        <f>HYPERLINK("https://pbs.twimg.com/profile_images/656779070798172160/TNRHncFi_normal.jpg","View")</f>
        <v>View</v>
      </c>
      <c r="P310" s="11"/>
    </row>
    <row r="311" spans="1:16" ht="12.75" x14ac:dyDescent="0.35">
      <c r="A311" s="7">
        <v>42475.521099537036</v>
      </c>
      <c r="B311" s="8" t="str">
        <f>HYPERLINK("https://twitter.com/VDMAonline","@VDMAonline")</f>
        <v>@VDMAonline</v>
      </c>
      <c r="C311" s="9" t="s">
        <v>191</v>
      </c>
      <c r="D311" s="9" t="s">
        <v>814</v>
      </c>
      <c r="E311" s="10" t="str">
        <f>HYPERLINK("https://twitter.com/VDMAonline/status/720869360458305536","720869360458305536")</f>
        <v>720869360458305536</v>
      </c>
      <c r="F311" s="11" t="s">
        <v>115</v>
      </c>
      <c r="G311" s="11">
        <v>6793</v>
      </c>
      <c r="H311" s="11">
        <v>4</v>
      </c>
      <c r="I311" s="11">
        <v>9</v>
      </c>
      <c r="J311" s="11">
        <v>2</v>
      </c>
      <c r="K311" s="11" t="s">
        <v>21</v>
      </c>
      <c r="L311" s="7">
        <v>39932.616342592592</v>
      </c>
      <c r="M311" s="12" t="s">
        <v>49</v>
      </c>
      <c r="N311" s="12" t="s">
        <v>193</v>
      </c>
      <c r="O311" s="10" t="str">
        <f>HYPERLINK("https://pbs.twimg.com/profile_images/609375510158774272/P5glOk4b_normal.jpg","View")</f>
        <v>View</v>
      </c>
      <c r="P311" s="11"/>
    </row>
    <row r="312" spans="1:16" ht="12.75" x14ac:dyDescent="0.35">
      <c r="A312" s="7">
        <v>42475.521192129629</v>
      </c>
      <c r="B312" s="8" t="str">
        <f>HYPERLINK("https://twitter.com/akrv1","@akrv1")</f>
        <v>@akrv1</v>
      </c>
      <c r="C312" s="9" t="s">
        <v>815</v>
      </c>
      <c r="D312" s="9" t="s">
        <v>816</v>
      </c>
      <c r="E312" s="10" t="str">
        <f>HYPERLINK("https://twitter.com/akrv1/status/720869393433952259","720869393433952259")</f>
        <v>720869393433952259</v>
      </c>
      <c r="F312" s="11" t="s">
        <v>25</v>
      </c>
      <c r="G312" s="11">
        <v>333</v>
      </c>
      <c r="H312" s="11">
        <v>144</v>
      </c>
      <c r="I312" s="11">
        <v>1</v>
      </c>
      <c r="J312" s="11">
        <v>0</v>
      </c>
      <c r="K312" s="11" t="s">
        <v>21</v>
      </c>
      <c r="L312" s="7">
        <v>40321.843657407408</v>
      </c>
      <c r="M312" s="12" t="s">
        <v>759</v>
      </c>
      <c r="N312" s="12" t="s">
        <v>817</v>
      </c>
      <c r="O312" s="10" t="str">
        <f>HYPERLINK("https://pbs.twimg.com/profile_images/550881746330218496/d6oxhtaL_normal.jpeg","View")</f>
        <v>View</v>
      </c>
      <c r="P312" s="11"/>
    </row>
    <row r="313" spans="1:16" ht="12.75" x14ac:dyDescent="0.35">
      <c r="A313" s="7">
        <v>42475.523472222223</v>
      </c>
      <c r="B313" s="8" t="str">
        <f>HYPERLINK("https://twitter.com/ZuliefermarktDE","@ZuliefermarktDE")</f>
        <v>@ZuliefermarktDE</v>
      </c>
      <c r="C313" s="9" t="s">
        <v>818</v>
      </c>
      <c r="D313" s="9" t="s">
        <v>819</v>
      </c>
      <c r="E313" s="10" t="str">
        <f>HYPERLINK("https://twitter.com/ZuliefermarktDE/status/720870222584893440","720870222584893440")</f>
        <v>720870222584893440</v>
      </c>
      <c r="F313" s="11" t="s">
        <v>115</v>
      </c>
      <c r="G313" s="11">
        <v>671</v>
      </c>
      <c r="H313" s="11">
        <v>1259</v>
      </c>
      <c r="I313" s="11">
        <v>9</v>
      </c>
      <c r="J313" s="11">
        <v>0</v>
      </c>
      <c r="K313" s="11" t="s">
        <v>21</v>
      </c>
      <c r="L313" s="7">
        <v>42186.652627314819</v>
      </c>
      <c r="M313" s="12" t="s">
        <v>440</v>
      </c>
      <c r="N313" s="12" t="s">
        <v>820</v>
      </c>
      <c r="O313" s="10" t="str">
        <f>HYPERLINK("https://pbs.twimg.com/profile_images/621343128902107136/CU4aO3wi_normal.jpg","View")</f>
        <v>View</v>
      </c>
      <c r="P313" s="11"/>
    </row>
    <row r="314" spans="1:16" ht="12.75" x14ac:dyDescent="0.35">
      <c r="A314" s="7">
        <v>42475.524421296301</v>
      </c>
      <c r="B314" s="8" t="str">
        <f>HYPERLINK("https://twitter.com/cnavi","@cnavi")</f>
        <v>@cnavi</v>
      </c>
      <c r="C314" s="9" t="s">
        <v>821</v>
      </c>
      <c r="D314" s="9" t="s">
        <v>822</v>
      </c>
      <c r="E314" s="10" t="str">
        <f>HYPERLINK("https://twitter.com/cnavi/status/720870564391309312","720870564391309312")</f>
        <v>720870564391309312</v>
      </c>
      <c r="F314" s="11" t="s">
        <v>39</v>
      </c>
      <c r="G314" s="11">
        <v>2583</v>
      </c>
      <c r="H314" s="11">
        <v>2085</v>
      </c>
      <c r="I314" s="11">
        <v>3</v>
      </c>
      <c r="J314" s="11">
        <v>1</v>
      </c>
      <c r="K314" s="11" t="s">
        <v>21</v>
      </c>
      <c r="L314" s="7">
        <v>39969.616747685184</v>
      </c>
      <c r="M314" s="12" t="s">
        <v>823</v>
      </c>
      <c r="N314" s="12" t="s">
        <v>824</v>
      </c>
      <c r="O314" s="10" t="str">
        <f>HYPERLINK("https://pbs.twimg.com/profile_images/702785921767182336/QzXgMAtq_normal.jpg","View")</f>
        <v>View</v>
      </c>
      <c r="P314" s="11"/>
    </row>
    <row r="315" spans="1:16" ht="12.75" x14ac:dyDescent="0.35">
      <c r="A315" s="7">
        <v>42475.526076388887</v>
      </c>
      <c r="B315" s="8" t="str">
        <f>HYPERLINK("https://twitter.com/retotrinkler","@retotrinkler")</f>
        <v>@retotrinkler</v>
      </c>
      <c r="C315" s="9" t="s">
        <v>825</v>
      </c>
      <c r="D315" s="9" t="s">
        <v>826</v>
      </c>
      <c r="E315" s="10" t="str">
        <f>HYPERLINK("https://twitter.com/retotrinkler/status/720871166517256192","720871166517256192")</f>
        <v>720871166517256192</v>
      </c>
      <c r="F315" s="11" t="s">
        <v>25</v>
      </c>
      <c r="G315" s="11">
        <v>140</v>
      </c>
      <c r="H315" s="11">
        <v>187</v>
      </c>
      <c r="I315" s="11">
        <v>3</v>
      </c>
      <c r="J315" s="11">
        <v>0</v>
      </c>
      <c r="K315" s="11" t="s">
        <v>21</v>
      </c>
      <c r="L315" s="7">
        <v>40977.591793981483</v>
      </c>
      <c r="M315" s="12" t="s">
        <v>478</v>
      </c>
      <c r="N315" s="12" t="s">
        <v>827</v>
      </c>
      <c r="O315" s="10" t="str">
        <f>HYPERLINK("https://pbs.twimg.com/profile_images/706054603394183168/AQEIODuv_normal.jpg","View")</f>
        <v>View</v>
      </c>
      <c r="P315" s="11"/>
    </row>
    <row r="316" spans="1:16" ht="12.75" x14ac:dyDescent="0.35">
      <c r="A316" s="7">
        <v>42475.529224537036</v>
      </c>
      <c r="B316" s="8" t="str">
        <f>HYPERLINK("https://twitter.com/INDIZbot","@INDIZbot")</f>
        <v>@INDIZbot</v>
      </c>
      <c r="C316" s="9" t="s">
        <v>61</v>
      </c>
      <c r="D316" s="9" t="s">
        <v>826</v>
      </c>
      <c r="E316" s="10" t="str">
        <f>HYPERLINK("https://twitter.com/INDIZbot/status/720872305459499008","720872305459499008")</f>
        <v>720872305459499008</v>
      </c>
      <c r="F316" s="11" t="s">
        <v>62</v>
      </c>
      <c r="G316" s="11">
        <v>1762</v>
      </c>
      <c r="H316" s="11">
        <v>481</v>
      </c>
      <c r="I316" s="11">
        <v>3</v>
      </c>
      <c r="J316" s="11">
        <v>0</v>
      </c>
      <c r="K316" s="11" t="s">
        <v>21</v>
      </c>
      <c r="L316" s="7">
        <v>42267.011921296296</v>
      </c>
      <c r="M316" s="12"/>
      <c r="N316" s="12" t="s">
        <v>63</v>
      </c>
      <c r="O316" s="10" t="str">
        <f>HYPERLINK("https://pbs.twimg.com/profile_images/645716711723925506/t5G0qOS6_normal.jpg","View")</f>
        <v>View</v>
      </c>
      <c r="P316" s="11"/>
    </row>
    <row r="317" spans="1:16" ht="12.75" x14ac:dyDescent="0.35">
      <c r="A317" s="7">
        <v>42475.529351851852</v>
      </c>
      <c r="B317" s="8" t="str">
        <f>HYPERLINK("https://twitter.com/digimaweb","@digimaweb")</f>
        <v>@digimaweb</v>
      </c>
      <c r="C317" s="9" t="s">
        <v>828</v>
      </c>
      <c r="D317" s="9" t="s">
        <v>826</v>
      </c>
      <c r="E317" s="10" t="str">
        <f>HYPERLINK("https://twitter.com/digimaweb/status/720872353354227712","720872353354227712")</f>
        <v>720872353354227712</v>
      </c>
      <c r="F317" s="11" t="s">
        <v>829</v>
      </c>
      <c r="G317" s="11">
        <v>849</v>
      </c>
      <c r="H317" s="11">
        <v>412</v>
      </c>
      <c r="I317" s="11">
        <v>3</v>
      </c>
      <c r="J317" s="11">
        <v>0</v>
      </c>
      <c r="K317" s="11" t="s">
        <v>21</v>
      </c>
      <c r="L317" s="7">
        <v>40621.915868055556</v>
      </c>
      <c r="M317" s="12"/>
      <c r="N317" s="12" t="s">
        <v>830</v>
      </c>
      <c r="O317" s="10" t="str">
        <f>HYPERLINK("https://pbs.twimg.com/profile_images/378800000820155178/6664d84a949d3e421809fd63b22fdc6f_normal.jpeg","View")</f>
        <v>View</v>
      </c>
      <c r="P317" s="11"/>
    </row>
    <row r="318" spans="1:16" ht="12.75" x14ac:dyDescent="0.35">
      <c r="A318" s="7">
        <v>42475.529652777783</v>
      </c>
      <c r="B318" s="8" t="str">
        <f>HYPERLINK("https://twitter.com/EnergyDemand","@EnergyDemand")</f>
        <v>@EnergyDemand</v>
      </c>
      <c r="C318" s="9" t="s">
        <v>831</v>
      </c>
      <c r="D318" s="9" t="s">
        <v>832</v>
      </c>
      <c r="E318" s="10" t="str">
        <f>HYPERLINK("https://twitter.com/EnergyDemand/status/720872459646291968","720872459646291968")</f>
        <v>720872459646291968</v>
      </c>
      <c r="F318" s="11" t="s">
        <v>25</v>
      </c>
      <c r="G318" s="11">
        <v>4514</v>
      </c>
      <c r="H318" s="11">
        <v>3034</v>
      </c>
      <c r="I318" s="11">
        <v>1</v>
      </c>
      <c r="J318" s="11">
        <v>0</v>
      </c>
      <c r="K318" s="11" t="s">
        <v>21</v>
      </c>
      <c r="L318" s="7">
        <v>41031.471238425926</v>
      </c>
      <c r="M318" s="12" t="s">
        <v>214</v>
      </c>
      <c r="N318" s="12" t="s">
        <v>833</v>
      </c>
      <c r="O318" s="10" t="str">
        <f>HYPERLINK("https://pbs.twimg.com/profile_images/2183737733/Unknown-3_normal.png","View")</f>
        <v>View</v>
      </c>
      <c r="P318" s="11"/>
    </row>
    <row r="319" spans="1:16" ht="12.75" x14ac:dyDescent="0.35">
      <c r="A319" s="7">
        <v>42475.533668981487</v>
      </c>
      <c r="B319" s="8" t="str">
        <f>HYPERLINK("https://twitter.com/JuLoewe","@JuLoewe")</f>
        <v>@JuLoewe</v>
      </c>
      <c r="C319" s="9" t="s">
        <v>834</v>
      </c>
      <c r="D319" s="9" t="s">
        <v>755</v>
      </c>
      <c r="E319" s="10" t="str">
        <f>HYPERLINK("https://twitter.com/JuLoewe/status/720873916575526912","720873916575526912")</f>
        <v>720873916575526912</v>
      </c>
      <c r="F319" s="11" t="s">
        <v>31</v>
      </c>
      <c r="G319" s="11">
        <v>185</v>
      </c>
      <c r="H319" s="11">
        <v>319</v>
      </c>
      <c r="I319" s="11">
        <v>9</v>
      </c>
      <c r="J319" s="11">
        <v>0</v>
      </c>
      <c r="K319" s="11" t="s">
        <v>21</v>
      </c>
      <c r="L319" s="7">
        <v>41430.11246527778</v>
      </c>
      <c r="M319" s="12"/>
      <c r="N319" s="13" t="s">
        <v>835</v>
      </c>
      <c r="O319" s="10" t="str">
        <f>HYPERLINK("https://pbs.twimg.com/profile_images/609682170458804225/WAAXyFob_normal.jpg","View")</f>
        <v>View</v>
      </c>
      <c r="P319" s="11"/>
    </row>
    <row r="320" spans="1:16" ht="12.75" x14ac:dyDescent="0.35">
      <c r="A320" s="7">
        <v>42475.534363425926</v>
      </c>
      <c r="B320" s="8" t="str">
        <f>HYPERLINK("https://twitter.com/LightingnLife","@LightingnLife")</f>
        <v>@LightingnLife</v>
      </c>
      <c r="C320" s="9" t="s">
        <v>836</v>
      </c>
      <c r="D320" s="9" t="s">
        <v>837</v>
      </c>
      <c r="E320" s="10" t="str">
        <f>HYPERLINK("https://twitter.com/LightingnLife/status/720874168065986561","720874168065986561")</f>
        <v>720874168065986561</v>
      </c>
      <c r="F320" s="11" t="s">
        <v>29</v>
      </c>
      <c r="G320" s="11">
        <v>484</v>
      </c>
      <c r="H320" s="11">
        <v>435</v>
      </c>
      <c r="I320" s="11">
        <v>1</v>
      </c>
      <c r="J320" s="11">
        <v>1</v>
      </c>
      <c r="K320" s="11" t="s">
        <v>21</v>
      </c>
      <c r="L320" s="7">
        <v>40814.518460648149</v>
      </c>
      <c r="M320" s="12" t="s">
        <v>838</v>
      </c>
      <c r="N320" s="12" t="s">
        <v>839</v>
      </c>
      <c r="O320" s="10" t="str">
        <f>HYPERLINK("https://pbs.twimg.com/profile_images/693010392457613312/Rc-X9TLT_normal.jpg","View")</f>
        <v>View</v>
      </c>
      <c r="P320" s="11"/>
    </row>
    <row r="321" spans="1:16" ht="12.75" x14ac:dyDescent="0.35">
      <c r="A321" s="7">
        <v>42475.537453703699</v>
      </c>
      <c r="B321" s="8" t="str">
        <f>HYPERLINK("https://twitter.com/SvenMul","@SvenMul")</f>
        <v>@SvenMul</v>
      </c>
      <c r="C321" s="9" t="s">
        <v>840</v>
      </c>
      <c r="D321" s="9" t="s">
        <v>755</v>
      </c>
      <c r="E321" s="10" t="str">
        <f>HYPERLINK("https://twitter.com/SvenMul/status/720875289497047040","720875289497047040")</f>
        <v>720875289497047040</v>
      </c>
      <c r="F321" s="11" t="s">
        <v>39</v>
      </c>
      <c r="G321" s="11">
        <v>398</v>
      </c>
      <c r="H321" s="11">
        <v>490</v>
      </c>
      <c r="I321" s="11">
        <v>9</v>
      </c>
      <c r="J321" s="11">
        <v>0</v>
      </c>
      <c r="K321" s="11" t="s">
        <v>21</v>
      </c>
      <c r="L321" s="7">
        <v>42181.658159722225</v>
      </c>
      <c r="M321" s="12" t="s">
        <v>841</v>
      </c>
      <c r="N321" s="12" t="s">
        <v>842</v>
      </c>
      <c r="O321" s="10" t="str">
        <f>HYPERLINK("https://pbs.twimg.com/profile_images/614378514989629440/hsR4Wlja_normal.jpg","View")</f>
        <v>View</v>
      </c>
      <c r="P321" s="11"/>
    </row>
    <row r="322" spans="1:16" ht="12.75" x14ac:dyDescent="0.35">
      <c r="A322" s="7">
        <v>42475.537858796291</v>
      </c>
      <c r="B322" s="8" t="str">
        <f>HYPERLINK("https://twitter.com/FlashTweet","@FlashTweet")</f>
        <v>@FlashTweet</v>
      </c>
      <c r="C322" s="9" t="s">
        <v>633</v>
      </c>
      <c r="D322" s="9" t="s">
        <v>843</v>
      </c>
      <c r="E322" s="10" t="str">
        <f>HYPERLINK("https://twitter.com/FlashTweet/status/720875435798573056","720875435798573056")</f>
        <v>720875435798573056</v>
      </c>
      <c r="F322" s="11" t="s">
        <v>31</v>
      </c>
      <c r="G322" s="11">
        <v>17047</v>
      </c>
      <c r="H322" s="11">
        <v>2919</v>
      </c>
      <c r="I322" s="11">
        <v>1</v>
      </c>
      <c r="J322" s="11">
        <v>0</v>
      </c>
      <c r="K322" s="11" t="s">
        <v>21</v>
      </c>
      <c r="L322" s="7">
        <v>40226.81925925926</v>
      </c>
      <c r="M322" s="12" t="s">
        <v>635</v>
      </c>
      <c r="N322" s="12" t="s">
        <v>636</v>
      </c>
      <c r="O322" s="10" t="str">
        <f>HYPERLINK("https://pbs.twimg.com/profile_images/708264103798824960/BACwIYDp_normal.jpg","View")</f>
        <v>View</v>
      </c>
      <c r="P322" s="11"/>
    </row>
    <row r="323" spans="1:16" ht="12.75" x14ac:dyDescent="0.35">
      <c r="A323" s="7">
        <v>42475.542083333334</v>
      </c>
      <c r="B323" s="8" t="str">
        <f>HYPERLINK("https://twitter.com/VDI_Tagungen","@VDI_Tagungen")</f>
        <v>@VDI_Tagungen</v>
      </c>
      <c r="C323" s="9" t="s">
        <v>844</v>
      </c>
      <c r="D323" s="9" t="s">
        <v>845</v>
      </c>
      <c r="E323" s="10" t="str">
        <f>HYPERLINK("https://twitter.com/VDI_Tagungen/status/720876965255753728","720876965255753728")</f>
        <v>720876965255753728</v>
      </c>
      <c r="F323" s="11" t="s">
        <v>39</v>
      </c>
      <c r="G323" s="11">
        <v>2707</v>
      </c>
      <c r="H323" s="11">
        <v>353</v>
      </c>
      <c r="I323" s="11">
        <v>3</v>
      </c>
      <c r="J323" s="11">
        <v>0</v>
      </c>
      <c r="K323" s="11" t="s">
        <v>21</v>
      </c>
      <c r="L323" s="7">
        <v>39961.865023148144</v>
      </c>
      <c r="M323" s="12" t="s">
        <v>846</v>
      </c>
      <c r="N323" s="12" t="s">
        <v>847</v>
      </c>
      <c r="O323" s="10" t="str">
        <f>HYPERLINK("https://pbs.twimg.com/profile_images/236201556/Logo_PPB_RGB_normal.jpg","View")</f>
        <v>View</v>
      </c>
      <c r="P323" s="11"/>
    </row>
    <row r="324" spans="1:16" ht="12.75" x14ac:dyDescent="0.35">
      <c r="A324" s="7">
        <v>42475.542465277773</v>
      </c>
      <c r="B324" s="8" t="str">
        <f>HYPERLINK("https://twitter.com/INDIZbot","@INDIZbot")</f>
        <v>@INDIZbot</v>
      </c>
      <c r="C324" s="9" t="s">
        <v>61</v>
      </c>
      <c r="D324" s="9" t="s">
        <v>848</v>
      </c>
      <c r="E324" s="10" t="str">
        <f>HYPERLINK("https://twitter.com/INDIZbot/status/720877102866628608","720877102866628608")</f>
        <v>720877102866628608</v>
      </c>
      <c r="F324" s="11" t="s">
        <v>62</v>
      </c>
      <c r="G324" s="11">
        <v>1762</v>
      </c>
      <c r="H324" s="11">
        <v>481</v>
      </c>
      <c r="I324" s="11">
        <v>3</v>
      </c>
      <c r="J324" s="11">
        <v>0</v>
      </c>
      <c r="K324" s="11" t="s">
        <v>21</v>
      </c>
      <c r="L324" s="7">
        <v>42267.011921296296</v>
      </c>
      <c r="M324" s="12"/>
      <c r="N324" s="12" t="s">
        <v>63</v>
      </c>
      <c r="O324" s="10" t="str">
        <f>HYPERLINK("https://pbs.twimg.com/profile_images/645716711723925506/t5G0qOS6_normal.jpg","View")</f>
        <v>View</v>
      </c>
      <c r="P324" s="11"/>
    </row>
    <row r="325" spans="1:16" ht="12.75" x14ac:dyDescent="0.35">
      <c r="A325" s="7">
        <v>42475.548020833332</v>
      </c>
      <c r="B325" s="8" t="str">
        <f>HYPERLINK("https://twitter.com/MarianKoeller","@MarianKoeller")</f>
        <v>@MarianKoeller</v>
      </c>
      <c r="C325" s="9" t="s">
        <v>849</v>
      </c>
      <c r="D325" s="9" t="s">
        <v>850</v>
      </c>
      <c r="E325" s="10" t="str">
        <f>HYPERLINK("https://twitter.com/MarianKoeller/status/720879118020005889","720879118020005889")</f>
        <v>720879118020005889</v>
      </c>
      <c r="F325" s="11" t="s">
        <v>25</v>
      </c>
      <c r="G325" s="11">
        <v>94</v>
      </c>
      <c r="H325" s="11">
        <v>115</v>
      </c>
      <c r="I325" s="11">
        <v>3</v>
      </c>
      <c r="J325" s="11">
        <v>1</v>
      </c>
      <c r="K325" s="11" t="s">
        <v>21</v>
      </c>
      <c r="L325" s="7">
        <v>42328.736504629633</v>
      </c>
      <c r="M325" s="12" t="s">
        <v>851</v>
      </c>
      <c r="N325" s="12" t="s">
        <v>852</v>
      </c>
      <c r="O325" s="10" t="str">
        <f>HYPERLINK("https://pbs.twimg.com/profile_images/701004613206433792/o4DJfA8-_normal.jpg","View")</f>
        <v>View</v>
      </c>
      <c r="P325" s="11"/>
    </row>
    <row r="326" spans="1:16" ht="12.75" x14ac:dyDescent="0.35">
      <c r="A326" s="7">
        <v>42475.548541666663</v>
      </c>
      <c r="B326" s="8" t="str">
        <f>HYPERLINK("https://twitter.com/PierreMetivier","@PierreMetivier")</f>
        <v>@PierreMetivier</v>
      </c>
      <c r="C326" s="9" t="s">
        <v>853</v>
      </c>
      <c r="D326" s="9" t="s">
        <v>854</v>
      </c>
      <c r="E326" s="10" t="str">
        <f>HYPERLINK("https://twitter.com/PierreMetivier/status/720879305044045827","720879305044045827")</f>
        <v>720879305044045827</v>
      </c>
      <c r="F326" s="11" t="s">
        <v>115</v>
      </c>
      <c r="G326" s="11">
        <v>5461</v>
      </c>
      <c r="H326" s="11">
        <v>2555</v>
      </c>
      <c r="I326" s="11">
        <v>2</v>
      </c>
      <c r="J326" s="11">
        <v>1</v>
      </c>
      <c r="K326" s="11" t="s">
        <v>21</v>
      </c>
      <c r="L326" s="7">
        <v>39175.787326388891</v>
      </c>
      <c r="M326" s="12" t="s">
        <v>855</v>
      </c>
      <c r="N326" s="12" t="s">
        <v>856</v>
      </c>
      <c r="O326" s="10" t="str">
        <f>HYPERLINK("https://pbs.twimg.com/profile_images/104510198/pierre_metivier_normal.jpg","View")</f>
        <v>View</v>
      </c>
      <c r="P326" s="11"/>
    </row>
    <row r="327" spans="1:16" ht="12.75" x14ac:dyDescent="0.35">
      <c r="A327" s="7">
        <v>42475.549409722225</v>
      </c>
      <c r="B327" s="8" t="str">
        <f>HYPERLINK("https://twitter.com/INDIZbot","@INDIZbot")</f>
        <v>@INDIZbot</v>
      </c>
      <c r="C327" s="9" t="s">
        <v>61</v>
      </c>
      <c r="D327" s="9" t="s">
        <v>857</v>
      </c>
      <c r="E327" s="10" t="str">
        <f>HYPERLINK("https://twitter.com/INDIZbot/status/720879619365142528","720879619365142528")</f>
        <v>720879619365142528</v>
      </c>
      <c r="F327" s="11" t="s">
        <v>62</v>
      </c>
      <c r="G327" s="11">
        <v>1762</v>
      </c>
      <c r="H327" s="11">
        <v>481</v>
      </c>
      <c r="I327" s="11">
        <v>3</v>
      </c>
      <c r="J327" s="11">
        <v>0</v>
      </c>
      <c r="K327" s="11" t="s">
        <v>21</v>
      </c>
      <c r="L327" s="7">
        <v>42267.011921296296</v>
      </c>
      <c r="M327" s="12"/>
      <c r="N327" s="12" t="s">
        <v>63</v>
      </c>
      <c r="O327" s="10" t="str">
        <f>HYPERLINK("https://pbs.twimg.com/profile_images/645716711723925506/t5G0qOS6_normal.jpg","View")</f>
        <v>View</v>
      </c>
      <c r="P327" s="11"/>
    </row>
    <row r="328" spans="1:16" ht="12.75" x14ac:dyDescent="0.35">
      <c r="A328" s="7">
        <v>42475.550115740742</v>
      </c>
      <c r="B328" s="8" t="str">
        <f>HYPERLINK("https://twitter.com/QBedos","@QBedos")</f>
        <v>@QBedos</v>
      </c>
      <c r="C328" s="9" t="s">
        <v>858</v>
      </c>
      <c r="D328" s="9" t="s">
        <v>188</v>
      </c>
      <c r="E328" s="10" t="str">
        <f>HYPERLINK("https://twitter.com/QBedos/status/720879874651521026","720879874651521026")</f>
        <v>720879874651521026</v>
      </c>
      <c r="F328" s="11" t="s">
        <v>84</v>
      </c>
      <c r="G328" s="11">
        <v>12</v>
      </c>
      <c r="H328" s="11">
        <v>32</v>
      </c>
      <c r="I328" s="11">
        <v>13</v>
      </c>
      <c r="J328" s="11">
        <v>0</v>
      </c>
      <c r="K328" s="11" t="s">
        <v>21</v>
      </c>
      <c r="L328" s="7">
        <v>42439.805983796294</v>
      </c>
      <c r="M328" s="12" t="s">
        <v>45</v>
      </c>
      <c r="N328" s="12" t="s">
        <v>859</v>
      </c>
      <c r="O328" s="10" t="str">
        <f>HYPERLINK("https://pbs.twimg.com/profile_images/707932715748876288/SDVwT7ct_normal.jpg","View")</f>
        <v>View</v>
      </c>
      <c r="P328" s="11"/>
    </row>
    <row r="329" spans="1:16" ht="12.75" x14ac:dyDescent="0.35">
      <c r="A329" s="7">
        <v>42475.551180555558</v>
      </c>
      <c r="B329" s="8" t="str">
        <f>HYPERLINK("https://twitter.com/rapifireio","@rapifireio")</f>
        <v>@rapifireio</v>
      </c>
      <c r="C329" s="9" t="s">
        <v>680</v>
      </c>
      <c r="D329" s="9" t="s">
        <v>860</v>
      </c>
      <c r="E329" s="10" t="str">
        <f>HYPERLINK("https://twitter.com/rapifireio/status/720880261265629184","720880261265629184")</f>
        <v>720880261265629184</v>
      </c>
      <c r="F329" s="11" t="s">
        <v>25</v>
      </c>
      <c r="G329" s="11">
        <v>1296</v>
      </c>
      <c r="H329" s="11">
        <v>1852</v>
      </c>
      <c r="I329" s="11">
        <v>0</v>
      </c>
      <c r="J329" s="11">
        <v>0</v>
      </c>
      <c r="K329" s="11" t="s">
        <v>21</v>
      </c>
      <c r="L329" s="7">
        <v>42353.632280092592</v>
      </c>
      <c r="M329" s="12" t="s">
        <v>682</v>
      </c>
      <c r="N329" s="12" t="s">
        <v>683</v>
      </c>
      <c r="O329" s="10" t="str">
        <f>HYPERLINK("https://pbs.twimg.com/profile_images/676700631248166912/ZVQvTezj_normal.png","View")</f>
        <v>View</v>
      </c>
      <c r="P329" s="11"/>
    </row>
    <row r="330" spans="1:16" ht="12.75" x14ac:dyDescent="0.35">
      <c r="A330" s="7">
        <v>42475.551886574074</v>
      </c>
      <c r="B330" s="8" t="str">
        <f>HYPERLINK("https://twitter.com/TheAuditCompany","@TheAuditCompany")</f>
        <v>@TheAuditCompany</v>
      </c>
      <c r="C330" s="9" t="s">
        <v>861</v>
      </c>
      <c r="D330" s="9" t="s">
        <v>862</v>
      </c>
      <c r="E330" s="10" t="str">
        <f>HYPERLINK("https://twitter.com/TheAuditCompany/status/720880517613096961","720880517613096961")</f>
        <v>720880517613096961</v>
      </c>
      <c r="F330" s="11" t="s">
        <v>25</v>
      </c>
      <c r="G330" s="11">
        <v>87</v>
      </c>
      <c r="H330" s="11">
        <v>70</v>
      </c>
      <c r="I330" s="11">
        <v>2</v>
      </c>
      <c r="J330" s="11">
        <v>0</v>
      </c>
      <c r="K330" s="11" t="s">
        <v>21</v>
      </c>
      <c r="L330" s="7">
        <v>42125.068576388891</v>
      </c>
      <c r="M330" s="12" t="s">
        <v>79</v>
      </c>
      <c r="N330" s="12" t="s">
        <v>863</v>
      </c>
      <c r="O330" s="10" t="str">
        <f>HYPERLINK("https://pbs.twimg.com/profile_images/633998643528368132/GDKsBAEc_normal.jpg","View")</f>
        <v>View</v>
      </c>
      <c r="P330" s="11"/>
    </row>
    <row r="331" spans="1:16" ht="12.75" x14ac:dyDescent="0.35">
      <c r="A331" s="7">
        <v>42475.552835648152</v>
      </c>
      <c r="B331" s="8" t="str">
        <f>HYPERLINK("https://twitter.com/catkinEU","@catkinEU")</f>
        <v>@catkinEU</v>
      </c>
      <c r="C331" s="9" t="s">
        <v>781</v>
      </c>
      <c r="D331" s="9" t="s">
        <v>864</v>
      </c>
      <c r="E331" s="10" t="str">
        <f>HYPERLINK("https://twitter.com/catkinEU/status/720880863773208576","720880863773208576")</f>
        <v>720880863773208576</v>
      </c>
      <c r="F331" s="11" t="s">
        <v>115</v>
      </c>
      <c r="G331" s="11">
        <v>403</v>
      </c>
      <c r="H331" s="11">
        <v>541</v>
      </c>
      <c r="I331" s="11">
        <v>2</v>
      </c>
      <c r="J331" s="11">
        <v>0</v>
      </c>
      <c r="K331" s="11" t="s">
        <v>21</v>
      </c>
      <c r="L331" s="7">
        <v>42153.955763888887</v>
      </c>
      <c r="M331" s="12"/>
      <c r="N331" s="12" t="s">
        <v>782</v>
      </c>
      <c r="O331" s="10" t="str">
        <f>HYPERLINK("https://pbs.twimg.com/profile_images/604338428227010560/6jzSa8us_normal.png","View")</f>
        <v>View</v>
      </c>
      <c r="P331" s="11"/>
    </row>
    <row r="332" spans="1:16" ht="12.75" x14ac:dyDescent="0.35">
      <c r="A332" s="7">
        <v>42475.553784722222</v>
      </c>
      <c r="B332" s="8" t="str">
        <f>HYPERLINK("https://twitter.com/docbroemer","@docbroemer")</f>
        <v>@docbroemer</v>
      </c>
      <c r="C332" s="9" t="s">
        <v>865</v>
      </c>
      <c r="D332" s="9" t="s">
        <v>857</v>
      </c>
      <c r="E332" s="10" t="str">
        <f>HYPERLINK("https://twitter.com/docbroemer/status/720881205030162433","720881205030162433")</f>
        <v>720881205030162433</v>
      </c>
      <c r="F332" s="11" t="s">
        <v>866</v>
      </c>
      <c r="G332" s="11">
        <v>38</v>
      </c>
      <c r="H332" s="11">
        <v>38</v>
      </c>
      <c r="I332" s="11">
        <v>3</v>
      </c>
      <c r="J332" s="11">
        <v>0</v>
      </c>
      <c r="K332" s="11" t="s">
        <v>21</v>
      </c>
      <c r="L332" s="7">
        <v>41598.900567129633</v>
      </c>
      <c r="M332" s="12"/>
      <c r="N332" s="12"/>
      <c r="O332" s="10" t="str">
        <f>HYPERLINK("https://pbs.twimg.com/profile_images/659313711710994432/MhoVyL8j_normal.jpg","View")</f>
        <v>View</v>
      </c>
      <c r="P332" s="11"/>
    </row>
    <row r="333" spans="1:16" ht="12.75" x14ac:dyDescent="0.35">
      <c r="A333" s="7">
        <v>42475.555891203709</v>
      </c>
      <c r="B333" s="8" t="str">
        <f>HYPERLINK("https://twitter.com/sbernhardt","@sbernhardt")</f>
        <v>@sbernhardt</v>
      </c>
      <c r="C333" s="9" t="s">
        <v>867</v>
      </c>
      <c r="D333" s="9" t="s">
        <v>755</v>
      </c>
      <c r="E333" s="10" t="str">
        <f>HYPERLINK("https://twitter.com/sbernhardt/status/720881970738126848","720881970738126848")</f>
        <v>720881970738126848</v>
      </c>
      <c r="F333" s="11" t="s">
        <v>31</v>
      </c>
      <c r="G333" s="11">
        <v>246</v>
      </c>
      <c r="H333" s="11">
        <v>106</v>
      </c>
      <c r="I333" s="11">
        <v>9</v>
      </c>
      <c r="J333" s="11">
        <v>0</v>
      </c>
      <c r="K333" s="11" t="s">
        <v>21</v>
      </c>
      <c r="L333" s="7">
        <v>39645.00717592593</v>
      </c>
      <c r="M333" s="12" t="s">
        <v>868</v>
      </c>
      <c r="N333" s="12" t="s">
        <v>869</v>
      </c>
      <c r="O333" s="10" t="str">
        <f>HYPERLINK("https://pbs.twimg.com/profile_images/378800000496249418/bed3c508afeaf218c198e79d2c465c39_normal.png","View")</f>
        <v>View</v>
      </c>
      <c r="P333" s="11"/>
    </row>
    <row r="334" spans="1:16" ht="12.75" x14ac:dyDescent="0.35">
      <c r="A334" s="7">
        <v>42475.557928240742</v>
      </c>
      <c r="B334" s="8" t="str">
        <f>HYPERLINK("https://twitter.com/YJ_Vesco","@YJ_Vesco")</f>
        <v>@YJ_Vesco</v>
      </c>
      <c r="C334" s="9" t="s">
        <v>870</v>
      </c>
      <c r="D334" s="9" t="s">
        <v>871</v>
      </c>
      <c r="E334" s="10" t="str">
        <f>HYPERLINK("https://twitter.com/YJ_Vesco/status/720882708067389441","720882708067389441")</f>
        <v>720882708067389441</v>
      </c>
      <c r="F334" s="11" t="s">
        <v>20</v>
      </c>
      <c r="G334" s="11">
        <v>2226</v>
      </c>
      <c r="H334" s="11">
        <v>2699</v>
      </c>
      <c r="I334" s="11">
        <v>2</v>
      </c>
      <c r="J334" s="11">
        <v>0</v>
      </c>
      <c r="K334" s="11" t="s">
        <v>21</v>
      </c>
      <c r="L334" s="7">
        <v>41408.802870370375</v>
      </c>
      <c r="M334" s="12" t="s">
        <v>243</v>
      </c>
      <c r="N334" s="12" t="s">
        <v>872</v>
      </c>
      <c r="O334" s="10" t="str">
        <f>HYPERLINK("https://pbs.twimg.com/profile_images/378800000106181928/1a04a42f111dbef8009dee7b7a2cbb25_normal.jpeg","View")</f>
        <v>View</v>
      </c>
      <c r="P334" s="11"/>
    </row>
    <row r="335" spans="1:16" ht="12.75" x14ac:dyDescent="0.35">
      <c r="A335" s="7">
        <v>42475.559074074074</v>
      </c>
      <c r="B335" s="8" t="str">
        <f>HYPERLINK("https://twitter.com/MEArbeitgeber","@MEArbeitgeber")</f>
        <v>@MEArbeitgeber</v>
      </c>
      <c r="C335" s="9" t="s">
        <v>873</v>
      </c>
      <c r="D335" s="9" t="s">
        <v>874</v>
      </c>
      <c r="E335" s="10" t="str">
        <f>HYPERLINK("https://twitter.com/MEArbeitgeber/status/720883123219607552","720883123219607552")</f>
        <v>720883123219607552</v>
      </c>
      <c r="F335" s="11" t="s">
        <v>39</v>
      </c>
      <c r="G335" s="11">
        <v>2496</v>
      </c>
      <c r="H335" s="11">
        <v>1025</v>
      </c>
      <c r="I335" s="11">
        <v>0</v>
      </c>
      <c r="J335" s="11">
        <v>0</v>
      </c>
      <c r="K335" s="11" t="s">
        <v>21</v>
      </c>
      <c r="L335" s="7">
        <v>39905.720543981479</v>
      </c>
      <c r="M335" s="12" t="s">
        <v>875</v>
      </c>
      <c r="N335" s="12" t="s">
        <v>876</v>
      </c>
      <c r="O335" s="10" t="str">
        <f>HYPERLINK("https://pbs.twimg.com/profile_images/572722352144666624/2G6VnJJx_normal.jpeg","View")</f>
        <v>View</v>
      </c>
      <c r="P335" s="11"/>
    </row>
    <row r="336" spans="1:16" ht="12.75" x14ac:dyDescent="0.35">
      <c r="A336" s="7">
        <v>42475.559085648143</v>
      </c>
      <c r="B336" s="8" t="str">
        <f>HYPERLINK("https://twitter.com/Gesamtmetall","@Gesamtmetall")</f>
        <v>@Gesamtmetall</v>
      </c>
      <c r="C336" s="9" t="s">
        <v>877</v>
      </c>
      <c r="D336" s="9" t="s">
        <v>878</v>
      </c>
      <c r="E336" s="10" t="str">
        <f>HYPERLINK("https://twitter.com/Gesamtmetall/status/720883126155673600","720883126155673600")</f>
        <v>720883126155673600</v>
      </c>
      <c r="F336" s="11" t="s">
        <v>39</v>
      </c>
      <c r="G336" s="11">
        <v>1457</v>
      </c>
      <c r="H336" s="11">
        <v>283</v>
      </c>
      <c r="I336" s="11">
        <v>0</v>
      </c>
      <c r="J336" s="11">
        <v>0</v>
      </c>
      <c r="K336" s="11" t="s">
        <v>21</v>
      </c>
      <c r="L336" s="7">
        <v>39946.496504629627</v>
      </c>
      <c r="M336" s="12" t="s">
        <v>218</v>
      </c>
      <c r="N336" s="12" t="s">
        <v>879</v>
      </c>
      <c r="O336" s="10" t="str">
        <f>HYPERLINK("https://pbs.twimg.com/profile_images/572721926804488192/AGAGHTgy_normal.jpeg","View")</f>
        <v>View</v>
      </c>
      <c r="P336" s="11"/>
    </row>
    <row r="337" spans="1:16" ht="12.75" x14ac:dyDescent="0.35">
      <c r="A337" s="7">
        <v>42475.56</v>
      </c>
      <c r="B337" s="8" t="str">
        <f>HYPERLINK("https://twitter.com/PolarionNews_de","@PolarionNews_de")</f>
        <v>@PolarionNews_de</v>
      </c>
      <c r="C337" s="9" t="s">
        <v>880</v>
      </c>
      <c r="D337" s="9" t="s">
        <v>819</v>
      </c>
      <c r="E337" s="10" t="str">
        <f>HYPERLINK("https://twitter.com/PolarionNews_de/status/720883459162382336","720883459162382336")</f>
        <v>720883459162382336</v>
      </c>
      <c r="F337" s="11" t="s">
        <v>25</v>
      </c>
      <c r="G337" s="11">
        <v>409</v>
      </c>
      <c r="H337" s="11">
        <v>400</v>
      </c>
      <c r="I337" s="11">
        <v>9</v>
      </c>
      <c r="J337" s="11">
        <v>0</v>
      </c>
      <c r="K337" s="11" t="s">
        <v>21</v>
      </c>
      <c r="L337" s="7">
        <v>42263.515694444446</v>
      </c>
      <c r="M337" s="12" t="s">
        <v>162</v>
      </c>
      <c r="N337" s="12" t="s">
        <v>881</v>
      </c>
      <c r="O337" s="10" t="str">
        <f>HYPERLINK("https://pbs.twimg.com/profile_images/644041606304256000/yOHTHLkX_normal.jpg","View")</f>
        <v>View</v>
      </c>
      <c r="P337" s="11"/>
    </row>
    <row r="338" spans="1:16" ht="12.75" x14ac:dyDescent="0.35">
      <c r="A338" s="7">
        <v>42475.56082175926</v>
      </c>
      <c r="B338" s="8" t="str">
        <f>HYPERLINK("https://twitter.com/markherten","@markherten")</f>
        <v>@markherten</v>
      </c>
      <c r="C338" s="9" t="s">
        <v>37</v>
      </c>
      <c r="D338" s="9" t="s">
        <v>848</v>
      </c>
      <c r="E338" s="10" t="str">
        <f>HYPERLINK("https://twitter.com/markherten/status/720883756374986752","720883756374986752")</f>
        <v>720883756374986752</v>
      </c>
      <c r="F338" s="11" t="s">
        <v>39</v>
      </c>
      <c r="G338" s="11">
        <v>96</v>
      </c>
      <c r="H338" s="11">
        <v>176</v>
      </c>
      <c r="I338" s="11">
        <v>3</v>
      </c>
      <c r="J338" s="11">
        <v>0</v>
      </c>
      <c r="K338" s="11" t="s">
        <v>21</v>
      </c>
      <c r="L338" s="7">
        <v>40249.947696759264</v>
      </c>
      <c r="M338" s="12" t="s">
        <v>40</v>
      </c>
      <c r="N338" s="12" t="s">
        <v>41</v>
      </c>
      <c r="O338" s="10" t="str">
        <f>HYPERLINK("https://pbs.twimg.com/profile_images/718175389890310145/GX8DLe_h_normal.jpg","View")</f>
        <v>View</v>
      </c>
      <c r="P338" s="11"/>
    </row>
    <row r="339" spans="1:16" ht="12.75" x14ac:dyDescent="0.35">
      <c r="A339" s="7">
        <v>42475.564236111109</v>
      </c>
      <c r="B339" s="8" t="str">
        <f>HYPERLINK("https://twitter.com/Lenze_Gruppe","@Lenze_Gruppe")</f>
        <v>@Lenze_Gruppe</v>
      </c>
      <c r="C339" s="9" t="s">
        <v>882</v>
      </c>
      <c r="D339" s="9" t="s">
        <v>883</v>
      </c>
      <c r="E339" s="10" t="str">
        <f>HYPERLINK("https://twitter.com/Lenze_Gruppe/status/720884993686249472","720884993686249472")</f>
        <v>720884993686249472</v>
      </c>
      <c r="F339" s="11" t="s">
        <v>25</v>
      </c>
      <c r="G339" s="11">
        <v>1054</v>
      </c>
      <c r="H339" s="11">
        <v>217</v>
      </c>
      <c r="I339" s="11">
        <v>0</v>
      </c>
      <c r="J339" s="11">
        <v>4</v>
      </c>
      <c r="K339" s="11" t="s">
        <v>21</v>
      </c>
      <c r="L339" s="7">
        <v>40659.643807870372</v>
      </c>
      <c r="M339" s="12" t="s">
        <v>884</v>
      </c>
      <c r="N339" s="12" t="s">
        <v>885</v>
      </c>
      <c r="O339" s="10" t="str">
        <f>HYPERLINK("https://pbs.twimg.com/profile_images/1655244498/Lenze_RGB_400x400px_normal.jpg","View")</f>
        <v>View</v>
      </c>
      <c r="P339" s="11"/>
    </row>
    <row r="340" spans="1:16" ht="12.75" x14ac:dyDescent="0.35">
      <c r="A340" s="7">
        <v>42475.564618055556</v>
      </c>
      <c r="B340" s="8" t="str">
        <f>HYPERLINK("https://twitter.com/sensorplustest","@sensorplustest")</f>
        <v>@sensorplustest</v>
      </c>
      <c r="C340" s="9" t="s">
        <v>886</v>
      </c>
      <c r="D340" s="9" t="s">
        <v>848</v>
      </c>
      <c r="E340" s="10" t="str">
        <f>HYPERLINK("https://twitter.com/sensorplustest/status/720885131934715904","720885131934715904")</f>
        <v>720885131934715904</v>
      </c>
      <c r="F340" s="11" t="s">
        <v>39</v>
      </c>
      <c r="G340" s="11">
        <v>414</v>
      </c>
      <c r="H340" s="11">
        <v>182</v>
      </c>
      <c r="I340" s="11">
        <v>3</v>
      </c>
      <c r="J340" s="11">
        <v>0</v>
      </c>
      <c r="K340" s="11" t="s">
        <v>21</v>
      </c>
      <c r="L340" s="7">
        <v>41318.824606481481</v>
      </c>
      <c r="M340" s="12" t="s">
        <v>887</v>
      </c>
      <c r="N340" s="12" t="s">
        <v>888</v>
      </c>
      <c r="O340" s="10" t="str">
        <f>HYPERLINK("https://pbs.twimg.com/profile_images/378800000664327316/6a5c3a2d43525a9b5044906960528925_normal.jpeg","View")</f>
        <v>View</v>
      </c>
      <c r="P340" s="11"/>
    </row>
    <row r="341" spans="1:16" ht="12.75" x14ac:dyDescent="0.35">
      <c r="A341" s="7">
        <v>42475.564895833333</v>
      </c>
      <c r="B341" s="8" t="str">
        <f>HYPERLINK("https://twitter.com/markherten","@markherten")</f>
        <v>@markherten</v>
      </c>
      <c r="C341" s="9" t="s">
        <v>37</v>
      </c>
      <c r="D341" s="9" t="s">
        <v>889</v>
      </c>
      <c r="E341" s="10" t="str">
        <f>HYPERLINK("https://twitter.com/markherten/status/720885231167758336","720885231167758336")</f>
        <v>720885231167758336</v>
      </c>
      <c r="F341" s="11" t="s">
        <v>39</v>
      </c>
      <c r="G341" s="11">
        <v>96</v>
      </c>
      <c r="H341" s="11">
        <v>176</v>
      </c>
      <c r="I341" s="11">
        <v>1</v>
      </c>
      <c r="J341" s="11">
        <v>1</v>
      </c>
      <c r="K341" s="11" t="s">
        <v>21</v>
      </c>
      <c r="L341" s="7">
        <v>40249.947696759264</v>
      </c>
      <c r="M341" s="12" t="s">
        <v>40</v>
      </c>
      <c r="N341" s="12" t="s">
        <v>41</v>
      </c>
      <c r="O341" s="10" t="str">
        <f>HYPERLINK("https://pbs.twimg.com/profile_images/718175389890310145/GX8DLe_h_normal.jpg","View")</f>
        <v>View</v>
      </c>
      <c r="P341" s="11"/>
    </row>
    <row r="342" spans="1:16" ht="12.75" x14ac:dyDescent="0.35">
      <c r="A342" s="7">
        <v>42475.566203703704</v>
      </c>
      <c r="B342" s="8" t="str">
        <f>HYPERLINK("https://twitter.com/VDC_Fellbach","@VDC_Fellbach")</f>
        <v>@VDC_Fellbach</v>
      </c>
      <c r="C342" s="9" t="s">
        <v>890</v>
      </c>
      <c r="D342" s="9" t="s">
        <v>819</v>
      </c>
      <c r="E342" s="10" t="str">
        <f>HYPERLINK("https://twitter.com/VDC_Fellbach/status/720885707946872833","720885707946872833")</f>
        <v>720885707946872833</v>
      </c>
      <c r="F342" s="11" t="s">
        <v>25</v>
      </c>
      <c r="G342" s="11">
        <v>404</v>
      </c>
      <c r="H342" s="11">
        <v>372</v>
      </c>
      <c r="I342" s="11">
        <v>9</v>
      </c>
      <c r="J342" s="11">
        <v>0</v>
      </c>
      <c r="K342" s="11" t="s">
        <v>21</v>
      </c>
      <c r="L342" s="7">
        <v>40872.143888888888</v>
      </c>
      <c r="M342" s="12" t="s">
        <v>891</v>
      </c>
      <c r="N342" s="12" t="s">
        <v>892</v>
      </c>
      <c r="O342" s="10" t="str">
        <f>HYPERLINK("https://pbs.twimg.com/profile_images/675314462233141248/Hr1lNIfG_normal.jpg","View")</f>
        <v>View</v>
      </c>
      <c r="P342" s="11"/>
    </row>
    <row r="343" spans="1:16" ht="12.75" x14ac:dyDescent="0.35">
      <c r="A343" s="7">
        <v>42475.566828703704</v>
      </c>
      <c r="B343" s="8" t="str">
        <f>HYPERLINK("https://twitter.com/dirste","@dirste")</f>
        <v>@dirste</v>
      </c>
      <c r="C343" s="9" t="s">
        <v>893</v>
      </c>
      <c r="D343" s="9" t="s">
        <v>894</v>
      </c>
      <c r="E343" s="10" t="str">
        <f>HYPERLINK("https://twitter.com/dirste/status/720885933982097409","720885933982097409")</f>
        <v>720885933982097409</v>
      </c>
      <c r="F343" s="11" t="s">
        <v>115</v>
      </c>
      <c r="G343" s="11">
        <v>1479</v>
      </c>
      <c r="H343" s="11">
        <v>892</v>
      </c>
      <c r="I343" s="11">
        <v>1</v>
      </c>
      <c r="J343" s="11">
        <v>1</v>
      </c>
      <c r="K343" s="11" t="s">
        <v>21</v>
      </c>
      <c r="L343" s="7">
        <v>40201.575185185182</v>
      </c>
      <c r="M343" s="12" t="s">
        <v>895</v>
      </c>
      <c r="N343" s="12" t="s">
        <v>896</v>
      </c>
      <c r="O343" s="10" t="str">
        <f>HYPERLINK("https://pbs.twimg.com/profile_images/715968416834781185/hP9LV1pl_normal.jpg","View")</f>
        <v>View</v>
      </c>
      <c r="P343" s="11"/>
    </row>
    <row r="344" spans="1:16" ht="12.75" x14ac:dyDescent="0.35">
      <c r="A344" s="7">
        <v>42475.570960648147</v>
      </c>
      <c r="B344" s="8" t="str">
        <f t="shared" ref="B344:B345" si="22">HYPERLINK("https://twitter.com/INDIZbot","@INDIZbot")</f>
        <v>@INDIZbot</v>
      </c>
      <c r="C344" s="9" t="s">
        <v>61</v>
      </c>
      <c r="D344" s="9" t="s">
        <v>897</v>
      </c>
      <c r="E344" s="10" t="str">
        <f>HYPERLINK("https://twitter.com/INDIZbot/status/720887429989863424","720887429989863424")</f>
        <v>720887429989863424</v>
      </c>
      <c r="F344" s="11" t="s">
        <v>62</v>
      </c>
      <c r="G344" s="11">
        <v>1762</v>
      </c>
      <c r="H344" s="11">
        <v>481</v>
      </c>
      <c r="I344" s="11">
        <v>1</v>
      </c>
      <c r="J344" s="11">
        <v>0</v>
      </c>
      <c r="K344" s="11" t="s">
        <v>21</v>
      </c>
      <c r="L344" s="7">
        <v>42267.011921296296</v>
      </c>
      <c r="M344" s="12"/>
      <c r="N344" s="12" t="s">
        <v>63</v>
      </c>
      <c r="O344" s="10" t="str">
        <f t="shared" ref="O344:O345" si="23">HYPERLINK("https://pbs.twimg.com/profile_images/645716711723925506/t5G0qOS6_normal.jpg","View")</f>
        <v>View</v>
      </c>
      <c r="P344" s="11"/>
    </row>
    <row r="345" spans="1:16" ht="12.75" x14ac:dyDescent="0.35">
      <c r="A345" s="7">
        <v>42475.571215277778</v>
      </c>
      <c r="B345" s="8" t="str">
        <f t="shared" si="22"/>
        <v>@INDIZbot</v>
      </c>
      <c r="C345" s="9" t="s">
        <v>61</v>
      </c>
      <c r="D345" s="9" t="s">
        <v>819</v>
      </c>
      <c r="E345" s="10" t="str">
        <f>HYPERLINK("https://twitter.com/INDIZbot/status/720887522407104512","720887522407104512")</f>
        <v>720887522407104512</v>
      </c>
      <c r="F345" s="11" t="s">
        <v>62</v>
      </c>
      <c r="G345" s="11">
        <v>1762</v>
      </c>
      <c r="H345" s="11">
        <v>481</v>
      </c>
      <c r="I345" s="11">
        <v>9</v>
      </c>
      <c r="J345" s="11">
        <v>0</v>
      </c>
      <c r="K345" s="11" t="s">
        <v>21</v>
      </c>
      <c r="L345" s="7">
        <v>42267.011921296296</v>
      </c>
      <c r="M345" s="12"/>
      <c r="N345" s="12" t="s">
        <v>63</v>
      </c>
      <c r="O345" s="10" t="str">
        <f t="shared" si="23"/>
        <v>View</v>
      </c>
      <c r="P345" s="11"/>
    </row>
    <row r="346" spans="1:16" ht="12.75" x14ac:dyDescent="0.35">
      <c r="A346" s="7">
        <v>42475.571273148147</v>
      </c>
      <c r="B346" s="8" t="str">
        <f>HYPERLINK("https://twitter.com/StipoNad","@StipoNad")</f>
        <v>@StipoNad</v>
      </c>
      <c r="C346" s="9" t="s">
        <v>125</v>
      </c>
      <c r="D346" s="9" t="s">
        <v>898</v>
      </c>
      <c r="E346" s="10" t="str">
        <f>HYPERLINK("https://twitter.com/StipoNad/status/720887544586448896","720887544586448896")</f>
        <v>720887544586448896</v>
      </c>
      <c r="F346" s="11" t="s">
        <v>25</v>
      </c>
      <c r="G346" s="11">
        <v>119</v>
      </c>
      <c r="H346" s="11">
        <v>152</v>
      </c>
      <c r="I346" s="11">
        <v>1</v>
      </c>
      <c r="J346" s="11">
        <v>0</v>
      </c>
      <c r="K346" s="11" t="s">
        <v>21</v>
      </c>
      <c r="L346" s="7">
        <v>41375.657060185185</v>
      </c>
      <c r="M346" s="12" t="s">
        <v>127</v>
      </c>
      <c r="N346" s="12" t="s">
        <v>128</v>
      </c>
      <c r="O346" s="10" t="str">
        <f>HYPERLINK("https://pbs.twimg.com/profile_images/656779070798172160/TNRHncFi_normal.jpg","View")</f>
        <v>View</v>
      </c>
      <c r="P346" s="11"/>
    </row>
    <row r="347" spans="1:16" ht="12.75" x14ac:dyDescent="0.35">
      <c r="A347" s="7">
        <v>42475.572835648149</v>
      </c>
      <c r="B347" s="8" t="str">
        <f>HYPERLINK("https://twitter.com/josefbrunner","@josefbrunner")</f>
        <v>@josefbrunner</v>
      </c>
      <c r="C347" s="9" t="s">
        <v>899</v>
      </c>
      <c r="D347" s="9" t="s">
        <v>515</v>
      </c>
      <c r="E347" s="10" t="str">
        <f>HYPERLINK("https://twitter.com/josefbrunner/status/720888109240422400","720888109240422400")</f>
        <v>720888109240422400</v>
      </c>
      <c r="F347" s="11" t="s">
        <v>25</v>
      </c>
      <c r="G347" s="11">
        <v>432</v>
      </c>
      <c r="H347" s="11">
        <v>258</v>
      </c>
      <c r="I347" s="11">
        <v>11</v>
      </c>
      <c r="J347" s="11">
        <v>0</v>
      </c>
      <c r="K347" s="11" t="s">
        <v>21</v>
      </c>
      <c r="L347" s="7">
        <v>40291.681840277779</v>
      </c>
      <c r="M347" s="12"/>
      <c r="N347" s="12" t="s">
        <v>900</v>
      </c>
      <c r="O347" s="10" t="str">
        <f>HYPERLINK("https://pbs.twimg.com/profile_images/1142225593/IMG_0061_normal.JPG","View")</f>
        <v>View</v>
      </c>
      <c r="P347" s="11"/>
    </row>
    <row r="348" spans="1:16" ht="12.75" x14ac:dyDescent="0.35">
      <c r="A348" s="7">
        <v>42475.574374999997</v>
      </c>
      <c r="B348" s="8" t="str">
        <f>HYPERLINK("https://twitter.com/confare","@confare")</f>
        <v>@confare</v>
      </c>
      <c r="C348" s="9" t="s">
        <v>901</v>
      </c>
      <c r="D348" s="9" t="s">
        <v>902</v>
      </c>
      <c r="E348" s="10" t="str">
        <f>HYPERLINK("https://twitter.com/confare/status/720888667913498626","720888667913498626")</f>
        <v>720888667913498626</v>
      </c>
      <c r="F348" s="11" t="s">
        <v>39</v>
      </c>
      <c r="G348" s="11">
        <v>1537</v>
      </c>
      <c r="H348" s="11">
        <v>2001</v>
      </c>
      <c r="I348" s="11">
        <v>2</v>
      </c>
      <c r="J348" s="11">
        <v>0</v>
      </c>
      <c r="K348" s="11" t="s">
        <v>21</v>
      </c>
      <c r="L348" s="7">
        <v>40018.654293981483</v>
      </c>
      <c r="M348" s="12" t="s">
        <v>903</v>
      </c>
      <c r="N348" s="12" t="s">
        <v>904</v>
      </c>
      <c r="O348" s="10" t="str">
        <f>HYPERLINK("https://pbs.twimg.com/profile_images/329707557/Skyscraper_normal.jpg","View")</f>
        <v>View</v>
      </c>
      <c r="P348" s="11"/>
    </row>
    <row r="349" spans="1:16" ht="12.75" x14ac:dyDescent="0.35">
      <c r="A349" s="7">
        <v>42475.574594907404</v>
      </c>
      <c r="B349" s="8" t="str">
        <f>HYPERLINK("https://twitter.com/ScopeOnline","@ScopeOnline")</f>
        <v>@ScopeOnline</v>
      </c>
      <c r="C349" s="9" t="s">
        <v>905</v>
      </c>
      <c r="D349" s="9" t="s">
        <v>906</v>
      </c>
      <c r="E349" s="10" t="str">
        <f>HYPERLINK("https://twitter.com/ScopeOnline/status/720888746116128768","720888746116128768")</f>
        <v>720888746116128768</v>
      </c>
      <c r="F349" s="11" t="s">
        <v>25</v>
      </c>
      <c r="G349" s="11">
        <v>1727</v>
      </c>
      <c r="H349" s="11">
        <v>1483</v>
      </c>
      <c r="I349" s="11">
        <v>0</v>
      </c>
      <c r="J349" s="11">
        <v>0</v>
      </c>
      <c r="K349" s="11" t="s">
        <v>21</v>
      </c>
      <c r="L349" s="7">
        <v>40064.751226851848</v>
      </c>
      <c r="M349" s="12" t="s">
        <v>907</v>
      </c>
      <c r="N349" s="12" t="s">
        <v>908</v>
      </c>
      <c r="O349" s="10" t="str">
        <f>HYPERLINK("https://pbs.twimg.com/profile_images/542205461139705857/rG0aBulP_normal.png","View")</f>
        <v>View</v>
      </c>
      <c r="P349" s="11"/>
    </row>
    <row r="350" spans="1:16" ht="12.75" x14ac:dyDescent="0.35">
      <c r="A350" s="7">
        <v>42475.576261574075</v>
      </c>
      <c r="B350" s="8" t="str">
        <f t="shared" ref="B350:B351" si="24">HYPERLINK("https://twitter.com/markherten","@markherten")</f>
        <v>@markherten</v>
      </c>
      <c r="C350" s="9" t="s">
        <v>37</v>
      </c>
      <c r="D350" s="9" t="s">
        <v>756</v>
      </c>
      <c r="E350" s="10" t="str">
        <f>HYPERLINK("https://twitter.com/markherten/status/720889350733578240","720889350733578240")</f>
        <v>720889350733578240</v>
      </c>
      <c r="F350" s="11" t="s">
        <v>39</v>
      </c>
      <c r="G350" s="11">
        <v>96</v>
      </c>
      <c r="H350" s="11">
        <v>176</v>
      </c>
      <c r="I350" s="11">
        <v>6</v>
      </c>
      <c r="J350" s="11">
        <v>0</v>
      </c>
      <c r="K350" s="11" t="s">
        <v>21</v>
      </c>
      <c r="L350" s="7">
        <v>40249.947696759264</v>
      </c>
      <c r="M350" s="12" t="s">
        <v>40</v>
      </c>
      <c r="N350" s="12" t="s">
        <v>41</v>
      </c>
      <c r="O350" s="10" t="str">
        <f t="shared" ref="O350:O351" si="25">HYPERLINK("https://pbs.twimg.com/profile_images/718175389890310145/GX8DLe_h_normal.jpg","View")</f>
        <v>View</v>
      </c>
      <c r="P350" s="11"/>
    </row>
    <row r="351" spans="1:16" ht="12.75" x14ac:dyDescent="0.35">
      <c r="A351" s="7">
        <v>42475.576354166667</v>
      </c>
      <c r="B351" s="8" t="str">
        <f t="shared" si="24"/>
        <v>@markherten</v>
      </c>
      <c r="C351" s="9" t="s">
        <v>37</v>
      </c>
      <c r="D351" s="9" t="s">
        <v>755</v>
      </c>
      <c r="E351" s="10" t="str">
        <f>HYPERLINK("https://twitter.com/markherten/status/720889385756004352","720889385756004352")</f>
        <v>720889385756004352</v>
      </c>
      <c r="F351" s="11" t="s">
        <v>39</v>
      </c>
      <c r="G351" s="11">
        <v>96</v>
      </c>
      <c r="H351" s="11">
        <v>176</v>
      </c>
      <c r="I351" s="11">
        <v>9</v>
      </c>
      <c r="J351" s="11">
        <v>0</v>
      </c>
      <c r="K351" s="11" t="s">
        <v>21</v>
      </c>
      <c r="L351" s="7">
        <v>40249.947696759264</v>
      </c>
      <c r="M351" s="12" t="s">
        <v>40</v>
      </c>
      <c r="N351" s="12" t="s">
        <v>41</v>
      </c>
      <c r="O351" s="10" t="str">
        <f t="shared" si="25"/>
        <v>View</v>
      </c>
      <c r="P351" s="11"/>
    </row>
    <row r="352" spans="1:16" ht="12.75" x14ac:dyDescent="0.35">
      <c r="A352" s="7">
        <v>42475.579467592594</v>
      </c>
      <c r="B352" s="8" t="str">
        <f>HYPERLINK("https://twitter.com/werliefertwas","@werliefertwas")</f>
        <v>@werliefertwas</v>
      </c>
      <c r="C352" s="9" t="s">
        <v>909</v>
      </c>
      <c r="D352" s="9" t="s">
        <v>910</v>
      </c>
      <c r="E352" s="10" t="str">
        <f>HYPERLINK("https://twitter.com/werliefertwas/status/720890514690584576","720890514690584576")</f>
        <v>720890514690584576</v>
      </c>
      <c r="F352" s="11" t="s">
        <v>25</v>
      </c>
      <c r="G352" s="11">
        <v>509</v>
      </c>
      <c r="H352" s="11">
        <v>299</v>
      </c>
      <c r="I352" s="11">
        <v>0</v>
      </c>
      <c r="J352" s="11">
        <v>0</v>
      </c>
      <c r="K352" s="11" t="s">
        <v>21</v>
      </c>
      <c r="L352" s="7">
        <v>39912.531782407408</v>
      </c>
      <c r="M352" s="12" t="s">
        <v>549</v>
      </c>
      <c r="N352" s="12" t="s">
        <v>911</v>
      </c>
      <c r="O352" s="10" t="str">
        <f>HYPERLINK("https://pbs.twimg.com/profile_images/472323621445042176/etL3MUED_normal.png","View")</f>
        <v>View</v>
      </c>
      <c r="P352" s="11"/>
    </row>
    <row r="353" spans="1:16" ht="12.75" x14ac:dyDescent="0.35">
      <c r="A353" s="7">
        <v>42475.581261574072</v>
      </c>
      <c r="B353" s="8" t="str">
        <f>HYPERLINK("https://twitter.com/Stefan_Schaus","@Stefan_Schaus")</f>
        <v>@Stefan_Schaus</v>
      </c>
      <c r="C353" s="9" t="s">
        <v>912</v>
      </c>
      <c r="D353" s="9" t="s">
        <v>913</v>
      </c>
      <c r="E353" s="10" t="str">
        <f>HYPERLINK("https://twitter.com/Stefan_Schaus/status/720891165235503104","720891165235503104")</f>
        <v>720891165235503104</v>
      </c>
      <c r="F353" s="11" t="s">
        <v>115</v>
      </c>
      <c r="G353" s="11">
        <v>21</v>
      </c>
      <c r="H353" s="11">
        <v>41</v>
      </c>
      <c r="I353" s="11">
        <v>0</v>
      </c>
      <c r="J353" s="11">
        <v>0</v>
      </c>
      <c r="K353" s="11" t="s">
        <v>21</v>
      </c>
      <c r="L353" s="7">
        <v>42360.818182870367</v>
      </c>
      <c r="M353" s="12" t="s">
        <v>559</v>
      </c>
      <c r="N353" s="12" t="s">
        <v>914</v>
      </c>
      <c r="O353" s="10" t="str">
        <f>HYPERLINK("https://pbs.twimg.com/profile_images/679303029431083008/S29_duNb_normal.jpg","View")</f>
        <v>View</v>
      </c>
      <c r="P353" s="11"/>
    </row>
    <row r="354" spans="1:16" ht="12.75" x14ac:dyDescent="0.35">
      <c r="A354" s="7">
        <v>42475.582546296297</v>
      </c>
      <c r="B354" s="8" t="str">
        <f>HYPERLINK("https://twitter.com/chemie_azubi","@chemie_azubi")</f>
        <v>@chemie_azubi</v>
      </c>
      <c r="C354" s="9" t="s">
        <v>915</v>
      </c>
      <c r="D354" s="9" t="s">
        <v>916</v>
      </c>
      <c r="E354" s="10" t="str">
        <f>HYPERLINK("https://twitter.com/chemie_azubi/status/720891627988979712","720891627988979712")</f>
        <v>720891627988979712</v>
      </c>
      <c r="F354" s="11" t="s">
        <v>31</v>
      </c>
      <c r="G354" s="11">
        <v>238</v>
      </c>
      <c r="H354" s="11">
        <v>181</v>
      </c>
      <c r="I354" s="11">
        <v>1</v>
      </c>
      <c r="J354" s="11">
        <v>0</v>
      </c>
      <c r="K354" s="11" t="s">
        <v>21</v>
      </c>
      <c r="L354" s="7">
        <v>40511.995115740741</v>
      </c>
      <c r="M354" s="12" t="s">
        <v>92</v>
      </c>
      <c r="N354" s="12" t="s">
        <v>917</v>
      </c>
      <c r="O354" s="10" t="str">
        <f>HYPERLINK("https://pbs.twimg.com/profile_images/697410664533532672/IKCR3dV3_normal.jpg","View")</f>
        <v>View</v>
      </c>
      <c r="P354" s="11"/>
    </row>
    <row r="355" spans="1:16" ht="12.75" x14ac:dyDescent="0.35">
      <c r="A355" s="7">
        <v>42475.584525462968</v>
      </c>
      <c r="B355" s="8" t="str">
        <f>HYPERLINK("https://twitter.com/ahk_frankreich","@ahk_frankreich")</f>
        <v>@ahk_frankreich</v>
      </c>
      <c r="C355" s="9" t="s">
        <v>918</v>
      </c>
      <c r="D355" s="9" t="s">
        <v>919</v>
      </c>
      <c r="E355" s="10" t="str">
        <f>HYPERLINK("https://twitter.com/ahk_frankreich/status/720892346980806656","720892346980806656")</f>
        <v>720892346980806656</v>
      </c>
      <c r="F355" s="11" t="s">
        <v>25</v>
      </c>
      <c r="G355" s="11">
        <v>520</v>
      </c>
      <c r="H355" s="11">
        <v>350</v>
      </c>
      <c r="I355" s="11">
        <v>2</v>
      </c>
      <c r="J355" s="11">
        <v>3</v>
      </c>
      <c r="K355" s="11" t="s">
        <v>21</v>
      </c>
      <c r="L355" s="7">
        <v>41203.377638888887</v>
      </c>
      <c r="M355" s="12" t="s">
        <v>920</v>
      </c>
      <c r="N355" s="12" t="s">
        <v>921</v>
      </c>
      <c r="O355" s="10" t="str">
        <f>HYPERLINK("https://pbs.twimg.com/profile_images/672343322632024064/4z8q3pp4_normal.jpg","View")</f>
        <v>View</v>
      </c>
      <c r="P355" s="11"/>
    </row>
    <row r="356" spans="1:16" ht="12.75" x14ac:dyDescent="0.35">
      <c r="A356" s="7">
        <v>42475.586921296301</v>
      </c>
      <c r="B356" s="8" t="str">
        <f>HYPERLINK("https://twitter.com/PwC_France","@PwC_France")</f>
        <v>@PwC_France</v>
      </c>
      <c r="C356" s="9" t="s">
        <v>97</v>
      </c>
      <c r="D356" s="9" t="s">
        <v>922</v>
      </c>
      <c r="E356" s="10" t="str">
        <f>HYPERLINK("https://twitter.com/PwC_France/status/720893215801548800","720893215801548800")</f>
        <v>720893215801548800</v>
      </c>
      <c r="F356" s="11" t="s">
        <v>39</v>
      </c>
      <c r="G356" s="11">
        <v>8557</v>
      </c>
      <c r="H356" s="11">
        <v>345</v>
      </c>
      <c r="I356" s="11">
        <v>10</v>
      </c>
      <c r="J356" s="11">
        <v>9</v>
      </c>
      <c r="K356" s="11" t="s">
        <v>21</v>
      </c>
      <c r="L356" s="7">
        <v>39988.737199074072</v>
      </c>
      <c r="M356" s="12"/>
      <c r="N356" s="12" t="s">
        <v>99</v>
      </c>
      <c r="O356" s="10" t="str">
        <f>HYPERLINK("https://pbs.twimg.com/profile_images/623103587527344128/2HZGdh68_normal.png","View")</f>
        <v>View</v>
      </c>
      <c r="P356" s="11"/>
    </row>
    <row r="357" spans="1:16" ht="12.75" x14ac:dyDescent="0.35">
      <c r="A357" s="7">
        <v>42475.587581018517</v>
      </c>
      <c r="B357" s="8" t="str">
        <f>HYPERLINK("https://twitter.com/MFakholy","@MFakholy")</f>
        <v>@MFakholy</v>
      </c>
      <c r="C357" s="9" t="s">
        <v>923</v>
      </c>
      <c r="D357" s="9" t="s">
        <v>924</v>
      </c>
      <c r="E357" s="10" t="str">
        <f>HYPERLINK("https://twitter.com/MFakholy/status/720893452125388800","720893452125388800")</f>
        <v>720893452125388800</v>
      </c>
      <c r="F357" s="11" t="s">
        <v>31</v>
      </c>
      <c r="G357" s="11">
        <v>97</v>
      </c>
      <c r="H357" s="11">
        <v>463</v>
      </c>
      <c r="I357" s="11">
        <v>10</v>
      </c>
      <c r="J357" s="11">
        <v>0</v>
      </c>
      <c r="K357" s="11" t="s">
        <v>21</v>
      </c>
      <c r="L357" s="7">
        <v>42239.734224537038</v>
      </c>
      <c r="M357" s="12"/>
      <c r="N357" s="12" t="s">
        <v>925</v>
      </c>
      <c r="O357" s="10" t="str">
        <f>HYPERLINK("https://pbs.twimg.com/profile_images/635427906156687360/0vmdK-xU_normal.jpg","View")</f>
        <v>View</v>
      </c>
      <c r="P357" s="11"/>
    </row>
    <row r="358" spans="1:16" ht="12.75" x14ac:dyDescent="0.35">
      <c r="A358" s="7">
        <v>42475.589409722219</v>
      </c>
      <c r="B358" s="8" t="str">
        <f>HYPERLINK("https://twitter.com/_TheDigitalGuy","@_TheDigitalGuy")</f>
        <v>@_TheDigitalGuy</v>
      </c>
      <c r="C358" s="9" t="s">
        <v>926</v>
      </c>
      <c r="D358" s="9" t="s">
        <v>924</v>
      </c>
      <c r="E358" s="10" t="str">
        <f>HYPERLINK("https://twitter.com/_TheDigitalGuy/status/720894115458756608","720894115458756608")</f>
        <v>720894115458756608</v>
      </c>
      <c r="F358" s="11" t="s">
        <v>927</v>
      </c>
      <c r="G358" s="11">
        <v>180</v>
      </c>
      <c r="H358" s="11">
        <v>211</v>
      </c>
      <c r="I358" s="11">
        <v>10</v>
      </c>
      <c r="J358" s="11">
        <v>0</v>
      </c>
      <c r="K358" s="11" t="s">
        <v>21</v>
      </c>
      <c r="L358" s="7">
        <v>42167.030532407407</v>
      </c>
      <c r="M358" s="12" t="s">
        <v>928</v>
      </c>
      <c r="N358" s="12"/>
      <c r="O358" s="10" t="str">
        <f>HYPERLINK("https://pbs.twimg.com/profile_images/719241251590000640/4YpYqD7F_normal.jpg","View")</f>
        <v>View</v>
      </c>
      <c r="P358" s="11"/>
    </row>
    <row r="359" spans="1:16" ht="12.75" x14ac:dyDescent="0.35">
      <c r="A359" s="7">
        <v>42475.601331018523</v>
      </c>
      <c r="B359" s="8" t="str">
        <f>HYPERLINK("https://twitter.com/IGMetall","@IGMetall")</f>
        <v>@IGMetall</v>
      </c>
      <c r="C359" s="9" t="s">
        <v>929</v>
      </c>
      <c r="D359" s="9" t="s">
        <v>930</v>
      </c>
      <c r="E359" s="10" t="str">
        <f>HYPERLINK("https://twitter.com/IGMetall/status/720898436569149440","720898436569149440")</f>
        <v>720898436569149440</v>
      </c>
      <c r="F359" s="11" t="s">
        <v>25</v>
      </c>
      <c r="G359" s="11">
        <v>8013</v>
      </c>
      <c r="H359" s="11">
        <v>284</v>
      </c>
      <c r="I359" s="11">
        <v>3</v>
      </c>
      <c r="J359" s="11">
        <v>2</v>
      </c>
      <c r="K359" s="11" t="s">
        <v>21</v>
      </c>
      <c r="L359" s="7">
        <v>39787.69672453704</v>
      </c>
      <c r="M359" s="12" t="s">
        <v>121</v>
      </c>
      <c r="N359" s="12" t="s">
        <v>931</v>
      </c>
      <c r="O359" s="10" t="str">
        <f>HYPERLINK("https://pbs.twimg.com/profile_images/378800000678134515/27b6e1353c05881133bb578e013f75ea_normal.png","View")</f>
        <v>View</v>
      </c>
      <c r="P359" s="11"/>
    </row>
    <row r="360" spans="1:16" ht="12.75" x14ac:dyDescent="0.35">
      <c r="A360" s="7">
        <v>42475.602129629631</v>
      </c>
      <c r="B360" s="8" t="str">
        <f>HYPERLINK("https://twitter.com/KunststoffeDE","@KunststoffeDE")</f>
        <v>@KunststoffeDE</v>
      </c>
      <c r="C360" s="9" t="s">
        <v>932</v>
      </c>
      <c r="D360" s="9" t="s">
        <v>933</v>
      </c>
      <c r="E360" s="10" t="str">
        <f>HYPERLINK("https://twitter.com/KunststoffeDE/status/720898726986924032","720898726986924032")</f>
        <v>720898726986924032</v>
      </c>
      <c r="F360" s="11" t="s">
        <v>25</v>
      </c>
      <c r="G360" s="11">
        <v>143</v>
      </c>
      <c r="H360" s="11">
        <v>169</v>
      </c>
      <c r="I360" s="11">
        <v>0</v>
      </c>
      <c r="J360" s="11">
        <v>0</v>
      </c>
      <c r="K360" s="11" t="s">
        <v>21</v>
      </c>
      <c r="L360" s="7">
        <v>41906.655393518522</v>
      </c>
      <c r="M360" s="12" t="s">
        <v>689</v>
      </c>
      <c r="N360" s="12" t="s">
        <v>934</v>
      </c>
      <c r="O360" s="10" t="str">
        <f>HYPERLINK("https://pbs.twimg.com/profile_images/514743427217371136/l2tByK9G_normal.jpeg","View")</f>
        <v>View</v>
      </c>
      <c r="P360" s="11"/>
    </row>
    <row r="361" spans="1:16" ht="12.75" x14ac:dyDescent="0.35">
      <c r="A361" s="7">
        <v>42475.603483796294</v>
      </c>
      <c r="B361" s="8" t="str">
        <f>HYPERLINK("https://twitter.com/mitunsdigital","@mitunsdigital")</f>
        <v>@mitunsdigital</v>
      </c>
      <c r="C361" s="9" t="s">
        <v>317</v>
      </c>
      <c r="D361" s="9" t="s">
        <v>857</v>
      </c>
      <c r="E361" s="10" t="str">
        <f>HYPERLINK("https://twitter.com/mitunsdigital/status/720899217556971520","720899217556971520")</f>
        <v>720899217556971520</v>
      </c>
      <c r="F361" s="11" t="s">
        <v>25</v>
      </c>
      <c r="G361" s="11">
        <v>31</v>
      </c>
      <c r="H361" s="11">
        <v>11</v>
      </c>
      <c r="I361" s="11">
        <v>3</v>
      </c>
      <c r="J361" s="11">
        <v>0</v>
      </c>
      <c r="K361" s="11" t="s">
        <v>21</v>
      </c>
      <c r="L361" s="7">
        <v>42404.75980324074</v>
      </c>
      <c r="M361" s="12"/>
      <c r="N361" s="12"/>
      <c r="O361" s="10" t="str">
        <f>HYPERLINK("https://pbs.twimg.com/profile_images/695227740136587265/5eHVsAlx_normal.png","View")</f>
        <v>View</v>
      </c>
      <c r="P361" s="11"/>
    </row>
    <row r="362" spans="1:16" ht="12.75" x14ac:dyDescent="0.35">
      <c r="A362" s="7">
        <v>42475.603518518517</v>
      </c>
      <c r="B362" s="8" t="str">
        <f>HYPERLINK("https://twitter.com/BakerMcGER","@BakerMcGER")</f>
        <v>@BakerMcGER</v>
      </c>
      <c r="C362" s="9" t="s">
        <v>935</v>
      </c>
      <c r="D362" s="9" t="s">
        <v>819</v>
      </c>
      <c r="E362" s="10" t="str">
        <f>HYPERLINK("https://twitter.com/BakerMcGER/status/720899229410045952","720899229410045952")</f>
        <v>720899229410045952</v>
      </c>
      <c r="F362" s="11" t="s">
        <v>25</v>
      </c>
      <c r="G362" s="11">
        <v>457</v>
      </c>
      <c r="H362" s="11">
        <v>215</v>
      </c>
      <c r="I362" s="11">
        <v>9</v>
      </c>
      <c r="J362" s="11">
        <v>0</v>
      </c>
      <c r="K362" s="11" t="s">
        <v>21</v>
      </c>
      <c r="L362" s="7">
        <v>41578.702696759261</v>
      </c>
      <c r="M362" s="12" t="s">
        <v>936</v>
      </c>
      <c r="N362" s="12" t="s">
        <v>937</v>
      </c>
      <c r="O362" s="10" t="str">
        <f>HYPERLINK("https://pbs.twimg.com/profile_images/707877685721231360/0WBLwHQ-_normal.jpg","View")</f>
        <v>View</v>
      </c>
      <c r="P362" s="11"/>
    </row>
    <row r="363" spans="1:16" ht="12.75" x14ac:dyDescent="0.35">
      <c r="A363" s="7">
        <v>42475.604259259257</v>
      </c>
      <c r="B363" s="8" t="str">
        <f>HYPERLINK("https://twitter.com/verlinked","@verlinked")</f>
        <v>@verlinked</v>
      </c>
      <c r="C363" s="9" t="s">
        <v>263</v>
      </c>
      <c r="D363" s="9" t="s">
        <v>938</v>
      </c>
      <c r="E363" s="10" t="str">
        <f>HYPERLINK("https://twitter.com/verlinked/status/720899497690202112","720899497690202112")</f>
        <v>720899497690202112</v>
      </c>
      <c r="F363" s="11" t="s">
        <v>115</v>
      </c>
      <c r="G363" s="11">
        <v>600</v>
      </c>
      <c r="H363" s="11">
        <v>1201</v>
      </c>
      <c r="I363" s="11">
        <v>3</v>
      </c>
      <c r="J363" s="11">
        <v>1</v>
      </c>
      <c r="K363" s="11" t="s">
        <v>21</v>
      </c>
      <c r="L363" s="7">
        <v>41463.077627314815</v>
      </c>
      <c r="M363" s="12" t="s">
        <v>265</v>
      </c>
      <c r="N363" s="12" t="s">
        <v>266</v>
      </c>
      <c r="O363" s="10" t="str">
        <f>HYPERLINK("https://pbs.twimg.com/profile_images/722385992343285760/ww8YLZ2q_normal.jpg","View")</f>
        <v>View</v>
      </c>
      <c r="P363" s="11"/>
    </row>
    <row r="364" spans="1:16" ht="12.75" x14ac:dyDescent="0.35">
      <c r="A364" s="7">
        <v>42475.604351851856</v>
      </c>
      <c r="B364" s="8" t="str">
        <f>HYPERLINK("https://twitter.com/kommoptimierer","@kommoptimierer")</f>
        <v>@kommoptimierer</v>
      </c>
      <c r="C364" s="9" t="s">
        <v>270</v>
      </c>
      <c r="D364" s="9" t="s">
        <v>271</v>
      </c>
      <c r="E364" s="10" t="str">
        <f>HYPERLINK("https://twitter.com/kommoptimierer/status/720899531198566400","720899531198566400")</f>
        <v>720899531198566400</v>
      </c>
      <c r="F364" s="11" t="s">
        <v>272</v>
      </c>
      <c r="G364" s="11">
        <v>1347</v>
      </c>
      <c r="H364" s="11">
        <v>1753</v>
      </c>
      <c r="I364" s="11">
        <v>1</v>
      </c>
      <c r="J364" s="11">
        <v>0</v>
      </c>
      <c r="K364" s="11" t="s">
        <v>21</v>
      </c>
      <c r="L364" s="7">
        <v>39986.860358796301</v>
      </c>
      <c r="M364" s="12" t="s">
        <v>273</v>
      </c>
      <c r="N364" s="12" t="s">
        <v>274</v>
      </c>
      <c r="O364" s="10" t="str">
        <f>HYPERLINK("https://pbs.twimg.com/profile_images/541146126158536704/IYardufS_normal.jpeg","View")</f>
        <v>View</v>
      </c>
      <c r="P364" s="11"/>
    </row>
    <row r="365" spans="1:16" ht="12.75" x14ac:dyDescent="0.35">
      <c r="A365" s="7">
        <v>42475.604548611111</v>
      </c>
      <c r="B365" s="8" t="str">
        <f>HYPERLINK("https://twitter.com/DieLinkeKVKNO","@DieLinkeKVKNO")</f>
        <v>@DieLinkeKVKNO</v>
      </c>
      <c r="C365" s="9" t="s">
        <v>939</v>
      </c>
      <c r="D365" s="9" t="s">
        <v>940</v>
      </c>
      <c r="E365" s="10" t="str">
        <f>HYPERLINK("https://twitter.com/DieLinkeKVKNO/status/720899604313714689","720899604313714689")</f>
        <v>720899604313714689</v>
      </c>
      <c r="F365" s="11" t="s">
        <v>437</v>
      </c>
      <c r="G365" s="11">
        <v>596</v>
      </c>
      <c r="H365" s="11">
        <v>450</v>
      </c>
      <c r="I365" s="11">
        <v>3</v>
      </c>
      <c r="J365" s="11">
        <v>0</v>
      </c>
      <c r="K365" s="11" t="s">
        <v>21</v>
      </c>
      <c r="L365" s="7">
        <v>41696.964178240742</v>
      </c>
      <c r="M365" s="12" t="s">
        <v>941</v>
      </c>
      <c r="N365" s="12" t="s">
        <v>942</v>
      </c>
      <c r="O365" s="10" t="str">
        <f>HYPERLINK("https://pbs.twimg.com/profile_images/438732935064076288/YQtGrBfD_normal.png","View")</f>
        <v>View</v>
      </c>
      <c r="P365" s="11"/>
    </row>
    <row r="366" spans="1:16" ht="12.75" x14ac:dyDescent="0.35">
      <c r="A366" s="7">
        <v>42475.604965277773</v>
      </c>
      <c r="B366" s="8" t="str">
        <f t="shared" ref="B366:B368" si="26">HYPERLINK("https://twitter.com/INDIZbot","@INDIZbot")</f>
        <v>@INDIZbot</v>
      </c>
      <c r="C366" s="9" t="s">
        <v>61</v>
      </c>
      <c r="D366" s="9" t="s">
        <v>940</v>
      </c>
      <c r="E366" s="10" t="str">
        <f>HYPERLINK("https://twitter.com/INDIZbot/status/720899752385253376","720899752385253376")</f>
        <v>720899752385253376</v>
      </c>
      <c r="F366" s="11" t="s">
        <v>62</v>
      </c>
      <c r="G366" s="11">
        <v>1762</v>
      </c>
      <c r="H366" s="11">
        <v>481</v>
      </c>
      <c r="I366" s="11">
        <v>3</v>
      </c>
      <c r="J366" s="11">
        <v>0</v>
      </c>
      <c r="K366" s="11" t="s">
        <v>21</v>
      </c>
      <c r="L366" s="7">
        <v>42267.011921296296</v>
      </c>
      <c r="M366" s="12"/>
      <c r="N366" s="12" t="s">
        <v>63</v>
      </c>
      <c r="O366" s="10" t="str">
        <f t="shared" ref="O366:O368" si="27">HYPERLINK("https://pbs.twimg.com/profile_images/645716711723925506/t5G0qOS6_normal.jpg","View")</f>
        <v>View</v>
      </c>
      <c r="P366" s="11"/>
    </row>
    <row r="367" spans="1:16" ht="12.75" x14ac:dyDescent="0.35">
      <c r="A367" s="7">
        <v>42475.605115740742</v>
      </c>
      <c r="B367" s="8" t="str">
        <f t="shared" si="26"/>
        <v>@INDIZbot</v>
      </c>
      <c r="C367" s="9" t="s">
        <v>61</v>
      </c>
      <c r="D367" s="9" t="s">
        <v>275</v>
      </c>
      <c r="E367" s="10" t="str">
        <f>HYPERLINK("https://twitter.com/INDIZbot/status/720899809692028928","720899809692028928")</f>
        <v>720899809692028928</v>
      </c>
      <c r="F367" s="11" t="s">
        <v>62</v>
      </c>
      <c r="G367" s="11">
        <v>1762</v>
      </c>
      <c r="H367" s="11">
        <v>481</v>
      </c>
      <c r="I367" s="11">
        <v>1</v>
      </c>
      <c r="J367" s="11">
        <v>0</v>
      </c>
      <c r="K367" s="11" t="s">
        <v>21</v>
      </c>
      <c r="L367" s="7">
        <v>42267.011921296296</v>
      </c>
      <c r="M367" s="12"/>
      <c r="N367" s="12" t="s">
        <v>63</v>
      </c>
      <c r="O367" s="10" t="str">
        <f t="shared" si="27"/>
        <v>View</v>
      </c>
      <c r="P367" s="11"/>
    </row>
    <row r="368" spans="1:16" ht="12.75" x14ac:dyDescent="0.35">
      <c r="A368" s="7">
        <v>42475.605243055557</v>
      </c>
      <c r="B368" s="8" t="str">
        <f t="shared" si="26"/>
        <v>@INDIZbot</v>
      </c>
      <c r="C368" s="9" t="s">
        <v>61</v>
      </c>
      <c r="D368" s="9" t="s">
        <v>943</v>
      </c>
      <c r="E368" s="10" t="str">
        <f>HYPERLINK("https://twitter.com/INDIZbot/status/720899854545862656","720899854545862656")</f>
        <v>720899854545862656</v>
      </c>
      <c r="F368" s="11" t="s">
        <v>62</v>
      </c>
      <c r="G368" s="11">
        <v>1762</v>
      </c>
      <c r="H368" s="11">
        <v>481</v>
      </c>
      <c r="I368" s="11">
        <v>3</v>
      </c>
      <c r="J368" s="11">
        <v>0</v>
      </c>
      <c r="K368" s="11" t="s">
        <v>21</v>
      </c>
      <c r="L368" s="7">
        <v>42267.011921296296</v>
      </c>
      <c r="M368" s="12"/>
      <c r="N368" s="12" t="s">
        <v>63</v>
      </c>
      <c r="O368" s="10" t="str">
        <f t="shared" si="27"/>
        <v>View</v>
      </c>
      <c r="P368" s="11"/>
    </row>
    <row r="369" spans="1:16" ht="12.75" x14ac:dyDescent="0.35">
      <c r="A369" s="7">
        <v>42475.605590277773</v>
      </c>
      <c r="B369" s="8" t="str">
        <f>HYPERLINK("https://twitter.com/VDI_News","@VDI_News")</f>
        <v>@VDI_News</v>
      </c>
      <c r="C369" s="9" t="s">
        <v>118</v>
      </c>
      <c r="D369" s="9" t="s">
        <v>944</v>
      </c>
      <c r="E369" s="10" t="str">
        <f>HYPERLINK("https://twitter.com/VDI_News/status/720899978617626624","720899978617626624")</f>
        <v>720899978617626624</v>
      </c>
      <c r="F369" s="11" t="s">
        <v>120</v>
      </c>
      <c r="G369" s="11">
        <v>8756</v>
      </c>
      <c r="H369" s="11">
        <v>514</v>
      </c>
      <c r="I369" s="11">
        <v>0</v>
      </c>
      <c r="J369" s="11">
        <v>3</v>
      </c>
      <c r="K369" s="11" t="s">
        <v>21</v>
      </c>
      <c r="L369" s="7">
        <v>39876.69908564815</v>
      </c>
      <c r="M369" s="12" t="s">
        <v>121</v>
      </c>
      <c r="N369" s="12" t="s">
        <v>122</v>
      </c>
      <c r="O369" s="10" t="str">
        <f>HYPERLINK("https://pbs.twimg.com/profile_images/469070945483628546/iD8AeJP6_normal.png","View")</f>
        <v>View</v>
      </c>
      <c r="P369" s="11"/>
    </row>
    <row r="370" spans="1:16" ht="12.75" x14ac:dyDescent="0.35">
      <c r="A370" s="7">
        <v>42475.608136574076</v>
      </c>
      <c r="B370" s="8" t="str">
        <f>HYPERLINK("https://twitter.com/een_at","@een_at")</f>
        <v>@een_at</v>
      </c>
      <c r="C370" s="9" t="s">
        <v>945</v>
      </c>
      <c r="D370" s="9" t="s">
        <v>946</v>
      </c>
      <c r="E370" s="10" t="str">
        <f>HYPERLINK("https://twitter.com/een_at/status/720900902220079104","720900902220079104")</f>
        <v>720900902220079104</v>
      </c>
      <c r="F370" s="11" t="s">
        <v>115</v>
      </c>
      <c r="G370" s="11">
        <v>56</v>
      </c>
      <c r="H370" s="11">
        <v>101</v>
      </c>
      <c r="I370" s="11">
        <v>1</v>
      </c>
      <c r="J370" s="11">
        <v>0</v>
      </c>
      <c r="K370" s="11" t="s">
        <v>21</v>
      </c>
      <c r="L370" s="7">
        <v>42389.772488425922</v>
      </c>
      <c r="M370" s="12" t="s">
        <v>947</v>
      </c>
      <c r="N370" s="12" t="s">
        <v>948</v>
      </c>
      <c r="O370" s="10" t="str">
        <f>HYPERLINK("https://pbs.twimg.com/profile_images/689808383810146304/diwbtNKF_normal.jpg","View")</f>
        <v>View</v>
      </c>
      <c r="P370" s="11"/>
    </row>
    <row r="371" spans="1:16" ht="12.75" x14ac:dyDescent="0.35">
      <c r="A371" s="7">
        <v>42475.608634259261</v>
      </c>
      <c r="B371" s="8" t="str">
        <f>HYPERLINK("https://twitter.com/Becker_AnnaLisa","@Becker_AnnaLisa")</f>
        <v>@Becker_AnnaLisa</v>
      </c>
      <c r="C371" s="9" t="s">
        <v>557</v>
      </c>
      <c r="D371" s="9" t="s">
        <v>949</v>
      </c>
      <c r="E371" s="10" t="str">
        <f>HYPERLINK("https://twitter.com/Becker_AnnaLisa/status/720901083380453376","720901083380453376")</f>
        <v>720901083380453376</v>
      </c>
      <c r="F371" s="11" t="s">
        <v>39</v>
      </c>
      <c r="G371" s="11">
        <v>71</v>
      </c>
      <c r="H371" s="11">
        <v>128</v>
      </c>
      <c r="I371" s="11">
        <v>0</v>
      </c>
      <c r="J371" s="11">
        <v>1</v>
      </c>
      <c r="K371" s="11" t="s">
        <v>21</v>
      </c>
      <c r="L371" s="7">
        <v>41333.610949074078</v>
      </c>
      <c r="M371" s="12" t="s">
        <v>559</v>
      </c>
      <c r="N371" s="12" t="s">
        <v>560</v>
      </c>
      <c r="O371" s="10" t="str">
        <f>HYPERLINK("https://pbs.twimg.com/profile_images/676325832600743936/gCXpokOx_normal.jpg","View")</f>
        <v>View</v>
      </c>
      <c r="P371" s="11"/>
    </row>
    <row r="372" spans="1:16" ht="12.75" x14ac:dyDescent="0.35">
      <c r="A372" s="7">
        <v>42475.611157407402</v>
      </c>
      <c r="B372" s="8" t="str">
        <f>HYPERLINK("https://twitter.com/DidierDeruaz","@DidierDeruaz")</f>
        <v>@DidierDeruaz</v>
      </c>
      <c r="C372" s="9" t="s">
        <v>950</v>
      </c>
      <c r="D372" s="9" t="s">
        <v>951</v>
      </c>
      <c r="E372" s="10" t="str">
        <f>HYPERLINK("https://twitter.com/DidierDeruaz/status/720901998959271937","720901998959271937")</f>
        <v>720901998959271937</v>
      </c>
      <c r="F372" s="11" t="s">
        <v>25</v>
      </c>
      <c r="G372" s="11">
        <v>134</v>
      </c>
      <c r="H372" s="11">
        <v>78</v>
      </c>
      <c r="I372" s="11">
        <v>0</v>
      </c>
      <c r="J372" s="11">
        <v>0</v>
      </c>
      <c r="K372" s="11" t="s">
        <v>21</v>
      </c>
      <c r="L372" s="7">
        <v>41101.63175925926</v>
      </c>
      <c r="M372" s="12" t="s">
        <v>243</v>
      </c>
      <c r="N372" s="12" t="s">
        <v>952</v>
      </c>
      <c r="O372" s="10" t="str">
        <f>HYPERLINK("https://pbs.twimg.com/profile_images/550954917972561921/vgRfRw0F_normal.jpeg","View")</f>
        <v>View</v>
      </c>
      <c r="P372" s="11"/>
    </row>
    <row r="373" spans="1:16" ht="12.75" x14ac:dyDescent="0.35">
      <c r="A373" s="7">
        <v>42475.611180555556</v>
      </c>
      <c r="B373" s="8" t="str">
        <f>HYPERLINK("https://twitter.com/THMtweets","@THMtweets")</f>
        <v>@THMtweets</v>
      </c>
      <c r="C373" s="9" t="s">
        <v>953</v>
      </c>
      <c r="D373" s="9" t="s">
        <v>954</v>
      </c>
      <c r="E373" s="10" t="str">
        <f>HYPERLINK("https://twitter.com/THMtweets/status/720902007494553601","720902007494553601")</f>
        <v>720902007494553601</v>
      </c>
      <c r="F373" s="11" t="s">
        <v>955</v>
      </c>
      <c r="G373" s="11">
        <v>738</v>
      </c>
      <c r="H373" s="11">
        <v>444</v>
      </c>
      <c r="I373" s="11">
        <v>1</v>
      </c>
      <c r="J373" s="11">
        <v>0</v>
      </c>
      <c r="K373" s="11" t="s">
        <v>21</v>
      </c>
      <c r="L373" s="7">
        <v>40735.802337962959</v>
      </c>
      <c r="M373" s="12" t="s">
        <v>956</v>
      </c>
      <c r="N373" s="12" t="s">
        <v>957</v>
      </c>
      <c r="O373" s="10" t="str">
        <f>HYPERLINK("https://pbs.twimg.com/profile_images/461395880017276928/nlaLcdRc_normal.jpeg","View")</f>
        <v>View</v>
      </c>
      <c r="P373" s="11"/>
    </row>
    <row r="374" spans="1:16" ht="12.75" x14ac:dyDescent="0.35">
      <c r="A374" s="7">
        <v>42475.61142361111</v>
      </c>
      <c r="B374" s="8" t="str">
        <f>HYPERLINK("https://twitter.com/Joerg_Koper","@Joerg_Koper")</f>
        <v>@Joerg_Koper</v>
      </c>
      <c r="C374" s="9" t="s">
        <v>958</v>
      </c>
      <c r="D374" s="9" t="s">
        <v>959</v>
      </c>
      <c r="E374" s="10" t="str">
        <f>HYPERLINK("https://twitter.com/Joerg_Koper/status/720902093838618624","720902093838618624")</f>
        <v>720902093838618624</v>
      </c>
      <c r="F374" s="11" t="s">
        <v>20</v>
      </c>
      <c r="G374" s="11">
        <v>4264</v>
      </c>
      <c r="H374" s="11">
        <v>3964</v>
      </c>
      <c r="I374" s="11">
        <v>2</v>
      </c>
      <c r="J374" s="11">
        <v>0</v>
      </c>
      <c r="K374" s="11" t="s">
        <v>21</v>
      </c>
      <c r="L374" s="7">
        <v>41686.073530092595</v>
      </c>
      <c r="M374" s="12" t="s">
        <v>92</v>
      </c>
      <c r="N374" s="12" t="s">
        <v>960</v>
      </c>
      <c r="O374" s="10" t="str">
        <f>HYPERLINK("https://pbs.twimg.com/profile_images/434788311308054528/SqZ-cQzT_normal.jpeg","View")</f>
        <v>View</v>
      </c>
      <c r="P374" s="11"/>
    </row>
    <row r="375" spans="1:16" ht="12.75" x14ac:dyDescent="0.35">
      <c r="A375" s="7">
        <v>42475.612256944441</v>
      </c>
      <c r="B375" s="8" t="str">
        <f t="shared" ref="B375:B376" si="28">HYPERLINK("https://twitter.com/INDIZbot","@INDIZbot")</f>
        <v>@INDIZbot</v>
      </c>
      <c r="C375" s="9" t="s">
        <v>61</v>
      </c>
      <c r="D375" s="9" t="s">
        <v>961</v>
      </c>
      <c r="E375" s="10" t="str">
        <f>HYPERLINK("https://twitter.com/INDIZbot/status/720902397342703616","720902397342703616")</f>
        <v>720902397342703616</v>
      </c>
      <c r="F375" s="11" t="s">
        <v>62</v>
      </c>
      <c r="G375" s="11">
        <v>1762</v>
      </c>
      <c r="H375" s="11">
        <v>481</v>
      </c>
      <c r="I375" s="11">
        <v>2</v>
      </c>
      <c r="J375" s="11">
        <v>0</v>
      </c>
      <c r="K375" s="11" t="s">
        <v>21</v>
      </c>
      <c r="L375" s="7">
        <v>42267.011921296296</v>
      </c>
      <c r="M375" s="12"/>
      <c r="N375" s="12" t="s">
        <v>63</v>
      </c>
      <c r="O375" s="10" t="str">
        <f t="shared" ref="O375:O376" si="29">HYPERLINK("https://pbs.twimg.com/profile_images/645716711723925506/t5G0qOS6_normal.jpg","View")</f>
        <v>View</v>
      </c>
      <c r="P375" s="11"/>
    </row>
    <row r="376" spans="1:16" ht="12.75" x14ac:dyDescent="0.35">
      <c r="A376" s="7">
        <v>42475.612581018519</v>
      </c>
      <c r="B376" s="8" t="str">
        <f t="shared" si="28"/>
        <v>@INDIZbot</v>
      </c>
      <c r="C376" s="9" t="s">
        <v>61</v>
      </c>
      <c r="D376" s="9" t="s">
        <v>962</v>
      </c>
      <c r="E376" s="10" t="str">
        <f>HYPERLINK("https://twitter.com/INDIZbot/status/720902512585400320","720902512585400320")</f>
        <v>720902512585400320</v>
      </c>
      <c r="F376" s="11" t="s">
        <v>62</v>
      </c>
      <c r="G376" s="11">
        <v>1762</v>
      </c>
      <c r="H376" s="11">
        <v>481</v>
      </c>
      <c r="I376" s="11">
        <v>1</v>
      </c>
      <c r="J376" s="11">
        <v>0</v>
      </c>
      <c r="K376" s="11" t="s">
        <v>21</v>
      </c>
      <c r="L376" s="7">
        <v>42267.011921296296</v>
      </c>
      <c r="M376" s="12"/>
      <c r="N376" s="12" t="s">
        <v>63</v>
      </c>
      <c r="O376" s="10" t="str">
        <f t="shared" si="29"/>
        <v>View</v>
      </c>
      <c r="P376" s="11"/>
    </row>
    <row r="377" spans="1:16" ht="12.75" x14ac:dyDescent="0.35">
      <c r="A377" s="7">
        <v>42475.616701388892</v>
      </c>
      <c r="B377" s="8" t="str">
        <f>HYPERLINK("https://twitter.com/Frank_Reinelt","@Frank_Reinelt")</f>
        <v>@Frank_Reinelt</v>
      </c>
      <c r="C377" s="9" t="s">
        <v>963</v>
      </c>
      <c r="D377" s="9" t="s">
        <v>964</v>
      </c>
      <c r="E377" s="10" t="str">
        <f>HYPERLINK("https://twitter.com/Frank_Reinelt/status/720904005820551168","720904005820551168")</f>
        <v>720904005820551168</v>
      </c>
      <c r="F377" s="11" t="s">
        <v>25</v>
      </c>
      <c r="G377" s="11">
        <v>86</v>
      </c>
      <c r="H377" s="11">
        <v>61</v>
      </c>
      <c r="I377" s="11">
        <v>1</v>
      </c>
      <c r="J377" s="11">
        <v>0</v>
      </c>
      <c r="K377" s="11" t="s">
        <v>21</v>
      </c>
      <c r="L377" s="7">
        <v>42272.607060185182</v>
      </c>
      <c r="M377" s="12" t="s">
        <v>559</v>
      </c>
      <c r="N377" s="12" t="s">
        <v>965</v>
      </c>
      <c r="O377" s="10" t="str">
        <f>HYPERLINK("https://pbs.twimg.com/profile_images/669853588152283137/mqKB9aP__normal.jpg","View")</f>
        <v>View</v>
      </c>
      <c r="P377" s="11"/>
    </row>
    <row r="378" spans="1:16" ht="12.75" x14ac:dyDescent="0.35">
      <c r="A378" s="7">
        <v>42475.617083333331</v>
      </c>
      <c r="B378" s="8" t="str">
        <f t="shared" ref="B378:B379" si="30">HYPERLINK("https://twitter.com/HilgerVoss","@HilgerVoss")</f>
        <v>@HilgerVoss</v>
      </c>
      <c r="C378" s="9" t="s">
        <v>966</v>
      </c>
      <c r="D378" s="9" t="s">
        <v>961</v>
      </c>
      <c r="E378" s="10" t="str">
        <f>HYPERLINK("https://twitter.com/HilgerVoss/status/720904144983322625","720904144983322625")</f>
        <v>720904144983322625</v>
      </c>
      <c r="F378" s="11" t="s">
        <v>25</v>
      </c>
      <c r="G378" s="11">
        <v>873</v>
      </c>
      <c r="H378" s="11">
        <v>1069</v>
      </c>
      <c r="I378" s="11">
        <v>2</v>
      </c>
      <c r="J378" s="11">
        <v>0</v>
      </c>
      <c r="K378" s="11" t="s">
        <v>21</v>
      </c>
      <c r="L378" s="7">
        <v>42270.528460648144</v>
      </c>
      <c r="M378" s="12" t="s">
        <v>116</v>
      </c>
      <c r="N378" s="12" t="s">
        <v>967</v>
      </c>
      <c r="O378" s="10" t="str">
        <f t="shared" ref="O378:O379" si="31">HYPERLINK("https://pbs.twimg.com/profile_images/647052308170297344/Q29AIuZ__normal.jpg","View")</f>
        <v>View</v>
      </c>
      <c r="P378" s="11"/>
    </row>
    <row r="379" spans="1:16" ht="12.75" x14ac:dyDescent="0.35">
      <c r="A379" s="7">
        <v>42475.619247685187</v>
      </c>
      <c r="B379" s="8" t="str">
        <f t="shared" si="30"/>
        <v>@HilgerVoss</v>
      </c>
      <c r="C379" s="9" t="s">
        <v>966</v>
      </c>
      <c r="D379" s="9" t="s">
        <v>943</v>
      </c>
      <c r="E379" s="10" t="str">
        <f>HYPERLINK("https://twitter.com/HilgerVoss/status/720904928521273344","720904928521273344")</f>
        <v>720904928521273344</v>
      </c>
      <c r="F379" s="11" t="s">
        <v>25</v>
      </c>
      <c r="G379" s="11">
        <v>873</v>
      </c>
      <c r="H379" s="11">
        <v>1069</v>
      </c>
      <c r="I379" s="11">
        <v>3</v>
      </c>
      <c r="J379" s="11">
        <v>0</v>
      </c>
      <c r="K379" s="11" t="s">
        <v>21</v>
      </c>
      <c r="L379" s="7">
        <v>42270.528460648144</v>
      </c>
      <c r="M379" s="12" t="s">
        <v>116</v>
      </c>
      <c r="N379" s="12" t="s">
        <v>967</v>
      </c>
      <c r="O379" s="10" t="str">
        <f t="shared" si="31"/>
        <v>View</v>
      </c>
      <c r="P379" s="11"/>
    </row>
    <row r="380" spans="1:16" ht="12.75" x14ac:dyDescent="0.35">
      <c r="A380" s="7">
        <v>42475.619409722218</v>
      </c>
      <c r="B380" s="8" t="str">
        <f>HYPERLINK("https://twitter.com/INDIZbot","@INDIZbot")</f>
        <v>@INDIZbot</v>
      </c>
      <c r="C380" s="9" t="s">
        <v>61</v>
      </c>
      <c r="D380" s="9" t="s">
        <v>968</v>
      </c>
      <c r="E380" s="10" t="str">
        <f>HYPERLINK("https://twitter.com/INDIZbot/status/720904989036703745","720904989036703745")</f>
        <v>720904989036703745</v>
      </c>
      <c r="F380" s="11" t="s">
        <v>62</v>
      </c>
      <c r="G380" s="11">
        <v>1762</v>
      </c>
      <c r="H380" s="11">
        <v>481</v>
      </c>
      <c r="I380" s="11">
        <v>1</v>
      </c>
      <c r="J380" s="11">
        <v>0</v>
      </c>
      <c r="K380" s="11" t="s">
        <v>21</v>
      </c>
      <c r="L380" s="7">
        <v>42267.011921296296</v>
      </c>
      <c r="M380" s="12"/>
      <c r="N380" s="12" t="s">
        <v>63</v>
      </c>
      <c r="O380" s="10" t="str">
        <f>HYPERLINK("https://pbs.twimg.com/profile_images/645716711723925506/t5G0qOS6_normal.jpg","View")</f>
        <v>View</v>
      </c>
      <c r="P380" s="11"/>
    </row>
    <row r="381" spans="1:16" ht="12.75" x14ac:dyDescent="0.35">
      <c r="A381" s="7">
        <v>42475.623344907406</v>
      </c>
      <c r="B381" s="8" t="str">
        <f>HYPERLINK("https://twitter.com/blisslogixIT","@blisslogixIT")</f>
        <v>@blisslogixIT</v>
      </c>
      <c r="C381" s="9" t="s">
        <v>969</v>
      </c>
      <c r="D381" s="9" t="s">
        <v>943</v>
      </c>
      <c r="E381" s="10" t="str">
        <f>HYPERLINK("https://twitter.com/blisslogixIT/status/720906414252769280","720906414252769280")</f>
        <v>720906414252769280</v>
      </c>
      <c r="F381" s="11" t="s">
        <v>437</v>
      </c>
      <c r="G381" s="11">
        <v>10911</v>
      </c>
      <c r="H381" s="11">
        <v>2547</v>
      </c>
      <c r="I381" s="11">
        <v>3</v>
      </c>
      <c r="J381" s="11">
        <v>0</v>
      </c>
      <c r="K381" s="11" t="s">
        <v>21</v>
      </c>
      <c r="L381" s="7">
        <v>40999.937476851854</v>
      </c>
      <c r="M381" s="12" t="s">
        <v>970</v>
      </c>
      <c r="N381" s="12" t="s">
        <v>971</v>
      </c>
      <c r="O381" s="10" t="str">
        <f>HYPERLINK("https://pbs.twimg.com/profile_images/608288196506456064/4N_hoRll_normal.png","View")</f>
        <v>View</v>
      </c>
      <c r="P381" s="11"/>
    </row>
    <row r="382" spans="1:16" ht="12.75" x14ac:dyDescent="0.35">
      <c r="A382" s="7">
        <v>42475.625405092593</v>
      </c>
      <c r="B382" s="8" t="str">
        <f>HYPERLINK("https://twitter.com/christophwitte","@christophwitte")</f>
        <v>@christophwitte</v>
      </c>
      <c r="C382" s="9" t="s">
        <v>972</v>
      </c>
      <c r="D382" s="9" t="s">
        <v>973</v>
      </c>
      <c r="E382" s="10" t="str">
        <f>HYPERLINK("https://twitter.com/christophwitte/status/720907161359032320","720907161359032320")</f>
        <v>720907161359032320</v>
      </c>
      <c r="F382" s="11" t="s">
        <v>115</v>
      </c>
      <c r="G382" s="11">
        <v>1402</v>
      </c>
      <c r="H382" s="11">
        <v>622</v>
      </c>
      <c r="I382" s="11">
        <v>1</v>
      </c>
      <c r="J382" s="11">
        <v>0</v>
      </c>
      <c r="K382" s="11" t="s">
        <v>21</v>
      </c>
      <c r="L382" s="7">
        <v>40378.60528935185</v>
      </c>
      <c r="M382" s="12" t="s">
        <v>689</v>
      </c>
      <c r="N382" s="12" t="s">
        <v>974</v>
      </c>
      <c r="O382" s="10" t="str">
        <f>HYPERLINK("https://pbs.twimg.com/profile_images/618449316055748612/F_9LrZDf_normal.jpg","View")</f>
        <v>View</v>
      </c>
      <c r="P382" s="11"/>
    </row>
    <row r="383" spans="1:16" ht="12.75" x14ac:dyDescent="0.35">
      <c r="A383" s="7">
        <v>42475.625405092593</v>
      </c>
      <c r="B383" s="8" t="str">
        <f>HYPERLINK("https://twitter.com/it_rebellen","@it_rebellen")</f>
        <v>@it_rebellen</v>
      </c>
      <c r="C383" s="9" t="s">
        <v>975</v>
      </c>
      <c r="D383" s="9" t="s">
        <v>976</v>
      </c>
      <c r="E383" s="10" t="str">
        <f>HYPERLINK("https://twitter.com/it_rebellen/status/720907161384153088","720907161384153088")</f>
        <v>720907161384153088</v>
      </c>
      <c r="F383" s="11" t="s">
        <v>115</v>
      </c>
      <c r="G383" s="11">
        <v>573</v>
      </c>
      <c r="H383" s="11">
        <v>253</v>
      </c>
      <c r="I383" s="11">
        <v>3</v>
      </c>
      <c r="J383" s="11">
        <v>0</v>
      </c>
      <c r="K383" s="11" t="s">
        <v>21</v>
      </c>
      <c r="L383" s="7">
        <v>41401.659270833334</v>
      </c>
      <c r="M383" s="12"/>
      <c r="N383" s="12"/>
      <c r="O383" s="10" t="str">
        <f>HYPERLINK("https://pbs.twimg.com/profile_images/3625979673/acb661eae563d818836eb138c74e91f7_normal.jpeg","View")</f>
        <v>View</v>
      </c>
      <c r="P383" s="11"/>
    </row>
    <row r="384" spans="1:16" ht="12.75" x14ac:dyDescent="0.35">
      <c r="A384" s="7">
        <v>42475.625798611116</v>
      </c>
      <c r="B384" s="8" t="str">
        <f t="shared" ref="B384:B385" si="32">HYPERLINK("https://twitter.com/INDIZbot","@INDIZbot")</f>
        <v>@INDIZbot</v>
      </c>
      <c r="C384" s="9" t="s">
        <v>61</v>
      </c>
      <c r="D384" s="9" t="s">
        <v>977</v>
      </c>
      <c r="E384" s="10" t="str">
        <f>HYPERLINK("https://twitter.com/INDIZbot/status/720907300911898624","720907300911898624")</f>
        <v>720907300911898624</v>
      </c>
      <c r="F384" s="11" t="s">
        <v>62</v>
      </c>
      <c r="G384" s="11">
        <v>1762</v>
      </c>
      <c r="H384" s="11">
        <v>481</v>
      </c>
      <c r="I384" s="11">
        <v>3</v>
      </c>
      <c r="J384" s="11">
        <v>0</v>
      </c>
      <c r="K384" s="11" t="s">
        <v>21</v>
      </c>
      <c r="L384" s="7">
        <v>42267.011921296296</v>
      </c>
      <c r="M384" s="12"/>
      <c r="N384" s="12" t="s">
        <v>63</v>
      </c>
      <c r="O384" s="10" t="str">
        <f t="shared" ref="O384:O385" si="33">HYPERLINK("https://pbs.twimg.com/profile_images/645716711723925506/t5G0qOS6_normal.jpg","View")</f>
        <v>View</v>
      </c>
      <c r="P384" s="11"/>
    </row>
    <row r="385" spans="1:16" ht="12.75" x14ac:dyDescent="0.35">
      <c r="A385" s="7">
        <v>42475.626192129625</v>
      </c>
      <c r="B385" s="8" t="str">
        <f t="shared" si="32"/>
        <v>@INDIZbot</v>
      </c>
      <c r="C385" s="9" t="s">
        <v>61</v>
      </c>
      <c r="D385" s="9" t="s">
        <v>978</v>
      </c>
      <c r="E385" s="10" t="str">
        <f>HYPERLINK("https://twitter.com/INDIZbot/status/720907443799224320","720907443799224320")</f>
        <v>720907443799224320</v>
      </c>
      <c r="F385" s="11" t="s">
        <v>62</v>
      </c>
      <c r="G385" s="11">
        <v>1762</v>
      </c>
      <c r="H385" s="11">
        <v>481</v>
      </c>
      <c r="I385" s="11">
        <v>1</v>
      </c>
      <c r="J385" s="11">
        <v>0</v>
      </c>
      <c r="K385" s="11" t="s">
        <v>21</v>
      </c>
      <c r="L385" s="7">
        <v>42267.011921296296</v>
      </c>
      <c r="M385" s="12"/>
      <c r="N385" s="12" t="s">
        <v>63</v>
      </c>
      <c r="O385" s="10" t="str">
        <f t="shared" si="33"/>
        <v>View</v>
      </c>
      <c r="P385" s="11"/>
    </row>
    <row r="386" spans="1:16" ht="12.75" x14ac:dyDescent="0.35">
      <c r="A386" s="7">
        <v>42475.630219907413</v>
      </c>
      <c r="B386" s="8" t="str">
        <f>HYPERLINK("https://twitter.com/topometric","@topometric")</f>
        <v>@topometric</v>
      </c>
      <c r="C386" s="9" t="s">
        <v>979</v>
      </c>
      <c r="D386" s="9" t="s">
        <v>980</v>
      </c>
      <c r="E386" s="10" t="str">
        <f>HYPERLINK("https://twitter.com/topometric/status/720908907036741632","720908907036741632")</f>
        <v>720908907036741632</v>
      </c>
      <c r="F386" s="11" t="s">
        <v>25</v>
      </c>
      <c r="G386" s="11">
        <v>194</v>
      </c>
      <c r="H386" s="11">
        <v>184</v>
      </c>
      <c r="I386" s="11">
        <v>0</v>
      </c>
      <c r="J386" s="11">
        <v>0</v>
      </c>
      <c r="K386" s="11" t="s">
        <v>21</v>
      </c>
      <c r="L386" s="7">
        <v>40260.605613425927</v>
      </c>
      <c r="M386" s="12" t="s">
        <v>981</v>
      </c>
      <c r="N386" s="12" t="s">
        <v>982</v>
      </c>
      <c r="O386" s="10" t="str">
        <f>HYPERLINK("https://pbs.twimg.com/profile_images/2852333596/b758613f0f0e093a5895033c8ef9e6d1_normal.png","View")</f>
        <v>View</v>
      </c>
      <c r="P386" s="11"/>
    </row>
    <row r="387" spans="1:16" ht="12.75" x14ac:dyDescent="0.35">
      <c r="A387" s="7">
        <v>42475.630983796298</v>
      </c>
      <c r="B387" s="8" t="str">
        <f>HYPERLINK("https://twitter.com/echolotGruppe","@echolotGruppe")</f>
        <v>@echolotGruppe</v>
      </c>
      <c r="C387" s="9" t="s">
        <v>983</v>
      </c>
      <c r="D387" s="9" t="s">
        <v>984</v>
      </c>
      <c r="E387" s="10" t="str">
        <f>HYPERLINK("https://twitter.com/echolotGruppe/status/720909181423919104","720909181423919104")</f>
        <v>720909181423919104</v>
      </c>
      <c r="F387" s="11" t="s">
        <v>25</v>
      </c>
      <c r="G387" s="11">
        <v>34</v>
      </c>
      <c r="H387" s="11">
        <v>89</v>
      </c>
      <c r="I387" s="11">
        <v>1</v>
      </c>
      <c r="J387" s="11">
        <v>1</v>
      </c>
      <c r="K387" s="11" t="s">
        <v>21</v>
      </c>
      <c r="L387" s="7">
        <v>41358.545104166667</v>
      </c>
      <c r="M387" s="12" t="s">
        <v>985</v>
      </c>
      <c r="N387" s="12" t="s">
        <v>986</v>
      </c>
      <c r="O387" s="10" t="str">
        <f>HYPERLINK("https://pbs.twimg.com/profile_images/651379403469926400/6LZT8xnc_normal.jpg","View")</f>
        <v>View</v>
      </c>
      <c r="P387" s="11"/>
    </row>
    <row r="388" spans="1:16" ht="12.75" x14ac:dyDescent="0.35">
      <c r="A388" s="7">
        <v>42475.631921296299</v>
      </c>
      <c r="B388" s="8" t="str">
        <f>HYPERLINK("https://twitter.com/Gruendercoaches","@Gruendercoaches")</f>
        <v>@Gruendercoaches</v>
      </c>
      <c r="C388" s="9" t="s">
        <v>987</v>
      </c>
      <c r="D388" s="9" t="s">
        <v>977</v>
      </c>
      <c r="E388" s="10" t="str">
        <f>HYPERLINK("https://twitter.com/Gruendercoaches/status/720909521711939584","720909521711939584")</f>
        <v>720909521711939584</v>
      </c>
      <c r="F388" s="11" t="s">
        <v>20</v>
      </c>
      <c r="G388" s="11">
        <v>4951</v>
      </c>
      <c r="H388" s="11">
        <v>1604</v>
      </c>
      <c r="I388" s="11">
        <v>3</v>
      </c>
      <c r="J388" s="11">
        <v>0</v>
      </c>
      <c r="K388" s="11" t="s">
        <v>21</v>
      </c>
      <c r="L388" s="7">
        <v>40865.780300925922</v>
      </c>
      <c r="M388" s="12" t="s">
        <v>218</v>
      </c>
      <c r="N388" s="12" t="s">
        <v>988</v>
      </c>
      <c r="O388" s="10" t="str">
        <f>HYPERLINK("https://pbs.twimg.com/profile_images/561208179355185153/11KDu7Gt_normal.png","View")</f>
        <v>View</v>
      </c>
      <c r="P388" s="11"/>
    </row>
    <row r="389" spans="1:16" ht="12.75" x14ac:dyDescent="0.35">
      <c r="A389" s="7">
        <v>42475.635509259257</v>
      </c>
      <c r="B389" s="8" t="str">
        <f>HYPERLINK("https://twitter.com/blisslogixIT","@blisslogixIT")</f>
        <v>@blisslogixIT</v>
      </c>
      <c r="C389" s="9" t="s">
        <v>969</v>
      </c>
      <c r="D389" s="9" t="s">
        <v>977</v>
      </c>
      <c r="E389" s="10" t="str">
        <f>HYPERLINK("https://twitter.com/blisslogixIT/status/720910821279338497","720910821279338497")</f>
        <v>720910821279338497</v>
      </c>
      <c r="F389" s="11" t="s">
        <v>437</v>
      </c>
      <c r="G389" s="11">
        <v>10911</v>
      </c>
      <c r="H389" s="11">
        <v>2547</v>
      </c>
      <c r="I389" s="11">
        <v>3</v>
      </c>
      <c r="J389" s="11">
        <v>0</v>
      </c>
      <c r="K389" s="11" t="s">
        <v>21</v>
      </c>
      <c r="L389" s="7">
        <v>40999.937476851854</v>
      </c>
      <c r="M389" s="12" t="s">
        <v>970</v>
      </c>
      <c r="N389" s="12" t="s">
        <v>971</v>
      </c>
      <c r="O389" s="10" t="str">
        <f>HYPERLINK("https://pbs.twimg.com/profile_images/608288196506456064/4N_hoRll_normal.png","View")</f>
        <v>View</v>
      </c>
      <c r="P389" s="11"/>
    </row>
    <row r="390" spans="1:16" ht="12.75" x14ac:dyDescent="0.35">
      <c r="A390" s="7">
        <v>42475.637812500005</v>
      </c>
      <c r="B390" s="8" t="str">
        <f>HYPERLINK("https://twitter.com/wolf_gregor","@wolf_gregor")</f>
        <v>@wolf_gregor</v>
      </c>
      <c r="C390" s="9" t="s">
        <v>989</v>
      </c>
      <c r="D390" s="9" t="s">
        <v>990</v>
      </c>
      <c r="E390" s="10" t="str">
        <f>HYPERLINK("https://twitter.com/wolf_gregor/status/720911655899635712","720911655899635712")</f>
        <v>720911655899635712</v>
      </c>
      <c r="F390" s="11" t="s">
        <v>25</v>
      </c>
      <c r="G390" s="11">
        <v>4773</v>
      </c>
      <c r="H390" s="11">
        <v>915</v>
      </c>
      <c r="I390" s="11">
        <v>2</v>
      </c>
      <c r="J390" s="11">
        <v>3</v>
      </c>
      <c r="K390" s="11" t="s">
        <v>21</v>
      </c>
      <c r="L390" s="7">
        <v>39153.791944444441</v>
      </c>
      <c r="M390" s="12" t="s">
        <v>991</v>
      </c>
      <c r="N390" s="12" t="s">
        <v>992</v>
      </c>
      <c r="O390" s="10" t="str">
        <f>HYPERLINK("https://pbs.twimg.com/profile_images/1640880350/SAPMentor2012-512_normal.jpg","View")</f>
        <v>View</v>
      </c>
      <c r="P390" s="11"/>
    </row>
    <row r="391" spans="1:16" ht="12.75" x14ac:dyDescent="0.35">
      <c r="A391" s="7">
        <v>42475.637916666667</v>
      </c>
      <c r="B391" s="8" t="str">
        <f>HYPERLINK("https://twitter.com/Balluff","@Balluff")</f>
        <v>@Balluff</v>
      </c>
      <c r="C391" s="9" t="s">
        <v>357</v>
      </c>
      <c r="D391" s="9" t="s">
        <v>993</v>
      </c>
      <c r="E391" s="10" t="str">
        <f>HYPERLINK("https://twitter.com/Balluff/status/720911695837794304","720911695837794304")</f>
        <v>720911695837794304</v>
      </c>
      <c r="F391" s="11" t="s">
        <v>25</v>
      </c>
      <c r="G391" s="11">
        <v>1545</v>
      </c>
      <c r="H391" s="11">
        <v>444</v>
      </c>
      <c r="I391" s="11">
        <v>1</v>
      </c>
      <c r="J391" s="11">
        <v>0</v>
      </c>
      <c r="K391" s="11" t="s">
        <v>21</v>
      </c>
      <c r="L391" s="7">
        <v>39842.576643518521</v>
      </c>
      <c r="M391" s="12" t="s">
        <v>359</v>
      </c>
      <c r="N391" s="12" t="s">
        <v>360</v>
      </c>
      <c r="O391" s="10" t="str">
        <f>HYPERLINK("https://pbs.twimg.com/profile_images/663668561366245376/2ovYiiJf_normal.jpg","View")</f>
        <v>View</v>
      </c>
      <c r="P391" s="11"/>
    </row>
    <row r="392" spans="1:16" ht="12.75" x14ac:dyDescent="0.35">
      <c r="A392" s="7">
        <v>42475.640347222223</v>
      </c>
      <c r="B392" s="8" t="str">
        <f>HYPERLINK("https://twitter.com/HeikeFiedlerPhe","@HeikeFiedlerPhe")</f>
        <v>@HeikeFiedlerPhe</v>
      </c>
      <c r="C392" s="9" t="s">
        <v>994</v>
      </c>
      <c r="D392" s="9" t="s">
        <v>995</v>
      </c>
      <c r="E392" s="10" t="str">
        <f>HYPERLINK("https://twitter.com/HeikeFiedlerPhe/status/720912577220505601","720912577220505601")</f>
        <v>720912577220505601</v>
      </c>
      <c r="F392" s="11" t="s">
        <v>31</v>
      </c>
      <c r="G392" s="11">
        <v>134</v>
      </c>
      <c r="H392" s="11">
        <v>139</v>
      </c>
      <c r="I392" s="11">
        <v>2</v>
      </c>
      <c r="J392" s="11">
        <v>0</v>
      </c>
      <c r="K392" s="11" t="s">
        <v>21</v>
      </c>
      <c r="L392" s="7">
        <v>41054.116215277776</v>
      </c>
      <c r="M392" s="12" t="s">
        <v>996</v>
      </c>
      <c r="N392" s="12" t="s">
        <v>997</v>
      </c>
      <c r="O392" s="10" t="str">
        <f>HYPERLINK("https://pbs.twimg.com/profile_images/2247114895/HatcherPass_normal.jpg","View")</f>
        <v>View</v>
      </c>
      <c r="P392" s="11"/>
    </row>
    <row r="393" spans="1:16" ht="12.75" x14ac:dyDescent="0.35">
      <c r="A393" s="7">
        <v>42475.642546296294</v>
      </c>
      <c r="B393" s="8" t="str">
        <f>HYPERLINK("https://twitter.com/PwC_France","@PwC_France")</f>
        <v>@PwC_France</v>
      </c>
      <c r="C393" s="9" t="s">
        <v>97</v>
      </c>
      <c r="D393" s="9" t="s">
        <v>998</v>
      </c>
      <c r="E393" s="10" t="str">
        <f>HYPERLINK("https://twitter.com/PwC_France/status/720913372997382144","720913372997382144")</f>
        <v>720913372997382144</v>
      </c>
      <c r="F393" s="11" t="s">
        <v>39</v>
      </c>
      <c r="G393" s="11">
        <v>8557</v>
      </c>
      <c r="H393" s="11">
        <v>345</v>
      </c>
      <c r="I393" s="11">
        <v>10</v>
      </c>
      <c r="J393" s="11">
        <v>6</v>
      </c>
      <c r="K393" s="11" t="s">
        <v>21</v>
      </c>
      <c r="L393" s="7">
        <v>39988.737199074072</v>
      </c>
      <c r="M393" s="12"/>
      <c r="N393" s="12" t="s">
        <v>99</v>
      </c>
      <c r="O393" s="10" t="str">
        <f>HYPERLINK("https://pbs.twimg.com/profile_images/623103587527344128/2HZGdh68_normal.png","View")</f>
        <v>View</v>
      </c>
      <c r="P393" s="11"/>
    </row>
    <row r="394" spans="1:16" ht="12.75" x14ac:dyDescent="0.35">
      <c r="A394" s="7">
        <v>42475.647731481484</v>
      </c>
      <c r="B394" s="8" t="str">
        <f>HYPERLINK("https://twitter.com/Silex_France","@Silex_France")</f>
        <v>@Silex_France</v>
      </c>
      <c r="C394" s="9" t="s">
        <v>999</v>
      </c>
      <c r="D394" s="9" t="s">
        <v>1000</v>
      </c>
      <c r="E394" s="10" t="str">
        <f>HYPERLINK("https://twitter.com/Silex_France/status/720915250304966656","720915250304966656")</f>
        <v>720915250304966656</v>
      </c>
      <c r="F394" s="11" t="s">
        <v>25</v>
      </c>
      <c r="G394" s="11">
        <v>1000</v>
      </c>
      <c r="H394" s="11">
        <v>664</v>
      </c>
      <c r="I394" s="11">
        <v>10</v>
      </c>
      <c r="J394" s="11">
        <v>0</v>
      </c>
      <c r="K394" s="11" t="s">
        <v>21</v>
      </c>
      <c r="L394" s="7">
        <v>41795.030532407407</v>
      </c>
      <c r="M394" s="12" t="s">
        <v>243</v>
      </c>
      <c r="N394" s="12" t="s">
        <v>1001</v>
      </c>
      <c r="O394" s="10" t="str">
        <f>HYPERLINK("https://pbs.twimg.com/profile_images/554983681148727297/X_vneDtT_normal.jpeg","View")</f>
        <v>View</v>
      </c>
      <c r="P394" s="11"/>
    </row>
    <row r="395" spans="1:16" ht="12.75" x14ac:dyDescent="0.35">
      <c r="A395" s="7">
        <v>42475.650046296301</v>
      </c>
      <c r="B395" s="8" t="str">
        <f>HYPERLINK("https://twitter.com/Mtl_Paris","@Mtl_Paris")</f>
        <v>@Mtl_Paris</v>
      </c>
      <c r="C395" s="9" t="s">
        <v>1002</v>
      </c>
      <c r="D395" s="9" t="s">
        <v>1003</v>
      </c>
      <c r="E395" s="10" t="str">
        <f>HYPERLINK("https://twitter.com/Mtl_Paris/status/720916089958436865","720916089958436865")</f>
        <v>720916089958436865</v>
      </c>
      <c r="F395" s="11" t="s">
        <v>20</v>
      </c>
      <c r="G395" s="11">
        <v>559</v>
      </c>
      <c r="H395" s="11">
        <v>517</v>
      </c>
      <c r="I395" s="11">
        <v>2</v>
      </c>
      <c r="J395" s="11">
        <v>0</v>
      </c>
      <c r="K395" s="11" t="s">
        <v>21</v>
      </c>
      <c r="L395" s="7">
        <v>40210.794305555552</v>
      </c>
      <c r="M395" s="12"/>
      <c r="N395" s="12" t="s">
        <v>1004</v>
      </c>
      <c r="O395" s="10" t="str">
        <f>HYPERLINK("https://pbs.twimg.com/profile_images/716373972904968192/6q0-4b_8_normal.jpg","View")</f>
        <v>View</v>
      </c>
      <c r="P395" s="11"/>
    </row>
    <row r="396" spans="1:16" ht="12.75" x14ac:dyDescent="0.35">
      <c r="A396" s="7">
        <v>42475.650243055556</v>
      </c>
      <c r="B396" s="8" t="str">
        <f t="shared" ref="B396:B397" si="34">HYPERLINK("https://twitter.com/_DSAG","@_DSAG")</f>
        <v>@_DSAG</v>
      </c>
      <c r="C396" s="9" t="s">
        <v>1005</v>
      </c>
      <c r="D396" s="9" t="s">
        <v>995</v>
      </c>
      <c r="E396" s="10" t="str">
        <f>HYPERLINK("https://twitter.com/_DSAG/status/720916161085489153","720916161085489153")</f>
        <v>720916161085489153</v>
      </c>
      <c r="F396" s="11" t="s">
        <v>31</v>
      </c>
      <c r="G396" s="11">
        <v>2202</v>
      </c>
      <c r="H396" s="11">
        <v>733</v>
      </c>
      <c r="I396" s="11">
        <v>2</v>
      </c>
      <c r="J396" s="11">
        <v>0</v>
      </c>
      <c r="K396" s="11" t="s">
        <v>21</v>
      </c>
      <c r="L396" s="7">
        <v>39968.62976851852</v>
      </c>
      <c r="M396" s="12" t="s">
        <v>1006</v>
      </c>
      <c r="N396" s="12" t="s">
        <v>1007</v>
      </c>
      <c r="O396" s="10" t="str">
        <f t="shared" ref="O396:O397" si="35">HYPERLINK("https://pbs.twimg.com/profile_images/511887094579343360/p8leXtYW_normal.jpeg","View")</f>
        <v>View</v>
      </c>
      <c r="P396" s="11"/>
    </row>
    <row r="397" spans="1:16" ht="12.75" x14ac:dyDescent="0.35">
      <c r="A397" s="7">
        <v>42475.650729166664</v>
      </c>
      <c r="B397" s="8" t="str">
        <f t="shared" si="34"/>
        <v>@_DSAG</v>
      </c>
      <c r="C397" s="9" t="s">
        <v>1005</v>
      </c>
      <c r="D397" s="9" t="s">
        <v>1008</v>
      </c>
      <c r="E397" s="10" t="str">
        <f>HYPERLINK("https://twitter.com/_DSAG/status/720916337497915392","720916337497915392")</f>
        <v>720916337497915392</v>
      </c>
      <c r="F397" s="11" t="s">
        <v>31</v>
      </c>
      <c r="G397" s="11">
        <v>2202</v>
      </c>
      <c r="H397" s="11">
        <v>733</v>
      </c>
      <c r="I397" s="11">
        <v>10</v>
      </c>
      <c r="J397" s="11">
        <v>0</v>
      </c>
      <c r="K397" s="11" t="s">
        <v>21</v>
      </c>
      <c r="L397" s="7">
        <v>39968.62976851852</v>
      </c>
      <c r="M397" s="12" t="s">
        <v>1006</v>
      </c>
      <c r="N397" s="12" t="s">
        <v>1007</v>
      </c>
      <c r="O397" s="10" t="str">
        <f t="shared" si="35"/>
        <v>View</v>
      </c>
      <c r="P397" s="11"/>
    </row>
    <row r="398" spans="1:16" ht="12.75" x14ac:dyDescent="0.35">
      <c r="A398" s="7">
        <v>42475.652349537035</v>
      </c>
      <c r="B398" s="8" t="str">
        <f>HYPERLINK("https://twitter.com/HeikeFiedlerPhe","@HeikeFiedlerPhe")</f>
        <v>@HeikeFiedlerPhe</v>
      </c>
      <c r="C398" s="9" t="s">
        <v>994</v>
      </c>
      <c r="D398" s="9" t="s">
        <v>1008</v>
      </c>
      <c r="E398" s="10" t="str">
        <f>HYPERLINK("https://twitter.com/HeikeFiedlerPhe/status/720916925996527616","720916925996527616")</f>
        <v>720916925996527616</v>
      </c>
      <c r="F398" s="11" t="s">
        <v>31</v>
      </c>
      <c r="G398" s="11">
        <v>134</v>
      </c>
      <c r="H398" s="11">
        <v>139</v>
      </c>
      <c r="I398" s="11">
        <v>10</v>
      </c>
      <c r="J398" s="11">
        <v>0</v>
      </c>
      <c r="K398" s="11" t="s">
        <v>21</v>
      </c>
      <c r="L398" s="7">
        <v>41054.116215277776</v>
      </c>
      <c r="M398" s="12" t="s">
        <v>996</v>
      </c>
      <c r="N398" s="12" t="s">
        <v>997</v>
      </c>
      <c r="O398" s="10" t="str">
        <f>HYPERLINK("https://pbs.twimg.com/profile_images/2247114895/HatcherPass_normal.jpg","View")</f>
        <v>View</v>
      </c>
      <c r="P398" s="11"/>
    </row>
    <row r="399" spans="1:16" ht="12.75" x14ac:dyDescent="0.35">
      <c r="A399" s="7">
        <v>42475.655046296291</v>
      </c>
      <c r="B399" s="8" t="str">
        <f>HYPERLINK("https://twitter.com/ASUG_BI","@ASUG_BI")</f>
        <v>@ASUG_BI</v>
      </c>
      <c r="C399" s="9" t="s">
        <v>1009</v>
      </c>
      <c r="D399" s="9" t="s">
        <v>1008</v>
      </c>
      <c r="E399" s="10" t="str">
        <f>HYPERLINK("https://twitter.com/ASUG_BI/status/720917900618571776","720917900618571776")</f>
        <v>720917900618571776</v>
      </c>
      <c r="F399" s="11" t="s">
        <v>29</v>
      </c>
      <c r="G399" s="11">
        <v>2958</v>
      </c>
      <c r="H399" s="11">
        <v>184</v>
      </c>
      <c r="I399" s="11">
        <v>10</v>
      </c>
      <c r="J399" s="11">
        <v>0</v>
      </c>
      <c r="K399" s="11" t="s">
        <v>21</v>
      </c>
      <c r="L399" s="7">
        <v>40165.722673611112</v>
      </c>
      <c r="M399" s="12" t="s">
        <v>1010</v>
      </c>
      <c r="N399" s="12" t="s">
        <v>1011</v>
      </c>
      <c r="O399" s="10" t="str">
        <f>HYPERLINK("https://pbs.twimg.com/profile_images/2313098110/4snjglcjaqs64pw8v2kf_normal.jpeg","View")</f>
        <v>View</v>
      </c>
      <c r="P399" s="11"/>
    </row>
    <row r="400" spans="1:16" ht="12.75" x14ac:dyDescent="0.35">
      <c r="A400" s="7">
        <v>42475.663819444446</v>
      </c>
      <c r="B400" s="8" t="str">
        <f>HYPERLINK("https://twitter.com/veronique_abela","@veronique_abela")</f>
        <v>@veronique_abela</v>
      </c>
      <c r="C400" s="9" t="s">
        <v>1012</v>
      </c>
      <c r="D400" s="9" t="s">
        <v>924</v>
      </c>
      <c r="E400" s="10" t="str">
        <f>HYPERLINK("https://twitter.com/veronique_abela/status/720921081377370112","720921081377370112")</f>
        <v>720921081377370112</v>
      </c>
      <c r="F400" s="11" t="s">
        <v>84</v>
      </c>
      <c r="G400" s="11">
        <v>16</v>
      </c>
      <c r="H400" s="11">
        <v>33</v>
      </c>
      <c r="I400" s="11">
        <v>10</v>
      </c>
      <c r="J400" s="11">
        <v>0</v>
      </c>
      <c r="K400" s="11" t="s">
        <v>21</v>
      </c>
      <c r="L400" s="7">
        <v>42356.695752314816</v>
      </c>
      <c r="M400" s="12"/>
      <c r="N400" s="12"/>
      <c r="O400" s="10" t="str">
        <f>HYPERLINK("https://pbs.twimg.com/profile_images/677809625719263232/CoI0S7eW_normal.jpg","View")</f>
        <v>View</v>
      </c>
      <c r="P400" s="11"/>
    </row>
    <row r="401" spans="1:16" ht="12.75" x14ac:dyDescent="0.35">
      <c r="A401" s="7">
        <v>42475.664085648154</v>
      </c>
      <c r="B401" s="8" t="str">
        <f>HYPERLINK("https://twitter.com/DamDamCom","@DamDamCom")</f>
        <v>@DamDamCom</v>
      </c>
      <c r="C401" s="9" t="s">
        <v>1013</v>
      </c>
      <c r="D401" s="9" t="s">
        <v>1000</v>
      </c>
      <c r="E401" s="10" t="str">
        <f>HYPERLINK("https://twitter.com/DamDamCom/status/720921177678561281","720921177678561281")</f>
        <v>720921177678561281</v>
      </c>
      <c r="F401" s="11" t="s">
        <v>31</v>
      </c>
      <c r="G401" s="11">
        <v>382</v>
      </c>
      <c r="H401" s="11">
        <v>1269</v>
      </c>
      <c r="I401" s="11">
        <v>10</v>
      </c>
      <c r="J401" s="11">
        <v>0</v>
      </c>
      <c r="K401" s="11" t="s">
        <v>21</v>
      </c>
      <c r="L401" s="7">
        <v>39913.942789351851</v>
      </c>
      <c r="M401" s="12" t="s">
        <v>243</v>
      </c>
      <c r="N401" s="12" t="s">
        <v>1014</v>
      </c>
      <c r="O401" s="10" t="str">
        <f>HYPERLINK("https://pbs.twimg.com/profile_images/689494495101087744/QiE7i7oZ_normal.jpg","View")</f>
        <v>View</v>
      </c>
      <c r="P401" s="11"/>
    </row>
    <row r="402" spans="1:16" ht="12.75" x14ac:dyDescent="0.35">
      <c r="A402" s="7">
        <v>42475.665347222224</v>
      </c>
      <c r="B402" s="8" t="str">
        <f>HYPERLINK("https://twitter.com/FACTS4WORKERS","@FACTS4WORKERS")</f>
        <v>@FACTS4WORKERS</v>
      </c>
      <c r="C402" s="9" t="s">
        <v>1015</v>
      </c>
      <c r="D402" s="9" t="s">
        <v>186</v>
      </c>
      <c r="E402" s="10" t="str">
        <f>HYPERLINK("https://twitter.com/FACTS4WORKERS/status/720921636669689856","720921636669689856")</f>
        <v>720921636669689856</v>
      </c>
      <c r="F402" s="11" t="s">
        <v>25</v>
      </c>
      <c r="G402" s="11">
        <v>138</v>
      </c>
      <c r="H402" s="11">
        <v>295</v>
      </c>
      <c r="I402" s="11">
        <v>2</v>
      </c>
      <c r="J402" s="11">
        <v>0</v>
      </c>
      <c r="K402" s="11" t="s">
        <v>21</v>
      </c>
      <c r="L402" s="7">
        <v>42034.990567129629</v>
      </c>
      <c r="M402" s="12" t="s">
        <v>1016</v>
      </c>
      <c r="N402" s="12" t="s">
        <v>1017</v>
      </c>
      <c r="O402" s="10" t="str">
        <f>HYPERLINK("https://pbs.twimg.com/profile_images/585755321416687616/BYqDL_No_normal.png","View")</f>
        <v>View</v>
      </c>
      <c r="P402" s="11"/>
    </row>
    <row r="403" spans="1:16" ht="12.75" x14ac:dyDescent="0.35">
      <c r="A403" s="7">
        <v>42475.665625000001</v>
      </c>
      <c r="B403" s="8" t="str">
        <f>HYPERLINK("https://twitter.com/Celyn_david","@Celyn_david")</f>
        <v>@Celyn_david</v>
      </c>
      <c r="C403" s="9" t="s">
        <v>1018</v>
      </c>
      <c r="D403" s="9" t="s">
        <v>924</v>
      </c>
      <c r="E403" s="10" t="str">
        <f>HYPERLINK("https://twitter.com/Celyn_david/status/720921734753480704","720921734753480704")</f>
        <v>720921734753480704</v>
      </c>
      <c r="F403" s="11" t="s">
        <v>84</v>
      </c>
      <c r="G403" s="11">
        <v>18</v>
      </c>
      <c r="H403" s="11">
        <v>26</v>
      </c>
      <c r="I403" s="11">
        <v>10</v>
      </c>
      <c r="J403" s="11">
        <v>0</v>
      </c>
      <c r="K403" s="11" t="s">
        <v>21</v>
      </c>
      <c r="L403" s="7">
        <v>42387.869629629626</v>
      </c>
      <c r="M403" s="12" t="s">
        <v>214</v>
      </c>
      <c r="N403" s="12" t="s">
        <v>1019</v>
      </c>
      <c r="O403" s="10" t="str">
        <f>HYPERLINK("https://pbs.twimg.com/profile_images/692741210029592576/qnxpEsZ9_normal.png","View")</f>
        <v>View</v>
      </c>
      <c r="P403" s="11"/>
    </row>
    <row r="404" spans="1:16" ht="12.75" x14ac:dyDescent="0.35">
      <c r="A404" s="7">
        <v>42475.668414351851</v>
      </c>
      <c r="B404" s="8" t="str">
        <f>HYPERLINK("https://twitter.com/tobias_goers","@tobias_goers")</f>
        <v>@tobias_goers</v>
      </c>
      <c r="C404" s="9" t="s">
        <v>1020</v>
      </c>
      <c r="D404" s="9" t="s">
        <v>1021</v>
      </c>
      <c r="E404" s="10" t="str">
        <f>HYPERLINK("https://twitter.com/tobias_goers/status/720922746948100096","720922746948100096")</f>
        <v>720922746948100096</v>
      </c>
      <c r="F404" s="11" t="s">
        <v>25</v>
      </c>
      <c r="G404" s="11">
        <v>649</v>
      </c>
      <c r="H404" s="11">
        <v>1310</v>
      </c>
      <c r="I404" s="11">
        <v>0</v>
      </c>
      <c r="J404" s="11">
        <v>1</v>
      </c>
      <c r="K404" s="11" t="s">
        <v>21</v>
      </c>
      <c r="L404" s="7">
        <v>42195.589988425927</v>
      </c>
      <c r="M404" s="12" t="s">
        <v>549</v>
      </c>
      <c r="N404" s="12" t="s">
        <v>1022</v>
      </c>
      <c r="O404" s="10" t="str">
        <f>HYPERLINK("https://pbs.twimg.com/profile_images/619429467434434560/ywWYiH5V_normal.jpg","View")</f>
        <v>View</v>
      </c>
      <c r="P404" s="11"/>
    </row>
    <row r="405" spans="1:16" ht="12.75" x14ac:dyDescent="0.35">
      <c r="A405" s="7">
        <v>42475.671157407407</v>
      </c>
      <c r="B405" s="8" t="str">
        <f>HYPERLINK("https://twitter.com/RudiKennes","@RudiKennes")</f>
        <v>@RudiKennes</v>
      </c>
      <c r="C405" s="9" t="s">
        <v>1023</v>
      </c>
      <c r="D405" s="9" t="s">
        <v>940</v>
      </c>
      <c r="E405" s="10" t="str">
        <f>HYPERLINK("https://twitter.com/RudiKennes/status/720923741727928320","720923741727928320")</f>
        <v>720923741727928320</v>
      </c>
      <c r="F405" s="11" t="s">
        <v>29</v>
      </c>
      <c r="G405" s="11">
        <v>1680</v>
      </c>
      <c r="H405" s="11">
        <v>560</v>
      </c>
      <c r="I405" s="11">
        <v>3</v>
      </c>
      <c r="J405" s="11">
        <v>0</v>
      </c>
      <c r="K405" s="11" t="s">
        <v>21</v>
      </c>
      <c r="L405" s="7">
        <v>41140.169085648144</v>
      </c>
      <c r="M405" s="12" t="s">
        <v>1024</v>
      </c>
      <c r="N405" s="12" t="s">
        <v>1025</v>
      </c>
      <c r="O405" s="10" t="str">
        <f>HYPERLINK("https://pbs.twimg.com/profile_images/2519056312/image_normal.jpg","View")</f>
        <v>View</v>
      </c>
      <c r="P405" s="11"/>
    </row>
    <row r="406" spans="1:16" ht="12.75" x14ac:dyDescent="0.35">
      <c r="A406" s="7">
        <v>42475.673449074078</v>
      </c>
      <c r="B406" s="8" t="str">
        <f>HYPERLINK("https://twitter.com/FK_Verband","@FK_Verband")</f>
        <v>@FK_Verband</v>
      </c>
      <c r="C406" s="9" t="s">
        <v>1026</v>
      </c>
      <c r="D406" s="9" t="s">
        <v>819</v>
      </c>
      <c r="E406" s="10" t="str">
        <f>HYPERLINK("https://twitter.com/FK_Verband/status/720924569138241536","720924569138241536")</f>
        <v>720924569138241536</v>
      </c>
      <c r="F406" s="11" t="s">
        <v>25</v>
      </c>
      <c r="G406" s="11">
        <v>758</v>
      </c>
      <c r="H406" s="11">
        <v>423</v>
      </c>
      <c r="I406" s="11">
        <v>9</v>
      </c>
      <c r="J406" s="11">
        <v>0</v>
      </c>
      <c r="K406" s="11" t="s">
        <v>21</v>
      </c>
      <c r="L406" s="7">
        <v>41680.78297453704</v>
      </c>
      <c r="M406" s="12" t="s">
        <v>1027</v>
      </c>
      <c r="N406" s="12" t="s">
        <v>1028</v>
      </c>
      <c r="O406" s="10" t="str">
        <f>HYPERLINK("https://pbs.twimg.com/profile_images/459666685952151552/oULR8mG1_normal.png","View")</f>
        <v>View</v>
      </c>
      <c r="P406" s="11"/>
    </row>
    <row r="407" spans="1:16" ht="12.75" x14ac:dyDescent="0.35">
      <c r="A407" s="7">
        <v>42475.679155092592</v>
      </c>
      <c r="B407" s="8" t="str">
        <f>HYPERLINK("https://twitter.com/leanbi1","@leanbi1")</f>
        <v>@leanbi1</v>
      </c>
      <c r="C407" s="9" t="s">
        <v>1029</v>
      </c>
      <c r="D407" s="9" t="s">
        <v>1030</v>
      </c>
      <c r="E407" s="10" t="str">
        <f>HYPERLINK("https://twitter.com/leanbi1/status/720926637458604032","720926637458604032")</f>
        <v>720926637458604032</v>
      </c>
      <c r="F407" s="11" t="s">
        <v>25</v>
      </c>
      <c r="G407" s="11">
        <v>24</v>
      </c>
      <c r="H407" s="11">
        <v>10</v>
      </c>
      <c r="I407" s="11">
        <v>1</v>
      </c>
      <c r="J407" s="11">
        <v>0</v>
      </c>
      <c r="K407" s="11" t="s">
        <v>21</v>
      </c>
      <c r="L407" s="7">
        <v>41904.483576388891</v>
      </c>
      <c r="M407" s="12" t="s">
        <v>1031</v>
      </c>
      <c r="N407" s="12" t="s">
        <v>1032</v>
      </c>
      <c r="O407" s="10" t="str">
        <f>HYPERLINK("https://pbs.twimg.com/profile_images/538362637386403840/A-4Av9_s_normal.jpeg","View")</f>
        <v>View</v>
      </c>
      <c r="P407" s="11"/>
    </row>
    <row r="408" spans="1:16" ht="12.75" x14ac:dyDescent="0.35">
      <c r="A408" s="7">
        <v>42475.679652777777</v>
      </c>
      <c r="B408" s="8" t="str">
        <f>HYPERLINK("https://twitter.com/Endress_Hauser","@Endress_Hauser")</f>
        <v>@Endress_Hauser</v>
      </c>
      <c r="C408" s="9" t="s">
        <v>1033</v>
      </c>
      <c r="D408" s="9" t="s">
        <v>1034</v>
      </c>
      <c r="E408" s="10" t="str">
        <f>HYPERLINK("https://twitter.com/Endress_Hauser/status/720926817889230848","720926817889230848")</f>
        <v>720926817889230848</v>
      </c>
      <c r="F408" s="11" t="s">
        <v>29</v>
      </c>
      <c r="G408" s="11">
        <v>5588</v>
      </c>
      <c r="H408" s="11">
        <v>82</v>
      </c>
      <c r="I408" s="11">
        <v>2</v>
      </c>
      <c r="J408" s="11">
        <v>0</v>
      </c>
      <c r="K408" s="11" t="s">
        <v>21</v>
      </c>
      <c r="L408" s="7">
        <v>39947.757210648146</v>
      </c>
      <c r="M408" s="12" t="s">
        <v>786</v>
      </c>
      <c r="N408" s="12" t="s">
        <v>1035</v>
      </c>
      <c r="O408" s="10" t="str">
        <f>HYPERLINK("https://pbs.twimg.com/profile_images/378800000725467177/1b5e4c6430e88c9990d7d87cff4a795c_normal.jpeg","View")</f>
        <v>View</v>
      </c>
      <c r="P408" s="11"/>
    </row>
    <row r="409" spans="1:16" ht="12.75" x14ac:dyDescent="0.35">
      <c r="A409" s="7">
        <v>42475.684097222227</v>
      </c>
      <c r="B409" s="8" t="str">
        <f>HYPERLINK("https://twitter.com/Apandia","@Apandia")</f>
        <v>@Apandia</v>
      </c>
      <c r="C409" s="9" t="s">
        <v>245</v>
      </c>
      <c r="D409" s="9" t="s">
        <v>1036</v>
      </c>
      <c r="E409" s="10" t="str">
        <f>HYPERLINK("https://twitter.com/Apandia/status/720928430770900992","720928430770900992")</f>
        <v>720928430770900992</v>
      </c>
      <c r="F409" s="11" t="s">
        <v>115</v>
      </c>
      <c r="G409" s="11">
        <v>196</v>
      </c>
      <c r="H409" s="11">
        <v>384</v>
      </c>
      <c r="I409" s="11">
        <v>0</v>
      </c>
      <c r="J409" s="11">
        <v>0</v>
      </c>
      <c r="K409" s="11" t="s">
        <v>21</v>
      </c>
      <c r="L409" s="7">
        <v>39966.049884259257</v>
      </c>
      <c r="M409" s="12" t="s">
        <v>247</v>
      </c>
      <c r="N409" s="12" t="s">
        <v>248</v>
      </c>
      <c r="O409" s="10" t="str">
        <f>HYPERLINK("https://pbs.twimg.com/profile_images/685327213/Apandia_normal.gif","View")</f>
        <v>View</v>
      </c>
      <c r="P409" s="11"/>
    </row>
    <row r="410" spans="1:16" ht="12.75" x14ac:dyDescent="0.35">
      <c r="A410" s="7">
        <v>42475.68549768519</v>
      </c>
      <c r="B410" s="8" t="str">
        <f>HYPERLINK("https://twitter.com/AllforOneSteeb","@AllforOneSteeb")</f>
        <v>@AllforOneSteeb</v>
      </c>
      <c r="C410" s="9" t="s">
        <v>1037</v>
      </c>
      <c r="D410" s="9" t="s">
        <v>1038</v>
      </c>
      <c r="E410" s="10" t="str">
        <f>HYPERLINK("https://twitter.com/AllforOneSteeb/status/720928936985784320","720928936985784320")</f>
        <v>720928936985784320</v>
      </c>
      <c r="F410" s="11" t="s">
        <v>25</v>
      </c>
      <c r="G410" s="11">
        <v>1165</v>
      </c>
      <c r="H410" s="11">
        <v>836</v>
      </c>
      <c r="I410" s="11">
        <v>0</v>
      </c>
      <c r="J410" s="11">
        <v>0</v>
      </c>
      <c r="K410" s="11" t="s">
        <v>21</v>
      </c>
      <c r="L410" s="7">
        <v>40073.807314814811</v>
      </c>
      <c r="M410" s="12" t="s">
        <v>1039</v>
      </c>
      <c r="N410" s="12" t="s">
        <v>1040</v>
      </c>
      <c r="O410" s="10" t="str">
        <f>HYPERLINK("https://pbs.twimg.com/profile_images/676737558961741824/extU0h2V_normal.jpg","View")</f>
        <v>View</v>
      </c>
      <c r="P410" s="11"/>
    </row>
    <row r="411" spans="1:16" ht="12.75" x14ac:dyDescent="0.35">
      <c r="A411" s="7">
        <v>42475.68686342593</v>
      </c>
      <c r="B411" s="8" t="str">
        <f>HYPERLINK("https://twitter.com/BeierMichael71","@BeierMichael71")</f>
        <v>@BeierMichael71</v>
      </c>
      <c r="C411" s="9" t="s">
        <v>1041</v>
      </c>
      <c r="D411" s="9" t="s">
        <v>1042</v>
      </c>
      <c r="E411" s="10" t="str">
        <f>HYPERLINK("https://twitter.com/BeierMichael71/status/720929432685453312","720929432685453312")</f>
        <v>720929432685453312</v>
      </c>
      <c r="F411" s="11" t="s">
        <v>25</v>
      </c>
      <c r="G411" s="11">
        <v>92</v>
      </c>
      <c r="H411" s="11">
        <v>345</v>
      </c>
      <c r="I411" s="11">
        <v>1</v>
      </c>
      <c r="J411" s="11">
        <v>0</v>
      </c>
      <c r="K411" s="11" t="s">
        <v>21</v>
      </c>
      <c r="L411" s="7">
        <v>41990.142141203702</v>
      </c>
      <c r="M411" s="12" t="s">
        <v>1043</v>
      </c>
      <c r="N411" s="12" t="s">
        <v>1044</v>
      </c>
      <c r="O411" s="10" t="str">
        <f>HYPERLINK("https://pbs.twimg.com/profile_images/704029343115300866/yUARofpi_normal.jpg","View")</f>
        <v>View</v>
      </c>
      <c r="P411" s="11"/>
    </row>
    <row r="412" spans="1:16" ht="12.75" x14ac:dyDescent="0.35">
      <c r="A412" s="7">
        <v>42475.687615740739</v>
      </c>
      <c r="B412" s="8" t="str">
        <f>HYPERLINK("https://twitter.com/verlinked","@verlinked")</f>
        <v>@verlinked</v>
      </c>
      <c r="C412" s="9" t="s">
        <v>263</v>
      </c>
      <c r="D412" s="9" t="s">
        <v>1045</v>
      </c>
      <c r="E412" s="10" t="str">
        <f>HYPERLINK("https://twitter.com/verlinked/status/720929704123871233","720929704123871233")</f>
        <v>720929704123871233</v>
      </c>
      <c r="F412" s="11" t="s">
        <v>115</v>
      </c>
      <c r="G412" s="11">
        <v>600</v>
      </c>
      <c r="H412" s="11">
        <v>1201</v>
      </c>
      <c r="I412" s="11">
        <v>0</v>
      </c>
      <c r="J412" s="11">
        <v>0</v>
      </c>
      <c r="K412" s="11" t="s">
        <v>21</v>
      </c>
      <c r="L412" s="7">
        <v>41463.077627314815</v>
      </c>
      <c r="M412" s="12" t="s">
        <v>265</v>
      </c>
      <c r="N412" s="12" t="s">
        <v>266</v>
      </c>
      <c r="O412" s="10" t="str">
        <f>HYPERLINK("https://pbs.twimg.com/profile_images/722385992343285760/ww8YLZ2q_normal.jpg","View")</f>
        <v>View</v>
      </c>
      <c r="P412" s="11"/>
    </row>
    <row r="413" spans="1:16" ht="12.75" x14ac:dyDescent="0.35">
      <c r="A413" s="7">
        <v>42475.69054398148</v>
      </c>
      <c r="B413" s="8" t="str">
        <f>HYPERLINK("https://twitter.com/HDSintGroup","@HDSintGroup")</f>
        <v>@HDSintGroup</v>
      </c>
      <c r="C413" s="9" t="s">
        <v>1046</v>
      </c>
      <c r="D413" s="9" t="s">
        <v>1047</v>
      </c>
      <c r="E413" s="10" t="str">
        <f>HYPERLINK("https://twitter.com/HDSintGroup/status/720930767782678528","720930767782678528")</f>
        <v>720930767782678528</v>
      </c>
      <c r="F413" s="11" t="s">
        <v>25</v>
      </c>
      <c r="G413" s="11">
        <v>372</v>
      </c>
      <c r="H413" s="11">
        <v>546</v>
      </c>
      <c r="I413" s="11">
        <v>4</v>
      </c>
      <c r="J413" s="11">
        <v>1</v>
      </c>
      <c r="K413" s="11" t="s">
        <v>21</v>
      </c>
      <c r="L413" s="7">
        <v>42415.710590277777</v>
      </c>
      <c r="M413" s="12" t="s">
        <v>1048</v>
      </c>
      <c r="N413" s="12" t="s">
        <v>1049</v>
      </c>
      <c r="O413" s="10" t="str">
        <f>HYPERLINK("https://pbs.twimg.com/profile_images/699226610428420096/jjvfJFvl_normal.png","View")</f>
        <v>View</v>
      </c>
      <c r="P413" s="11"/>
    </row>
    <row r="414" spans="1:16" ht="12.75" x14ac:dyDescent="0.35">
      <c r="A414" s="7">
        <v>42475.690983796296</v>
      </c>
      <c r="B414" s="8" t="str">
        <f>HYPERLINK("https://twitter.com/kommoptimierer","@kommoptimierer")</f>
        <v>@kommoptimierer</v>
      </c>
      <c r="C414" s="9" t="s">
        <v>270</v>
      </c>
      <c r="D414" s="9" t="s">
        <v>373</v>
      </c>
      <c r="E414" s="10" t="str">
        <f>HYPERLINK("https://twitter.com/kommoptimierer/status/720930925857652736","720930925857652736")</f>
        <v>720930925857652736</v>
      </c>
      <c r="F414" s="11" t="s">
        <v>272</v>
      </c>
      <c r="G414" s="11">
        <v>1347</v>
      </c>
      <c r="H414" s="11">
        <v>1753</v>
      </c>
      <c r="I414" s="11">
        <v>1</v>
      </c>
      <c r="J414" s="11">
        <v>0</v>
      </c>
      <c r="K414" s="11" t="s">
        <v>21</v>
      </c>
      <c r="L414" s="7">
        <v>39986.860358796301</v>
      </c>
      <c r="M414" s="12" t="s">
        <v>273</v>
      </c>
      <c r="N414" s="12" t="s">
        <v>274</v>
      </c>
      <c r="O414" s="10" t="str">
        <f>HYPERLINK("https://pbs.twimg.com/profile_images/541146126158536704/IYardufS_normal.jpeg","View")</f>
        <v>View</v>
      </c>
      <c r="P414" s="11"/>
    </row>
    <row r="415" spans="1:16" ht="12.75" x14ac:dyDescent="0.35">
      <c r="A415" s="7">
        <v>42475.692013888889</v>
      </c>
      <c r="B415" s="8" t="str">
        <f>HYPERLINK("https://twitter.com/MTuchelmann","@MTuchelmann")</f>
        <v>@MTuchelmann</v>
      </c>
      <c r="C415" s="9" t="s">
        <v>1050</v>
      </c>
      <c r="D415" s="9" t="s">
        <v>1051</v>
      </c>
      <c r="E415" s="10" t="str">
        <f>HYPERLINK("https://twitter.com/MTuchelmann/status/720931298852913153","720931298852913153")</f>
        <v>720931298852913153</v>
      </c>
      <c r="F415" s="11" t="s">
        <v>31</v>
      </c>
      <c r="G415" s="11">
        <v>13</v>
      </c>
      <c r="H415" s="11">
        <v>18</v>
      </c>
      <c r="I415" s="11">
        <v>4</v>
      </c>
      <c r="J415" s="11">
        <v>0</v>
      </c>
      <c r="K415" s="11" t="s">
        <v>21</v>
      </c>
      <c r="L415" s="7">
        <v>42402.582627314812</v>
      </c>
      <c r="M415" s="12"/>
      <c r="N415" s="12"/>
      <c r="O415" s="10" t="str">
        <f>HYPERLINK("https://pbs.twimg.com/profile_images/699591789964083200/ZinQaSi0_normal.jpg","View")</f>
        <v>View</v>
      </c>
      <c r="P415" s="11"/>
    </row>
    <row r="416" spans="1:16" ht="12.75" x14ac:dyDescent="0.35">
      <c r="A416" s="7">
        <v>42475.694131944445</v>
      </c>
      <c r="B416" s="8" t="str">
        <f>HYPERLINK("https://twitter.com/conosco","@conosco")</f>
        <v>@conosco</v>
      </c>
      <c r="C416" s="9" t="s">
        <v>1052</v>
      </c>
      <c r="D416" s="9" t="s">
        <v>1053</v>
      </c>
      <c r="E416" s="10" t="str">
        <f>HYPERLINK("https://twitter.com/conosco/status/720932065106141184","720932065106141184")</f>
        <v>720932065106141184</v>
      </c>
      <c r="F416" s="11" t="s">
        <v>29</v>
      </c>
      <c r="G416" s="11">
        <v>1015</v>
      </c>
      <c r="H416" s="11">
        <v>1897</v>
      </c>
      <c r="I416" s="11">
        <v>2</v>
      </c>
      <c r="J416" s="11">
        <v>0</v>
      </c>
      <c r="K416" s="11" t="s">
        <v>21</v>
      </c>
      <c r="L416" s="7">
        <v>39560.746261574073</v>
      </c>
      <c r="M416" s="12" t="s">
        <v>121</v>
      </c>
      <c r="N416" s="12" t="s">
        <v>1054</v>
      </c>
      <c r="O416" s="10" t="str">
        <f>HYPERLINK("https://pbs.twimg.com/profile_images/459441279181398016/MmGzaeIu_normal.jpeg","View")</f>
        <v>View</v>
      </c>
      <c r="P416" s="11"/>
    </row>
    <row r="417" spans="1:16" ht="12.75" x14ac:dyDescent="0.35">
      <c r="A417" s="7">
        <v>42475.695243055554</v>
      </c>
      <c r="B417" s="8" t="str">
        <f t="shared" ref="B417:B419" si="36">HYPERLINK("https://twitter.com/INDIZbot","@INDIZbot")</f>
        <v>@INDIZbot</v>
      </c>
      <c r="C417" s="9" t="s">
        <v>61</v>
      </c>
      <c r="D417" s="9" t="s">
        <v>1053</v>
      </c>
      <c r="E417" s="10" t="str">
        <f>HYPERLINK("https://twitter.com/INDIZbot/status/720932469952901120","720932469952901120")</f>
        <v>720932469952901120</v>
      </c>
      <c r="F417" s="11" t="s">
        <v>62</v>
      </c>
      <c r="G417" s="11">
        <v>1762</v>
      </c>
      <c r="H417" s="11">
        <v>481</v>
      </c>
      <c r="I417" s="11">
        <v>2</v>
      </c>
      <c r="J417" s="11">
        <v>0</v>
      </c>
      <c r="K417" s="11" t="s">
        <v>21</v>
      </c>
      <c r="L417" s="7">
        <v>42267.011921296296</v>
      </c>
      <c r="M417" s="12"/>
      <c r="N417" s="12" t="s">
        <v>63</v>
      </c>
      <c r="O417" s="10" t="str">
        <f t="shared" ref="O417:O419" si="37">HYPERLINK("https://pbs.twimg.com/profile_images/645716711723925506/t5G0qOS6_normal.jpg","View")</f>
        <v>View</v>
      </c>
      <c r="P417" s="11"/>
    </row>
    <row r="418" spans="1:16" ht="12.75" x14ac:dyDescent="0.35">
      <c r="A418" s="7">
        <v>42475.695543981477</v>
      </c>
      <c r="B418" s="8" t="str">
        <f t="shared" si="36"/>
        <v>@INDIZbot</v>
      </c>
      <c r="C418" s="9" t="s">
        <v>61</v>
      </c>
      <c r="D418" s="9" t="s">
        <v>1051</v>
      </c>
      <c r="E418" s="10" t="str">
        <f>HYPERLINK("https://twitter.com/INDIZbot/status/720932576127492096","720932576127492096")</f>
        <v>720932576127492096</v>
      </c>
      <c r="F418" s="11" t="s">
        <v>62</v>
      </c>
      <c r="G418" s="11">
        <v>1762</v>
      </c>
      <c r="H418" s="11">
        <v>481</v>
      </c>
      <c r="I418" s="11">
        <v>4</v>
      </c>
      <c r="J418" s="11">
        <v>0</v>
      </c>
      <c r="K418" s="11" t="s">
        <v>21</v>
      </c>
      <c r="L418" s="7">
        <v>42267.011921296296</v>
      </c>
      <c r="M418" s="12"/>
      <c r="N418" s="12" t="s">
        <v>63</v>
      </c>
      <c r="O418" s="10" t="str">
        <f t="shared" si="37"/>
        <v>View</v>
      </c>
      <c r="P418" s="11"/>
    </row>
    <row r="419" spans="1:16" ht="12.75" x14ac:dyDescent="0.35">
      <c r="A419" s="7">
        <v>42475.696562500001</v>
      </c>
      <c r="B419" s="8" t="str">
        <f t="shared" si="36"/>
        <v>@INDIZbot</v>
      </c>
      <c r="C419" s="9" t="s">
        <v>61</v>
      </c>
      <c r="D419" s="9" t="s">
        <v>1055</v>
      </c>
      <c r="E419" s="10" t="str">
        <f>HYPERLINK("https://twitter.com/INDIZbot/status/720932945121394689","720932945121394689")</f>
        <v>720932945121394689</v>
      </c>
      <c r="F419" s="11" t="s">
        <v>62</v>
      </c>
      <c r="G419" s="11">
        <v>1762</v>
      </c>
      <c r="H419" s="11">
        <v>481</v>
      </c>
      <c r="I419" s="11">
        <v>1</v>
      </c>
      <c r="J419" s="11">
        <v>0</v>
      </c>
      <c r="K419" s="11" t="s">
        <v>21</v>
      </c>
      <c r="L419" s="7">
        <v>42267.011921296296</v>
      </c>
      <c r="M419" s="12"/>
      <c r="N419" s="12" t="s">
        <v>63</v>
      </c>
      <c r="O419" s="10" t="str">
        <f t="shared" si="37"/>
        <v>View</v>
      </c>
      <c r="P419" s="11"/>
    </row>
    <row r="420" spans="1:16" ht="12.75" x14ac:dyDescent="0.35">
      <c r="A420" s="7">
        <v>42475.699895833328</v>
      </c>
      <c r="B420" s="8" t="str">
        <f>HYPERLINK("https://twitter.com/Jo_H123","@Jo_H123")</f>
        <v>@Jo_H123</v>
      </c>
      <c r="C420" s="9" t="s">
        <v>1056</v>
      </c>
      <c r="D420" s="9" t="s">
        <v>1057</v>
      </c>
      <c r="E420" s="10" t="str">
        <f>HYPERLINK("https://twitter.com/Jo_H123/status/720934153089335296","720934153089335296")</f>
        <v>720934153089335296</v>
      </c>
      <c r="F420" s="11" t="s">
        <v>25</v>
      </c>
      <c r="G420" s="11">
        <v>487</v>
      </c>
      <c r="H420" s="11">
        <v>510</v>
      </c>
      <c r="I420" s="11">
        <v>1</v>
      </c>
      <c r="J420" s="11">
        <v>0</v>
      </c>
      <c r="K420" s="11" t="s">
        <v>21</v>
      </c>
      <c r="L420" s="7">
        <v>41955.805868055555</v>
      </c>
      <c r="M420" s="12" t="s">
        <v>1058</v>
      </c>
      <c r="N420" s="12" t="s">
        <v>1059</v>
      </c>
      <c r="O420" s="10" t="str">
        <f>HYPERLINK("https://pbs.twimg.com/profile_images/532532270788128768/ubrFTMd7_normal.jpeg","View")</f>
        <v>View</v>
      </c>
      <c r="P420" s="11"/>
    </row>
    <row r="421" spans="1:16" ht="12.75" x14ac:dyDescent="0.35">
      <c r="A421" s="7">
        <v>42475.701828703706</v>
      </c>
      <c r="B421" s="8" t="str">
        <f>HYPERLINK("https://twitter.com/itelligence_de","@itelligence_de")</f>
        <v>@itelligence_de</v>
      </c>
      <c r="C421" s="9" t="s">
        <v>1060</v>
      </c>
      <c r="D421" s="9" t="s">
        <v>1061</v>
      </c>
      <c r="E421" s="10" t="str">
        <f>HYPERLINK("https://twitter.com/itelligence_de/status/720934857103314944","720934857103314944")</f>
        <v>720934857103314944</v>
      </c>
      <c r="F421" s="11" t="s">
        <v>25</v>
      </c>
      <c r="G421" s="11">
        <v>909</v>
      </c>
      <c r="H421" s="11">
        <v>464</v>
      </c>
      <c r="I421" s="11">
        <v>1</v>
      </c>
      <c r="J421" s="11">
        <v>1</v>
      </c>
      <c r="K421" s="11" t="s">
        <v>21</v>
      </c>
      <c r="L421" s="7">
        <v>40485.820717592593</v>
      </c>
      <c r="M421" s="12" t="s">
        <v>1062</v>
      </c>
      <c r="N421" s="12" t="s">
        <v>1063</v>
      </c>
      <c r="O421" s="10" t="str">
        <f>HYPERLINK("https://pbs.twimg.com/profile_images/712650491361157121/__DqibYq_normal.jpg","View")</f>
        <v>View</v>
      </c>
      <c r="P421" s="11"/>
    </row>
    <row r="422" spans="1:16" ht="12.75" x14ac:dyDescent="0.35">
      <c r="A422" s="7">
        <v>42475.702187499999</v>
      </c>
      <c r="B422" s="8" t="str">
        <f t="shared" ref="B422:B423" si="38">HYPERLINK("https://twitter.com/INDIZbot","@INDIZbot")</f>
        <v>@INDIZbot</v>
      </c>
      <c r="C422" s="9" t="s">
        <v>61</v>
      </c>
      <c r="D422" s="9" t="s">
        <v>1064</v>
      </c>
      <c r="E422" s="10" t="str">
        <f>HYPERLINK("https://twitter.com/INDIZbot/status/720934985776107520","720934985776107520")</f>
        <v>720934985776107520</v>
      </c>
      <c r="F422" s="11" t="s">
        <v>62</v>
      </c>
      <c r="G422" s="11">
        <v>1762</v>
      </c>
      <c r="H422" s="11">
        <v>481</v>
      </c>
      <c r="I422" s="11">
        <v>1</v>
      </c>
      <c r="J422" s="11">
        <v>0</v>
      </c>
      <c r="K422" s="11" t="s">
        <v>21</v>
      </c>
      <c r="L422" s="7">
        <v>42267.011921296296</v>
      </c>
      <c r="M422" s="12"/>
      <c r="N422" s="12" t="s">
        <v>63</v>
      </c>
      <c r="O422" s="10" t="str">
        <f t="shared" ref="O422:O423" si="39">HYPERLINK("https://pbs.twimg.com/profile_images/645716711723925506/t5G0qOS6_normal.jpg","View")</f>
        <v>View</v>
      </c>
      <c r="P422" s="11"/>
    </row>
    <row r="423" spans="1:16" ht="12.75" x14ac:dyDescent="0.35">
      <c r="A423" s="7">
        <v>42475.702881944446</v>
      </c>
      <c r="B423" s="8" t="str">
        <f t="shared" si="38"/>
        <v>@INDIZbot</v>
      </c>
      <c r="C423" s="9" t="s">
        <v>61</v>
      </c>
      <c r="D423" s="9" t="s">
        <v>1065</v>
      </c>
      <c r="E423" s="10" t="str">
        <f>HYPERLINK("https://twitter.com/INDIZbot/status/720935236863991809","720935236863991809")</f>
        <v>720935236863991809</v>
      </c>
      <c r="F423" s="11" t="s">
        <v>62</v>
      </c>
      <c r="G423" s="11">
        <v>1762</v>
      </c>
      <c r="H423" s="11">
        <v>481</v>
      </c>
      <c r="I423" s="11">
        <v>1</v>
      </c>
      <c r="J423" s="11">
        <v>0</v>
      </c>
      <c r="K423" s="11" t="s">
        <v>21</v>
      </c>
      <c r="L423" s="7">
        <v>42267.011921296296</v>
      </c>
      <c r="M423" s="12"/>
      <c r="N423" s="12" t="s">
        <v>63</v>
      </c>
      <c r="O423" s="10" t="str">
        <f t="shared" si="39"/>
        <v>View</v>
      </c>
      <c r="P423" s="11"/>
    </row>
    <row r="424" spans="1:16" ht="12.75" x14ac:dyDescent="0.35">
      <c r="A424" s="7">
        <v>42475.70313657407</v>
      </c>
      <c r="B424" s="8" t="str">
        <f>HYPERLINK("https://twitter.com/Apandia","@Apandia")</f>
        <v>@Apandia</v>
      </c>
      <c r="C424" s="9" t="s">
        <v>245</v>
      </c>
      <c r="D424" s="9" t="s">
        <v>1066</v>
      </c>
      <c r="E424" s="10" t="str">
        <f>HYPERLINK("https://twitter.com/Apandia/status/720935328928919554","720935328928919554")</f>
        <v>720935328928919554</v>
      </c>
      <c r="F424" s="11" t="s">
        <v>25</v>
      </c>
      <c r="G424" s="11">
        <v>196</v>
      </c>
      <c r="H424" s="11">
        <v>384</v>
      </c>
      <c r="I424" s="11">
        <v>1</v>
      </c>
      <c r="J424" s="11">
        <v>0</v>
      </c>
      <c r="K424" s="11" t="s">
        <v>21</v>
      </c>
      <c r="L424" s="7">
        <v>39966.049884259257</v>
      </c>
      <c r="M424" s="12" t="s">
        <v>247</v>
      </c>
      <c r="N424" s="12" t="s">
        <v>248</v>
      </c>
      <c r="O424" s="10" t="str">
        <f>HYPERLINK("https://pbs.twimg.com/profile_images/685327213/Apandia_normal.gif","View")</f>
        <v>View</v>
      </c>
      <c r="P424" s="11"/>
    </row>
    <row r="425" spans="1:16" ht="12.75" x14ac:dyDescent="0.35">
      <c r="A425" s="7">
        <v>42475.715347222227</v>
      </c>
      <c r="B425" s="8" t="str">
        <f t="shared" ref="B425:B426" si="40">HYPERLINK("https://twitter.com/RobelMesfun","@RobelMesfun")</f>
        <v>@RobelMesfun</v>
      </c>
      <c r="C425" s="9" t="s">
        <v>1067</v>
      </c>
      <c r="D425" s="9" t="s">
        <v>1068</v>
      </c>
      <c r="E425" s="10" t="str">
        <f>HYPERLINK("https://twitter.com/RobelMesfun/status/720939753131110401","720939753131110401")</f>
        <v>720939753131110401</v>
      </c>
      <c r="F425" s="11" t="s">
        <v>25</v>
      </c>
      <c r="G425" s="11">
        <v>590</v>
      </c>
      <c r="H425" s="11">
        <v>495</v>
      </c>
      <c r="I425" s="11">
        <v>0</v>
      </c>
      <c r="J425" s="11">
        <v>0</v>
      </c>
      <c r="K425" s="11" t="s">
        <v>21</v>
      </c>
      <c r="L425" s="7">
        <v>41159.557002314818</v>
      </c>
      <c r="M425" s="12" t="s">
        <v>1069</v>
      </c>
      <c r="N425" s="12" t="s">
        <v>1070</v>
      </c>
      <c r="O425" s="10" t="str">
        <f t="shared" ref="O425:O426" si="41">HYPERLINK("https://pbs.twimg.com/profile_images/2587030253/image_normal.jpg","View")</f>
        <v>View</v>
      </c>
      <c r="P425" s="11"/>
    </row>
    <row r="426" spans="1:16" ht="12.75" x14ac:dyDescent="0.35">
      <c r="A426" s="7">
        <v>42475.718333333338</v>
      </c>
      <c r="B426" s="8" t="str">
        <f t="shared" si="40"/>
        <v>@RobelMesfun</v>
      </c>
      <c r="C426" s="9" t="s">
        <v>1067</v>
      </c>
      <c r="D426" s="9" t="s">
        <v>1071</v>
      </c>
      <c r="E426" s="10" t="str">
        <f>HYPERLINK("https://twitter.com/RobelMesfun/status/720940838113714176","720940838113714176")</f>
        <v>720940838113714176</v>
      </c>
      <c r="F426" s="11" t="s">
        <v>25</v>
      </c>
      <c r="G426" s="11">
        <v>590</v>
      </c>
      <c r="H426" s="11">
        <v>495</v>
      </c>
      <c r="I426" s="11">
        <v>0</v>
      </c>
      <c r="J426" s="11">
        <v>3</v>
      </c>
      <c r="K426" s="11" t="s">
        <v>21</v>
      </c>
      <c r="L426" s="7">
        <v>41159.557002314818</v>
      </c>
      <c r="M426" s="12" t="s">
        <v>1069</v>
      </c>
      <c r="N426" s="12" t="s">
        <v>1070</v>
      </c>
      <c r="O426" s="10" t="str">
        <f t="shared" si="41"/>
        <v>View</v>
      </c>
      <c r="P426" s="11"/>
    </row>
    <row r="427" spans="1:16" ht="12.75" x14ac:dyDescent="0.35">
      <c r="A427" s="7">
        <v>42475.719247685185</v>
      </c>
      <c r="B427" s="8" t="str">
        <f>HYPERLINK("https://twitter.com/H_IT_D","@H_IT_D")</f>
        <v>@H_IT_D</v>
      </c>
      <c r="C427" s="9" t="s">
        <v>159</v>
      </c>
      <c r="D427" s="9" t="s">
        <v>1072</v>
      </c>
      <c r="E427" s="10" t="str">
        <f>HYPERLINK("https://twitter.com/H_IT_D/status/720941165827100672","720941165827100672")</f>
        <v>720941165827100672</v>
      </c>
      <c r="F427" s="11" t="s">
        <v>161</v>
      </c>
      <c r="G427" s="11">
        <v>463</v>
      </c>
      <c r="H427" s="11">
        <v>467</v>
      </c>
      <c r="I427" s="11">
        <v>0</v>
      </c>
      <c r="J427" s="11">
        <v>0</v>
      </c>
      <c r="K427" s="11" t="s">
        <v>21</v>
      </c>
      <c r="L427" s="7">
        <v>40723.867673611108</v>
      </c>
      <c r="M427" s="12" t="s">
        <v>162</v>
      </c>
      <c r="N427" s="12" t="s">
        <v>163</v>
      </c>
      <c r="O427" s="10" t="str">
        <f>HYPERLINK("https://pbs.twimg.com/profile_images/662723326096224256/5V4KH9_O_normal.jpg","View")</f>
        <v>View</v>
      </c>
      <c r="P427" s="11"/>
    </row>
    <row r="428" spans="1:16" ht="12.75" x14ac:dyDescent="0.35">
      <c r="A428" s="7">
        <v>42475.721712962964</v>
      </c>
      <c r="B428" s="8" t="str">
        <f t="shared" ref="B428:B429" si="42">HYPERLINK("https://twitter.com/AlexRaiHa","@AlexRaiHa")</f>
        <v>@AlexRaiHa</v>
      </c>
      <c r="C428" s="9" t="s">
        <v>1073</v>
      </c>
      <c r="D428" s="9" t="s">
        <v>1074</v>
      </c>
      <c r="E428" s="10" t="str">
        <f>HYPERLINK("https://twitter.com/AlexRaiHa/status/720942059583102976","720942059583102976")</f>
        <v>720942059583102976</v>
      </c>
      <c r="F428" s="11" t="s">
        <v>222</v>
      </c>
      <c r="G428" s="11">
        <v>152</v>
      </c>
      <c r="H428" s="11">
        <v>83</v>
      </c>
      <c r="I428" s="11">
        <v>0</v>
      </c>
      <c r="J428" s="11">
        <v>0</v>
      </c>
      <c r="K428" s="11" t="s">
        <v>21</v>
      </c>
      <c r="L428" s="7">
        <v>42059.627916666665</v>
      </c>
      <c r="M428" s="12" t="s">
        <v>1075</v>
      </c>
      <c r="N428" s="12" t="s">
        <v>1076</v>
      </c>
      <c r="O428" s="10" t="str">
        <f t="shared" ref="O428:O429" si="43">HYPERLINK("https://pbs.twimg.com/profile_images/570155338691670016/l3TwS87m_normal.jpeg","View")</f>
        <v>View</v>
      </c>
      <c r="P428" s="11"/>
    </row>
    <row r="429" spans="1:16" ht="12.75" x14ac:dyDescent="0.35">
      <c r="A429" s="7">
        <v>42475.721724537041</v>
      </c>
      <c r="B429" s="8" t="str">
        <f t="shared" si="42"/>
        <v>@AlexRaiHa</v>
      </c>
      <c r="C429" s="9" t="s">
        <v>1073</v>
      </c>
      <c r="D429" s="9" t="s">
        <v>1077</v>
      </c>
      <c r="E429" s="10" t="str">
        <f>HYPERLINK("https://twitter.com/AlexRaiHa/status/720942063475433472","720942063475433472")</f>
        <v>720942063475433472</v>
      </c>
      <c r="F429" s="11" t="s">
        <v>222</v>
      </c>
      <c r="G429" s="11">
        <v>152</v>
      </c>
      <c r="H429" s="11">
        <v>83</v>
      </c>
      <c r="I429" s="11">
        <v>0</v>
      </c>
      <c r="J429" s="11">
        <v>0</v>
      </c>
      <c r="K429" s="11" t="s">
        <v>21</v>
      </c>
      <c r="L429" s="7">
        <v>42059.627916666665</v>
      </c>
      <c r="M429" s="12" t="s">
        <v>1075</v>
      </c>
      <c r="N429" s="12" t="s">
        <v>1076</v>
      </c>
      <c r="O429" s="10" t="str">
        <f t="shared" si="43"/>
        <v>View</v>
      </c>
      <c r="P429" s="11"/>
    </row>
    <row r="430" spans="1:16" ht="12.75" x14ac:dyDescent="0.35">
      <c r="A430" s="7">
        <v>42475.725520833337</v>
      </c>
      <c r="B430" s="8" t="str">
        <f>HYPERLINK("https://twitter.com/CapgeminiDE","@CapgeminiDE")</f>
        <v>@CapgeminiDE</v>
      </c>
      <c r="C430" s="9" t="s">
        <v>280</v>
      </c>
      <c r="D430" s="9" t="s">
        <v>1078</v>
      </c>
      <c r="E430" s="10" t="str">
        <f>HYPERLINK("https://twitter.com/CapgeminiDE/status/720943443070029824","720943443070029824")</f>
        <v>720943443070029824</v>
      </c>
      <c r="F430" s="11" t="s">
        <v>39</v>
      </c>
      <c r="G430" s="11">
        <v>1640</v>
      </c>
      <c r="H430" s="11">
        <v>509</v>
      </c>
      <c r="I430" s="11">
        <v>0</v>
      </c>
      <c r="J430" s="11">
        <v>0</v>
      </c>
      <c r="K430" s="11" t="s">
        <v>21</v>
      </c>
      <c r="L430" s="7">
        <v>40424.022048611107</v>
      </c>
      <c r="M430" s="12" t="s">
        <v>218</v>
      </c>
      <c r="N430" s="12" t="s">
        <v>282</v>
      </c>
      <c r="O430" s="10" t="str">
        <f>HYPERLINK("https://pbs.twimg.com/profile_images/666911961599315968/aP7ID_qm_normal.png","View")</f>
        <v>View</v>
      </c>
      <c r="P430" s="11"/>
    </row>
    <row r="431" spans="1:16" ht="12.75" x14ac:dyDescent="0.35">
      <c r="A431" s="7">
        <v>42475.735844907409</v>
      </c>
      <c r="B431" s="8" t="str">
        <f>HYPERLINK("https://twitter.com/Round_Solutions","@Round_Solutions")</f>
        <v>@Round_Solutions</v>
      </c>
      <c r="C431" s="9" t="s">
        <v>1079</v>
      </c>
      <c r="D431" s="9" t="s">
        <v>1080</v>
      </c>
      <c r="E431" s="10" t="str">
        <f>HYPERLINK("https://twitter.com/Round_Solutions/status/720947183105753089","720947183105753089")</f>
        <v>720947183105753089</v>
      </c>
      <c r="F431" s="11" t="s">
        <v>25</v>
      </c>
      <c r="G431" s="11">
        <v>9</v>
      </c>
      <c r="H431" s="11">
        <v>9</v>
      </c>
      <c r="I431" s="11">
        <v>1</v>
      </c>
      <c r="J431" s="11">
        <v>0</v>
      </c>
      <c r="K431" s="11" t="s">
        <v>21</v>
      </c>
      <c r="L431" s="7">
        <v>42228.569351851853</v>
      </c>
      <c r="M431" s="12" t="s">
        <v>236</v>
      </c>
      <c r="N431" s="12"/>
      <c r="O431" s="10" t="str">
        <f>HYPERLINK("https://pbs.twimg.com/profile_images/651340877881741316/uYdqY-TL_normal.jpg","View")</f>
        <v>View</v>
      </c>
      <c r="P431" s="11"/>
    </row>
    <row r="432" spans="1:16" ht="12.75" x14ac:dyDescent="0.35">
      <c r="A432" s="7">
        <v>42475.736296296294</v>
      </c>
      <c r="B432" s="8" t="str">
        <f>HYPERLINK("https://twitter.com/GGS_Heilbronn","@GGS_Heilbronn")</f>
        <v>@GGS_Heilbronn</v>
      </c>
      <c r="C432" s="9" t="s">
        <v>1081</v>
      </c>
      <c r="D432" s="9" t="s">
        <v>1082</v>
      </c>
      <c r="E432" s="10" t="str">
        <f>HYPERLINK("https://twitter.com/GGS_Heilbronn/status/720947344376782848","720947344376782848")</f>
        <v>720947344376782848</v>
      </c>
      <c r="F432" s="11" t="s">
        <v>25</v>
      </c>
      <c r="G432" s="11">
        <v>600</v>
      </c>
      <c r="H432" s="11">
        <v>323</v>
      </c>
      <c r="I432" s="11">
        <v>1</v>
      </c>
      <c r="J432" s="11">
        <v>1</v>
      </c>
      <c r="K432" s="11" t="s">
        <v>21</v>
      </c>
      <c r="L432" s="7">
        <v>40252.586886574078</v>
      </c>
      <c r="M432" s="12" t="s">
        <v>1083</v>
      </c>
      <c r="N432" s="12" t="s">
        <v>1084</v>
      </c>
      <c r="O432" s="10" t="str">
        <f>HYPERLINK("https://pbs.twimg.com/profile_images/458872480497545216/_JCU-9q4_normal.jpeg","View")</f>
        <v>View</v>
      </c>
      <c r="P432" s="11"/>
    </row>
    <row r="433" spans="1:16" ht="12.75" x14ac:dyDescent="0.35">
      <c r="A433" s="7">
        <v>42475.736921296295</v>
      </c>
      <c r="B433" s="8" t="str">
        <f t="shared" ref="B433:B434" si="44">HYPERLINK("https://twitter.com/INDIZbot","@INDIZbot")</f>
        <v>@INDIZbot</v>
      </c>
      <c r="C433" s="9" t="s">
        <v>61</v>
      </c>
      <c r="D433" s="9" t="s">
        <v>1085</v>
      </c>
      <c r="E433" s="10" t="str">
        <f>HYPERLINK("https://twitter.com/INDIZbot/status/720947570525278208","720947570525278208")</f>
        <v>720947570525278208</v>
      </c>
      <c r="F433" s="11" t="s">
        <v>62</v>
      </c>
      <c r="G433" s="11">
        <v>1762</v>
      </c>
      <c r="H433" s="11">
        <v>481</v>
      </c>
      <c r="I433" s="11">
        <v>1</v>
      </c>
      <c r="J433" s="11">
        <v>0</v>
      </c>
      <c r="K433" s="11" t="s">
        <v>21</v>
      </c>
      <c r="L433" s="7">
        <v>42267.011921296296</v>
      </c>
      <c r="M433" s="12"/>
      <c r="N433" s="12" t="s">
        <v>63</v>
      </c>
      <c r="O433" s="10" t="str">
        <f t="shared" ref="O433:O434" si="45">HYPERLINK("https://pbs.twimg.com/profile_images/645716711723925506/t5G0qOS6_normal.jpg","View")</f>
        <v>View</v>
      </c>
      <c r="P433" s="11"/>
    </row>
    <row r="434" spans="1:16" ht="12.75" x14ac:dyDescent="0.35">
      <c r="A434" s="7">
        <v>42475.737141203703</v>
      </c>
      <c r="B434" s="8" t="str">
        <f t="shared" si="44"/>
        <v>@INDIZbot</v>
      </c>
      <c r="C434" s="9" t="s">
        <v>61</v>
      </c>
      <c r="D434" s="9" t="s">
        <v>1086</v>
      </c>
      <c r="E434" s="10" t="str">
        <f>HYPERLINK("https://twitter.com/INDIZbot/status/720947650829422592","720947650829422592")</f>
        <v>720947650829422592</v>
      </c>
      <c r="F434" s="11" t="s">
        <v>62</v>
      </c>
      <c r="G434" s="11">
        <v>1762</v>
      </c>
      <c r="H434" s="11">
        <v>481</v>
      </c>
      <c r="I434" s="11">
        <v>1</v>
      </c>
      <c r="J434" s="11">
        <v>0</v>
      </c>
      <c r="K434" s="11" t="s">
        <v>21</v>
      </c>
      <c r="L434" s="7">
        <v>42267.011921296296</v>
      </c>
      <c r="M434" s="12"/>
      <c r="N434" s="12" t="s">
        <v>63</v>
      </c>
      <c r="O434" s="10" t="str">
        <f t="shared" si="45"/>
        <v>View</v>
      </c>
      <c r="P434" s="11"/>
    </row>
    <row r="435" spans="1:16" ht="12.75" x14ac:dyDescent="0.35">
      <c r="A435" s="7">
        <v>42475.737511574072</v>
      </c>
      <c r="B435" s="8" t="str">
        <f>HYPERLINK("https://twitter.com/DelconRelays","@DelconRelays")</f>
        <v>@DelconRelays</v>
      </c>
      <c r="C435" s="9" t="s">
        <v>1087</v>
      </c>
      <c r="D435" s="9" t="s">
        <v>1088</v>
      </c>
      <c r="E435" s="10" t="str">
        <f>HYPERLINK("https://twitter.com/DelconRelays/status/720947786791919616","720947786791919616")</f>
        <v>720947786791919616</v>
      </c>
      <c r="F435" s="11" t="s">
        <v>59</v>
      </c>
      <c r="G435" s="11">
        <v>3116</v>
      </c>
      <c r="H435" s="11">
        <v>608</v>
      </c>
      <c r="I435" s="11">
        <v>0</v>
      </c>
      <c r="J435" s="11">
        <v>0</v>
      </c>
      <c r="K435" s="11" t="s">
        <v>21</v>
      </c>
      <c r="L435" s="7">
        <v>40639.633831018517</v>
      </c>
      <c r="M435" s="12" t="s">
        <v>1089</v>
      </c>
      <c r="N435" s="12" t="s">
        <v>1090</v>
      </c>
      <c r="O435" s="10" t="str">
        <f>HYPERLINK("https://pbs.twimg.com/profile_images/690510822766944256/8qgmimAA_normal.png","View")</f>
        <v>View</v>
      </c>
      <c r="P435" s="11"/>
    </row>
    <row r="436" spans="1:16" ht="12.75" x14ac:dyDescent="0.35">
      <c r="A436" s="7">
        <v>42475.750173611115</v>
      </c>
      <c r="B436" s="8" t="str">
        <f>HYPERLINK("https://twitter.com/ROKAutomationIT","@ROKAutomationIT")</f>
        <v>@ROKAutomationIT</v>
      </c>
      <c r="C436" s="9" t="s">
        <v>416</v>
      </c>
      <c r="D436" s="9" t="s">
        <v>1091</v>
      </c>
      <c r="E436" s="10" t="str">
        <f>HYPERLINK("https://twitter.com/ROKAutomationIT/status/720952374446018560","720952374446018560")</f>
        <v>720952374446018560</v>
      </c>
      <c r="F436" s="11" t="s">
        <v>418</v>
      </c>
      <c r="G436" s="11">
        <v>950</v>
      </c>
      <c r="H436" s="11">
        <v>643</v>
      </c>
      <c r="I436" s="11">
        <v>0</v>
      </c>
      <c r="J436" s="11">
        <v>0</v>
      </c>
      <c r="K436" s="11" t="s">
        <v>21</v>
      </c>
      <c r="L436" s="7">
        <v>41004.653541666667</v>
      </c>
      <c r="M436" s="12" t="s">
        <v>475</v>
      </c>
      <c r="N436" s="12" t="s">
        <v>476</v>
      </c>
      <c r="O436" s="10" t="str">
        <f>HYPERLINK("https://pbs.twimg.com/profile_images/497752224643043331/9wtAAp-D_normal.jpeg","View")</f>
        <v>View</v>
      </c>
      <c r="P436" s="11"/>
    </row>
    <row r="437" spans="1:16" ht="12.75" x14ac:dyDescent="0.35">
      <c r="A437" s="7">
        <v>42475.750173611115</v>
      </c>
      <c r="B437" s="8" t="str">
        <f>HYPERLINK("https://twitter.com/ROKAutoCHIT","@ROKAutoCHIT")</f>
        <v>@ROKAutoCHIT</v>
      </c>
      <c r="C437" s="9" t="s">
        <v>416</v>
      </c>
      <c r="D437" s="9" t="s">
        <v>1092</v>
      </c>
      <c r="E437" s="10" t="str">
        <f>HYPERLINK("https://twitter.com/ROKAutoCHIT/status/720952375981133824","720952375981133824")</f>
        <v>720952375981133824</v>
      </c>
      <c r="F437" s="11" t="s">
        <v>418</v>
      </c>
      <c r="G437" s="11">
        <v>739</v>
      </c>
      <c r="H437" s="11">
        <v>676</v>
      </c>
      <c r="I437" s="11">
        <v>0</v>
      </c>
      <c r="J437" s="11">
        <v>0</v>
      </c>
      <c r="K437" s="11" t="s">
        <v>21</v>
      </c>
      <c r="L437" s="7">
        <v>41017.697812500002</v>
      </c>
      <c r="M437" s="12" t="s">
        <v>478</v>
      </c>
      <c r="N437" s="12" t="s">
        <v>479</v>
      </c>
      <c r="O437" s="10" t="str">
        <f>HYPERLINK("https://pbs.twimg.com/profile_images/496687683813404674/YzNGUapS_normal.jpeg","View")</f>
        <v>View</v>
      </c>
      <c r="P437" s="11"/>
    </row>
    <row r="438" spans="1:16" ht="12.75" x14ac:dyDescent="0.35">
      <c r="A438" s="7">
        <v>42475.75072916667</v>
      </c>
      <c r="B438" s="8" t="str">
        <f>HYPERLINK("https://twitter.com/MeinGeldMedien","@MeinGeldMedien")</f>
        <v>@MeinGeldMedien</v>
      </c>
      <c r="C438" s="9" t="s">
        <v>302</v>
      </c>
      <c r="D438" s="9" t="s">
        <v>303</v>
      </c>
      <c r="E438" s="10" t="str">
        <f>HYPERLINK("https://twitter.com/MeinGeldMedien/status/720952577366564864","720952577366564864")</f>
        <v>720952577366564864</v>
      </c>
      <c r="F438" s="11" t="s">
        <v>39</v>
      </c>
      <c r="G438" s="11">
        <v>694</v>
      </c>
      <c r="H438" s="11">
        <v>583</v>
      </c>
      <c r="I438" s="11">
        <v>0</v>
      </c>
      <c r="J438" s="11">
        <v>0</v>
      </c>
      <c r="K438" s="11" t="s">
        <v>21</v>
      </c>
      <c r="L438" s="7">
        <v>41793.608449074076</v>
      </c>
      <c r="M438" s="12" t="s">
        <v>218</v>
      </c>
      <c r="N438" s="12" t="s">
        <v>304</v>
      </c>
      <c r="O438" s="10" t="str">
        <f>HYPERLINK("https://pbs.twimg.com/profile_images/473759721023758338/3CcJL-Vq_normal.jpeg","View")</f>
        <v>View</v>
      </c>
      <c r="P438" s="11"/>
    </row>
    <row r="439" spans="1:16" ht="12.75" x14ac:dyDescent="0.35">
      <c r="A439" s="7">
        <v>42475.750868055555</v>
      </c>
      <c r="B439" s="8" t="str">
        <f>HYPERLINK("https://twitter.com/SchneiderElecDE","@SchneiderElecDE")</f>
        <v>@SchneiderElecDE</v>
      </c>
      <c r="C439" s="9" t="s">
        <v>147</v>
      </c>
      <c r="D439" s="9" t="s">
        <v>1093</v>
      </c>
      <c r="E439" s="10" t="str">
        <f>HYPERLINK("https://twitter.com/SchneiderElecDE/status/720952625462702081","720952625462702081")</f>
        <v>720952625462702081</v>
      </c>
      <c r="F439" s="11" t="s">
        <v>39</v>
      </c>
      <c r="G439" s="11">
        <v>3011</v>
      </c>
      <c r="H439" s="11">
        <v>3002</v>
      </c>
      <c r="I439" s="11">
        <v>0</v>
      </c>
      <c r="J439" s="11">
        <v>2</v>
      </c>
      <c r="K439" s="11" t="s">
        <v>21</v>
      </c>
      <c r="L439" s="7">
        <v>41289.838483796295</v>
      </c>
      <c r="M439" s="12" t="s">
        <v>92</v>
      </c>
      <c r="N439" s="12" t="s">
        <v>148</v>
      </c>
      <c r="O439" s="10" t="str">
        <f>HYPERLINK("https://pbs.twimg.com/profile_images/3112599272/7446ab70cbab1cf15ac54e9b795d2849_normal.jpeg","View")</f>
        <v>View</v>
      </c>
      <c r="P439" s="11"/>
    </row>
    <row r="440" spans="1:16" ht="12.75" x14ac:dyDescent="0.35">
      <c r="A440" s="7">
        <v>42475.757326388892</v>
      </c>
      <c r="B440" s="8" t="str">
        <f>HYPERLINK("https://twitter.com/Apandia","@Apandia")</f>
        <v>@Apandia</v>
      </c>
      <c r="C440" s="9" t="s">
        <v>245</v>
      </c>
      <c r="D440" s="9" t="s">
        <v>1094</v>
      </c>
      <c r="E440" s="10" t="str">
        <f>HYPERLINK("https://twitter.com/Apandia/status/720954966110834688","720954966110834688")</f>
        <v>720954966110834688</v>
      </c>
      <c r="F440" s="11" t="s">
        <v>39</v>
      </c>
      <c r="G440" s="11">
        <v>196</v>
      </c>
      <c r="H440" s="11">
        <v>384</v>
      </c>
      <c r="I440" s="11">
        <v>0</v>
      </c>
      <c r="J440" s="11">
        <v>0</v>
      </c>
      <c r="K440" s="11" t="s">
        <v>21</v>
      </c>
      <c r="L440" s="7">
        <v>39966.049884259257</v>
      </c>
      <c r="M440" s="12" t="s">
        <v>247</v>
      </c>
      <c r="N440" s="12" t="s">
        <v>248</v>
      </c>
      <c r="O440" s="10" t="str">
        <f>HYPERLINK("https://pbs.twimg.com/profile_images/685327213/Apandia_normal.gif","View")</f>
        <v>View</v>
      </c>
      <c r="P440" s="11"/>
    </row>
    <row r="441" spans="1:16" ht="12.75" x14ac:dyDescent="0.35">
      <c r="A441" s="7">
        <v>42475.76829861111</v>
      </c>
      <c r="B441" s="8" t="str">
        <f>HYPERLINK("https://twitter.com/ludivineallard2","@ludivineallard2")</f>
        <v>@ludivineallard2</v>
      </c>
      <c r="C441" s="9" t="s">
        <v>1095</v>
      </c>
      <c r="D441" s="9" t="s">
        <v>188</v>
      </c>
      <c r="E441" s="10" t="str">
        <f>HYPERLINK("https://twitter.com/ludivineallard2/status/720958942227140608","720958942227140608")</f>
        <v>720958942227140608</v>
      </c>
      <c r="F441" s="11" t="s">
        <v>31</v>
      </c>
      <c r="G441" s="11">
        <v>21</v>
      </c>
      <c r="H441" s="11">
        <v>34</v>
      </c>
      <c r="I441" s="11">
        <v>13</v>
      </c>
      <c r="J441" s="11">
        <v>0</v>
      </c>
      <c r="K441" s="11" t="s">
        <v>21</v>
      </c>
      <c r="L441" s="7">
        <v>42312.562280092592</v>
      </c>
      <c r="M441" s="12"/>
      <c r="N441" s="12" t="s">
        <v>1096</v>
      </c>
      <c r="O441" s="10" t="str">
        <f>HYPERLINK("https://pbs.twimg.com/profile_images/670148323769229312/zIas6aBO_normal.jpg","View")</f>
        <v>View</v>
      </c>
      <c r="P441" s="11"/>
    </row>
    <row r="442" spans="1:16" ht="12.75" x14ac:dyDescent="0.35">
      <c r="A442" s="7">
        <v>42475.768935185188</v>
      </c>
      <c r="B442" s="8" t="str">
        <f>HYPERLINK("https://twitter.com/TellMePlus","@TellMePlus")</f>
        <v>@TellMePlus</v>
      </c>
      <c r="C442" s="9" t="s">
        <v>1097</v>
      </c>
      <c r="D442" s="9" t="s">
        <v>1098</v>
      </c>
      <c r="E442" s="10" t="str">
        <f>HYPERLINK("https://twitter.com/TellMePlus/status/720959176026009600","720959176026009600")</f>
        <v>720959176026009600</v>
      </c>
      <c r="F442" s="11" t="s">
        <v>25</v>
      </c>
      <c r="G442" s="11">
        <v>544</v>
      </c>
      <c r="H442" s="11">
        <v>245</v>
      </c>
      <c r="I442" s="11">
        <v>0</v>
      </c>
      <c r="J442" s="11">
        <v>0</v>
      </c>
      <c r="K442" s="11" t="s">
        <v>21</v>
      </c>
      <c r="L442" s="7">
        <v>40934.839699074073</v>
      </c>
      <c r="M442" s="12" t="s">
        <v>1099</v>
      </c>
      <c r="N442" s="12" t="s">
        <v>1100</v>
      </c>
      <c r="O442" s="10" t="str">
        <f>HYPERLINK("https://pbs.twimg.com/profile_images/575947309583745024/bY7l3tP__normal.jpeg","View")</f>
        <v>View</v>
      </c>
      <c r="P442" s="11"/>
    </row>
    <row r="443" spans="1:16" ht="12.75" x14ac:dyDescent="0.35">
      <c r="A443" s="7">
        <v>42475.770972222221</v>
      </c>
      <c r="B443" s="8" t="str">
        <f>HYPERLINK("https://twitter.com/verlinked","@verlinked")</f>
        <v>@verlinked</v>
      </c>
      <c r="C443" s="9" t="s">
        <v>263</v>
      </c>
      <c r="D443" s="9" t="s">
        <v>1101</v>
      </c>
      <c r="E443" s="10" t="str">
        <f>HYPERLINK("https://twitter.com/verlinked/status/720959911790706688","720959911790706688")</f>
        <v>720959911790706688</v>
      </c>
      <c r="F443" s="11" t="s">
        <v>115</v>
      </c>
      <c r="G443" s="11">
        <v>600</v>
      </c>
      <c r="H443" s="11">
        <v>1201</v>
      </c>
      <c r="I443" s="11">
        <v>0</v>
      </c>
      <c r="J443" s="11">
        <v>0</v>
      </c>
      <c r="K443" s="11" t="s">
        <v>21</v>
      </c>
      <c r="L443" s="7">
        <v>41463.077627314815</v>
      </c>
      <c r="M443" s="12" t="s">
        <v>265</v>
      </c>
      <c r="N443" s="12" t="s">
        <v>266</v>
      </c>
      <c r="O443" s="10" t="str">
        <f>HYPERLINK("https://pbs.twimg.com/profile_images/722385992343285760/ww8YLZ2q_normal.jpg","View")</f>
        <v>View</v>
      </c>
      <c r="P443" s="11"/>
    </row>
    <row r="444" spans="1:16" ht="12.75" x14ac:dyDescent="0.35">
      <c r="A444" s="7">
        <v>42475.77175925926</v>
      </c>
      <c r="B444" s="8" t="str">
        <f>HYPERLINK("https://twitter.com/OJaeger","@OJaeger")</f>
        <v>@OJaeger</v>
      </c>
      <c r="C444" s="9" t="s">
        <v>1102</v>
      </c>
      <c r="D444" s="9" t="s">
        <v>1103</v>
      </c>
      <c r="E444" s="10" t="str">
        <f>HYPERLINK("https://twitter.com/OJaeger/status/720960196462387201","720960196462387201")</f>
        <v>720960196462387201</v>
      </c>
      <c r="F444" s="11" t="s">
        <v>25</v>
      </c>
      <c r="G444" s="11">
        <v>1824</v>
      </c>
      <c r="H444" s="11">
        <v>2422</v>
      </c>
      <c r="I444" s="11">
        <v>14</v>
      </c>
      <c r="J444" s="11">
        <v>7</v>
      </c>
      <c r="K444" s="11" t="s">
        <v>21</v>
      </c>
      <c r="L444" s="7">
        <v>39906.567083333335</v>
      </c>
      <c r="M444" s="12" t="s">
        <v>121</v>
      </c>
      <c r="N444" s="12" t="s">
        <v>1104</v>
      </c>
      <c r="O444" s="10" t="str">
        <f>HYPERLINK("https://pbs.twimg.com/profile_images/510721015945498624/1UpjmZMi_normal.jpeg","View")</f>
        <v>View</v>
      </c>
      <c r="P444" s="11"/>
    </row>
    <row r="445" spans="1:16" ht="12.75" x14ac:dyDescent="0.35">
      <c r="A445" s="7">
        <v>42475.776388888888</v>
      </c>
      <c r="B445" s="8" t="str">
        <f>HYPERLINK("https://twitter.com/jmcambot","@jmcambot")</f>
        <v>@jmcambot</v>
      </c>
      <c r="C445" s="9" t="s">
        <v>1105</v>
      </c>
      <c r="D445" s="9" t="s">
        <v>1106</v>
      </c>
      <c r="E445" s="10" t="str">
        <f>HYPERLINK("https://twitter.com/jmcambot/status/720961875245187072","720961875245187072")</f>
        <v>720961875245187072</v>
      </c>
      <c r="F445" s="11" t="s">
        <v>222</v>
      </c>
      <c r="G445" s="11">
        <v>300</v>
      </c>
      <c r="H445" s="11">
        <v>78</v>
      </c>
      <c r="I445" s="11">
        <v>0</v>
      </c>
      <c r="J445" s="11">
        <v>0</v>
      </c>
      <c r="K445" s="11" t="s">
        <v>21</v>
      </c>
      <c r="L445" s="7">
        <v>39959.719710648147</v>
      </c>
      <c r="M445" s="12" t="s">
        <v>1107</v>
      </c>
      <c r="N445" s="12" t="s">
        <v>1108</v>
      </c>
      <c r="O445" s="10" t="str">
        <f>HYPERLINK("https://pbs.twimg.com/profile_images/478541586725232640/-v_7l8_E_normal.png","View")</f>
        <v>View</v>
      </c>
      <c r="P445" s="11"/>
    </row>
    <row r="446" spans="1:16" ht="12.75" x14ac:dyDescent="0.35">
      <c r="A446" s="7">
        <v>42475.78019675926</v>
      </c>
      <c r="B446" s="8" t="str">
        <f>HYPERLINK("https://twitter.com/SAPFrance","@SAPFrance")</f>
        <v>@SAPFrance</v>
      </c>
      <c r="C446" s="9" t="s">
        <v>1109</v>
      </c>
      <c r="D446" s="9" t="s">
        <v>1110</v>
      </c>
      <c r="E446" s="10" t="str">
        <f>HYPERLINK("https://twitter.com/SAPFrance/status/720963254563041280","720963254563041280")</f>
        <v>720963254563041280</v>
      </c>
      <c r="F446" s="11" t="s">
        <v>1111</v>
      </c>
      <c r="G446" s="11">
        <v>2054</v>
      </c>
      <c r="H446" s="11">
        <v>1189</v>
      </c>
      <c r="I446" s="11">
        <v>1</v>
      </c>
      <c r="J446" s="11">
        <v>1</v>
      </c>
      <c r="K446" s="11" t="s">
        <v>21</v>
      </c>
      <c r="L446" s="7">
        <v>41078.552222222221</v>
      </c>
      <c r="M446" s="12" t="s">
        <v>1112</v>
      </c>
      <c r="N446" s="12" t="s">
        <v>1113</v>
      </c>
      <c r="O446" s="10" t="str">
        <f>HYPERLINK("https://pbs.twimg.com/profile_images/713021101106995200/w4EIzjMN_normal.jpg","View")</f>
        <v>View</v>
      </c>
      <c r="P446" s="11"/>
    </row>
    <row r="447" spans="1:16" ht="12.75" x14ac:dyDescent="0.35">
      <c r="A447" s="7">
        <v>42475.783726851849</v>
      </c>
      <c r="B447" s="8" t="str">
        <f>HYPERLINK("https://twitter.com/ThibautRey2_0","@ThibautRey2_0")</f>
        <v>@ThibautRey2_0</v>
      </c>
      <c r="C447" s="9" t="s">
        <v>1114</v>
      </c>
      <c r="D447" s="9" t="s">
        <v>1115</v>
      </c>
      <c r="E447" s="10" t="str">
        <f>HYPERLINK("https://twitter.com/ThibautRey2_0/status/720964535453106176","720964535453106176")</f>
        <v>720964535453106176</v>
      </c>
      <c r="F447" s="11" t="s">
        <v>25</v>
      </c>
      <c r="G447" s="11">
        <v>676</v>
      </c>
      <c r="H447" s="11">
        <v>315</v>
      </c>
      <c r="I447" s="11">
        <v>14</v>
      </c>
      <c r="J447" s="11">
        <v>0</v>
      </c>
      <c r="K447" s="11" t="s">
        <v>21</v>
      </c>
      <c r="L447" s="7">
        <v>40597.818136574075</v>
      </c>
      <c r="M447" s="12" t="s">
        <v>243</v>
      </c>
      <c r="N447" s="12" t="s">
        <v>1116</v>
      </c>
      <c r="O447" s="10" t="str">
        <f>HYPERLINK("https://pbs.twimg.com/profile_images/584363589126987778/AUl-VGZS_normal.jpg","View")</f>
        <v>View</v>
      </c>
      <c r="P447" s="11"/>
    </row>
    <row r="448" spans="1:16" ht="12.75" x14ac:dyDescent="0.35">
      <c r="A448" s="7">
        <v>42475.784016203703</v>
      </c>
      <c r="B448" s="8" t="str">
        <f>HYPERLINK("https://twitter.com/PSIPENTA","@PSIPENTA")</f>
        <v>@PSIPENTA</v>
      </c>
      <c r="C448" s="9" t="s">
        <v>497</v>
      </c>
      <c r="D448" s="9" t="s">
        <v>819</v>
      </c>
      <c r="E448" s="10" t="str">
        <f>HYPERLINK("https://twitter.com/PSIPENTA/status/720964639786405888","720964639786405888")</f>
        <v>720964639786405888</v>
      </c>
      <c r="F448" s="11" t="s">
        <v>31</v>
      </c>
      <c r="G448" s="11">
        <v>551</v>
      </c>
      <c r="H448" s="11">
        <v>542</v>
      </c>
      <c r="I448" s="11">
        <v>9</v>
      </c>
      <c r="J448" s="11">
        <v>0</v>
      </c>
      <c r="K448" s="11" t="s">
        <v>21</v>
      </c>
      <c r="L448" s="7">
        <v>40519.804988425924</v>
      </c>
      <c r="M448" s="12"/>
      <c r="N448" s="12" t="s">
        <v>498</v>
      </c>
      <c r="O448" s="10" t="str">
        <f>HYPERLINK("https://pbs.twimg.com/profile_images/684325175849037824/2vFq058g_normal.jpg","View")</f>
        <v>View</v>
      </c>
      <c r="P448" s="11"/>
    </row>
    <row r="449" spans="1:16" ht="12.75" x14ac:dyDescent="0.35">
      <c r="A449" s="7">
        <v>42475.788159722222</v>
      </c>
      <c r="B449" s="8" t="str">
        <f>HYPERLINK("https://twitter.com/Bitkom_Service","@Bitkom_Service")</f>
        <v>@Bitkom_Service</v>
      </c>
      <c r="C449" s="9" t="s">
        <v>1117</v>
      </c>
      <c r="D449" s="9" t="s">
        <v>1118</v>
      </c>
      <c r="E449" s="10" t="str">
        <f>HYPERLINK("https://twitter.com/Bitkom_Service/status/720966140374212608","720966140374212608")</f>
        <v>720966140374212608</v>
      </c>
      <c r="F449" s="11" t="s">
        <v>25</v>
      </c>
      <c r="G449" s="11">
        <v>1201</v>
      </c>
      <c r="H449" s="11">
        <v>145</v>
      </c>
      <c r="I449" s="11">
        <v>1</v>
      </c>
      <c r="J449" s="11">
        <v>1</v>
      </c>
      <c r="K449" s="11" t="s">
        <v>21</v>
      </c>
      <c r="L449" s="7">
        <v>40375.078171296293</v>
      </c>
      <c r="M449" s="12" t="s">
        <v>218</v>
      </c>
      <c r="N449" s="12" t="s">
        <v>1119</v>
      </c>
      <c r="O449" s="10" t="str">
        <f>HYPERLINK("https://pbs.twimg.com/profile_images/616176072204382208/UYYnn7XY_normal.jpg","View")</f>
        <v>View</v>
      </c>
      <c r="P449" s="11"/>
    </row>
    <row r="450" spans="1:16" ht="12.75" x14ac:dyDescent="0.35">
      <c r="A450" s="7">
        <v>42475.793368055558</v>
      </c>
      <c r="B450" s="8" t="str">
        <f>HYPERLINK("https://twitter.com/INDIZbot","@INDIZbot")</f>
        <v>@INDIZbot</v>
      </c>
      <c r="C450" s="9" t="s">
        <v>61</v>
      </c>
      <c r="D450" s="9" t="s">
        <v>1120</v>
      </c>
      <c r="E450" s="10" t="str">
        <f>HYPERLINK("https://twitter.com/INDIZbot/status/720968029690011649","720968029690011649")</f>
        <v>720968029690011649</v>
      </c>
      <c r="F450" s="11" t="s">
        <v>62</v>
      </c>
      <c r="G450" s="11">
        <v>1762</v>
      </c>
      <c r="H450" s="11">
        <v>481</v>
      </c>
      <c r="I450" s="11">
        <v>1</v>
      </c>
      <c r="J450" s="11">
        <v>0</v>
      </c>
      <c r="K450" s="11" t="s">
        <v>21</v>
      </c>
      <c r="L450" s="7">
        <v>42267.011921296296</v>
      </c>
      <c r="M450" s="12"/>
      <c r="N450" s="12" t="s">
        <v>63</v>
      </c>
      <c r="O450" s="10" t="str">
        <f>HYPERLINK("https://pbs.twimg.com/profile_images/645716711723925506/t5G0qOS6_normal.jpg","View")</f>
        <v>View</v>
      </c>
      <c r="P450" s="11"/>
    </row>
    <row r="451" spans="1:16" ht="12.75" x14ac:dyDescent="0.35">
      <c r="A451" s="7">
        <v>42475.802870370375</v>
      </c>
      <c r="B451" s="8" t="str">
        <f>HYPERLINK("https://twitter.com/PureChrifu","@PureChrifu")</f>
        <v>@PureChrifu</v>
      </c>
      <c r="C451" s="9" t="s">
        <v>1121</v>
      </c>
      <c r="D451" s="9" t="s">
        <v>1122</v>
      </c>
      <c r="E451" s="10" t="str">
        <f>HYPERLINK("https://twitter.com/PureChrifu/status/720971472123129856","720971472123129856")</f>
        <v>720971472123129856</v>
      </c>
      <c r="F451" s="11" t="s">
        <v>1123</v>
      </c>
      <c r="G451" s="11">
        <v>494</v>
      </c>
      <c r="H451" s="11">
        <v>634</v>
      </c>
      <c r="I451" s="11">
        <v>0</v>
      </c>
      <c r="J451" s="11">
        <v>0</v>
      </c>
      <c r="K451" s="11" t="s">
        <v>21</v>
      </c>
      <c r="L451" s="7">
        <v>41291.510578703703</v>
      </c>
      <c r="M451" s="12" t="s">
        <v>443</v>
      </c>
      <c r="N451" s="12" t="s">
        <v>1124</v>
      </c>
      <c r="O451" s="10" t="str">
        <f>HYPERLINK("https://pbs.twimg.com/profile_images/378800000373511626/dff4caac0dec0dfab35d4c58f5209e18_normal.jpeg","View")</f>
        <v>View</v>
      </c>
      <c r="P451" s="11"/>
    </row>
    <row r="452" spans="1:16" ht="12.75" x14ac:dyDescent="0.35">
      <c r="A452" s="7">
        <v>42475.806157407409</v>
      </c>
      <c r="B452" s="8" t="str">
        <f>HYPERLINK("https://twitter.com/i40zentrum","@i40zentrum")</f>
        <v>@i40zentrum</v>
      </c>
      <c r="C452" s="9" t="s">
        <v>1125</v>
      </c>
      <c r="D452" s="9" t="s">
        <v>1126</v>
      </c>
      <c r="E452" s="10" t="str">
        <f>HYPERLINK("https://twitter.com/i40zentrum/status/720972663401922560","720972663401922560")</f>
        <v>720972663401922560</v>
      </c>
      <c r="F452" s="11" t="s">
        <v>25</v>
      </c>
      <c r="G452" s="11">
        <v>693</v>
      </c>
      <c r="H452" s="11">
        <v>624</v>
      </c>
      <c r="I452" s="11">
        <v>0</v>
      </c>
      <c r="J452" s="11">
        <v>0</v>
      </c>
      <c r="K452" s="11" t="s">
        <v>21</v>
      </c>
      <c r="L452" s="7">
        <v>42071.043298611112</v>
      </c>
      <c r="M452" s="12" t="s">
        <v>1127</v>
      </c>
      <c r="N452" s="12" t="s">
        <v>1128</v>
      </c>
      <c r="O452" s="10" t="str">
        <f>HYPERLINK("https://pbs.twimg.com/profile_images/574291806998765569/PRBDNJ3u_normal.png","View")</f>
        <v>View</v>
      </c>
      <c r="P452" s="11"/>
    </row>
    <row r="453" spans="1:16" ht="12.75" x14ac:dyDescent="0.35">
      <c r="A453" s="7">
        <v>42475.807638888888</v>
      </c>
      <c r="B453" s="8" t="str">
        <f>HYPERLINK("https://twitter.com/dumslaff","@dumslaff")</f>
        <v>@dumslaff</v>
      </c>
      <c r="C453" s="9" t="s">
        <v>1129</v>
      </c>
      <c r="D453" s="9" t="s">
        <v>1130</v>
      </c>
      <c r="E453" s="10" t="str">
        <f>HYPERLINK("https://twitter.com/dumslaff/status/720973200117669888","720973200117669888")</f>
        <v>720973200117669888</v>
      </c>
      <c r="F453" s="11" t="s">
        <v>603</v>
      </c>
      <c r="G453" s="11">
        <v>145</v>
      </c>
      <c r="H453" s="11">
        <v>15</v>
      </c>
      <c r="I453" s="11">
        <v>4</v>
      </c>
      <c r="J453" s="11">
        <v>0</v>
      </c>
      <c r="K453" s="11" t="s">
        <v>21</v>
      </c>
      <c r="L453" s="7">
        <v>40607.835752314815</v>
      </c>
      <c r="M453" s="12" t="s">
        <v>121</v>
      </c>
      <c r="N453" s="12" t="s">
        <v>1131</v>
      </c>
      <c r="O453" s="10" t="str">
        <f>HYPERLINK("https://pbs.twimg.com/profile_images/598047133485400064/sz5k5LB4_normal.jpg","View")</f>
        <v>View</v>
      </c>
      <c r="P453" s="11"/>
    </row>
    <row r="454" spans="1:16" ht="12.75" x14ac:dyDescent="0.35">
      <c r="A454" s="7">
        <v>42475.811608796299</v>
      </c>
      <c r="B454" s="8" t="str">
        <f>HYPERLINK("https://twitter.com/Thomas_Heimann","@Thomas_Heimann")</f>
        <v>@Thomas_Heimann</v>
      </c>
      <c r="C454" s="9" t="s">
        <v>1132</v>
      </c>
      <c r="D454" s="9" t="s">
        <v>1133</v>
      </c>
      <c r="E454" s="10" t="str">
        <f>HYPERLINK("https://twitter.com/Thomas_Heimann/status/720974639451795456","720974639451795456")</f>
        <v>720974639451795456</v>
      </c>
      <c r="F454" s="11" t="s">
        <v>1134</v>
      </c>
      <c r="G454" s="11">
        <v>484</v>
      </c>
      <c r="H454" s="11">
        <v>571</v>
      </c>
      <c r="I454" s="11">
        <v>0</v>
      </c>
      <c r="J454" s="11">
        <v>0</v>
      </c>
      <c r="K454" s="11" t="s">
        <v>21</v>
      </c>
      <c r="L454" s="7">
        <v>40490.918530092589</v>
      </c>
      <c r="M454" s="12" t="s">
        <v>581</v>
      </c>
      <c r="N454" s="12" t="s">
        <v>1135</v>
      </c>
      <c r="O454" s="10" t="str">
        <f>HYPERLINK("https://pbs.twimg.com/profile_images/591547637381337088/1EbOGut1_normal.jpg","View")</f>
        <v>View</v>
      </c>
      <c r="P454" s="11"/>
    </row>
    <row r="455" spans="1:16" ht="12.75" x14ac:dyDescent="0.35">
      <c r="A455" s="7">
        <v>42475.813090277778</v>
      </c>
      <c r="B455" s="8" t="str">
        <f>HYPERLINK("https://twitter.com/CapgeminiDE","@CapgeminiDE")</f>
        <v>@CapgeminiDE</v>
      </c>
      <c r="C455" s="9" t="s">
        <v>280</v>
      </c>
      <c r="D455" s="9" t="s">
        <v>1136</v>
      </c>
      <c r="E455" s="10" t="str">
        <f>HYPERLINK("https://twitter.com/CapgeminiDE/status/720975177107038209","720975177107038209")</f>
        <v>720975177107038209</v>
      </c>
      <c r="F455" s="11" t="s">
        <v>39</v>
      </c>
      <c r="G455" s="11">
        <v>1640</v>
      </c>
      <c r="H455" s="11">
        <v>509</v>
      </c>
      <c r="I455" s="11">
        <v>1</v>
      </c>
      <c r="J455" s="11">
        <v>0</v>
      </c>
      <c r="K455" s="11" t="s">
        <v>21</v>
      </c>
      <c r="L455" s="7">
        <v>40424.022048611107</v>
      </c>
      <c r="M455" s="12" t="s">
        <v>218</v>
      </c>
      <c r="N455" s="12" t="s">
        <v>282</v>
      </c>
      <c r="O455" s="10" t="str">
        <f>HYPERLINK("https://pbs.twimg.com/profile_images/666911961599315968/aP7ID_qm_normal.png","View")</f>
        <v>View</v>
      </c>
      <c r="P455" s="11"/>
    </row>
    <row r="456" spans="1:16" ht="12.75" x14ac:dyDescent="0.35">
      <c r="A456" s="7">
        <v>42475.814351851848</v>
      </c>
      <c r="B456" s="8" t="str">
        <f>HYPERLINK("https://twitter.com/heidelbergmobil","@heidelbergmobil")</f>
        <v>@heidelbergmobil</v>
      </c>
      <c r="C456" s="9" t="s">
        <v>1137</v>
      </c>
      <c r="D456" s="9" t="s">
        <v>1138</v>
      </c>
      <c r="E456" s="10" t="str">
        <f>HYPERLINK("https://twitter.com/heidelbergmobil/status/720975630603587585","720975630603587585")</f>
        <v>720975630603587585</v>
      </c>
      <c r="F456" s="11" t="s">
        <v>39</v>
      </c>
      <c r="G456" s="11">
        <v>640</v>
      </c>
      <c r="H456" s="11">
        <v>478</v>
      </c>
      <c r="I456" s="11">
        <v>2</v>
      </c>
      <c r="J456" s="11">
        <v>0</v>
      </c>
      <c r="K456" s="11" t="s">
        <v>21</v>
      </c>
      <c r="L456" s="7">
        <v>40466.728900462964</v>
      </c>
      <c r="M456" s="12" t="s">
        <v>1139</v>
      </c>
      <c r="N456" s="12" t="s">
        <v>1140</v>
      </c>
      <c r="O456" s="10" t="str">
        <f>HYPERLINK("https://pbs.twimg.com/profile_images/456341504751964160/Cdptz2iN_normal.jpeg","View")</f>
        <v>View</v>
      </c>
      <c r="P456" s="11"/>
    </row>
    <row r="457" spans="1:16" ht="12.75" x14ac:dyDescent="0.35">
      <c r="A457" s="7">
        <v>42475.815983796296</v>
      </c>
      <c r="B457" s="8" t="str">
        <f>HYPERLINK("https://twitter.com/kommoptimierer","@kommoptimierer")</f>
        <v>@kommoptimierer</v>
      </c>
      <c r="C457" s="9" t="s">
        <v>270</v>
      </c>
      <c r="D457" s="9" t="s">
        <v>505</v>
      </c>
      <c r="E457" s="10" t="str">
        <f>HYPERLINK("https://twitter.com/kommoptimierer/status/720976223942414336","720976223942414336")</f>
        <v>720976223942414336</v>
      </c>
      <c r="F457" s="11" t="s">
        <v>272</v>
      </c>
      <c r="G457" s="11">
        <v>1347</v>
      </c>
      <c r="H457" s="11">
        <v>1753</v>
      </c>
      <c r="I457" s="11">
        <v>0</v>
      </c>
      <c r="J457" s="11">
        <v>0</v>
      </c>
      <c r="K457" s="11" t="s">
        <v>21</v>
      </c>
      <c r="L457" s="7">
        <v>39986.860358796301</v>
      </c>
      <c r="M457" s="12" t="s">
        <v>273</v>
      </c>
      <c r="N457" s="12" t="s">
        <v>274</v>
      </c>
      <c r="O457" s="10" t="str">
        <f>HYPERLINK("https://pbs.twimg.com/profile_images/541146126158536704/IYardufS_normal.jpeg","View")</f>
        <v>View</v>
      </c>
      <c r="P457" s="11"/>
    </row>
    <row r="458" spans="1:16" ht="12.75" x14ac:dyDescent="0.35">
      <c r="A458" s="7">
        <v>42475.816655092596</v>
      </c>
      <c r="B458" s="8" t="str">
        <f>HYPERLINK("https://twitter.com/IT2Industry","@IT2Industry")</f>
        <v>@IT2Industry</v>
      </c>
      <c r="C458" s="9" t="s">
        <v>721</v>
      </c>
      <c r="D458" s="9" t="s">
        <v>1141</v>
      </c>
      <c r="E458" s="10" t="str">
        <f>HYPERLINK("https://twitter.com/IT2Industry/status/720976466939408384","720976466939408384")</f>
        <v>720976466939408384</v>
      </c>
      <c r="F458" s="10" t="s">
        <v>723</v>
      </c>
      <c r="G458" s="11">
        <v>1930</v>
      </c>
      <c r="H458" s="11">
        <v>992</v>
      </c>
      <c r="I458" s="11">
        <v>0</v>
      </c>
      <c r="J458" s="11">
        <v>0</v>
      </c>
      <c r="K458" s="11" t="s">
        <v>21</v>
      </c>
      <c r="L458" s="7">
        <v>39771.779502314814</v>
      </c>
      <c r="M458" s="12" t="s">
        <v>443</v>
      </c>
      <c r="N458" s="12" t="s">
        <v>724</v>
      </c>
      <c r="O458" s="10" t="str">
        <f>HYPERLINK("https://pbs.twimg.com/profile_images/489403559394304001/8SQlWWA1_normal.jpeg","View")</f>
        <v>View</v>
      </c>
      <c r="P458" s="11"/>
    </row>
    <row r="459" spans="1:16" ht="12.75" x14ac:dyDescent="0.35">
      <c r="A459" s="7">
        <v>42475.823773148149</v>
      </c>
      <c r="B459" s="8" t="str">
        <f>HYPERLINK("https://twitter.com/EEIPEnMg","@EEIPEnMg")</f>
        <v>@EEIPEnMg</v>
      </c>
      <c r="C459" s="9" t="s">
        <v>539</v>
      </c>
      <c r="D459" s="9" t="s">
        <v>1142</v>
      </c>
      <c r="E459" s="10" t="str">
        <f>HYPERLINK("https://twitter.com/EEIPEnMg/status/720979047757520896","720979047757520896")</f>
        <v>720979047757520896</v>
      </c>
      <c r="F459" s="11" t="s">
        <v>59</v>
      </c>
      <c r="G459" s="11">
        <v>10871</v>
      </c>
      <c r="H459" s="11">
        <v>8350</v>
      </c>
      <c r="I459" s="11">
        <v>1</v>
      </c>
      <c r="J459" s="11">
        <v>4</v>
      </c>
      <c r="K459" s="11" t="s">
        <v>21</v>
      </c>
      <c r="L459" s="7">
        <v>41084.808472222227</v>
      </c>
      <c r="M459" s="12" t="s">
        <v>541</v>
      </c>
      <c r="N459" s="12" t="s">
        <v>542</v>
      </c>
      <c r="O459" s="10" t="str">
        <f>HYPERLINK("https://pbs.twimg.com/profile_images/572354999586267136/ICM-pVdp_normal.png","View")</f>
        <v>View</v>
      </c>
      <c r="P459" s="11"/>
    </row>
    <row r="460" spans="1:16" ht="12.75" x14ac:dyDescent="0.35">
      <c r="A460" s="7">
        <v>42475.826712962968</v>
      </c>
      <c r="B460" s="8" t="str">
        <f>HYPERLINK("https://twitter.com/H_IT_D","@H_IT_D")</f>
        <v>@H_IT_D</v>
      </c>
      <c r="C460" s="9" t="s">
        <v>159</v>
      </c>
      <c r="D460" s="9" t="s">
        <v>1143</v>
      </c>
      <c r="E460" s="10" t="str">
        <f>HYPERLINK("https://twitter.com/H_IT_D/status/720980111248400386","720980111248400386")</f>
        <v>720980111248400386</v>
      </c>
      <c r="F460" s="11" t="s">
        <v>161</v>
      </c>
      <c r="G460" s="11">
        <v>463</v>
      </c>
      <c r="H460" s="11">
        <v>467</v>
      </c>
      <c r="I460" s="11">
        <v>0</v>
      </c>
      <c r="J460" s="11">
        <v>0</v>
      </c>
      <c r="K460" s="11" t="s">
        <v>21</v>
      </c>
      <c r="L460" s="7">
        <v>40723.867673611108</v>
      </c>
      <c r="M460" s="12" t="s">
        <v>162</v>
      </c>
      <c r="N460" s="12" t="s">
        <v>163</v>
      </c>
      <c r="O460" s="10" t="str">
        <f>HYPERLINK("https://pbs.twimg.com/profile_images/662723326096224256/5V4KH9_O_normal.jpg","View")</f>
        <v>View</v>
      </c>
      <c r="P460" s="11"/>
    </row>
    <row r="461" spans="1:16" ht="12.75" x14ac:dyDescent="0.35">
      <c r="A461" s="7">
        <v>42475.837511574078</v>
      </c>
      <c r="B461" s="8" t="str">
        <f>HYPERLINK("https://twitter.com/QuickFindsIn","@QuickFindsIn")</f>
        <v>@QuickFindsIn</v>
      </c>
      <c r="C461" s="9" t="s">
        <v>208</v>
      </c>
      <c r="D461" s="9" t="s">
        <v>452</v>
      </c>
      <c r="E461" s="10" t="str">
        <f>HYPERLINK("https://twitter.com/QuickFindsIn/status/720984025175691265","720984025175691265")</f>
        <v>720984025175691265</v>
      </c>
      <c r="F461" s="11" t="s">
        <v>210</v>
      </c>
      <c r="G461" s="11">
        <v>1895</v>
      </c>
      <c r="H461" s="11">
        <v>2758</v>
      </c>
      <c r="I461" s="11">
        <v>0</v>
      </c>
      <c r="J461" s="11">
        <v>0</v>
      </c>
      <c r="K461" s="11" t="s">
        <v>21</v>
      </c>
      <c r="L461" s="7">
        <v>42069.582048611112</v>
      </c>
      <c r="M461" s="12" t="s">
        <v>211</v>
      </c>
      <c r="N461" s="12" t="s">
        <v>212</v>
      </c>
      <c r="O461" s="10" t="str">
        <f>HYPERLINK("https://pbs.twimg.com/profile_images/591951396217327616/HbcCX2zX_normal.png","View")</f>
        <v>View</v>
      </c>
      <c r="P461" s="11"/>
    </row>
    <row r="462" spans="1:16" ht="12.75" x14ac:dyDescent="0.35">
      <c r="A462" s="7">
        <v>42475.837766203702</v>
      </c>
      <c r="B462" s="8" t="str">
        <f>HYPERLINK("https://twitter.com/SaREUSS","@SaREUSS")</f>
        <v>@SaREUSS</v>
      </c>
      <c r="C462" s="9" t="s">
        <v>1144</v>
      </c>
      <c r="D462" s="9" t="s">
        <v>1145</v>
      </c>
      <c r="E462" s="10" t="str">
        <f>HYPERLINK("https://twitter.com/SaREUSS/status/720984116796198913","720984116796198913")</f>
        <v>720984116796198913</v>
      </c>
      <c r="F462" s="11" t="s">
        <v>25</v>
      </c>
      <c r="G462" s="11">
        <v>186</v>
      </c>
      <c r="H462" s="11">
        <v>205</v>
      </c>
      <c r="I462" s="11">
        <v>4</v>
      </c>
      <c r="J462" s="11">
        <v>0</v>
      </c>
      <c r="K462" s="11" t="s">
        <v>21</v>
      </c>
      <c r="L462" s="7">
        <v>40612.058263888888</v>
      </c>
      <c r="M462" s="12" t="s">
        <v>218</v>
      </c>
      <c r="N462" s="12" t="s">
        <v>1146</v>
      </c>
      <c r="O462" s="10" t="str">
        <f>HYPERLINK("https://pbs.twimg.com/profile_images/1640917480/SAbineJuni2011_normal.JPG","View")</f>
        <v>View</v>
      </c>
      <c r="P462" s="11"/>
    </row>
    <row r="463" spans="1:16" ht="12.75" x14ac:dyDescent="0.35">
      <c r="A463" s="7">
        <v>42475.842303240745</v>
      </c>
      <c r="B463" s="8" t="str">
        <f>HYPERLINK("https://twitter.com/INDIZbot","@INDIZbot")</f>
        <v>@INDIZbot</v>
      </c>
      <c r="C463" s="9" t="s">
        <v>61</v>
      </c>
      <c r="D463" s="9" t="s">
        <v>1145</v>
      </c>
      <c r="E463" s="10" t="str">
        <f>HYPERLINK("https://twitter.com/INDIZbot/status/720985763660304384","720985763660304384")</f>
        <v>720985763660304384</v>
      </c>
      <c r="F463" s="11" t="s">
        <v>62</v>
      </c>
      <c r="G463" s="11">
        <v>1762</v>
      </c>
      <c r="H463" s="11">
        <v>481</v>
      </c>
      <c r="I463" s="11">
        <v>4</v>
      </c>
      <c r="J463" s="11">
        <v>0</v>
      </c>
      <c r="K463" s="11" t="s">
        <v>21</v>
      </c>
      <c r="L463" s="7">
        <v>42267.011921296296</v>
      </c>
      <c r="M463" s="12"/>
      <c r="N463" s="12" t="s">
        <v>63</v>
      </c>
      <c r="O463" s="10" t="str">
        <f>HYPERLINK("https://pbs.twimg.com/profile_images/645716711723925506/t5G0qOS6_normal.jpg","View")</f>
        <v>View</v>
      </c>
      <c r="P463" s="11"/>
    </row>
    <row r="464" spans="1:16" ht="12.75" x14ac:dyDescent="0.35">
      <c r="A464" s="7">
        <v>42475.843055555553</v>
      </c>
      <c r="B464" s="8" t="str">
        <f>HYPERLINK("https://twitter.com/wilfriedhoge","@wilfriedhoge")</f>
        <v>@wilfriedhoge</v>
      </c>
      <c r="C464" s="9" t="s">
        <v>1147</v>
      </c>
      <c r="D464" s="9" t="s">
        <v>1145</v>
      </c>
      <c r="E464" s="10" t="str">
        <f>HYPERLINK("https://twitter.com/wilfriedhoge/status/720986033542795264","720986033542795264")</f>
        <v>720986033542795264</v>
      </c>
      <c r="F464" s="11" t="s">
        <v>31</v>
      </c>
      <c r="G464" s="11">
        <v>1176</v>
      </c>
      <c r="H464" s="11">
        <v>1014</v>
      </c>
      <c r="I464" s="11">
        <v>4</v>
      </c>
      <c r="J464" s="11">
        <v>0</v>
      </c>
      <c r="K464" s="11" t="s">
        <v>21</v>
      </c>
      <c r="L464" s="7">
        <v>39966.719942129632</v>
      </c>
      <c r="M464" s="12" t="s">
        <v>1148</v>
      </c>
      <c r="N464" s="12" t="s">
        <v>1149</v>
      </c>
      <c r="O464" s="10" t="str">
        <f>HYPERLINK("https://pbs.twimg.com/profile_images/594881927875792896/eBXa7re-_normal.jpg","View")</f>
        <v>View</v>
      </c>
      <c r="P464" s="11"/>
    </row>
    <row r="465" spans="1:16" ht="12.75" x14ac:dyDescent="0.35">
      <c r="A465" s="7">
        <v>42475.843252314815</v>
      </c>
      <c r="B465" s="8" t="str">
        <f>HYPERLINK("https://twitter.com/Allabout_IoT","@Allabout_IoT")</f>
        <v>@Allabout_IoT</v>
      </c>
      <c r="C465" s="9" t="s">
        <v>1150</v>
      </c>
      <c r="D465" s="9" t="s">
        <v>1003</v>
      </c>
      <c r="E465" s="10" t="str">
        <f>HYPERLINK("https://twitter.com/Allabout_IoT/status/720986105848471553","720986105848471553")</f>
        <v>720986105848471553</v>
      </c>
      <c r="F465" s="11" t="s">
        <v>31</v>
      </c>
      <c r="G465" s="11">
        <v>32</v>
      </c>
      <c r="H465" s="11">
        <v>76</v>
      </c>
      <c r="I465" s="11">
        <v>2</v>
      </c>
      <c r="J465" s="11">
        <v>0</v>
      </c>
      <c r="K465" s="11" t="s">
        <v>21</v>
      </c>
      <c r="L465" s="7">
        <v>42474.684374999997</v>
      </c>
      <c r="M465" s="12" t="s">
        <v>136</v>
      </c>
      <c r="N465" s="12" t="s">
        <v>1151</v>
      </c>
      <c r="O465" s="10" t="str">
        <f>HYPERLINK("https://pbs.twimg.com/profile_images/720567006307753984/nmZd1Tyt_normal.jpg","View")</f>
        <v>View</v>
      </c>
      <c r="P465" s="11"/>
    </row>
    <row r="466" spans="1:16" ht="12.75" x14ac:dyDescent="0.35">
      <c r="A466" s="7">
        <v>42475.845185185186</v>
      </c>
      <c r="B466" s="8" t="str">
        <f>HYPERLINK("https://twitter.com/Arno_muc","@Arno_muc")</f>
        <v>@Arno_muc</v>
      </c>
      <c r="C466" s="9" t="s">
        <v>1152</v>
      </c>
      <c r="D466" s="9" t="s">
        <v>230</v>
      </c>
      <c r="E466" s="10" t="str">
        <f>HYPERLINK("https://twitter.com/Arno_muc/status/720986806901174272","720986806901174272")</f>
        <v>720986806901174272</v>
      </c>
      <c r="F466" s="11" t="s">
        <v>59</v>
      </c>
      <c r="G466" s="11">
        <v>2244</v>
      </c>
      <c r="H466" s="11">
        <v>2235</v>
      </c>
      <c r="I466" s="11">
        <v>15</v>
      </c>
      <c r="J466" s="11">
        <v>0</v>
      </c>
      <c r="K466" s="11" t="s">
        <v>21</v>
      </c>
      <c r="L466" s="7">
        <v>39942.923078703701</v>
      </c>
      <c r="M466" s="12" t="s">
        <v>443</v>
      </c>
      <c r="N466" s="12" t="s">
        <v>1153</v>
      </c>
      <c r="O466" s="10" t="str">
        <f>HYPERLINK("https://pbs.twimg.com/profile_images/303181441/f_r_die_website_normal.jpg","View")</f>
        <v>View</v>
      </c>
      <c r="P466" s="11"/>
    </row>
    <row r="467" spans="1:16" ht="12.75" x14ac:dyDescent="0.35">
      <c r="A467" s="7">
        <v>42475.847511574073</v>
      </c>
      <c r="B467" s="8" t="str">
        <f>HYPERLINK("https://twitter.com/IT_Connection","@IT_Connection")</f>
        <v>@IT_Connection</v>
      </c>
      <c r="C467" s="9" t="s">
        <v>368</v>
      </c>
      <c r="D467" s="9" t="s">
        <v>1154</v>
      </c>
      <c r="E467" s="10" t="str">
        <f>HYPERLINK("https://twitter.com/IT_Connection/status/720987648601497601","720987648601497601")</f>
        <v>720987648601497601</v>
      </c>
      <c r="F467" s="11" t="s">
        <v>39</v>
      </c>
      <c r="G467" s="11">
        <v>10900</v>
      </c>
      <c r="H467" s="11">
        <v>10875</v>
      </c>
      <c r="I467" s="11">
        <v>2</v>
      </c>
      <c r="J467" s="11">
        <v>0</v>
      </c>
      <c r="K467" s="11" t="s">
        <v>21</v>
      </c>
      <c r="L467" s="7">
        <v>40411.751539351855</v>
      </c>
      <c r="M467" s="12" t="s">
        <v>369</v>
      </c>
      <c r="N467" s="12" t="s">
        <v>370</v>
      </c>
      <c r="O467" s="10" t="str">
        <f>HYPERLINK("https://pbs.twimg.com/profile_images/566986293888835584/_uYTcau__normal.png","View")</f>
        <v>View</v>
      </c>
      <c r="P467" s="11"/>
    </row>
    <row r="468" spans="1:16" ht="12.75" x14ac:dyDescent="0.35">
      <c r="A468" s="7">
        <v>42475.848032407404</v>
      </c>
      <c r="B468" s="8" t="str">
        <f>HYPERLINK("https://twitter.com/INDIZbot","@INDIZbot")</f>
        <v>@INDIZbot</v>
      </c>
      <c r="C468" s="9" t="s">
        <v>61</v>
      </c>
      <c r="D468" s="9" t="s">
        <v>1155</v>
      </c>
      <c r="E468" s="10" t="str">
        <f>HYPERLINK("https://twitter.com/INDIZbot/status/720987837915656192","720987837915656192")</f>
        <v>720987837915656192</v>
      </c>
      <c r="F468" s="11" t="s">
        <v>62</v>
      </c>
      <c r="G468" s="11">
        <v>1762</v>
      </c>
      <c r="H468" s="11">
        <v>481</v>
      </c>
      <c r="I468" s="11">
        <v>2</v>
      </c>
      <c r="J468" s="11">
        <v>0</v>
      </c>
      <c r="K468" s="11" t="s">
        <v>21</v>
      </c>
      <c r="L468" s="7">
        <v>42267.011921296296</v>
      </c>
      <c r="M468" s="12"/>
      <c r="N468" s="12" t="s">
        <v>63</v>
      </c>
      <c r="O468" s="10" t="str">
        <f>HYPERLINK("https://pbs.twimg.com/profile_images/645716711723925506/t5G0qOS6_normal.jpg","View")</f>
        <v>View</v>
      </c>
      <c r="P468" s="11"/>
    </row>
    <row r="469" spans="1:16" ht="12.75" x14ac:dyDescent="0.35">
      <c r="A469" s="7">
        <v>42475.848854166667</v>
      </c>
      <c r="B469" s="8" t="str">
        <f>HYPERLINK("https://twitter.com/SixP4ck3r","@SixP4ck3r")</f>
        <v>@SixP4ck3r</v>
      </c>
      <c r="C469" s="9" t="s">
        <v>1156</v>
      </c>
      <c r="D469" s="9" t="s">
        <v>1155</v>
      </c>
      <c r="E469" s="10" t="str">
        <f>HYPERLINK("https://twitter.com/SixP4ck3r/status/720988135677698049","720988135677698049")</f>
        <v>720988135677698049</v>
      </c>
      <c r="F469" s="11" t="s">
        <v>25</v>
      </c>
      <c r="G469" s="11">
        <v>1449</v>
      </c>
      <c r="H469" s="11">
        <v>5002</v>
      </c>
      <c r="I469" s="11">
        <v>2</v>
      </c>
      <c r="J469" s="11">
        <v>0</v>
      </c>
      <c r="K469" s="11" t="s">
        <v>21</v>
      </c>
      <c r="L469" s="7">
        <v>40830.13622685185</v>
      </c>
      <c r="M469" s="12" t="s">
        <v>1157</v>
      </c>
      <c r="N469" s="12" t="s">
        <v>1158</v>
      </c>
      <c r="O469" s="10" t="str">
        <f>HYPERLINK("https://pbs.twimg.com/profile_images/672618777247244288/v5Iuptf9_normal.jpg","View")</f>
        <v>View</v>
      </c>
      <c r="P469" s="11"/>
    </row>
    <row r="470" spans="1:16" ht="12.75" x14ac:dyDescent="0.35">
      <c r="A470" s="7">
        <v>42475.849918981483</v>
      </c>
      <c r="B470" s="8" t="str">
        <f>HYPERLINK("https://twitter.com/jkreienbrink","@jkreienbrink")</f>
        <v>@jkreienbrink</v>
      </c>
      <c r="C470" s="9" t="s">
        <v>1159</v>
      </c>
      <c r="D470" s="9" t="s">
        <v>1160</v>
      </c>
      <c r="E470" s="10" t="str">
        <f>HYPERLINK("https://twitter.com/jkreienbrink/status/720988523025866753","720988523025866753")</f>
        <v>720988523025866753</v>
      </c>
      <c r="F470" s="11" t="s">
        <v>115</v>
      </c>
      <c r="G470" s="11">
        <v>97</v>
      </c>
      <c r="H470" s="11">
        <v>265</v>
      </c>
      <c r="I470" s="11">
        <v>1</v>
      </c>
      <c r="J470" s="11">
        <v>1</v>
      </c>
      <c r="K470" s="11" t="s">
        <v>21</v>
      </c>
      <c r="L470" s="7">
        <v>39930.535092592589</v>
      </c>
      <c r="M470" s="12" t="s">
        <v>846</v>
      </c>
      <c r="N470" s="12"/>
      <c r="O470" s="10" t="str">
        <f>HYPERLINK("https://pbs.twimg.com/profile_images/692024942196563968/kvuTJRyx_normal.jpg","View")</f>
        <v>View</v>
      </c>
      <c r="P470" s="11"/>
    </row>
    <row r="471" spans="1:16" ht="12.75" x14ac:dyDescent="0.35">
      <c r="A471" s="7">
        <v>42475.855462962965</v>
      </c>
      <c r="B471" s="8" t="str">
        <f>HYPERLINK("https://twitter.com/hannover_messe","@hannover_messe")</f>
        <v>@hannover_messe</v>
      </c>
      <c r="C471" s="9" t="s">
        <v>1161</v>
      </c>
      <c r="D471" s="9" t="s">
        <v>1162</v>
      </c>
      <c r="E471" s="10" t="str">
        <f>HYPERLINK("https://twitter.com/hannover_messe/status/720990531116011520","720990531116011520")</f>
        <v>720990531116011520</v>
      </c>
      <c r="F471" s="11" t="s">
        <v>39</v>
      </c>
      <c r="G471" s="11">
        <v>17092</v>
      </c>
      <c r="H471" s="11">
        <v>260</v>
      </c>
      <c r="I471" s="11">
        <v>3</v>
      </c>
      <c r="J471" s="11">
        <v>2</v>
      </c>
      <c r="K471" s="11" t="s">
        <v>21</v>
      </c>
      <c r="L471" s="7">
        <v>39878.916354166664</v>
      </c>
      <c r="M471" s="12" t="s">
        <v>1163</v>
      </c>
      <c r="N471" s="12" t="s">
        <v>1164</v>
      </c>
      <c r="O471" s="10" t="str">
        <f>HYPERLINK("https://pbs.twimg.com/profile_images/685255985/Bild_2_normal.png","View")</f>
        <v>View</v>
      </c>
      <c r="P471" s="11"/>
    </row>
    <row r="472" spans="1:16" ht="12.75" x14ac:dyDescent="0.35">
      <c r="A472" s="7">
        <v>42475.862280092595</v>
      </c>
      <c r="B472" s="8" t="str">
        <f t="shared" ref="B472:B474" si="46">HYPERLINK("https://twitter.com/INDIZbot","@INDIZbot")</f>
        <v>@INDIZbot</v>
      </c>
      <c r="C472" s="9" t="s">
        <v>61</v>
      </c>
      <c r="D472" s="9" t="s">
        <v>1165</v>
      </c>
      <c r="E472" s="10" t="str">
        <f>HYPERLINK("https://twitter.com/INDIZbot/status/720993000667619328","720993000667619328")</f>
        <v>720993000667619328</v>
      </c>
      <c r="F472" s="11" t="s">
        <v>62</v>
      </c>
      <c r="G472" s="11">
        <v>1762</v>
      </c>
      <c r="H472" s="11">
        <v>481</v>
      </c>
      <c r="I472" s="11">
        <v>3</v>
      </c>
      <c r="J472" s="11">
        <v>0</v>
      </c>
      <c r="K472" s="11" t="s">
        <v>21</v>
      </c>
      <c r="L472" s="7">
        <v>42267.011921296296</v>
      </c>
      <c r="M472" s="12"/>
      <c r="N472" s="12" t="s">
        <v>63</v>
      </c>
      <c r="O472" s="10" t="str">
        <f t="shared" ref="O472:O474" si="47">HYPERLINK("https://pbs.twimg.com/profile_images/645716711723925506/t5G0qOS6_normal.jpg","View")</f>
        <v>View</v>
      </c>
      <c r="P472" s="11"/>
    </row>
    <row r="473" spans="1:16" ht="12.75" x14ac:dyDescent="0.35">
      <c r="A473" s="7">
        <v>42475.862650462965</v>
      </c>
      <c r="B473" s="8" t="str">
        <f t="shared" si="46"/>
        <v>@INDIZbot</v>
      </c>
      <c r="C473" s="9" t="s">
        <v>61</v>
      </c>
      <c r="D473" s="9" t="s">
        <v>1166</v>
      </c>
      <c r="E473" s="10" t="str">
        <f>HYPERLINK("https://twitter.com/INDIZbot/status/720993135292194816","720993135292194816")</f>
        <v>720993135292194816</v>
      </c>
      <c r="F473" s="11" t="s">
        <v>62</v>
      </c>
      <c r="G473" s="11">
        <v>1762</v>
      </c>
      <c r="H473" s="11">
        <v>481</v>
      </c>
      <c r="I473" s="11">
        <v>8</v>
      </c>
      <c r="J473" s="11">
        <v>0</v>
      </c>
      <c r="K473" s="11" t="s">
        <v>21</v>
      </c>
      <c r="L473" s="7">
        <v>42267.011921296296</v>
      </c>
      <c r="M473" s="12"/>
      <c r="N473" s="12" t="s">
        <v>63</v>
      </c>
      <c r="O473" s="10" t="str">
        <f t="shared" si="47"/>
        <v>View</v>
      </c>
      <c r="P473" s="11"/>
    </row>
    <row r="474" spans="1:16" ht="12.75" x14ac:dyDescent="0.35">
      <c r="A474" s="7">
        <v>42475.863125000003</v>
      </c>
      <c r="B474" s="8" t="str">
        <f t="shared" si="46"/>
        <v>@INDIZbot</v>
      </c>
      <c r="C474" s="9" t="s">
        <v>61</v>
      </c>
      <c r="D474" s="9" t="s">
        <v>1167</v>
      </c>
      <c r="E474" s="10" t="str">
        <f>HYPERLINK("https://twitter.com/INDIZbot/status/720993307858493440","720993307858493440")</f>
        <v>720993307858493440</v>
      </c>
      <c r="F474" s="11" t="s">
        <v>62</v>
      </c>
      <c r="G474" s="11">
        <v>1762</v>
      </c>
      <c r="H474" s="11">
        <v>481</v>
      </c>
      <c r="I474" s="11">
        <v>1</v>
      </c>
      <c r="J474" s="11">
        <v>0</v>
      </c>
      <c r="K474" s="11" t="s">
        <v>21</v>
      </c>
      <c r="L474" s="7">
        <v>42267.011921296296</v>
      </c>
      <c r="M474" s="12"/>
      <c r="N474" s="12" t="s">
        <v>63</v>
      </c>
      <c r="O474" s="10" t="str">
        <f t="shared" si="47"/>
        <v>View</v>
      </c>
      <c r="P474" s="11"/>
    </row>
    <row r="475" spans="1:16" ht="12.75" x14ac:dyDescent="0.35">
      <c r="A475" s="7">
        <v>42475.863391203704</v>
      </c>
      <c r="B475" s="8" t="str">
        <f>HYPERLINK("https://twitter.com/JuVid","@JuVid")</f>
        <v>@JuVid</v>
      </c>
      <c r="C475" s="9" t="s">
        <v>82</v>
      </c>
      <c r="D475" s="9" t="s">
        <v>1000</v>
      </c>
      <c r="E475" s="10" t="str">
        <f>HYPERLINK("https://twitter.com/JuVid/status/720993403710869507","720993403710869507")</f>
        <v>720993403710869507</v>
      </c>
      <c r="F475" s="11" t="s">
        <v>84</v>
      </c>
      <c r="G475" s="11">
        <v>37</v>
      </c>
      <c r="H475" s="11">
        <v>47</v>
      </c>
      <c r="I475" s="11">
        <v>10</v>
      </c>
      <c r="J475" s="11">
        <v>0</v>
      </c>
      <c r="K475" s="11" t="s">
        <v>21</v>
      </c>
      <c r="L475" s="7">
        <v>39929.95239583333</v>
      </c>
      <c r="M475" s="12" t="s">
        <v>85</v>
      </c>
      <c r="N475" s="12" t="s">
        <v>86</v>
      </c>
      <c r="O475" s="10" t="str">
        <f>HYPERLINK("https://pbs.twimg.com/profile_images/1654309791/P1090797_normal.JPG","View")</f>
        <v>View</v>
      </c>
      <c r="P475" s="11"/>
    </row>
    <row r="476" spans="1:16" ht="12.75" x14ac:dyDescent="0.35">
      <c r="A476" s="7">
        <v>42475.86509259259</v>
      </c>
      <c r="B476" s="8" t="str">
        <f>HYPERLINK("https://twitter.com/AMETRAInge","@AMETRAInge")</f>
        <v>@AMETRAInge</v>
      </c>
      <c r="C476" s="9" t="s">
        <v>1168</v>
      </c>
      <c r="D476" s="9" t="s">
        <v>1169</v>
      </c>
      <c r="E476" s="10" t="str">
        <f>HYPERLINK("https://twitter.com/AMETRAInge/status/720994020512673793","720994020512673793")</f>
        <v>720994020512673793</v>
      </c>
      <c r="F476" s="11" t="s">
        <v>59</v>
      </c>
      <c r="G476" s="11">
        <v>603</v>
      </c>
      <c r="H476" s="11">
        <v>2614</v>
      </c>
      <c r="I476" s="11">
        <v>4</v>
      </c>
      <c r="J476" s="11">
        <v>5</v>
      </c>
      <c r="K476" s="11" t="s">
        <v>21</v>
      </c>
      <c r="L476" s="7">
        <v>42341.674085648148</v>
      </c>
      <c r="M476" s="12" t="s">
        <v>214</v>
      </c>
      <c r="N476" s="12" t="s">
        <v>1170</v>
      </c>
      <c r="O476" s="10" t="str">
        <f>HYPERLINK("https://pbs.twimg.com/profile_images/677781149037514752/TcTK8Bpv_normal.png","View")</f>
        <v>View</v>
      </c>
      <c r="P476" s="11"/>
    </row>
    <row r="477" spans="1:16" ht="12.75" x14ac:dyDescent="0.35">
      <c r="A477" s="7">
        <v>42475.869699074072</v>
      </c>
      <c r="B477" s="8" t="str">
        <f>HYPERLINK("https://twitter.com/YonicohenYoni","@YonicohenYoni")</f>
        <v>@YonicohenYoni</v>
      </c>
      <c r="C477" s="9" t="s">
        <v>1171</v>
      </c>
      <c r="D477" s="9" t="s">
        <v>1172</v>
      </c>
      <c r="E477" s="10" t="str">
        <f>HYPERLINK("https://twitter.com/YonicohenYoni/status/720995689807917056","720995689807917056")</f>
        <v>720995689807917056</v>
      </c>
      <c r="F477" s="11" t="s">
        <v>25</v>
      </c>
      <c r="G477" s="11">
        <v>6</v>
      </c>
      <c r="H477" s="11">
        <v>97</v>
      </c>
      <c r="I477" s="11">
        <v>4</v>
      </c>
      <c r="J477" s="11">
        <v>0</v>
      </c>
      <c r="K477" s="11" t="s">
        <v>21</v>
      </c>
      <c r="L477" s="7">
        <v>42475.865347222221</v>
      </c>
      <c r="M477" s="12"/>
      <c r="N477" s="12"/>
      <c r="O477" s="10" t="str">
        <f>HYPERLINK("https://pbs.twimg.com/profile_images/720994279854776320/s_bilVaH_normal.jpg","View")</f>
        <v>View</v>
      </c>
      <c r="P477" s="11"/>
    </row>
    <row r="478" spans="1:16" ht="12.75" x14ac:dyDescent="0.35">
      <c r="A478" s="7">
        <v>42475.871481481481</v>
      </c>
      <c r="B478" s="8" t="str">
        <f>HYPERLINK("https://twitter.com/innovationbawue","@innovationbawue")</f>
        <v>@innovationbawue</v>
      </c>
      <c r="C478" s="8" t="s">
        <v>1173</v>
      </c>
      <c r="D478" s="9" t="s">
        <v>1174</v>
      </c>
      <c r="E478" s="10" t="str">
        <f>HYPERLINK("https://twitter.com/innovationbawue/status/720996336108232704","720996336108232704")</f>
        <v>720996336108232704</v>
      </c>
      <c r="F478" s="11" t="s">
        <v>25</v>
      </c>
      <c r="G478" s="11">
        <v>210</v>
      </c>
      <c r="H478" s="11">
        <v>353</v>
      </c>
      <c r="I478" s="11">
        <v>2</v>
      </c>
      <c r="J478" s="11">
        <v>0</v>
      </c>
      <c r="K478" s="11" t="s">
        <v>21</v>
      </c>
      <c r="L478" s="7">
        <v>42380.713946759264</v>
      </c>
      <c r="M478" s="12" t="s">
        <v>985</v>
      </c>
      <c r="N478" s="12" t="s">
        <v>1175</v>
      </c>
      <c r="O478" s="10" t="str">
        <f>HYPERLINK("https://pbs.twimg.com/profile_images/719538951988592641/7lKnB2dG_normal.jpg","View")</f>
        <v>View</v>
      </c>
      <c r="P478" s="11"/>
    </row>
    <row r="479" spans="1:16" ht="12.75" x14ac:dyDescent="0.35">
      <c r="A479" s="7">
        <v>42475.875798611116</v>
      </c>
      <c r="B479" s="8" t="str">
        <f>HYPERLINK("https://twitter.com/INDIZbot","@INDIZbot")</f>
        <v>@INDIZbot</v>
      </c>
      <c r="C479" s="9" t="s">
        <v>61</v>
      </c>
      <c r="D479" s="9" t="s">
        <v>1174</v>
      </c>
      <c r="E479" s="10" t="str">
        <f>HYPERLINK("https://twitter.com/INDIZbot/status/720997898276757504","720997898276757504")</f>
        <v>720997898276757504</v>
      </c>
      <c r="F479" s="11" t="s">
        <v>62</v>
      </c>
      <c r="G479" s="11">
        <v>1762</v>
      </c>
      <c r="H479" s="11">
        <v>481</v>
      </c>
      <c r="I479" s="11">
        <v>2</v>
      </c>
      <c r="J479" s="11">
        <v>0</v>
      </c>
      <c r="K479" s="11" t="s">
        <v>21</v>
      </c>
      <c r="L479" s="7">
        <v>42267.011921296296</v>
      </c>
      <c r="M479" s="12"/>
      <c r="N479" s="12" t="s">
        <v>63</v>
      </c>
      <c r="O479" s="10" t="str">
        <f>HYPERLINK("https://pbs.twimg.com/profile_images/645716711723925506/t5G0qOS6_normal.jpg","View")</f>
        <v>View</v>
      </c>
      <c r="P479" s="11"/>
    </row>
    <row r="480" spans="1:16" ht="12.75" x14ac:dyDescent="0.35">
      <c r="A480" s="7">
        <v>42475.876921296294</v>
      </c>
      <c r="B480" s="8" t="str">
        <f>HYPERLINK("https://twitter.com/HTxA","@HTxA")</f>
        <v>@HTxA</v>
      </c>
      <c r="C480" s="9" t="s">
        <v>1176</v>
      </c>
      <c r="D480" s="9" t="s">
        <v>1177</v>
      </c>
      <c r="E480" s="10" t="str">
        <f>HYPERLINK("https://twitter.com/HTxA/status/720998306520940544","720998306520940544")</f>
        <v>720998306520940544</v>
      </c>
      <c r="F480" s="11" t="s">
        <v>20</v>
      </c>
      <c r="G480" s="11">
        <v>770</v>
      </c>
      <c r="H480" s="11">
        <v>1891</v>
      </c>
      <c r="I480" s="11">
        <v>0</v>
      </c>
      <c r="J480" s="11">
        <v>0</v>
      </c>
      <c r="K480" s="11" t="s">
        <v>21</v>
      </c>
      <c r="L480" s="7">
        <v>40873.657754629632</v>
      </c>
      <c r="M480" s="12" t="s">
        <v>1178</v>
      </c>
      <c r="N480" s="12" t="s">
        <v>1179</v>
      </c>
      <c r="O480" s="10" t="str">
        <f>HYPERLINK("https://pbs.twimg.com/profile_images/438597769180094464/3KS08yHc_normal.jpeg","View")</f>
        <v>View</v>
      </c>
      <c r="P480" s="10" t="str">
        <f>HYPERLINK("http://ctrlq.org/maps/address/#51.3443709,12.3798134","Map")</f>
        <v>Map</v>
      </c>
    </row>
    <row r="481" spans="1:16" ht="12.75" x14ac:dyDescent="0.35">
      <c r="A481" s="7">
        <v>42475.880127314813</v>
      </c>
      <c r="B481" s="8" t="str">
        <f>HYPERLINK("https://twitter.com/Databanque","@Databanque")</f>
        <v>@Databanque</v>
      </c>
      <c r="C481" s="9" t="s">
        <v>1180</v>
      </c>
      <c r="D481" s="9" t="s">
        <v>1181</v>
      </c>
      <c r="E481" s="10" t="str">
        <f>HYPERLINK("https://twitter.com/Databanque/status/720999467910967297","720999467910967297")</f>
        <v>720999467910967297</v>
      </c>
      <c r="F481" s="11" t="s">
        <v>25</v>
      </c>
      <c r="G481" s="11">
        <v>265</v>
      </c>
      <c r="H481" s="11">
        <v>610</v>
      </c>
      <c r="I481" s="11">
        <v>1</v>
      </c>
      <c r="J481" s="11">
        <v>0</v>
      </c>
      <c r="K481" s="11" t="s">
        <v>21</v>
      </c>
      <c r="L481" s="7">
        <v>39984.0387962963</v>
      </c>
      <c r="M481" s="12" t="s">
        <v>1182</v>
      </c>
      <c r="N481" s="12" t="s">
        <v>1183</v>
      </c>
      <c r="O481" s="10" t="str">
        <f>HYPERLINK("https://pbs.twimg.com/profile_images/552211771360940032/CmEYO0l3_normal.png","View")</f>
        <v>View</v>
      </c>
      <c r="P481" s="11"/>
    </row>
    <row r="482" spans="1:16" ht="12.75" x14ac:dyDescent="0.35">
      <c r="A482" s="7">
        <v>42475.89680555556</v>
      </c>
      <c r="B482" s="8" t="str">
        <f>HYPERLINK("https://twitter.com/TUV_IT","@TUV_IT")</f>
        <v>@TUV_IT</v>
      </c>
      <c r="C482" s="9" t="s">
        <v>1184</v>
      </c>
      <c r="D482" s="9" t="s">
        <v>1185</v>
      </c>
      <c r="E482" s="10" t="str">
        <f>HYPERLINK("https://twitter.com/TUV_IT/status/721005513358643202","721005513358643202")</f>
        <v>721005513358643202</v>
      </c>
      <c r="F482" s="11" t="s">
        <v>25</v>
      </c>
      <c r="G482" s="11">
        <v>34</v>
      </c>
      <c r="H482" s="11">
        <v>49</v>
      </c>
      <c r="I482" s="11">
        <v>3</v>
      </c>
      <c r="J482" s="11">
        <v>0</v>
      </c>
      <c r="K482" s="11" t="s">
        <v>21</v>
      </c>
      <c r="L482" s="7">
        <v>42436.636574074073</v>
      </c>
      <c r="M482" s="12" t="s">
        <v>1186</v>
      </c>
      <c r="N482" s="12" t="s">
        <v>1187</v>
      </c>
      <c r="O482" s="10" t="str">
        <f>HYPERLINK("https://pbs.twimg.com/profile_images/706784163433680896/xE8ttuE2_normal.jpg","View")</f>
        <v>View</v>
      </c>
      <c r="P482" s="11"/>
    </row>
    <row r="483" spans="1:16" ht="12.75" x14ac:dyDescent="0.35">
      <c r="A483" s="7">
        <v>42475.897719907407</v>
      </c>
      <c r="B483" s="8" t="str">
        <f>HYPERLINK("https://twitter.com/KathaWeber","@KathaWeber")</f>
        <v>@KathaWeber</v>
      </c>
      <c r="C483" s="9" t="s">
        <v>1188</v>
      </c>
      <c r="D483" s="9" t="s">
        <v>287</v>
      </c>
      <c r="E483" s="10" t="str">
        <f>HYPERLINK("https://twitter.com/KathaWeber/status/721005845623021568","721005845623021568")</f>
        <v>721005845623021568</v>
      </c>
      <c r="F483" s="11" t="s">
        <v>31</v>
      </c>
      <c r="G483" s="11">
        <v>97</v>
      </c>
      <c r="H483" s="11">
        <v>160</v>
      </c>
      <c r="I483" s="11">
        <v>3</v>
      </c>
      <c r="J483" s="11">
        <v>0</v>
      </c>
      <c r="K483" s="11" t="s">
        <v>21</v>
      </c>
      <c r="L483" s="7">
        <v>40193.783287037033</v>
      </c>
      <c r="M483" s="12"/>
      <c r="N483" s="12" t="s">
        <v>1189</v>
      </c>
      <c r="O483" s="10" t="str">
        <f>HYPERLINK("https://pbs.twimg.com/profile_images/2525022138/iumrhhryywqyaheirg1t_normal.jpeg","View")</f>
        <v>View</v>
      </c>
      <c r="P483" s="11"/>
    </row>
    <row r="484" spans="1:16" ht="12.75" x14ac:dyDescent="0.35">
      <c r="A484" s="7">
        <v>42475.903854166667</v>
      </c>
      <c r="B484" s="8" t="str">
        <f>HYPERLINK("https://twitter.com/MichaelleSalmon","@MichaelleSalmon")</f>
        <v>@MichaelleSalmon</v>
      </c>
      <c r="C484" s="9" t="s">
        <v>608</v>
      </c>
      <c r="D484" s="9" t="s">
        <v>1190</v>
      </c>
      <c r="E484" s="10" t="str">
        <f>HYPERLINK("https://twitter.com/MichaelleSalmon/status/721008066750234624","721008066750234624")</f>
        <v>721008066750234624</v>
      </c>
      <c r="F484" s="11" t="s">
        <v>31</v>
      </c>
      <c r="G484" s="11">
        <v>69</v>
      </c>
      <c r="H484" s="11">
        <v>177</v>
      </c>
      <c r="I484" s="11">
        <v>1</v>
      </c>
      <c r="J484" s="11">
        <v>0</v>
      </c>
      <c r="K484" s="11" t="s">
        <v>21</v>
      </c>
      <c r="L484" s="7">
        <v>42047.562824074077</v>
      </c>
      <c r="M484" s="12" t="s">
        <v>45</v>
      </c>
      <c r="N484" s="12" t="s">
        <v>610</v>
      </c>
      <c r="O484" s="10" t="str">
        <f>HYPERLINK("https://pbs.twimg.com/profile_images/565783312728215552/VwNqFg6U_normal.jpeg","View")</f>
        <v>View</v>
      </c>
      <c r="P484" s="11"/>
    </row>
    <row r="485" spans="1:16" ht="12.75" x14ac:dyDescent="0.35">
      <c r="A485" s="7">
        <v>42475.917488425926</v>
      </c>
      <c r="B485" s="8" t="str">
        <f>HYPERLINK("https://twitter.com/H_IT_D","@H_IT_D")</f>
        <v>@H_IT_D</v>
      </c>
      <c r="C485" s="9" t="s">
        <v>159</v>
      </c>
      <c r="D485" s="9" t="s">
        <v>1191</v>
      </c>
      <c r="E485" s="10" t="str">
        <f>HYPERLINK("https://twitter.com/H_IT_D/status/721013007149432833","721013007149432833")</f>
        <v>721013007149432833</v>
      </c>
      <c r="F485" s="11" t="s">
        <v>161</v>
      </c>
      <c r="G485" s="11">
        <v>463</v>
      </c>
      <c r="H485" s="11">
        <v>467</v>
      </c>
      <c r="I485" s="11">
        <v>0</v>
      </c>
      <c r="J485" s="11">
        <v>0</v>
      </c>
      <c r="K485" s="11" t="s">
        <v>21</v>
      </c>
      <c r="L485" s="7">
        <v>40723.867673611108</v>
      </c>
      <c r="M485" s="12" t="s">
        <v>162</v>
      </c>
      <c r="N485" s="12" t="s">
        <v>163</v>
      </c>
      <c r="O485" s="10" t="str">
        <f>HYPERLINK("https://pbs.twimg.com/profile_images/662723326096224256/5V4KH9_O_normal.jpg","View")</f>
        <v>View</v>
      </c>
      <c r="P485" s="11"/>
    </row>
    <row r="486" spans="1:16" ht="12.75" x14ac:dyDescent="0.35">
      <c r="A486" s="7">
        <v>42475.926041666666</v>
      </c>
      <c r="B486" s="8" t="str">
        <f>HYPERLINK("https://twitter.com/deviceWISEM2M","@deviceWISEM2M")</f>
        <v>@deviceWISEM2M</v>
      </c>
      <c r="C486" s="9" t="s">
        <v>1192</v>
      </c>
      <c r="D486" s="9" t="s">
        <v>1193</v>
      </c>
      <c r="E486" s="10" t="str">
        <f>HYPERLINK("https://twitter.com/deviceWISEM2M/status/721016108514484224","721016108514484224")</f>
        <v>721016108514484224</v>
      </c>
      <c r="F486" s="11" t="s">
        <v>59</v>
      </c>
      <c r="G486" s="11">
        <v>495</v>
      </c>
      <c r="H486" s="11">
        <v>1036</v>
      </c>
      <c r="I486" s="11">
        <v>1</v>
      </c>
      <c r="J486" s="11">
        <v>1</v>
      </c>
      <c r="K486" s="11" t="s">
        <v>21</v>
      </c>
      <c r="L486" s="7">
        <v>41341.992407407408</v>
      </c>
      <c r="M486" s="12" t="s">
        <v>1194</v>
      </c>
      <c r="N486" s="12" t="s">
        <v>1195</v>
      </c>
      <c r="O486" s="10" t="str">
        <f>HYPERLINK("https://pbs.twimg.com/profile_images/638707523160272896/YonVe2-H_normal.jpg","View")</f>
        <v>View</v>
      </c>
      <c r="P486" s="11"/>
    </row>
    <row r="487" spans="1:16" ht="12.75" x14ac:dyDescent="0.35">
      <c r="A487" s="7">
        <v>42475.930462962962</v>
      </c>
      <c r="B487" s="8" t="str">
        <f>HYPERLINK("https://twitter.com/IT_Evaluator","@IT_Evaluator")</f>
        <v>@IT_Evaluator</v>
      </c>
      <c r="C487" s="9" t="s">
        <v>1196</v>
      </c>
      <c r="D487" s="9" t="s">
        <v>1197</v>
      </c>
      <c r="E487" s="10" t="str">
        <f>HYPERLINK("https://twitter.com/IT_Evaluator/status/721017708423311360","721017708423311360")</f>
        <v>721017708423311360</v>
      </c>
      <c r="F487" s="11" t="s">
        <v>268</v>
      </c>
      <c r="G487" s="11">
        <v>44</v>
      </c>
      <c r="H487" s="11">
        <v>124</v>
      </c>
      <c r="I487" s="11">
        <v>3</v>
      </c>
      <c r="J487" s="11">
        <v>0</v>
      </c>
      <c r="K487" s="11" t="s">
        <v>21</v>
      </c>
      <c r="L487" s="7">
        <v>40337.084479166668</v>
      </c>
      <c r="M487" s="12" t="s">
        <v>1198</v>
      </c>
      <c r="N487" s="12"/>
      <c r="O487" s="10" t="str">
        <f>HYPERLINK("https://pbs.twimg.com/profile_images/455995985139736576/WOdlo17m_normal.jpeg","View")</f>
        <v>View</v>
      </c>
      <c r="P487" s="11"/>
    </row>
    <row r="488" spans="1:16" ht="12.75" x14ac:dyDescent="0.35">
      <c r="A488" s="7">
        <v>42475.935254629629</v>
      </c>
      <c r="B488" s="8" t="str">
        <f>HYPERLINK("https://twitter.com/gpodagrosi","@gpodagrosi")</f>
        <v>@gpodagrosi</v>
      </c>
      <c r="C488" s="9" t="s">
        <v>346</v>
      </c>
      <c r="D488" s="9" t="s">
        <v>1199</v>
      </c>
      <c r="E488" s="10" t="str">
        <f>HYPERLINK("https://twitter.com/gpodagrosi/status/721019444198293508","721019444198293508")</f>
        <v>721019444198293508</v>
      </c>
      <c r="F488" s="11" t="s">
        <v>20</v>
      </c>
      <c r="G488" s="11">
        <v>2508</v>
      </c>
      <c r="H488" s="11">
        <v>1479</v>
      </c>
      <c r="I488" s="11">
        <v>1</v>
      </c>
      <c r="J488" s="11">
        <v>0</v>
      </c>
      <c r="K488" s="11" t="s">
        <v>21</v>
      </c>
      <c r="L488" s="7">
        <v>40649.951840277776</v>
      </c>
      <c r="M488" s="12" t="s">
        <v>347</v>
      </c>
      <c r="N488" s="12" t="s">
        <v>348</v>
      </c>
      <c r="O488" s="10" t="str">
        <f>HYPERLINK("https://pbs.twimg.com/profile_images/588981131996966912/55KBnYR7_normal.jpg","View")</f>
        <v>View</v>
      </c>
      <c r="P488" s="11"/>
    </row>
    <row r="489" spans="1:16" ht="12.75" x14ac:dyDescent="0.35">
      <c r="A489" s="7">
        <v>42475.935370370367</v>
      </c>
      <c r="B489" s="8" t="str">
        <f>HYPERLINK("https://twitter.com/ThomasSchulzGE","@ThomasSchulzGE")</f>
        <v>@ThomasSchulzGE</v>
      </c>
      <c r="C489" s="9" t="s">
        <v>1200</v>
      </c>
      <c r="D489" s="9" t="s">
        <v>1201</v>
      </c>
      <c r="E489" s="10" t="str">
        <f>HYPERLINK("https://twitter.com/ThomasSchulzGE/status/721019486380367873","721019486380367873")</f>
        <v>721019486380367873</v>
      </c>
      <c r="F489" s="11" t="s">
        <v>31</v>
      </c>
      <c r="G489" s="11">
        <v>132</v>
      </c>
      <c r="H489" s="11">
        <v>190</v>
      </c>
      <c r="I489" s="11">
        <v>0</v>
      </c>
      <c r="J489" s="11">
        <v>0</v>
      </c>
      <c r="K489" s="11" t="s">
        <v>21</v>
      </c>
      <c r="L489" s="7">
        <v>41326.989398148144</v>
      </c>
      <c r="M489" s="12" t="s">
        <v>227</v>
      </c>
      <c r="N489" s="12" t="s">
        <v>1202</v>
      </c>
      <c r="O489" s="10" t="str">
        <f>HYPERLINK("https://pbs.twimg.com/profile_images/631516878830178304/X8gApwdt_normal.jpg","View")</f>
        <v>View</v>
      </c>
      <c r="P489" s="11"/>
    </row>
    <row r="490" spans="1:16" ht="12.75" x14ac:dyDescent="0.35">
      <c r="A490" s="7">
        <v>42475.938483796301</v>
      </c>
      <c r="B490" s="8" t="str">
        <f>HYPERLINK("https://twitter.com/INDIZbot","@INDIZbot")</f>
        <v>@INDIZbot</v>
      </c>
      <c r="C490" s="9" t="s">
        <v>61</v>
      </c>
      <c r="D490" s="9" t="s">
        <v>1197</v>
      </c>
      <c r="E490" s="10" t="str">
        <f>HYPERLINK("https://twitter.com/INDIZbot/status/721020615629647873","721020615629647873")</f>
        <v>721020615629647873</v>
      </c>
      <c r="F490" s="11" t="s">
        <v>62</v>
      </c>
      <c r="G490" s="11">
        <v>1762</v>
      </c>
      <c r="H490" s="11">
        <v>481</v>
      </c>
      <c r="I490" s="11">
        <v>3</v>
      </c>
      <c r="J490" s="11">
        <v>0</v>
      </c>
      <c r="K490" s="11" t="s">
        <v>21</v>
      </c>
      <c r="L490" s="7">
        <v>42267.011921296296</v>
      </c>
      <c r="M490" s="12"/>
      <c r="N490" s="12" t="s">
        <v>63</v>
      </c>
      <c r="O490" s="10" t="str">
        <f>HYPERLINK("https://pbs.twimg.com/profile_images/645716711723925506/t5G0qOS6_normal.jpg","View")</f>
        <v>View</v>
      </c>
      <c r="P490" s="11"/>
    </row>
    <row r="491" spans="1:16" ht="12.75" x14ac:dyDescent="0.35">
      <c r="A491" s="7">
        <v>42475.942094907412</v>
      </c>
      <c r="B491" s="8" t="str">
        <f t="shared" ref="B491:B492" si="48">HYPERLINK("https://twitter.com/ThomasSchulzGE","@ThomasSchulzGE")</f>
        <v>@ThomasSchulzGE</v>
      </c>
      <c r="C491" s="9" t="s">
        <v>1200</v>
      </c>
      <c r="D491" s="9" t="s">
        <v>1203</v>
      </c>
      <c r="E491" s="10" t="str">
        <f>HYPERLINK("https://twitter.com/ThomasSchulzGE/status/721021926320304128","721021926320304128")</f>
        <v>721021926320304128</v>
      </c>
      <c r="F491" s="11" t="s">
        <v>31</v>
      </c>
      <c r="G491" s="11">
        <v>132</v>
      </c>
      <c r="H491" s="11">
        <v>190</v>
      </c>
      <c r="I491" s="11">
        <v>0</v>
      </c>
      <c r="J491" s="11">
        <v>0</v>
      </c>
      <c r="K491" s="11" t="s">
        <v>21</v>
      </c>
      <c r="L491" s="7">
        <v>41326.989398148144</v>
      </c>
      <c r="M491" s="12" t="s">
        <v>227</v>
      </c>
      <c r="N491" s="12" t="s">
        <v>1202</v>
      </c>
      <c r="O491" s="10" t="str">
        <f t="shared" ref="O491:O492" si="49">HYPERLINK("https://pbs.twimg.com/profile_images/631516878830178304/X8gApwdt_normal.jpg","View")</f>
        <v>View</v>
      </c>
      <c r="P491" s="11"/>
    </row>
    <row r="492" spans="1:16" ht="12.75" x14ac:dyDescent="0.35">
      <c r="A492" s="7">
        <v>42475.943749999999</v>
      </c>
      <c r="B492" s="8" t="str">
        <f t="shared" si="48"/>
        <v>@ThomasSchulzGE</v>
      </c>
      <c r="C492" s="9" t="s">
        <v>1200</v>
      </c>
      <c r="D492" s="9" t="s">
        <v>1204</v>
      </c>
      <c r="E492" s="10" t="str">
        <f>HYPERLINK("https://twitter.com/ThomasSchulzGE/status/721022524742639617","721022524742639617")</f>
        <v>721022524742639617</v>
      </c>
      <c r="F492" s="11" t="s">
        <v>31</v>
      </c>
      <c r="G492" s="11">
        <v>132</v>
      </c>
      <c r="H492" s="11">
        <v>190</v>
      </c>
      <c r="I492" s="11">
        <v>0</v>
      </c>
      <c r="J492" s="11">
        <v>1</v>
      </c>
      <c r="K492" s="11" t="s">
        <v>21</v>
      </c>
      <c r="L492" s="7">
        <v>41326.989398148144</v>
      </c>
      <c r="M492" s="12" t="s">
        <v>227</v>
      </c>
      <c r="N492" s="12" t="s">
        <v>1202</v>
      </c>
      <c r="O492" s="10" t="str">
        <f t="shared" si="49"/>
        <v>View</v>
      </c>
      <c r="P492" s="11"/>
    </row>
    <row r="493" spans="1:16" ht="12.75" x14ac:dyDescent="0.35">
      <c r="A493" s="7">
        <v>42475.945567129631</v>
      </c>
      <c r="B493" s="8" t="str">
        <f>HYPERLINK("https://twitter.com/wiesel2008","@wiesel2008")</f>
        <v>@wiesel2008</v>
      </c>
      <c r="C493" s="9" t="s">
        <v>1205</v>
      </c>
      <c r="D493" s="9" t="s">
        <v>1206</v>
      </c>
      <c r="E493" s="10" t="str">
        <f>HYPERLINK("https://twitter.com/wiesel2008/status/721023181159534592","721023181159534592")</f>
        <v>721023181159534592</v>
      </c>
      <c r="F493" s="11" t="s">
        <v>31</v>
      </c>
      <c r="G493" s="11">
        <v>191</v>
      </c>
      <c r="H493" s="11">
        <v>365</v>
      </c>
      <c r="I493" s="11">
        <v>1</v>
      </c>
      <c r="J493" s="11">
        <v>0</v>
      </c>
      <c r="K493" s="11" t="s">
        <v>21</v>
      </c>
      <c r="L493" s="7">
        <v>40610.917337962965</v>
      </c>
      <c r="M493" s="12" t="s">
        <v>1207</v>
      </c>
      <c r="N493" s="12" t="s">
        <v>1208</v>
      </c>
      <c r="O493" s="10" t="str">
        <f>HYPERLINK("https://pbs.twimg.com/profile_images/3505233280/d60e61af592f4573e8fb2025b1428b06_normal.jpeg","View")</f>
        <v>View</v>
      </c>
      <c r="P493" s="11"/>
    </row>
    <row r="494" spans="1:16" ht="12.75" x14ac:dyDescent="0.35">
      <c r="A494" s="7">
        <v>42475.948287037041</v>
      </c>
      <c r="B494" s="8" t="str">
        <f>HYPERLINK("https://twitter.com/Dr_RobertFreund","@Dr_RobertFreund")</f>
        <v>@Dr_RobertFreund</v>
      </c>
      <c r="C494" s="9" t="s">
        <v>1209</v>
      </c>
      <c r="D494" s="9" t="s">
        <v>1210</v>
      </c>
      <c r="E494" s="10" t="str">
        <f>HYPERLINK("https://twitter.com/Dr_RobertFreund/status/721024167785664512","721024167785664512")</f>
        <v>721024167785664512</v>
      </c>
      <c r="F494" s="11" t="s">
        <v>25</v>
      </c>
      <c r="G494" s="11">
        <v>440</v>
      </c>
      <c r="H494" s="11">
        <v>1003</v>
      </c>
      <c r="I494" s="11">
        <v>1</v>
      </c>
      <c r="J494" s="11">
        <v>0</v>
      </c>
      <c r="K494" s="11" t="s">
        <v>21</v>
      </c>
      <c r="L494" s="7">
        <v>41933.632627314815</v>
      </c>
      <c r="M494" s="12"/>
      <c r="N494" s="12" t="s">
        <v>1211</v>
      </c>
      <c r="O494" s="10" t="str">
        <f>HYPERLINK("https://pbs.twimg.com/profile_images/524497009311354882/cGr5KIAg_normal.jpeg","View")</f>
        <v>View</v>
      </c>
      <c r="P494" s="11"/>
    </row>
    <row r="495" spans="1:16" ht="12.75" x14ac:dyDescent="0.35">
      <c r="A495" s="7">
        <v>42475.961527777778</v>
      </c>
      <c r="B495" s="8" t="str">
        <f>HYPERLINK("https://twitter.com/H_IT_D","@H_IT_D")</f>
        <v>@H_IT_D</v>
      </c>
      <c r="C495" s="9" t="s">
        <v>159</v>
      </c>
      <c r="D495" s="9" t="s">
        <v>1212</v>
      </c>
      <c r="E495" s="10" t="str">
        <f>HYPERLINK("https://twitter.com/H_IT_D/status/721028968225222656","721028968225222656")</f>
        <v>721028968225222656</v>
      </c>
      <c r="F495" s="11" t="s">
        <v>161</v>
      </c>
      <c r="G495" s="11">
        <v>463</v>
      </c>
      <c r="H495" s="11">
        <v>467</v>
      </c>
      <c r="I495" s="11">
        <v>1</v>
      </c>
      <c r="J495" s="11">
        <v>0</v>
      </c>
      <c r="K495" s="11" t="s">
        <v>21</v>
      </c>
      <c r="L495" s="7">
        <v>40723.867673611108</v>
      </c>
      <c r="M495" s="12" t="s">
        <v>162</v>
      </c>
      <c r="N495" s="12" t="s">
        <v>163</v>
      </c>
      <c r="O495" s="10" t="str">
        <f>HYPERLINK("https://pbs.twimg.com/profile_images/662723326096224256/5V4KH9_O_normal.jpg","View")</f>
        <v>View</v>
      </c>
      <c r="P495" s="11"/>
    </row>
    <row r="496" spans="1:16" ht="12.75" x14ac:dyDescent="0.35">
      <c r="A496" s="7">
        <v>42475.966631944444</v>
      </c>
      <c r="B496" s="8" t="str">
        <f>HYPERLINK("https://twitter.com/INDIZbot","@INDIZbot")</f>
        <v>@INDIZbot</v>
      </c>
      <c r="C496" s="9" t="s">
        <v>61</v>
      </c>
      <c r="D496" s="9" t="s">
        <v>1213</v>
      </c>
      <c r="E496" s="10" t="str">
        <f>HYPERLINK("https://twitter.com/INDIZbot/status/721030816172810240","721030816172810240")</f>
        <v>721030816172810240</v>
      </c>
      <c r="F496" s="11" t="s">
        <v>62</v>
      </c>
      <c r="G496" s="11">
        <v>1762</v>
      </c>
      <c r="H496" s="11">
        <v>481</v>
      </c>
      <c r="I496" s="11">
        <v>1</v>
      </c>
      <c r="J496" s="11">
        <v>0</v>
      </c>
      <c r="K496" s="11" t="s">
        <v>21</v>
      </c>
      <c r="L496" s="7">
        <v>42267.011921296296</v>
      </c>
      <c r="M496" s="12"/>
      <c r="N496" s="12" t="s">
        <v>63</v>
      </c>
      <c r="O496" s="10" t="str">
        <f>HYPERLINK("https://pbs.twimg.com/profile_images/645716711723925506/t5G0qOS6_normal.jpg","View")</f>
        <v>View</v>
      </c>
      <c r="P496" s="11"/>
    </row>
    <row r="497" spans="1:16" ht="12.75" x14ac:dyDescent="0.35">
      <c r="A497" s="7">
        <v>42475.975844907407</v>
      </c>
      <c r="B497" s="8" t="str">
        <f>HYPERLINK("https://twitter.com/batix","@batix")</f>
        <v>@batix</v>
      </c>
      <c r="C497" s="9" t="s">
        <v>1214</v>
      </c>
      <c r="D497" s="9" t="s">
        <v>1215</v>
      </c>
      <c r="E497" s="10" t="str">
        <f>HYPERLINK("https://twitter.com/batix/status/721034156600397824","721034156600397824")</f>
        <v>721034156600397824</v>
      </c>
      <c r="F497" s="11" t="s">
        <v>29</v>
      </c>
      <c r="G497" s="11">
        <v>44</v>
      </c>
      <c r="H497" s="11">
        <v>83</v>
      </c>
      <c r="I497" s="11">
        <v>3</v>
      </c>
      <c r="J497" s="11">
        <v>3</v>
      </c>
      <c r="K497" s="11" t="s">
        <v>21</v>
      </c>
      <c r="L497" s="7">
        <v>40056.079768518517</v>
      </c>
      <c r="M497" s="12" t="s">
        <v>1216</v>
      </c>
      <c r="N497" s="12" t="s">
        <v>1217</v>
      </c>
      <c r="O497" s="10" t="str">
        <f>HYPERLINK("https://pbs.twimg.com/profile_images/710178864778121216/Eq8vGVB9_normal.jpg","View")</f>
        <v>View</v>
      </c>
      <c r="P497" s="11"/>
    </row>
    <row r="498" spans="1:16" ht="12.75" x14ac:dyDescent="0.35">
      <c r="A498" s="7">
        <v>42475.976134259261</v>
      </c>
      <c r="B498" s="8" t="str">
        <f>HYPERLINK("https://twitter.com/ITnet_TH","@ITnet_TH")</f>
        <v>@ITnet_TH</v>
      </c>
      <c r="C498" s="9" t="s">
        <v>1218</v>
      </c>
      <c r="D498" s="9" t="s">
        <v>1219</v>
      </c>
      <c r="E498" s="10" t="str">
        <f>HYPERLINK("https://twitter.com/ITnet_TH/status/721034260266754048","721034260266754048")</f>
        <v>721034260266754048</v>
      </c>
      <c r="F498" s="11" t="s">
        <v>29</v>
      </c>
      <c r="G498" s="11">
        <v>125</v>
      </c>
      <c r="H498" s="11">
        <v>369</v>
      </c>
      <c r="I498" s="11">
        <v>3</v>
      </c>
      <c r="J498" s="11">
        <v>0</v>
      </c>
      <c r="K498" s="11" t="s">
        <v>21</v>
      </c>
      <c r="L498" s="7">
        <v>42350.711446759262</v>
      </c>
      <c r="M498" s="12" t="s">
        <v>1220</v>
      </c>
      <c r="N498" s="12" t="s">
        <v>1221</v>
      </c>
      <c r="O498" s="10" t="str">
        <f>HYPERLINK("https://pbs.twimg.com/profile_images/677512659554672640/2jnhRYHY_normal.jpg","View")</f>
        <v>View</v>
      </c>
      <c r="P498" s="11"/>
    </row>
    <row r="499" spans="1:16" ht="12.75" x14ac:dyDescent="0.35">
      <c r="A499" s="7">
        <v>42475.980104166665</v>
      </c>
      <c r="B499" s="8" t="str">
        <f>HYPERLINK("https://twitter.com/INDIZbot","@INDIZbot")</f>
        <v>@INDIZbot</v>
      </c>
      <c r="C499" s="9" t="s">
        <v>61</v>
      </c>
      <c r="D499" s="9" t="s">
        <v>1219</v>
      </c>
      <c r="E499" s="10" t="str">
        <f>HYPERLINK("https://twitter.com/INDIZbot/status/721035701064769536","721035701064769536")</f>
        <v>721035701064769536</v>
      </c>
      <c r="F499" s="11" t="s">
        <v>62</v>
      </c>
      <c r="G499" s="11">
        <v>1762</v>
      </c>
      <c r="H499" s="11">
        <v>481</v>
      </c>
      <c r="I499" s="11">
        <v>3</v>
      </c>
      <c r="J499" s="11">
        <v>0</v>
      </c>
      <c r="K499" s="11" t="s">
        <v>21</v>
      </c>
      <c r="L499" s="7">
        <v>42267.011921296296</v>
      </c>
      <c r="M499" s="12"/>
      <c r="N499" s="12" t="s">
        <v>63</v>
      </c>
      <c r="O499" s="10" t="str">
        <f>HYPERLINK("https://pbs.twimg.com/profile_images/645716711723925506/t5G0qOS6_normal.jpg","View")</f>
        <v>View</v>
      </c>
      <c r="P499" s="11"/>
    </row>
    <row r="500" spans="1:16" ht="12.75" x14ac:dyDescent="0.35">
      <c r="A500" s="7">
        <v>42475.983530092592</v>
      </c>
      <c r="B500" s="8" t="str">
        <f>HYPERLINK("https://twitter.com/tomov_eu","@tomov_eu")</f>
        <v>@tomov_eu</v>
      </c>
      <c r="C500" s="9" t="s">
        <v>1222</v>
      </c>
      <c r="D500" s="9" t="s">
        <v>1223</v>
      </c>
      <c r="E500" s="10" t="str">
        <f>HYPERLINK("https://twitter.com/tomov_eu/status/721036941471412224","721036941471412224")</f>
        <v>721036941471412224</v>
      </c>
      <c r="F500" s="11" t="s">
        <v>25</v>
      </c>
      <c r="G500" s="11">
        <v>83</v>
      </c>
      <c r="H500" s="11">
        <v>69</v>
      </c>
      <c r="I500" s="11">
        <v>0</v>
      </c>
      <c r="J500" s="11">
        <v>0</v>
      </c>
      <c r="K500" s="11" t="s">
        <v>21</v>
      </c>
      <c r="L500" s="7">
        <v>40551.577476851853</v>
      </c>
      <c r="M500" s="12" t="s">
        <v>385</v>
      </c>
      <c r="N500" s="12" t="s">
        <v>1224</v>
      </c>
      <c r="O500" s="10" t="str">
        <f>HYPERLINK("https://pbs.twimg.com/profile_images/557949283861663744/XRnqLo9K_normal.jpeg","View")</f>
        <v>View</v>
      </c>
      <c r="P500" s="11"/>
    </row>
    <row r="501" spans="1:16" ht="12.75" x14ac:dyDescent="0.35">
      <c r="A501" s="7">
        <v>42475.985532407409</v>
      </c>
      <c r="B501" s="8" t="str">
        <f>HYPERLINK("https://twitter.com/Cathy_Brennan","@Cathy_Brennan")</f>
        <v>@Cathy_Brennan</v>
      </c>
      <c r="C501" s="9" t="s">
        <v>1225</v>
      </c>
      <c r="D501" s="9" t="s">
        <v>1226</v>
      </c>
      <c r="E501" s="10" t="str">
        <f>HYPERLINK("https://twitter.com/Cathy_Brennan/status/721037664112128001","721037664112128001")</f>
        <v>721037664112128001</v>
      </c>
      <c r="F501" s="11" t="s">
        <v>25</v>
      </c>
      <c r="G501" s="11">
        <v>1101</v>
      </c>
      <c r="H501" s="11">
        <v>1969</v>
      </c>
      <c r="I501" s="11">
        <v>1</v>
      </c>
      <c r="J501" s="11">
        <v>0</v>
      </c>
      <c r="K501" s="11" t="s">
        <v>21</v>
      </c>
      <c r="L501" s="7">
        <v>40642.06181712963</v>
      </c>
      <c r="M501" s="12" t="s">
        <v>1227</v>
      </c>
      <c r="N501" s="12" t="s">
        <v>1228</v>
      </c>
      <c r="O501" s="10" t="str">
        <f>HYPERLINK("https://pbs.twimg.com/profile_images/530100288472903680/89b39upH_normal.jpeg","View")</f>
        <v>View</v>
      </c>
      <c r="P501" s="11"/>
    </row>
    <row r="502" spans="1:16" ht="12.75" x14ac:dyDescent="0.35">
      <c r="A502" s="7">
        <v>42476.017916666664</v>
      </c>
      <c r="B502" s="8" t="str">
        <f>HYPERLINK("https://twitter.com/JulienGre38","@JulienGre38")</f>
        <v>@JulienGre38</v>
      </c>
      <c r="C502" s="9" t="s">
        <v>730</v>
      </c>
      <c r="D502" s="9" t="s">
        <v>1000</v>
      </c>
      <c r="E502" s="10" t="str">
        <f>HYPERLINK("https://twitter.com/JulienGre38/status/721049401037361152","721049401037361152")</f>
        <v>721049401037361152</v>
      </c>
      <c r="F502" s="11" t="s">
        <v>84</v>
      </c>
      <c r="G502" s="11">
        <v>413</v>
      </c>
      <c r="H502" s="11">
        <v>840</v>
      </c>
      <c r="I502" s="11">
        <v>10</v>
      </c>
      <c r="J502" s="11">
        <v>0</v>
      </c>
      <c r="K502" s="11" t="s">
        <v>21</v>
      </c>
      <c r="L502" s="7">
        <v>42139.971631944441</v>
      </c>
      <c r="M502" s="12" t="s">
        <v>88</v>
      </c>
      <c r="N502" s="12" t="s">
        <v>731</v>
      </c>
      <c r="O502" s="10" t="str">
        <f>HYPERLINK("https://pbs.twimg.com/profile_images/618126359622221824/GH4y7y_J_normal.jpg","View")</f>
        <v>View</v>
      </c>
      <c r="P502" s="11"/>
    </row>
    <row r="503" spans="1:16" ht="12.75" x14ac:dyDescent="0.35">
      <c r="A503" s="7">
        <v>42476.024189814816</v>
      </c>
      <c r="B503" s="8" t="str">
        <f>HYPERLINK("https://twitter.com/tomweisz","@tomweisz")</f>
        <v>@tomweisz</v>
      </c>
      <c r="C503" s="9" t="s">
        <v>1229</v>
      </c>
      <c r="D503" s="9" t="s">
        <v>1115</v>
      </c>
      <c r="E503" s="10" t="str">
        <f>HYPERLINK("https://twitter.com/tomweisz/status/721051674421379072","721051674421379072")</f>
        <v>721051674421379072</v>
      </c>
      <c r="F503" s="11" t="s">
        <v>31</v>
      </c>
      <c r="G503" s="11">
        <v>87</v>
      </c>
      <c r="H503" s="11">
        <v>126</v>
      </c>
      <c r="I503" s="11">
        <v>14</v>
      </c>
      <c r="J503" s="11">
        <v>0</v>
      </c>
      <c r="K503" s="11" t="s">
        <v>21</v>
      </c>
      <c r="L503" s="7">
        <v>40910.893321759257</v>
      </c>
      <c r="M503" s="12" t="s">
        <v>1230</v>
      </c>
      <c r="N503" s="12" t="s">
        <v>1231</v>
      </c>
      <c r="O503" s="10" t="str">
        <f>HYPERLINK("https://pbs.twimg.com/profile_images/720669524786327552/lJEA-nOB_normal.jpg","View")</f>
        <v>View</v>
      </c>
      <c r="P503" s="11"/>
    </row>
    <row r="504" spans="1:16" ht="12.75" x14ac:dyDescent="0.35">
      <c r="A504" s="7">
        <v>42476.03288194444</v>
      </c>
      <c r="B504" s="8" t="str">
        <f>HYPERLINK("https://twitter.com/JCGeorghiou","@JCGeorghiou")</f>
        <v>@JCGeorghiou</v>
      </c>
      <c r="C504" s="9" t="s">
        <v>645</v>
      </c>
      <c r="D504" s="9" t="s">
        <v>1000</v>
      </c>
      <c r="E504" s="10" t="str">
        <f>HYPERLINK("https://twitter.com/JCGeorghiou/status/721054826143080449","721054826143080449")</f>
        <v>721054826143080449</v>
      </c>
      <c r="F504" s="11" t="s">
        <v>84</v>
      </c>
      <c r="G504" s="11">
        <v>21</v>
      </c>
      <c r="H504" s="11">
        <v>20</v>
      </c>
      <c r="I504" s="11">
        <v>10</v>
      </c>
      <c r="J504" s="11">
        <v>0</v>
      </c>
      <c r="K504" s="11" t="s">
        <v>21</v>
      </c>
      <c r="L504" s="7">
        <v>41370.630671296298</v>
      </c>
      <c r="M504" s="12" t="s">
        <v>45</v>
      </c>
      <c r="N504" s="12" t="s">
        <v>646</v>
      </c>
      <c r="O504" s="10" t="str">
        <f>HYPERLINK("https://pbs.twimg.com/profile_images/692728796336754690/RKiqJiFN_normal.jpg","View")</f>
        <v>View</v>
      </c>
      <c r="P504" s="11"/>
    </row>
    <row r="505" spans="1:16" ht="12.75" x14ac:dyDescent="0.35">
      <c r="A505" s="7">
        <v>42476.037523148145</v>
      </c>
      <c r="B505" s="8" t="str">
        <f>HYPERLINK("https://twitter.com/QuickFindsIn","@QuickFindsIn")</f>
        <v>@QuickFindsIn</v>
      </c>
      <c r="C505" s="9" t="s">
        <v>208</v>
      </c>
      <c r="D505" s="9" t="s">
        <v>733</v>
      </c>
      <c r="E505" s="10" t="str">
        <f>HYPERLINK("https://twitter.com/QuickFindsIn/status/721056504875393024","721056504875393024")</f>
        <v>721056504875393024</v>
      </c>
      <c r="F505" s="11" t="s">
        <v>210</v>
      </c>
      <c r="G505" s="11">
        <v>1895</v>
      </c>
      <c r="H505" s="11">
        <v>2758</v>
      </c>
      <c r="I505" s="11">
        <v>0</v>
      </c>
      <c r="J505" s="11">
        <v>0</v>
      </c>
      <c r="K505" s="11" t="s">
        <v>21</v>
      </c>
      <c r="L505" s="7">
        <v>42069.582048611112</v>
      </c>
      <c r="M505" s="12" t="s">
        <v>211</v>
      </c>
      <c r="N505" s="12" t="s">
        <v>212</v>
      </c>
      <c r="O505" s="10" t="str">
        <f>HYPERLINK("https://pbs.twimg.com/profile_images/591951396217327616/HbcCX2zX_normal.png","View")</f>
        <v>View</v>
      </c>
      <c r="P505" s="11"/>
    </row>
    <row r="506" spans="1:16" ht="12.75" x14ac:dyDescent="0.35">
      <c r="A506" s="7">
        <v>42476.037986111114</v>
      </c>
      <c r="B506" s="8" t="str">
        <f>HYPERLINK("https://twitter.com/maspes76","@maspes76")</f>
        <v>@maspes76</v>
      </c>
      <c r="C506" s="9" t="s">
        <v>1232</v>
      </c>
      <c r="D506" s="9" t="s">
        <v>1233</v>
      </c>
      <c r="E506" s="10" t="str">
        <f>HYPERLINK("https://twitter.com/maspes76/status/721056675776569344","721056675776569344")</f>
        <v>721056675776569344</v>
      </c>
      <c r="F506" s="11" t="s">
        <v>31</v>
      </c>
      <c r="G506" s="11">
        <v>73</v>
      </c>
      <c r="H506" s="11">
        <v>185</v>
      </c>
      <c r="I506" s="11">
        <v>1</v>
      </c>
      <c r="J506" s="11">
        <v>0</v>
      </c>
      <c r="K506" s="11" t="s">
        <v>21</v>
      </c>
      <c r="L506" s="7">
        <v>40922.198009259257</v>
      </c>
      <c r="M506" s="12"/>
      <c r="N506" s="12" t="s">
        <v>1234</v>
      </c>
      <c r="O506" s="10" t="str">
        <f>HYPERLINK("https://pbs.twimg.com/profile_images/504383621315051520/PUzFL5u3_normal.jpeg","View")</f>
        <v>View</v>
      </c>
      <c r="P506" s="11"/>
    </row>
    <row r="507" spans="1:16" ht="12.75" x14ac:dyDescent="0.35">
      <c r="A507" s="7">
        <v>42476.039004629631</v>
      </c>
      <c r="B507" s="8" t="str">
        <f>HYPERLINK("https://twitter.com/Databanque","@Databanque")</f>
        <v>@Databanque</v>
      </c>
      <c r="C507" s="9" t="s">
        <v>1180</v>
      </c>
      <c r="D507" s="9" t="s">
        <v>1235</v>
      </c>
      <c r="E507" s="10" t="str">
        <f>HYPERLINK("https://twitter.com/Databanque/status/721057045823160321","721057045823160321")</f>
        <v>721057045823160321</v>
      </c>
      <c r="F507" s="11" t="s">
        <v>25</v>
      </c>
      <c r="G507" s="11">
        <v>265</v>
      </c>
      <c r="H507" s="11">
        <v>610</v>
      </c>
      <c r="I507" s="11">
        <v>0</v>
      </c>
      <c r="J507" s="11">
        <v>0</v>
      </c>
      <c r="K507" s="11" t="s">
        <v>21</v>
      </c>
      <c r="L507" s="7">
        <v>39984.0387962963</v>
      </c>
      <c r="M507" s="12" t="s">
        <v>1182</v>
      </c>
      <c r="N507" s="12" t="s">
        <v>1183</v>
      </c>
      <c r="O507" s="10" t="str">
        <f>HYPERLINK("https://pbs.twimg.com/profile_images/552211771360940032/CmEYO0l3_normal.png","View")</f>
        <v>View</v>
      </c>
      <c r="P507" s="11"/>
    </row>
    <row r="508" spans="1:16" ht="12.75" x14ac:dyDescent="0.35">
      <c r="A508" s="7">
        <v>42476.039525462962</v>
      </c>
      <c r="B508" s="8" t="str">
        <f>HYPERLINK("https://twitter.com/PMiekautsch","@PMiekautsch")</f>
        <v>@PMiekautsch</v>
      </c>
      <c r="C508" s="9" t="s">
        <v>1236</v>
      </c>
      <c r="D508" s="9" t="s">
        <v>1237</v>
      </c>
      <c r="E508" s="10" t="str">
        <f>HYPERLINK("https://twitter.com/PMiekautsch/status/721057234113929216","721057234113929216")</f>
        <v>721057234113929216</v>
      </c>
      <c r="F508" s="11" t="s">
        <v>31</v>
      </c>
      <c r="G508" s="11">
        <v>7</v>
      </c>
      <c r="H508" s="11">
        <v>74</v>
      </c>
      <c r="I508" s="11">
        <v>0</v>
      </c>
      <c r="J508" s="11">
        <v>0</v>
      </c>
      <c r="K508" s="11" t="s">
        <v>21</v>
      </c>
      <c r="L508" s="7">
        <v>42373.074490740742</v>
      </c>
      <c r="M508" s="12" t="s">
        <v>1238</v>
      </c>
      <c r="N508" s="12"/>
      <c r="O508" s="10" t="str">
        <f>HYPERLINK("https://pbs.twimg.com/profile_images/686414815301074945/Xe5edP1v_normal.jpg","View")</f>
        <v>View</v>
      </c>
      <c r="P508" s="11"/>
    </row>
    <row r="509" spans="1:16" ht="12.75" x14ac:dyDescent="0.35">
      <c r="A509" s="7">
        <v>42476.041678240741</v>
      </c>
      <c r="B509" s="8" t="str">
        <f>HYPERLINK("https://twitter.com/kommoptimierer","@kommoptimierer")</f>
        <v>@kommoptimierer</v>
      </c>
      <c r="C509" s="9" t="s">
        <v>270</v>
      </c>
      <c r="D509" s="9" t="s">
        <v>684</v>
      </c>
      <c r="E509" s="10" t="str">
        <f>HYPERLINK("https://twitter.com/kommoptimierer/status/721058012962664448","721058012962664448")</f>
        <v>721058012962664448</v>
      </c>
      <c r="F509" s="11" t="s">
        <v>272</v>
      </c>
      <c r="G509" s="11">
        <v>1347</v>
      </c>
      <c r="H509" s="11">
        <v>1753</v>
      </c>
      <c r="I509" s="11">
        <v>0</v>
      </c>
      <c r="J509" s="11">
        <v>0</v>
      </c>
      <c r="K509" s="11" t="s">
        <v>21</v>
      </c>
      <c r="L509" s="7">
        <v>39986.860358796301</v>
      </c>
      <c r="M509" s="12" t="s">
        <v>273</v>
      </c>
      <c r="N509" s="12" t="s">
        <v>274</v>
      </c>
      <c r="O509" s="10" t="str">
        <f>HYPERLINK("https://pbs.twimg.com/profile_images/541146126158536704/IYardufS_normal.jpeg","View")</f>
        <v>View</v>
      </c>
      <c r="P509" s="11"/>
    </row>
    <row r="510" spans="1:16" ht="12.75" x14ac:dyDescent="0.35">
      <c r="A510" s="7">
        <v>42476.04179398148</v>
      </c>
      <c r="B510" s="8" t="str">
        <f>HYPERLINK("https://twitter.com/MauMatt","@MauMatt")</f>
        <v>@MauMatt</v>
      </c>
      <c r="C510" s="9" t="s">
        <v>1239</v>
      </c>
      <c r="D510" s="9" t="s">
        <v>1219</v>
      </c>
      <c r="E510" s="10" t="str">
        <f>HYPERLINK("https://twitter.com/MauMatt/status/721058053337051136","721058053337051136")</f>
        <v>721058053337051136</v>
      </c>
      <c r="F510" s="11" t="s">
        <v>31</v>
      </c>
      <c r="G510" s="11">
        <v>1681</v>
      </c>
      <c r="H510" s="11">
        <v>1654</v>
      </c>
      <c r="I510" s="11">
        <v>3</v>
      </c>
      <c r="J510" s="11">
        <v>0</v>
      </c>
      <c r="K510" s="11" t="s">
        <v>21</v>
      </c>
      <c r="L510" s="7">
        <v>39190.629317129627</v>
      </c>
      <c r="M510" s="12" t="s">
        <v>1240</v>
      </c>
      <c r="N510" s="12" t="s">
        <v>1241</v>
      </c>
      <c r="O510" s="10" t="str">
        <f>HYPERLINK("https://pbs.twimg.com/profile_images/694582636447141888/UbS5f6D9_normal.jpg","View")</f>
        <v>View</v>
      </c>
      <c r="P510" s="11"/>
    </row>
    <row r="511" spans="1:16" ht="12.75" x14ac:dyDescent="0.35">
      <c r="A511" s="7">
        <v>42476.042361111111</v>
      </c>
      <c r="B511" s="8" t="str">
        <f>HYPERLINK("https://twitter.com/MindCommerce","@MindCommerce")</f>
        <v>@MindCommerce</v>
      </c>
      <c r="C511" s="9" t="s">
        <v>1242</v>
      </c>
      <c r="D511" s="9" t="s">
        <v>1243</v>
      </c>
      <c r="E511" s="10" t="str">
        <f>HYPERLINK("https://twitter.com/MindCommerce/status/721058260967624704","721058260967624704")</f>
        <v>721058260967624704</v>
      </c>
      <c r="F511" s="11" t="s">
        <v>437</v>
      </c>
      <c r="G511" s="11">
        <v>1189</v>
      </c>
      <c r="H511" s="11">
        <v>427</v>
      </c>
      <c r="I511" s="11">
        <v>1</v>
      </c>
      <c r="J511" s="11">
        <v>0</v>
      </c>
      <c r="K511" s="11" t="s">
        <v>21</v>
      </c>
      <c r="L511" s="7">
        <v>40577.150787037041</v>
      </c>
      <c r="M511" s="12"/>
      <c r="N511" s="12" t="s">
        <v>1244</v>
      </c>
      <c r="O511" s="10" t="str">
        <f>HYPERLINK("https://pbs.twimg.com/profile_images/548030384030507008/utABqhj9_normal.png","View")</f>
        <v>View</v>
      </c>
      <c r="P511" s="11"/>
    </row>
    <row r="512" spans="1:16" ht="12.75" x14ac:dyDescent="0.35">
      <c r="A512" s="7">
        <v>42476.065057870372</v>
      </c>
      <c r="B512" s="8" t="str">
        <f>HYPERLINK("https://twitter.com/_damoca","@_damoca")</f>
        <v>@_damoca</v>
      </c>
      <c r="C512" s="9" t="s">
        <v>1245</v>
      </c>
      <c r="D512" s="9" t="s">
        <v>1246</v>
      </c>
      <c r="E512" s="10" t="str">
        <f>HYPERLINK("https://twitter.com/_damoca/status/721066483925835776","721066483925835776")</f>
        <v>721066483925835776</v>
      </c>
      <c r="F512" s="11" t="s">
        <v>29</v>
      </c>
      <c r="G512" s="11">
        <v>462</v>
      </c>
      <c r="H512" s="11">
        <v>340</v>
      </c>
      <c r="I512" s="11">
        <v>2</v>
      </c>
      <c r="J512" s="11">
        <v>2</v>
      </c>
      <c r="K512" s="11" t="s">
        <v>21</v>
      </c>
      <c r="L512" s="7">
        <v>40249.881550925929</v>
      </c>
      <c r="M512" s="12" t="s">
        <v>1247</v>
      </c>
      <c r="N512" s="12" t="s">
        <v>1248</v>
      </c>
      <c r="O512" s="10" t="str">
        <f>HYPERLINK("https://pbs.twimg.com/profile_images/701539571977289728/ulvjpEZ4_normal.jpg","View")</f>
        <v>View</v>
      </c>
      <c r="P512" s="11"/>
    </row>
    <row r="513" spans="1:16" ht="12.75" x14ac:dyDescent="0.35">
      <c r="A513" s="7">
        <v>42476.065983796296</v>
      </c>
      <c r="B513" s="8" t="str">
        <f>HYPERLINK("https://twitter.com/kommoptimierer","@kommoptimierer")</f>
        <v>@kommoptimierer</v>
      </c>
      <c r="C513" s="9" t="s">
        <v>270</v>
      </c>
      <c r="D513" s="9" t="s">
        <v>691</v>
      </c>
      <c r="E513" s="10" t="str">
        <f>HYPERLINK("https://twitter.com/kommoptimierer/status/721066821495996417","721066821495996417")</f>
        <v>721066821495996417</v>
      </c>
      <c r="F513" s="11" t="s">
        <v>272</v>
      </c>
      <c r="G513" s="11">
        <v>1347</v>
      </c>
      <c r="H513" s="11">
        <v>1753</v>
      </c>
      <c r="I513" s="11">
        <v>0</v>
      </c>
      <c r="J513" s="11">
        <v>0</v>
      </c>
      <c r="K513" s="11" t="s">
        <v>21</v>
      </c>
      <c r="L513" s="7">
        <v>39986.860358796301</v>
      </c>
      <c r="M513" s="12" t="s">
        <v>273</v>
      </c>
      <c r="N513" s="12" t="s">
        <v>274</v>
      </c>
      <c r="O513" s="10" t="str">
        <f>HYPERLINK("https://pbs.twimg.com/profile_images/541146126158536704/IYardufS_normal.jpeg","View")</f>
        <v>View</v>
      </c>
      <c r="P513" s="11"/>
    </row>
    <row r="514" spans="1:16" ht="12.75" x14ac:dyDescent="0.35">
      <c r="A514" s="7">
        <v>42476.068541666667</v>
      </c>
      <c r="B514" s="8" t="str">
        <f>HYPERLINK("https://twitter.com/IndieGameDevBot","@IndieGameDevBot")</f>
        <v>@IndieGameDevBot</v>
      </c>
      <c r="C514" s="9" t="s">
        <v>1249</v>
      </c>
      <c r="D514" s="9" t="s">
        <v>1250</v>
      </c>
      <c r="E514" s="10" t="str">
        <f>HYPERLINK("https://twitter.com/IndieGameDevBot/status/721067746407092228","721067746407092228")</f>
        <v>721067746407092228</v>
      </c>
      <c r="F514" s="11" t="s">
        <v>1251</v>
      </c>
      <c r="G514" s="11">
        <v>23195</v>
      </c>
      <c r="H514" s="11">
        <v>3986</v>
      </c>
      <c r="I514" s="11">
        <v>2</v>
      </c>
      <c r="J514" s="11">
        <v>0</v>
      </c>
      <c r="K514" s="11" t="s">
        <v>21</v>
      </c>
      <c r="L514" s="7">
        <v>41928.218321759261</v>
      </c>
      <c r="M514" s="12"/>
      <c r="N514" s="12" t="s">
        <v>1252</v>
      </c>
      <c r="O514" s="10" t="str">
        <f>HYPERLINK("https://pbs.twimg.com/profile_images/522536769502195712/cG1yitHo_normal.jpeg","View")</f>
        <v>View</v>
      </c>
      <c r="P514" s="11"/>
    </row>
    <row r="515" spans="1:16" ht="12.75" x14ac:dyDescent="0.35">
      <c r="A515" s="7">
        <v>42476.09238425926</v>
      </c>
      <c r="B515" s="8" t="str">
        <f>HYPERLINK("https://twitter.com/H_IT_D","@H_IT_D")</f>
        <v>@H_IT_D</v>
      </c>
      <c r="C515" s="9" t="s">
        <v>159</v>
      </c>
      <c r="D515" s="9" t="s">
        <v>1253</v>
      </c>
      <c r="E515" s="10" t="str">
        <f>HYPERLINK("https://twitter.com/H_IT_D/status/721076386350280704","721076386350280704")</f>
        <v>721076386350280704</v>
      </c>
      <c r="F515" s="11" t="s">
        <v>161</v>
      </c>
      <c r="G515" s="11">
        <v>463</v>
      </c>
      <c r="H515" s="11">
        <v>467</v>
      </c>
      <c r="I515" s="11">
        <v>1</v>
      </c>
      <c r="J515" s="11">
        <v>0</v>
      </c>
      <c r="K515" s="11" t="s">
        <v>21</v>
      </c>
      <c r="L515" s="7">
        <v>40723.867673611108</v>
      </c>
      <c r="M515" s="12" t="s">
        <v>162</v>
      </c>
      <c r="N515" s="12" t="s">
        <v>163</v>
      </c>
      <c r="O515" s="10" t="str">
        <f>HYPERLINK("https://pbs.twimg.com/profile_images/662723326096224256/5V4KH9_O_normal.jpg","View")</f>
        <v>View</v>
      </c>
      <c r="P515" s="11"/>
    </row>
    <row r="516" spans="1:16" ht="12.75" x14ac:dyDescent="0.35">
      <c r="A516" s="7">
        <v>42476.099212962959</v>
      </c>
      <c r="B516" s="8" t="str">
        <f>HYPERLINK("https://twitter.com/RolandThaler","@RolandThaler")</f>
        <v>@RolandThaler</v>
      </c>
      <c r="C516" s="9" t="s">
        <v>1254</v>
      </c>
      <c r="D516" s="9" t="s">
        <v>1255</v>
      </c>
      <c r="E516" s="10" t="str">
        <f>HYPERLINK("https://twitter.com/RolandThaler/status/721078862008991744","721078862008991744")</f>
        <v>721078862008991744</v>
      </c>
      <c r="F516" s="11" t="s">
        <v>20</v>
      </c>
      <c r="G516" s="11">
        <v>1283</v>
      </c>
      <c r="H516" s="11">
        <v>841</v>
      </c>
      <c r="I516" s="11">
        <v>1</v>
      </c>
      <c r="J516" s="11">
        <v>1</v>
      </c>
      <c r="K516" s="11" t="s">
        <v>21</v>
      </c>
      <c r="L516" s="7">
        <v>40345.258576388893</v>
      </c>
      <c r="M516" s="12" t="s">
        <v>1256</v>
      </c>
      <c r="N516" s="12" t="s">
        <v>1257</v>
      </c>
      <c r="O516" s="10" t="str">
        <f>HYPERLINK("https://pbs.twimg.com/profile_images/509745088696578048/tElL2_Ef_normal.jpeg","View")</f>
        <v>View</v>
      </c>
      <c r="P516" s="11"/>
    </row>
    <row r="517" spans="1:16" ht="12.75" x14ac:dyDescent="0.35">
      <c r="A517" s="7">
        <v>42476.104965277773</v>
      </c>
      <c r="B517" s="8" t="str">
        <f t="shared" ref="B517:B518" si="50">HYPERLINK("https://twitter.com/INDIZbot","@INDIZbot")</f>
        <v>@INDIZbot</v>
      </c>
      <c r="C517" s="9" t="s">
        <v>61</v>
      </c>
      <c r="D517" s="9" t="s">
        <v>1258</v>
      </c>
      <c r="E517" s="10" t="str">
        <f>HYPERLINK("https://twitter.com/INDIZbot/status/721080949216264192","721080949216264192")</f>
        <v>721080949216264192</v>
      </c>
      <c r="F517" s="11" t="s">
        <v>62</v>
      </c>
      <c r="G517" s="11">
        <v>1762</v>
      </c>
      <c r="H517" s="11">
        <v>481</v>
      </c>
      <c r="I517" s="11">
        <v>1</v>
      </c>
      <c r="J517" s="11">
        <v>0</v>
      </c>
      <c r="K517" s="11" t="s">
        <v>21</v>
      </c>
      <c r="L517" s="7">
        <v>42267.011921296296</v>
      </c>
      <c r="M517" s="12"/>
      <c r="N517" s="12" t="s">
        <v>63</v>
      </c>
      <c r="O517" s="10" t="str">
        <f t="shared" ref="O517:O518" si="51">HYPERLINK("https://pbs.twimg.com/profile_images/645716711723925506/t5G0qOS6_normal.jpg","View")</f>
        <v>View</v>
      </c>
      <c r="P517" s="11"/>
    </row>
    <row r="518" spans="1:16" ht="12.75" x14ac:dyDescent="0.35">
      <c r="A518" s="7">
        <v>42476.105682870373</v>
      </c>
      <c r="B518" s="8" t="str">
        <f t="shared" si="50"/>
        <v>@INDIZbot</v>
      </c>
      <c r="C518" s="9" t="s">
        <v>61</v>
      </c>
      <c r="D518" s="9" t="s">
        <v>1259</v>
      </c>
      <c r="E518" s="10" t="str">
        <f>HYPERLINK("https://twitter.com/INDIZbot/status/721081205408587776","721081205408587776")</f>
        <v>721081205408587776</v>
      </c>
      <c r="F518" s="11" t="s">
        <v>62</v>
      </c>
      <c r="G518" s="11">
        <v>1762</v>
      </c>
      <c r="H518" s="11">
        <v>481</v>
      </c>
      <c r="I518" s="11">
        <v>1</v>
      </c>
      <c r="J518" s="11">
        <v>0</v>
      </c>
      <c r="K518" s="11" t="s">
        <v>21</v>
      </c>
      <c r="L518" s="7">
        <v>42267.011921296296</v>
      </c>
      <c r="M518" s="12"/>
      <c r="N518" s="12" t="s">
        <v>63</v>
      </c>
      <c r="O518" s="10" t="str">
        <f t="shared" si="51"/>
        <v>View</v>
      </c>
      <c r="P518" s="11"/>
    </row>
    <row r="519" spans="1:16" ht="12.75" x14ac:dyDescent="0.35">
      <c r="A519" s="7">
        <v>42476.128703703704</v>
      </c>
      <c r="B519" s="8" t="str">
        <f>HYPERLINK("https://twitter.com/IIConsortium","@IIConsortium")</f>
        <v>@IIConsortium</v>
      </c>
      <c r="C519" s="9" t="s">
        <v>1260</v>
      </c>
      <c r="D519" s="9" t="s">
        <v>1261</v>
      </c>
      <c r="E519" s="10" t="str">
        <f>HYPERLINK("https://twitter.com/IIConsortium/status/721089549183672320","721089549183672320")</f>
        <v>721089549183672320</v>
      </c>
      <c r="F519" s="11" t="s">
        <v>39</v>
      </c>
      <c r="G519" s="11">
        <v>3453</v>
      </c>
      <c r="H519" s="11">
        <v>505</v>
      </c>
      <c r="I519" s="11">
        <v>4</v>
      </c>
      <c r="J519" s="11">
        <v>3</v>
      </c>
      <c r="K519" s="11" t="s">
        <v>21</v>
      </c>
      <c r="L519" s="7">
        <v>41626.04550925926</v>
      </c>
      <c r="M519" s="12"/>
      <c r="N519" s="12" t="s">
        <v>1262</v>
      </c>
      <c r="O519" s="10" t="str">
        <f>HYPERLINK("https://pbs.twimg.com/profile_images/417735376585773057/t4NCtA5o_normal.jpeg","View")</f>
        <v>View</v>
      </c>
      <c r="P519" s="11"/>
    </row>
    <row r="520" spans="1:16" ht="12.75" x14ac:dyDescent="0.35">
      <c r="A520" s="7">
        <v>42476.13145833333</v>
      </c>
      <c r="B520" s="8" t="str">
        <f>HYPERLINK("https://twitter.com/MatteoSeghezzi","@MatteoSeghezzi")</f>
        <v>@MatteoSeghezzi</v>
      </c>
      <c r="C520" s="9" t="s">
        <v>1263</v>
      </c>
      <c r="D520" s="9" t="s">
        <v>1264</v>
      </c>
      <c r="E520" s="10" t="str">
        <f>HYPERLINK("https://twitter.com/MatteoSeghezzi/status/721090547813847040","721090547813847040")</f>
        <v>721090547813847040</v>
      </c>
      <c r="F520" s="11" t="s">
        <v>866</v>
      </c>
      <c r="G520" s="11">
        <v>777</v>
      </c>
      <c r="H520" s="11">
        <v>2896</v>
      </c>
      <c r="I520" s="11">
        <v>4</v>
      </c>
      <c r="J520" s="11">
        <v>0</v>
      </c>
      <c r="K520" s="11" t="s">
        <v>21</v>
      </c>
      <c r="L520" s="7">
        <v>41283.900243055556</v>
      </c>
      <c r="M520" s="12" t="s">
        <v>1265</v>
      </c>
      <c r="N520" s="12" t="s">
        <v>1266</v>
      </c>
      <c r="O520" s="10" t="str">
        <f>HYPERLINK("https://pbs.twimg.com/profile_images/3086977440/0297f37e105e3c645b069ec8a3214d4e_normal.jpeg","View")</f>
        <v>View</v>
      </c>
      <c r="P520" s="11"/>
    </row>
    <row r="521" spans="1:16" ht="12.75" x14ac:dyDescent="0.35">
      <c r="A521" s="7">
        <v>42476.143738425926</v>
      </c>
      <c r="B521" s="8" t="str">
        <f>HYPERLINK("https://twitter.com/alexicondor","@alexicondor")</f>
        <v>@alexicondor</v>
      </c>
      <c r="C521" s="9" t="s">
        <v>1267</v>
      </c>
      <c r="D521" s="9" t="s">
        <v>1264</v>
      </c>
      <c r="E521" s="10" t="str">
        <f>HYPERLINK("https://twitter.com/alexicondor/status/721094999652360192","721094999652360192")</f>
        <v>721094999652360192</v>
      </c>
      <c r="F521" s="11" t="s">
        <v>20</v>
      </c>
      <c r="G521" s="11">
        <v>72</v>
      </c>
      <c r="H521" s="11">
        <v>193</v>
      </c>
      <c r="I521" s="11">
        <v>4</v>
      </c>
      <c r="J521" s="11">
        <v>0</v>
      </c>
      <c r="K521" s="11" t="s">
        <v>21</v>
      </c>
      <c r="L521" s="7">
        <v>41978.982106481482</v>
      </c>
      <c r="M521" s="12" t="s">
        <v>1268</v>
      </c>
      <c r="N521" s="12" t="s">
        <v>1269</v>
      </c>
      <c r="O521" s="10" t="str">
        <f>HYPERLINK("https://pbs.twimg.com/profile_images/540930689705582592/R77AXoET_normal.jpeg","View")</f>
        <v>View</v>
      </c>
      <c r="P521" s="11"/>
    </row>
    <row r="522" spans="1:16" ht="12.75" x14ac:dyDescent="0.35">
      <c r="A522" s="7">
        <v>42476.144270833334</v>
      </c>
      <c r="B522" s="8" t="str">
        <f>HYPERLINK("https://twitter.com/carolin_schroer","@carolin_schroer")</f>
        <v>@carolin_schroer</v>
      </c>
      <c r="C522" s="9" t="s">
        <v>1270</v>
      </c>
      <c r="D522" s="9" t="s">
        <v>1271</v>
      </c>
      <c r="E522" s="10" t="str">
        <f>HYPERLINK("https://twitter.com/carolin_schroer/status/721095189075505152","721095189075505152")</f>
        <v>721095189075505152</v>
      </c>
      <c r="F522" s="11" t="s">
        <v>31</v>
      </c>
      <c r="G522" s="11">
        <v>5</v>
      </c>
      <c r="H522" s="11">
        <v>20</v>
      </c>
      <c r="I522" s="11">
        <v>2</v>
      </c>
      <c r="J522" s="11">
        <v>0</v>
      </c>
      <c r="K522" s="11" t="s">
        <v>21</v>
      </c>
      <c r="L522" s="7">
        <v>42228.95793981482</v>
      </c>
      <c r="M522" s="12"/>
      <c r="N522" s="12"/>
      <c r="O522" s="10" t="str">
        <f>HYPERLINK("https://pbs.twimg.com/profile_images/692817171999801344/sjvX94s4_normal.jpg","View")</f>
        <v>View</v>
      </c>
      <c r="P522" s="11"/>
    </row>
    <row r="523" spans="1:16" ht="12.75" x14ac:dyDescent="0.35">
      <c r="A523" s="7">
        <v>42476.227777777778</v>
      </c>
      <c r="B523" s="8" t="str">
        <f>HYPERLINK("https://twitter.com/RolandBent","@RolandBent")</f>
        <v>@RolandBent</v>
      </c>
      <c r="C523" s="9" t="s">
        <v>1272</v>
      </c>
      <c r="D523" s="9" t="s">
        <v>1264</v>
      </c>
      <c r="E523" s="10" t="str">
        <f>HYPERLINK("https://twitter.com/RolandBent/status/721125452123922432","721125452123922432")</f>
        <v>721125452123922432</v>
      </c>
      <c r="F523" s="11" t="s">
        <v>31</v>
      </c>
      <c r="G523" s="11">
        <v>503</v>
      </c>
      <c r="H523" s="11">
        <v>235</v>
      </c>
      <c r="I523" s="11">
        <v>4</v>
      </c>
      <c r="J523" s="11">
        <v>0</v>
      </c>
      <c r="K523" s="11" t="s">
        <v>21</v>
      </c>
      <c r="L523" s="7">
        <v>41733.564432870371</v>
      </c>
      <c r="M523" s="12" t="s">
        <v>1273</v>
      </c>
      <c r="N523" s="12" t="s">
        <v>1274</v>
      </c>
      <c r="O523" s="10" t="str">
        <f>HYPERLINK("https://pbs.twimg.com/profile_images/451994816889360385/SYPpc3iI_normal.jpeg","View")</f>
        <v>View</v>
      </c>
      <c r="P523" s="11"/>
    </row>
    <row r="524" spans="1:16" ht="12.75" x14ac:dyDescent="0.35">
      <c r="A524" s="7">
        <v>42476.234212962961</v>
      </c>
      <c r="B524" s="8" t="str">
        <f>HYPERLINK("https://twitter.com/messeworldwide","@messeworldwide")</f>
        <v>@messeworldwide</v>
      </c>
      <c r="C524" s="9" t="s">
        <v>1275</v>
      </c>
      <c r="D524" s="9" t="s">
        <v>1165</v>
      </c>
      <c r="E524" s="10" t="str">
        <f>HYPERLINK("https://twitter.com/messeworldwide/status/721127784924336128","721127784924336128")</f>
        <v>721127784924336128</v>
      </c>
      <c r="F524" s="11" t="s">
        <v>20</v>
      </c>
      <c r="G524" s="11">
        <v>278</v>
      </c>
      <c r="H524" s="11">
        <v>672</v>
      </c>
      <c r="I524" s="11">
        <v>3</v>
      </c>
      <c r="J524" s="11">
        <v>0</v>
      </c>
      <c r="K524" s="11" t="s">
        <v>21</v>
      </c>
      <c r="L524" s="7">
        <v>41609.685486111113</v>
      </c>
      <c r="M524" s="12" t="s">
        <v>1276</v>
      </c>
      <c r="N524" s="12" t="s">
        <v>1277</v>
      </c>
      <c r="O524" s="10" t="str">
        <f>HYPERLINK("https://pbs.twimg.com/profile_images/651964313322721281/-f8yI6Ku_normal.jpg","View")</f>
        <v>View</v>
      </c>
      <c r="P524" s="11"/>
    </row>
    <row r="525" spans="1:16" ht="12.75" x14ac:dyDescent="0.35">
      <c r="A525" s="7">
        <v>42476.270856481482</v>
      </c>
      <c r="B525" s="8" t="str">
        <f>HYPERLINK("https://twitter.com/QuickFindsIn","@QuickFindsIn")</f>
        <v>@QuickFindsIn</v>
      </c>
      <c r="C525" s="9" t="s">
        <v>208</v>
      </c>
      <c r="D525" s="9" t="s">
        <v>209</v>
      </c>
      <c r="E525" s="10" t="str">
        <f>HYPERLINK("https://twitter.com/QuickFindsIn/status/721141065718173696","721141065718173696")</f>
        <v>721141065718173696</v>
      </c>
      <c r="F525" s="11" t="s">
        <v>210</v>
      </c>
      <c r="G525" s="11">
        <v>1895</v>
      </c>
      <c r="H525" s="11">
        <v>2758</v>
      </c>
      <c r="I525" s="11">
        <v>0</v>
      </c>
      <c r="J525" s="11">
        <v>0</v>
      </c>
      <c r="K525" s="11" t="s">
        <v>21</v>
      </c>
      <c r="L525" s="7">
        <v>42069.582048611112</v>
      </c>
      <c r="M525" s="12" t="s">
        <v>211</v>
      </c>
      <c r="N525" s="12" t="s">
        <v>212</v>
      </c>
      <c r="O525" s="10" t="str">
        <f>HYPERLINK("https://pbs.twimg.com/profile_images/591951396217327616/HbcCX2zX_normal.png","View")</f>
        <v>View</v>
      </c>
      <c r="P525" s="11"/>
    </row>
    <row r="526" spans="1:16" ht="12.75" x14ac:dyDescent="0.35">
      <c r="A526" s="7">
        <v>42476.273773148147</v>
      </c>
      <c r="B526" s="8" t="str">
        <f>HYPERLINK("https://twitter.com/dsloly","@dsloly")</f>
        <v>@dsloly</v>
      </c>
      <c r="C526" s="9" t="s">
        <v>1278</v>
      </c>
      <c r="D526" s="9" t="s">
        <v>1115</v>
      </c>
      <c r="E526" s="10" t="str">
        <f>HYPERLINK("https://twitter.com/dsloly/status/721142120757739520","721142120757739520")</f>
        <v>721142120757739520</v>
      </c>
      <c r="F526" s="11" t="s">
        <v>31</v>
      </c>
      <c r="G526" s="11">
        <v>7117</v>
      </c>
      <c r="H526" s="11">
        <v>6125</v>
      </c>
      <c r="I526" s="11">
        <v>14</v>
      </c>
      <c r="J526" s="11">
        <v>0</v>
      </c>
      <c r="K526" s="11" t="s">
        <v>21</v>
      </c>
      <c r="L526" s="7">
        <v>39579.1246875</v>
      </c>
      <c r="M526" s="12" t="s">
        <v>1279</v>
      </c>
      <c r="N526" s="12" t="s">
        <v>1280</v>
      </c>
      <c r="O526" s="10" t="str">
        <f>HYPERLINK("https://pbs.twimg.com/profile_images/717446712089042944/8ce3nV2G_normal.jpg","View")</f>
        <v>View</v>
      </c>
      <c r="P526" s="11"/>
    </row>
    <row r="527" spans="1:16" ht="12.75" x14ac:dyDescent="0.35">
      <c r="A527" s="7">
        <v>42476.446111111116</v>
      </c>
      <c r="B527" s="8" t="str">
        <f>HYPERLINK("https://twitter.com/BGarciaSchmidt","@BGarciaSchmidt")</f>
        <v>@BGarciaSchmidt</v>
      </c>
      <c r="C527" s="9" t="s">
        <v>1281</v>
      </c>
      <c r="D527" s="9" t="s">
        <v>1166</v>
      </c>
      <c r="E527" s="10" t="str">
        <f>HYPERLINK("https://twitter.com/BGarciaSchmidt/status/721204575273947136","721204575273947136")</f>
        <v>721204575273947136</v>
      </c>
      <c r="F527" s="11" t="s">
        <v>20</v>
      </c>
      <c r="G527" s="11">
        <v>51</v>
      </c>
      <c r="H527" s="11">
        <v>57</v>
      </c>
      <c r="I527" s="11">
        <v>8</v>
      </c>
      <c r="J527" s="11">
        <v>0</v>
      </c>
      <c r="K527" s="11" t="s">
        <v>21</v>
      </c>
      <c r="L527" s="7">
        <v>40054.956192129626</v>
      </c>
      <c r="M527" s="12" t="s">
        <v>1062</v>
      </c>
      <c r="N527" s="12" t="s">
        <v>1282</v>
      </c>
      <c r="O527" s="10" t="str">
        <f>HYPERLINK("https://pbs.twimg.com/profile_images/690172121973145601/pudiMkyd_normal.jpg","View")</f>
        <v>View</v>
      </c>
      <c r="P527" s="11"/>
    </row>
    <row r="528" spans="1:16" ht="12.75" x14ac:dyDescent="0.35">
      <c r="A528" s="7">
        <v>42476.524421296301</v>
      </c>
      <c r="B528" s="8" t="str">
        <f t="shared" ref="B528:B529" si="52">HYPERLINK("https://twitter.com/CapgeminiDE","@CapgeminiDE")</f>
        <v>@CapgeminiDE</v>
      </c>
      <c r="C528" s="9" t="s">
        <v>280</v>
      </c>
      <c r="D528" s="9" t="s">
        <v>1283</v>
      </c>
      <c r="E528" s="10" t="str">
        <f>HYPERLINK("https://twitter.com/CapgeminiDE/status/721232952747810817","721232952747810817")</f>
        <v>721232952747810817</v>
      </c>
      <c r="F528" s="11" t="s">
        <v>39</v>
      </c>
      <c r="G528" s="11">
        <v>1640</v>
      </c>
      <c r="H528" s="11">
        <v>509</v>
      </c>
      <c r="I528" s="11">
        <v>2</v>
      </c>
      <c r="J528" s="11">
        <v>0</v>
      </c>
      <c r="K528" s="11" t="s">
        <v>21</v>
      </c>
      <c r="L528" s="7">
        <v>40424.022048611107</v>
      </c>
      <c r="M528" s="12" t="s">
        <v>218</v>
      </c>
      <c r="N528" s="12" t="s">
        <v>282</v>
      </c>
      <c r="O528" s="10" t="str">
        <f t="shared" ref="O528:O529" si="53">HYPERLINK("https://pbs.twimg.com/profile_images/666911961599315968/aP7ID_qm_normal.png","View")</f>
        <v>View</v>
      </c>
      <c r="P528" s="11"/>
    </row>
    <row r="529" spans="1:16" ht="12.75" x14ac:dyDescent="0.35">
      <c r="A529" s="7">
        <v>42476.524456018524</v>
      </c>
      <c r="B529" s="8" t="str">
        <f t="shared" si="52"/>
        <v>@CapgeminiDE</v>
      </c>
      <c r="C529" s="9" t="s">
        <v>280</v>
      </c>
      <c r="D529" s="9" t="s">
        <v>1284</v>
      </c>
      <c r="E529" s="10" t="str">
        <f>HYPERLINK("https://twitter.com/CapgeminiDE/status/721232964617637890","721232964617637890")</f>
        <v>721232964617637890</v>
      </c>
      <c r="F529" s="11" t="s">
        <v>39</v>
      </c>
      <c r="G529" s="11">
        <v>1640</v>
      </c>
      <c r="H529" s="11">
        <v>509</v>
      </c>
      <c r="I529" s="11">
        <v>3</v>
      </c>
      <c r="J529" s="11">
        <v>0</v>
      </c>
      <c r="K529" s="11" t="s">
        <v>21</v>
      </c>
      <c r="L529" s="7">
        <v>40424.022048611107</v>
      </c>
      <c r="M529" s="12" t="s">
        <v>218</v>
      </c>
      <c r="N529" s="12" t="s">
        <v>282</v>
      </c>
      <c r="O529" s="10" t="str">
        <f t="shared" si="53"/>
        <v>View</v>
      </c>
      <c r="P529" s="11"/>
    </row>
    <row r="530" spans="1:16" ht="12.75" x14ac:dyDescent="0.35">
      <c r="A530" s="7">
        <v>42476.525555555556</v>
      </c>
      <c r="B530" s="8" t="str">
        <f>HYPERLINK("https://twitter.com/Adam_Ripley","@Adam_Ripley")</f>
        <v>@Adam_Ripley</v>
      </c>
      <c r="C530" s="9" t="s">
        <v>1285</v>
      </c>
      <c r="D530" s="9" t="s">
        <v>1115</v>
      </c>
      <c r="E530" s="10" t="str">
        <f>HYPERLINK("https://twitter.com/Adam_Ripley/status/721233365458935808","721233365458935808")</f>
        <v>721233365458935808</v>
      </c>
      <c r="F530" s="11" t="s">
        <v>31</v>
      </c>
      <c r="G530" s="11">
        <v>1936</v>
      </c>
      <c r="H530" s="11">
        <v>2139</v>
      </c>
      <c r="I530" s="11">
        <v>14</v>
      </c>
      <c r="J530" s="11">
        <v>0</v>
      </c>
      <c r="K530" s="11" t="s">
        <v>21</v>
      </c>
      <c r="L530" s="7">
        <v>40711.575613425928</v>
      </c>
      <c r="M530" s="12" t="s">
        <v>742</v>
      </c>
      <c r="N530" s="12" t="s">
        <v>1286</v>
      </c>
      <c r="O530" s="10" t="str">
        <f>HYPERLINK("https://pbs.twimg.com/profile_images/3470756653/9f9c3629840fad27aafed3265b77c062_normal.png","View")</f>
        <v>View</v>
      </c>
      <c r="P530" s="11"/>
    </row>
    <row r="531" spans="1:16" ht="12.75" x14ac:dyDescent="0.35">
      <c r="A531" s="7">
        <v>42476.52915509259</v>
      </c>
      <c r="B531" s="8" t="str">
        <f t="shared" ref="B531:B532" si="54">HYPERLINK("https://twitter.com/INDIZbot","@INDIZbot")</f>
        <v>@INDIZbot</v>
      </c>
      <c r="C531" s="9" t="s">
        <v>61</v>
      </c>
      <c r="D531" s="9" t="s">
        <v>1287</v>
      </c>
      <c r="E531" s="10" t="str">
        <f>HYPERLINK("https://twitter.com/INDIZbot/status/721234668180389888","721234668180389888")</f>
        <v>721234668180389888</v>
      </c>
      <c r="F531" s="11" t="s">
        <v>62</v>
      </c>
      <c r="G531" s="11">
        <v>1762</v>
      </c>
      <c r="H531" s="11">
        <v>481</v>
      </c>
      <c r="I531" s="11">
        <v>3</v>
      </c>
      <c r="J531" s="11">
        <v>0</v>
      </c>
      <c r="K531" s="11" t="s">
        <v>21</v>
      </c>
      <c r="L531" s="7">
        <v>42267.011921296296</v>
      </c>
      <c r="M531" s="12"/>
      <c r="N531" s="12" t="s">
        <v>63</v>
      </c>
      <c r="O531" s="10" t="str">
        <f t="shared" ref="O531:O532" si="55">HYPERLINK("https://pbs.twimg.com/profile_images/645716711723925506/t5G0qOS6_normal.jpg","View")</f>
        <v>View</v>
      </c>
      <c r="P531" s="11"/>
    </row>
    <row r="532" spans="1:16" ht="12.75" x14ac:dyDescent="0.35">
      <c r="A532" s="7">
        <v>42476.529351851852</v>
      </c>
      <c r="B532" s="8" t="str">
        <f t="shared" si="54"/>
        <v>@INDIZbot</v>
      </c>
      <c r="C532" s="9" t="s">
        <v>61</v>
      </c>
      <c r="D532" s="9" t="s">
        <v>1288</v>
      </c>
      <c r="E532" s="10" t="str">
        <f>HYPERLINK("https://twitter.com/INDIZbot/status/721234738967678976","721234738967678976")</f>
        <v>721234738967678976</v>
      </c>
      <c r="F532" s="11" t="s">
        <v>62</v>
      </c>
      <c r="G532" s="11">
        <v>1762</v>
      </c>
      <c r="H532" s="11">
        <v>481</v>
      </c>
      <c r="I532" s="11">
        <v>2</v>
      </c>
      <c r="J532" s="11">
        <v>0</v>
      </c>
      <c r="K532" s="11" t="s">
        <v>21</v>
      </c>
      <c r="L532" s="7">
        <v>42267.011921296296</v>
      </c>
      <c r="M532" s="12"/>
      <c r="N532" s="12" t="s">
        <v>63</v>
      </c>
      <c r="O532" s="10" t="str">
        <f t="shared" si="55"/>
        <v>View</v>
      </c>
      <c r="P532" s="11"/>
    </row>
    <row r="533" spans="1:16" ht="12.75" x14ac:dyDescent="0.35">
      <c r="A533" s="7">
        <v>42476.538391203707</v>
      </c>
      <c r="B533" s="8" t="str">
        <f>HYPERLINK("https://twitter.com/DKEAktuell","@DKEAktuell")</f>
        <v>@DKEAktuell</v>
      </c>
      <c r="C533" s="9" t="s">
        <v>1289</v>
      </c>
      <c r="D533" s="9" t="s">
        <v>1166</v>
      </c>
      <c r="E533" s="10" t="str">
        <f>HYPERLINK("https://twitter.com/DKEAktuell/status/721238015121743872","721238015121743872")</f>
        <v>721238015121743872</v>
      </c>
      <c r="F533" s="11" t="s">
        <v>268</v>
      </c>
      <c r="G533" s="11">
        <v>572</v>
      </c>
      <c r="H533" s="11">
        <v>525</v>
      </c>
      <c r="I533" s="11">
        <v>8</v>
      </c>
      <c r="J533" s="11">
        <v>0</v>
      </c>
      <c r="K533" s="11" t="s">
        <v>21</v>
      </c>
      <c r="L533" s="7">
        <v>41764.84847222222</v>
      </c>
      <c r="M533" s="12" t="s">
        <v>1290</v>
      </c>
      <c r="N533" s="12" t="s">
        <v>1291</v>
      </c>
      <c r="O533" s="10" t="str">
        <f>HYPERLINK("https://pbs.twimg.com/profile_images/465817969902092288/sEIgw9Gb_normal.jpeg","View")</f>
        <v>View</v>
      </c>
      <c r="P533" s="11"/>
    </row>
    <row r="534" spans="1:16" ht="12.75" x14ac:dyDescent="0.35">
      <c r="A534" s="7">
        <v>42476.54206018518</v>
      </c>
      <c r="B534" s="8" t="str">
        <f>HYPERLINK("https://twitter.com/tcerisier_johan","@tcerisier_johan")</f>
        <v>@tcerisier_johan</v>
      </c>
      <c r="C534" s="9" t="s">
        <v>1292</v>
      </c>
      <c r="D534" s="9" t="s">
        <v>1172</v>
      </c>
      <c r="E534" s="10" t="str">
        <f>HYPERLINK("https://twitter.com/tcerisier_johan/status/721239343743033345","721239343743033345")</f>
        <v>721239343743033345</v>
      </c>
      <c r="F534" s="11" t="s">
        <v>31</v>
      </c>
      <c r="G534" s="11">
        <v>236</v>
      </c>
      <c r="H534" s="11">
        <v>1763</v>
      </c>
      <c r="I534" s="11">
        <v>4</v>
      </c>
      <c r="J534" s="11">
        <v>0</v>
      </c>
      <c r="K534" s="11" t="s">
        <v>21</v>
      </c>
      <c r="L534" s="7">
        <v>42448.238032407404</v>
      </c>
      <c r="M534" s="12"/>
      <c r="N534" s="12"/>
      <c r="O534" s="10" t="str">
        <f>HYPERLINK("https://pbs.twimg.com/profile_images/710982607606038528/t8IYX_cK_normal.jpg","View")</f>
        <v>View</v>
      </c>
      <c r="P534" s="11"/>
    </row>
    <row r="535" spans="1:16" ht="12.75" x14ac:dyDescent="0.35">
      <c r="A535" s="7">
        <v>42476.555717592593</v>
      </c>
      <c r="B535" s="8" t="str">
        <f>HYPERLINK("https://twitter.com/sytaylor","@sytaylor")</f>
        <v>@sytaylor</v>
      </c>
      <c r="C535" s="9" t="s">
        <v>1293</v>
      </c>
      <c r="D535" s="9" t="s">
        <v>1115</v>
      </c>
      <c r="E535" s="10" t="str">
        <f>HYPERLINK("https://twitter.com/sytaylor/status/721244292283514880","721244292283514880")</f>
        <v>721244292283514880</v>
      </c>
      <c r="F535" s="11" t="s">
        <v>20</v>
      </c>
      <c r="G535" s="11">
        <v>6936</v>
      </c>
      <c r="H535" s="11">
        <v>2147</v>
      </c>
      <c r="I535" s="11">
        <v>14</v>
      </c>
      <c r="J535" s="11">
        <v>0</v>
      </c>
      <c r="K535" s="11" t="s">
        <v>21</v>
      </c>
      <c r="L535" s="7">
        <v>39841.79146990741</v>
      </c>
      <c r="M535" s="12" t="s">
        <v>1294</v>
      </c>
      <c r="N535" s="12" t="s">
        <v>1295</v>
      </c>
      <c r="O535" s="10" t="str">
        <f>HYPERLINK("https://pbs.twimg.com/profile_images/624287552569241600/lHDImNou_normal.jpg","View")</f>
        <v>View</v>
      </c>
      <c r="P535" s="11"/>
    </row>
    <row r="536" spans="1:16" ht="12.75" x14ac:dyDescent="0.35">
      <c r="A536" s="7">
        <v>42476.555752314816</v>
      </c>
      <c r="B536" s="8" t="str">
        <f t="shared" ref="B536:B537" si="56">HYPERLINK("https://twitter.com/Aurelien_T_K","@Aurelien_T_K")</f>
        <v>@Aurelien_T_K</v>
      </c>
      <c r="C536" s="9" t="s">
        <v>242</v>
      </c>
      <c r="D536" s="9" t="s">
        <v>924</v>
      </c>
      <c r="E536" s="10" t="str">
        <f>HYPERLINK("https://twitter.com/Aurelien_T_K/status/721244305478823936","721244305478823936")</f>
        <v>721244305478823936</v>
      </c>
      <c r="F536" s="11" t="s">
        <v>84</v>
      </c>
      <c r="G536" s="11">
        <v>135</v>
      </c>
      <c r="H536" s="11">
        <v>206</v>
      </c>
      <c r="I536" s="11">
        <v>10</v>
      </c>
      <c r="J536" s="11">
        <v>0</v>
      </c>
      <c r="K536" s="11" t="s">
        <v>21</v>
      </c>
      <c r="L536" s="7">
        <v>40052.385185185187</v>
      </c>
      <c r="M536" s="12" t="s">
        <v>243</v>
      </c>
      <c r="N536" s="12" t="s">
        <v>244</v>
      </c>
      <c r="O536" s="10" t="str">
        <f t="shared" ref="O536:O537" si="57">HYPERLINK("https://pbs.twimg.com/profile_images/711460495795097600/GjVvY72S_normal.jpg","View")</f>
        <v>View</v>
      </c>
      <c r="P536" s="11"/>
    </row>
    <row r="537" spans="1:16" ht="12.75" x14ac:dyDescent="0.35">
      <c r="A537" s="7">
        <v>42476.555937500001</v>
      </c>
      <c r="B537" s="8" t="str">
        <f t="shared" si="56"/>
        <v>@Aurelien_T_K</v>
      </c>
      <c r="C537" s="9" t="s">
        <v>242</v>
      </c>
      <c r="D537" s="9" t="s">
        <v>1000</v>
      </c>
      <c r="E537" s="10" t="str">
        <f>HYPERLINK("https://twitter.com/Aurelien_T_K/status/721244373564919808","721244373564919808")</f>
        <v>721244373564919808</v>
      </c>
      <c r="F537" s="11" t="s">
        <v>84</v>
      </c>
      <c r="G537" s="11">
        <v>135</v>
      </c>
      <c r="H537" s="11">
        <v>206</v>
      </c>
      <c r="I537" s="11">
        <v>10</v>
      </c>
      <c r="J537" s="11">
        <v>0</v>
      </c>
      <c r="K537" s="11" t="s">
        <v>21</v>
      </c>
      <c r="L537" s="7">
        <v>40052.385185185187</v>
      </c>
      <c r="M537" s="12" t="s">
        <v>243</v>
      </c>
      <c r="N537" s="12" t="s">
        <v>244</v>
      </c>
      <c r="O537" s="10" t="str">
        <f t="shared" si="57"/>
        <v>View</v>
      </c>
      <c r="P537" s="11"/>
    </row>
    <row r="538" spans="1:16" ht="12.75" x14ac:dyDescent="0.35">
      <c r="A538" s="7">
        <v>42476.556203703702</v>
      </c>
      <c r="B538" s="8" t="str">
        <f>HYPERLINK("https://twitter.com/MartinGaedt","@MartinGaedt")</f>
        <v>@MartinGaedt</v>
      </c>
      <c r="C538" s="9" t="s">
        <v>1296</v>
      </c>
      <c r="D538" s="9" t="s">
        <v>1115</v>
      </c>
      <c r="E538" s="10" t="str">
        <f>HYPERLINK("https://twitter.com/MartinGaedt/status/721244471640383488","721244471640383488")</f>
        <v>721244471640383488</v>
      </c>
      <c r="F538" s="11" t="s">
        <v>25</v>
      </c>
      <c r="G538" s="11">
        <v>5366</v>
      </c>
      <c r="H538" s="11">
        <v>5909</v>
      </c>
      <c r="I538" s="11">
        <v>14</v>
      </c>
      <c r="J538" s="11">
        <v>0</v>
      </c>
      <c r="K538" s="11" t="s">
        <v>21</v>
      </c>
      <c r="L538" s="7">
        <v>39938.908993055556</v>
      </c>
      <c r="M538" s="12" t="s">
        <v>1297</v>
      </c>
      <c r="N538" s="12" t="s">
        <v>1298</v>
      </c>
      <c r="O538" s="10" t="str">
        <f>HYPERLINK("https://pbs.twimg.com/profile_images/709444980553740288/Xds-Aan6_normal.jpg","View")</f>
        <v>View</v>
      </c>
      <c r="P538" s="11"/>
    </row>
    <row r="539" spans="1:16" ht="12.75" x14ac:dyDescent="0.35">
      <c r="A539" s="7">
        <v>42476.557592592595</v>
      </c>
      <c r="B539" s="8" t="str">
        <f>HYPERLINK("https://twitter.com/Fran_tandem","@Fran_tandem")</f>
        <v>@Fran_tandem</v>
      </c>
      <c r="C539" s="9" t="s">
        <v>1299</v>
      </c>
      <c r="D539" s="9" t="s">
        <v>1115</v>
      </c>
      <c r="E539" s="10" t="str">
        <f>HYPERLINK("https://twitter.com/Fran_tandem/status/721244972993875968","721244972993875968")</f>
        <v>721244972993875968</v>
      </c>
      <c r="F539" s="11" t="s">
        <v>31</v>
      </c>
      <c r="G539" s="11">
        <v>402</v>
      </c>
      <c r="H539" s="11">
        <v>304</v>
      </c>
      <c r="I539" s="11">
        <v>14</v>
      </c>
      <c r="J539" s="11">
        <v>0</v>
      </c>
      <c r="K539" s="11" t="s">
        <v>21</v>
      </c>
      <c r="L539" s="7">
        <v>39951.722453703704</v>
      </c>
      <c r="M539" s="12" t="s">
        <v>1300</v>
      </c>
      <c r="N539" s="12" t="s">
        <v>1301</v>
      </c>
      <c r="O539" s="10" t="str">
        <f>HYPERLINK("https://pbs.twimg.com/profile_images/662237330028240896/0SuYDCo1_normal.jpg","View")</f>
        <v>View</v>
      </c>
      <c r="P539" s="11"/>
    </row>
    <row r="540" spans="1:16" ht="12.75" x14ac:dyDescent="0.35">
      <c r="A540" s="7">
        <v>42476.568807870368</v>
      </c>
      <c r="B540" s="8" t="str">
        <f>HYPERLINK("https://twitter.com/VDI_News","@VDI_News")</f>
        <v>@VDI_News</v>
      </c>
      <c r="C540" s="9" t="s">
        <v>118</v>
      </c>
      <c r="D540" s="9" t="s">
        <v>1302</v>
      </c>
      <c r="E540" s="10" t="str">
        <f>HYPERLINK("https://twitter.com/VDI_News/status/721249037538705409","721249037538705409")</f>
        <v>721249037538705409</v>
      </c>
      <c r="F540" s="11" t="s">
        <v>120</v>
      </c>
      <c r="G540" s="11">
        <v>8756</v>
      </c>
      <c r="H540" s="11">
        <v>514</v>
      </c>
      <c r="I540" s="11">
        <v>4</v>
      </c>
      <c r="J540" s="11">
        <v>4</v>
      </c>
      <c r="K540" s="11" t="s">
        <v>21</v>
      </c>
      <c r="L540" s="7">
        <v>39876.69908564815</v>
      </c>
      <c r="M540" s="12" t="s">
        <v>121</v>
      </c>
      <c r="N540" s="12" t="s">
        <v>122</v>
      </c>
      <c r="O540" s="10" t="str">
        <f>HYPERLINK("https://pbs.twimg.com/profile_images/469070945483628546/iD8AeJP6_normal.png","View")</f>
        <v>View</v>
      </c>
      <c r="P540" s="11"/>
    </row>
    <row r="541" spans="1:16" ht="12.75" x14ac:dyDescent="0.35">
      <c r="A541" s="7">
        <v>42476.570243055554</v>
      </c>
      <c r="B541" s="8" t="str">
        <f>HYPERLINK("https://twitter.com/INDIZbot","@INDIZbot")</f>
        <v>@INDIZbot</v>
      </c>
      <c r="C541" s="9" t="s">
        <v>61</v>
      </c>
      <c r="D541" s="9" t="s">
        <v>1303</v>
      </c>
      <c r="E541" s="10" t="str">
        <f>HYPERLINK("https://twitter.com/INDIZbot/status/721249556864897024","721249556864897024")</f>
        <v>721249556864897024</v>
      </c>
      <c r="F541" s="11" t="s">
        <v>62</v>
      </c>
      <c r="G541" s="11">
        <v>1762</v>
      </c>
      <c r="H541" s="11">
        <v>481</v>
      </c>
      <c r="I541" s="11">
        <v>4</v>
      </c>
      <c r="J541" s="11">
        <v>0</v>
      </c>
      <c r="K541" s="11" t="s">
        <v>21</v>
      </c>
      <c r="L541" s="7">
        <v>42267.011921296296</v>
      </c>
      <c r="M541" s="12"/>
      <c r="N541" s="12" t="s">
        <v>63</v>
      </c>
      <c r="O541" s="10" t="str">
        <f>HYPERLINK("https://pbs.twimg.com/profile_images/645716711723925506/t5G0qOS6_normal.jpg","View")</f>
        <v>View</v>
      </c>
      <c r="P541" s="11"/>
    </row>
    <row r="542" spans="1:16" ht="12.75" x14ac:dyDescent="0.35">
      <c r="A542" s="7">
        <v>42476.570659722223</v>
      </c>
      <c r="B542" s="8" t="str">
        <f>HYPERLINK("https://twitter.com/virtualgarry","@virtualgarry")</f>
        <v>@virtualgarry</v>
      </c>
      <c r="C542" s="9" t="s">
        <v>1304</v>
      </c>
      <c r="D542" s="9" t="s">
        <v>1250</v>
      </c>
      <c r="E542" s="10" t="str">
        <f>HYPERLINK("https://twitter.com/virtualgarry/status/721249707994058752","721249707994058752")</f>
        <v>721249707994058752</v>
      </c>
      <c r="F542" s="11" t="s">
        <v>20</v>
      </c>
      <c r="G542" s="11">
        <v>733</v>
      </c>
      <c r="H542" s="11">
        <v>1354</v>
      </c>
      <c r="I542" s="11">
        <v>2</v>
      </c>
      <c r="J542" s="11">
        <v>0</v>
      </c>
      <c r="K542" s="11" t="s">
        <v>21</v>
      </c>
      <c r="L542" s="7">
        <v>40617.181747685187</v>
      </c>
      <c r="M542" s="12" t="s">
        <v>1305</v>
      </c>
      <c r="N542" s="12" t="s">
        <v>1306</v>
      </c>
      <c r="O542" s="10" t="str">
        <f>HYPERLINK("https://pbs.twimg.com/profile_images/617950867170263040/s8vgGLPr_normal.jpg","View")</f>
        <v>View</v>
      </c>
      <c r="P542" s="11"/>
    </row>
    <row r="543" spans="1:16" ht="12.75" x14ac:dyDescent="0.35">
      <c r="A543" s="7">
        <v>42476.570821759262</v>
      </c>
      <c r="B543" s="8" t="str">
        <f>HYPERLINK("https://twitter.com/Planer4U","@Planer4U")</f>
        <v>@Planer4U</v>
      </c>
      <c r="C543" s="9" t="s">
        <v>1307</v>
      </c>
      <c r="D543" s="9" t="s">
        <v>1303</v>
      </c>
      <c r="E543" s="10" t="str">
        <f>HYPERLINK("https://twitter.com/Planer4U/status/721249768710791168","721249768710791168")</f>
        <v>721249768710791168</v>
      </c>
      <c r="F543" s="11" t="s">
        <v>20</v>
      </c>
      <c r="G543" s="11">
        <v>138</v>
      </c>
      <c r="H543" s="11">
        <v>438</v>
      </c>
      <c r="I543" s="11">
        <v>4</v>
      </c>
      <c r="J543" s="11">
        <v>0</v>
      </c>
      <c r="K543" s="11" t="s">
        <v>21</v>
      </c>
      <c r="L543" s="7">
        <v>42442.014675925922</v>
      </c>
      <c r="M543" s="12" t="s">
        <v>1308</v>
      </c>
      <c r="N543" s="12" t="s">
        <v>1309</v>
      </c>
      <c r="O543" s="10" t="str">
        <f>HYPERLINK("https://pbs.twimg.com/profile_images/708736000923738112/lLNoYXyG_normal.jpg","View")</f>
        <v>View</v>
      </c>
      <c r="P543" s="11"/>
    </row>
    <row r="544" spans="1:16" ht="12.75" x14ac:dyDescent="0.35">
      <c r="A544" s="7">
        <v>42476.572129629625</v>
      </c>
      <c r="B544" s="8" t="str">
        <f>HYPERLINK("https://twitter.com/Evolutivist","@Evolutivist")</f>
        <v>@Evolutivist</v>
      </c>
      <c r="C544" s="9" t="s">
        <v>1310</v>
      </c>
      <c r="D544" s="9" t="s">
        <v>1311</v>
      </c>
      <c r="E544" s="10" t="str">
        <f>HYPERLINK("https://twitter.com/Evolutivist/status/721250241463390208","721250241463390208")</f>
        <v>721250241463390208</v>
      </c>
      <c r="F544" s="11" t="s">
        <v>20</v>
      </c>
      <c r="G544" s="11">
        <v>205</v>
      </c>
      <c r="H544" s="11">
        <v>351</v>
      </c>
      <c r="I544" s="11">
        <v>3</v>
      </c>
      <c r="J544" s="11">
        <v>0</v>
      </c>
      <c r="K544" s="11" t="s">
        <v>21</v>
      </c>
      <c r="L544" s="7">
        <v>40926.661990740744</v>
      </c>
      <c r="M544" s="12" t="s">
        <v>1312</v>
      </c>
      <c r="N544" s="12" t="s">
        <v>1313</v>
      </c>
      <c r="O544" s="10" t="str">
        <f>HYPERLINK("https://pbs.twimg.com/profile_images/2162445220/wagnertwitter_normal.jpg","View")</f>
        <v>View</v>
      </c>
      <c r="P544" s="11"/>
    </row>
    <row r="545" spans="1:16" ht="12.75" x14ac:dyDescent="0.35">
      <c r="A545" s="7">
        <v>42476.573101851856</v>
      </c>
      <c r="B545" s="8" t="str">
        <f>HYPERLINK("https://twitter.com/weiterdenker","@weiterdenker")</f>
        <v>@weiterdenker</v>
      </c>
      <c r="C545" s="9" t="s">
        <v>1314</v>
      </c>
      <c r="D545" s="9" t="s">
        <v>1315</v>
      </c>
      <c r="E545" s="10" t="str">
        <f>HYPERLINK("https://twitter.com/weiterdenker/status/721250594153963521","721250594153963521")</f>
        <v>721250594153963521</v>
      </c>
      <c r="F545" s="11" t="s">
        <v>31</v>
      </c>
      <c r="G545" s="11">
        <v>229</v>
      </c>
      <c r="H545" s="11">
        <v>94</v>
      </c>
      <c r="I545" s="11">
        <v>3</v>
      </c>
      <c r="J545" s="11">
        <v>4</v>
      </c>
      <c r="K545" s="11" t="s">
        <v>21</v>
      </c>
      <c r="L545" s="7">
        <v>40067.156724537039</v>
      </c>
      <c r="M545" s="12" t="s">
        <v>1316</v>
      </c>
      <c r="N545" s="12" t="s">
        <v>1317</v>
      </c>
      <c r="O545" s="10" t="str">
        <f>HYPERLINK("https://pbs.twimg.com/profile_images/666232413823995904/mV0Q6td3_normal.png","View")</f>
        <v>View</v>
      </c>
      <c r="P545" s="11"/>
    </row>
    <row r="546" spans="1:16" ht="12.75" x14ac:dyDescent="0.35">
      <c r="A546" s="7">
        <v>42476.575162037036</v>
      </c>
      <c r="B546" s="8" t="str">
        <f>HYPERLINK("https://twitter.com/vielioertle","@vielioertle")</f>
        <v>@vielioertle</v>
      </c>
      <c r="C546" s="9" t="s">
        <v>1318</v>
      </c>
      <c r="D546" s="9" t="s">
        <v>1319</v>
      </c>
      <c r="E546" s="10" t="str">
        <f>HYPERLINK("https://twitter.com/vielioertle/status/721251342770139136","721251342770139136")</f>
        <v>721251342770139136</v>
      </c>
      <c r="F546" s="11" t="s">
        <v>31</v>
      </c>
      <c r="G546" s="11">
        <v>914</v>
      </c>
      <c r="H546" s="11">
        <v>1256</v>
      </c>
      <c r="I546" s="11">
        <v>3</v>
      </c>
      <c r="J546" s="11">
        <v>0</v>
      </c>
      <c r="K546" s="11" t="s">
        <v>21</v>
      </c>
      <c r="L546" s="7">
        <v>40562.090254629627</v>
      </c>
      <c r="M546" s="12"/>
      <c r="N546" s="12" t="s">
        <v>1320</v>
      </c>
      <c r="O546" s="10" t="str">
        <f>HYPERLINK("https://pbs.twimg.com/profile_images/661326923038093312/ZK89SxJW_normal.jpg","View")</f>
        <v>View</v>
      </c>
      <c r="P546" s="11"/>
    </row>
    <row r="547" spans="1:16" ht="12.75" x14ac:dyDescent="0.35">
      <c r="A547" s="7">
        <v>42476.577199074076</v>
      </c>
      <c r="B547" s="8" t="str">
        <f>HYPERLINK("https://twitter.com/INDIZbot","@INDIZbot")</f>
        <v>@INDIZbot</v>
      </c>
      <c r="C547" s="9" t="s">
        <v>61</v>
      </c>
      <c r="D547" s="9" t="s">
        <v>1319</v>
      </c>
      <c r="E547" s="10" t="str">
        <f>HYPERLINK("https://twitter.com/INDIZbot/status/721252078899884032","721252078899884032")</f>
        <v>721252078899884032</v>
      </c>
      <c r="F547" s="11" t="s">
        <v>62</v>
      </c>
      <c r="G547" s="11">
        <v>1762</v>
      </c>
      <c r="H547" s="11">
        <v>481</v>
      </c>
      <c r="I547" s="11">
        <v>3</v>
      </c>
      <c r="J547" s="11">
        <v>0</v>
      </c>
      <c r="K547" s="11" t="s">
        <v>21</v>
      </c>
      <c r="L547" s="7">
        <v>42267.011921296296</v>
      </c>
      <c r="M547" s="12"/>
      <c r="N547" s="12" t="s">
        <v>63</v>
      </c>
      <c r="O547" s="10" t="str">
        <f>HYPERLINK("https://pbs.twimg.com/profile_images/645716711723925506/t5G0qOS6_normal.jpg","View")</f>
        <v>View</v>
      </c>
      <c r="P547" s="11"/>
    </row>
    <row r="548" spans="1:16" ht="12.75" x14ac:dyDescent="0.35">
      <c r="A548" s="7">
        <v>42476.590289351851</v>
      </c>
      <c r="B548" s="8" t="str">
        <f>HYPERLINK("https://twitter.com/kommoptimierer","@kommoptimierer")</f>
        <v>@kommoptimierer</v>
      </c>
      <c r="C548" s="9" t="s">
        <v>270</v>
      </c>
      <c r="D548" s="9" t="s">
        <v>684</v>
      </c>
      <c r="E548" s="10" t="str">
        <f>HYPERLINK("https://twitter.com/kommoptimierer/status/721256824289292289","721256824289292289")</f>
        <v>721256824289292289</v>
      </c>
      <c r="F548" s="11" t="s">
        <v>272</v>
      </c>
      <c r="G548" s="11">
        <v>1347</v>
      </c>
      <c r="H548" s="11">
        <v>1753</v>
      </c>
      <c r="I548" s="11">
        <v>0</v>
      </c>
      <c r="J548" s="11">
        <v>0</v>
      </c>
      <c r="K548" s="11" t="s">
        <v>21</v>
      </c>
      <c r="L548" s="7">
        <v>39986.860358796301</v>
      </c>
      <c r="M548" s="12" t="s">
        <v>273</v>
      </c>
      <c r="N548" s="12" t="s">
        <v>274</v>
      </c>
      <c r="O548" s="10" t="str">
        <f>HYPERLINK("https://pbs.twimg.com/profile_images/541146126158536704/IYardufS_normal.jpeg","View")</f>
        <v>View</v>
      </c>
      <c r="P548" s="11"/>
    </row>
    <row r="549" spans="1:16" ht="12.75" x14ac:dyDescent="0.35">
      <c r="A549" s="7">
        <v>42476.604178240741</v>
      </c>
      <c r="B549" s="8" t="str">
        <f>HYPERLINK("https://twitter.com/Subauftrag","@Subauftrag")</f>
        <v>@Subauftrag</v>
      </c>
      <c r="C549" s="9" t="s">
        <v>1321</v>
      </c>
      <c r="D549" s="9" t="s">
        <v>1322</v>
      </c>
      <c r="E549" s="10" t="str">
        <f>HYPERLINK("https://twitter.com/Subauftrag/status/721261854044123136","721261854044123136")</f>
        <v>721261854044123136</v>
      </c>
      <c r="F549" s="11" t="s">
        <v>508</v>
      </c>
      <c r="G549" s="11">
        <v>176</v>
      </c>
      <c r="H549" s="11">
        <v>263</v>
      </c>
      <c r="I549" s="11">
        <v>1</v>
      </c>
      <c r="J549" s="11">
        <v>0</v>
      </c>
      <c r="K549" s="11" t="s">
        <v>21</v>
      </c>
      <c r="L549" s="7">
        <v>42094.51961805555</v>
      </c>
      <c r="M549" s="12" t="s">
        <v>1323</v>
      </c>
      <c r="N549" s="12" t="s">
        <v>1324</v>
      </c>
      <c r="O549" s="10" t="str">
        <f>HYPERLINK("https://pbs.twimg.com/profile_images/582801374833831937/3R6t0v4q_normal.jpg","View")</f>
        <v>View</v>
      </c>
      <c r="P549" s="11"/>
    </row>
    <row r="550" spans="1:16" ht="12.75" x14ac:dyDescent="0.35">
      <c r="A550" s="7">
        <v>42476.604618055557</v>
      </c>
      <c r="B550" s="8" t="str">
        <f>HYPERLINK("https://twitter.com/InternetofBiz","@InternetofBiz")</f>
        <v>@InternetofBiz</v>
      </c>
      <c r="C550" s="9" t="s">
        <v>1325</v>
      </c>
      <c r="D550" s="9" t="s">
        <v>1326</v>
      </c>
      <c r="E550" s="10" t="str">
        <f>HYPERLINK("https://twitter.com/InternetofBiz/status/721262016208453632","721262016208453632")</f>
        <v>721262016208453632</v>
      </c>
      <c r="F550" s="11" t="s">
        <v>39</v>
      </c>
      <c r="G550" s="11">
        <v>798</v>
      </c>
      <c r="H550" s="11">
        <v>697</v>
      </c>
      <c r="I550" s="11">
        <v>3</v>
      </c>
      <c r="J550" s="11">
        <v>8</v>
      </c>
      <c r="K550" s="11" t="s">
        <v>21</v>
      </c>
      <c r="L550" s="7">
        <v>41695.892175925925</v>
      </c>
      <c r="M550" s="12" t="s">
        <v>1294</v>
      </c>
      <c r="N550" s="12" t="s">
        <v>1327</v>
      </c>
      <c r="O550" s="10" t="str">
        <f>HYPERLINK("https://pbs.twimg.com/profile_images/673206992492736513/aYsJLftM_normal.png","View")</f>
        <v>View</v>
      </c>
      <c r="P550" s="11"/>
    </row>
    <row r="551" spans="1:16" ht="12.75" x14ac:dyDescent="0.35">
      <c r="A551" s="7">
        <v>42476.604976851857</v>
      </c>
      <c r="B551" s="8" t="str">
        <f>HYPERLINK("https://twitter.com/INDIZbot","@INDIZbot")</f>
        <v>@INDIZbot</v>
      </c>
      <c r="C551" s="9" t="s">
        <v>61</v>
      </c>
      <c r="D551" s="9" t="s">
        <v>1328</v>
      </c>
      <c r="E551" s="10" t="str">
        <f>HYPERLINK("https://twitter.com/INDIZbot/status/721262145015570432","721262145015570432")</f>
        <v>721262145015570432</v>
      </c>
      <c r="F551" s="11" t="s">
        <v>62</v>
      </c>
      <c r="G551" s="11">
        <v>1762</v>
      </c>
      <c r="H551" s="11">
        <v>481</v>
      </c>
      <c r="I551" s="11">
        <v>1</v>
      </c>
      <c r="J551" s="11">
        <v>0</v>
      </c>
      <c r="K551" s="11" t="s">
        <v>21</v>
      </c>
      <c r="L551" s="7">
        <v>42267.011921296296</v>
      </c>
      <c r="M551" s="12"/>
      <c r="N551" s="12" t="s">
        <v>63</v>
      </c>
      <c r="O551" s="10" t="str">
        <f>HYPERLINK("https://pbs.twimg.com/profile_images/645716711723925506/t5G0qOS6_normal.jpg","View")</f>
        <v>View</v>
      </c>
      <c r="P551" s="11"/>
    </row>
    <row r="552" spans="1:16" ht="12.75" x14ac:dyDescent="0.35">
      <c r="A552" s="7">
        <v>42476.611458333333</v>
      </c>
      <c r="B552" s="8" t="str">
        <f>HYPERLINK("https://twitter.com/IoTMinded","@IoTMinded")</f>
        <v>@IoTMinded</v>
      </c>
      <c r="C552" s="9" t="s">
        <v>435</v>
      </c>
      <c r="D552" s="9" t="s">
        <v>1329</v>
      </c>
      <c r="E552" s="10" t="str">
        <f>HYPERLINK("https://twitter.com/IoTMinded/status/721264492068343808","721264492068343808")</f>
        <v>721264492068343808</v>
      </c>
      <c r="F552" s="11" t="s">
        <v>437</v>
      </c>
      <c r="G552" s="11">
        <v>1102</v>
      </c>
      <c r="H552" s="11">
        <v>656</v>
      </c>
      <c r="I552" s="11">
        <v>3</v>
      </c>
      <c r="J552" s="11">
        <v>0</v>
      </c>
      <c r="K552" s="11" t="s">
        <v>21</v>
      </c>
      <c r="L552" s="7">
        <v>40085.127789351856</v>
      </c>
      <c r="M552" s="12"/>
      <c r="N552" s="12" t="s">
        <v>438</v>
      </c>
      <c r="O552" s="10" t="str">
        <f>HYPERLINK("https://pbs.twimg.com/profile_images/603699032804859904/lb5IMG5x_normal.jpg","View")</f>
        <v>View</v>
      </c>
      <c r="P552" s="11"/>
    </row>
    <row r="553" spans="1:16" ht="12.75" x14ac:dyDescent="0.35">
      <c r="A553" s="7">
        <v>42476.61546296296</v>
      </c>
      <c r="B553" s="8" t="str">
        <f>HYPERLINK("https://twitter.com/LeasingVerband","@LeasingVerband")</f>
        <v>@LeasingVerband</v>
      </c>
      <c r="C553" s="9" t="s">
        <v>1330</v>
      </c>
      <c r="D553" s="9" t="s">
        <v>1331</v>
      </c>
      <c r="E553" s="10" t="str">
        <f>HYPERLINK("https://twitter.com/LeasingVerband/status/721265945025650688","721265945025650688")</f>
        <v>721265945025650688</v>
      </c>
      <c r="F553" s="11" t="s">
        <v>25</v>
      </c>
      <c r="G553" s="11">
        <v>85</v>
      </c>
      <c r="H553" s="11">
        <v>188</v>
      </c>
      <c r="I553" s="11">
        <v>1</v>
      </c>
      <c r="J553" s="11">
        <v>3</v>
      </c>
      <c r="K553" s="11" t="s">
        <v>21</v>
      </c>
      <c r="L553" s="7">
        <v>42018.857268518521</v>
      </c>
      <c r="M553" s="12" t="s">
        <v>1332</v>
      </c>
      <c r="N553" s="12" t="s">
        <v>1333</v>
      </c>
      <c r="O553" s="10" t="str">
        <f>HYPERLINK("https://pbs.twimg.com/profile_images/657444681853198336/u2cJqzo7_normal.jpg","View")</f>
        <v>View</v>
      </c>
      <c r="P553" s="11"/>
    </row>
    <row r="554" spans="1:16" ht="12.75" x14ac:dyDescent="0.35">
      <c r="A554" s="7">
        <v>42476.620254629626</v>
      </c>
      <c r="B554" s="8" t="str">
        <f>HYPERLINK("https://twitter.com/MindCommerce","@MindCommerce")</f>
        <v>@MindCommerce</v>
      </c>
      <c r="C554" s="9" t="s">
        <v>1242</v>
      </c>
      <c r="D554" s="9" t="s">
        <v>1329</v>
      </c>
      <c r="E554" s="10" t="str">
        <f>HYPERLINK("https://twitter.com/MindCommerce/status/721267682406961153","721267682406961153")</f>
        <v>721267682406961153</v>
      </c>
      <c r="F554" s="11" t="s">
        <v>437</v>
      </c>
      <c r="G554" s="11">
        <v>1189</v>
      </c>
      <c r="H554" s="11">
        <v>427</v>
      </c>
      <c r="I554" s="11">
        <v>3</v>
      </c>
      <c r="J554" s="11">
        <v>0</v>
      </c>
      <c r="K554" s="11" t="s">
        <v>21</v>
      </c>
      <c r="L554" s="7">
        <v>40577.150787037041</v>
      </c>
      <c r="M554" s="12"/>
      <c r="N554" s="12" t="s">
        <v>1244</v>
      </c>
      <c r="O554" s="10" t="str">
        <f>HYPERLINK("https://pbs.twimg.com/profile_images/548030384030507008/utABqhj9_normal.png","View")</f>
        <v>View</v>
      </c>
      <c r="P554" s="11"/>
    </row>
    <row r="555" spans="1:16" ht="12.75" x14ac:dyDescent="0.35">
      <c r="A555" s="7">
        <v>42476.621203703704</v>
      </c>
      <c r="B555" s="8" t="str">
        <f>HYPERLINK("https://twitter.com/WinfriedFelser","@WinfriedFelser")</f>
        <v>@WinfriedFelser</v>
      </c>
      <c r="C555" s="9" t="s">
        <v>1334</v>
      </c>
      <c r="D555" s="9" t="s">
        <v>1335</v>
      </c>
      <c r="E555" s="10" t="str">
        <f>HYPERLINK("https://twitter.com/WinfriedFelser/status/721268025937301504","721268025937301504")</f>
        <v>721268025937301504</v>
      </c>
      <c r="F555" s="11" t="s">
        <v>25</v>
      </c>
      <c r="G555" s="11">
        <v>1138</v>
      </c>
      <c r="H555" s="11">
        <v>1206</v>
      </c>
      <c r="I555" s="11">
        <v>1</v>
      </c>
      <c r="J555" s="11">
        <v>2</v>
      </c>
      <c r="K555" s="11" t="s">
        <v>21</v>
      </c>
      <c r="L555" s="7">
        <v>40263.993356481486</v>
      </c>
      <c r="M555" s="12" t="s">
        <v>895</v>
      </c>
      <c r="N555" s="12" t="s">
        <v>1336</v>
      </c>
      <c r="O555" s="10" t="str">
        <f>HYPERLINK("https://pbs.twimg.com/profile_images/562193841587896321/nfd18Y4g_normal.jpeg","View")</f>
        <v>View</v>
      </c>
      <c r="P555" s="11"/>
    </row>
    <row r="556" spans="1:16" ht="12.75" x14ac:dyDescent="0.35">
      <c r="A556" s="7">
        <v>42476.62501157407</v>
      </c>
      <c r="B556" s="8" t="str">
        <f>HYPERLINK("https://twitter.com/TheDavidCairns","@TheDavidCairns")</f>
        <v>@TheDavidCairns</v>
      </c>
      <c r="C556" s="9" t="s">
        <v>1337</v>
      </c>
      <c r="D556" s="9" t="s">
        <v>1338</v>
      </c>
      <c r="E556" s="10" t="str">
        <f>HYPERLINK("https://twitter.com/TheDavidCairns/status/721269406437871617","721269406437871617")</f>
        <v>721269406437871617</v>
      </c>
      <c r="F556" s="11" t="s">
        <v>1339</v>
      </c>
      <c r="G556" s="11">
        <v>94</v>
      </c>
      <c r="H556" s="11">
        <v>33</v>
      </c>
      <c r="I556" s="11">
        <v>12</v>
      </c>
      <c r="J556" s="11">
        <v>0</v>
      </c>
      <c r="K556" s="11" t="s">
        <v>21</v>
      </c>
      <c r="L556" s="7">
        <v>40310.608900462961</v>
      </c>
      <c r="M556" s="12" t="s">
        <v>1340</v>
      </c>
      <c r="N556" s="12" t="s">
        <v>1341</v>
      </c>
      <c r="O556" s="10" t="str">
        <f>HYPERLINK("https://pbs.twimg.com/profile_images/500306918762496002/qi9wHBbp_normal.jpeg","View")</f>
        <v>View</v>
      </c>
      <c r="P556" s="11"/>
    </row>
    <row r="557" spans="1:16" ht="12.75" x14ac:dyDescent="0.35">
      <c r="A557" s="7">
        <v>42476.626215277778</v>
      </c>
      <c r="B557" s="8" t="str">
        <f>HYPERLINK("https://twitter.com/IV_JHG","@IV_JHG")</f>
        <v>@IV_JHG</v>
      </c>
      <c r="C557" s="9" t="s">
        <v>1342</v>
      </c>
      <c r="D557" s="9" t="s">
        <v>1343</v>
      </c>
      <c r="E557" s="10" t="str">
        <f>HYPERLINK("https://twitter.com/IV_JHG/status/721269841240395776","721269841240395776")</f>
        <v>721269841240395776</v>
      </c>
      <c r="F557" s="11" t="s">
        <v>31</v>
      </c>
      <c r="G557" s="11">
        <v>174</v>
      </c>
      <c r="H557" s="11">
        <v>106</v>
      </c>
      <c r="I557" s="11">
        <v>2</v>
      </c>
      <c r="J557" s="11">
        <v>2</v>
      </c>
      <c r="K557" s="11" t="s">
        <v>21</v>
      </c>
      <c r="L557" s="7">
        <v>40989.047962962963</v>
      </c>
      <c r="M557" s="12" t="s">
        <v>1344</v>
      </c>
      <c r="N557" s="12" t="s">
        <v>1345</v>
      </c>
      <c r="O557" s="10" t="str">
        <f>HYPERLINK("https://pbs.twimg.com/profile_images/432881440683196416/TyWZhEV0_normal.jpeg","View")</f>
        <v>View</v>
      </c>
      <c r="P557" s="11"/>
    </row>
    <row r="558" spans="1:16" ht="12.75" x14ac:dyDescent="0.35">
      <c r="A558" s="7">
        <v>42476.631527777776</v>
      </c>
      <c r="B558" s="8" t="str">
        <f>HYPERLINK("https://twitter.com/Eloy_Herrero","@Eloy_Herrero")</f>
        <v>@Eloy_Herrero</v>
      </c>
      <c r="C558" s="9" t="s">
        <v>1346</v>
      </c>
      <c r="D558" s="9" t="s">
        <v>1115</v>
      </c>
      <c r="E558" s="10" t="str">
        <f>HYPERLINK("https://twitter.com/Eloy_Herrero/status/721271766073655296","721271766073655296")</f>
        <v>721271766073655296</v>
      </c>
      <c r="F558" s="11" t="s">
        <v>31</v>
      </c>
      <c r="G558" s="11">
        <v>528</v>
      </c>
      <c r="H558" s="11">
        <v>600</v>
      </c>
      <c r="I558" s="11">
        <v>14</v>
      </c>
      <c r="J558" s="11">
        <v>0</v>
      </c>
      <c r="K558" s="11" t="s">
        <v>21</v>
      </c>
      <c r="L558" s="7">
        <v>40833.966562499998</v>
      </c>
      <c r="M558" s="12" t="s">
        <v>1347</v>
      </c>
      <c r="N558" s="12" t="s">
        <v>1348</v>
      </c>
      <c r="O558" s="10" t="str">
        <f>HYPERLINK("https://pbs.twimg.com/profile_images/705178939954745344/RYlYwOfN_normal.jpg","View")</f>
        <v>View</v>
      </c>
      <c r="P558" s="11"/>
    </row>
    <row r="559" spans="1:16" ht="12.75" x14ac:dyDescent="0.35">
      <c r="A559" s="7">
        <v>42476.633414351847</v>
      </c>
      <c r="B559" s="8" t="str">
        <f>HYPERLINK("https://twitter.com/INDIZbot","@INDIZbot")</f>
        <v>@INDIZbot</v>
      </c>
      <c r="C559" s="9" t="s">
        <v>61</v>
      </c>
      <c r="D559" s="9" t="s">
        <v>1349</v>
      </c>
      <c r="E559" s="10" t="str">
        <f>HYPERLINK("https://twitter.com/INDIZbot/status/721272451355787264","721272451355787264")</f>
        <v>721272451355787264</v>
      </c>
      <c r="F559" s="11" t="s">
        <v>62</v>
      </c>
      <c r="G559" s="11">
        <v>1762</v>
      </c>
      <c r="H559" s="11">
        <v>481</v>
      </c>
      <c r="I559" s="11">
        <v>2</v>
      </c>
      <c r="J559" s="11">
        <v>0</v>
      </c>
      <c r="K559" s="11" t="s">
        <v>21</v>
      </c>
      <c r="L559" s="7">
        <v>42267.011921296296</v>
      </c>
      <c r="M559" s="12"/>
      <c r="N559" s="12" t="s">
        <v>63</v>
      </c>
      <c r="O559" s="10" t="str">
        <f>HYPERLINK("https://pbs.twimg.com/profile_images/645716711723925506/t5G0qOS6_normal.jpg","View")</f>
        <v>View</v>
      </c>
      <c r="P559" s="11"/>
    </row>
    <row r="560" spans="1:16" ht="12.75" x14ac:dyDescent="0.35">
      <c r="A560" s="7">
        <v>42476.642511574071</v>
      </c>
      <c r="B560" s="8" t="str">
        <f>HYPERLINK("https://twitter.com/CapgeminiDE","@CapgeminiDE")</f>
        <v>@CapgeminiDE</v>
      </c>
      <c r="C560" s="9" t="s">
        <v>280</v>
      </c>
      <c r="D560" s="9" t="s">
        <v>1350</v>
      </c>
      <c r="E560" s="10" t="str">
        <f>HYPERLINK("https://twitter.com/CapgeminiDE/status/721275745960652800","721275745960652800")</f>
        <v>721275745960652800</v>
      </c>
      <c r="F560" s="11" t="s">
        <v>39</v>
      </c>
      <c r="G560" s="11">
        <v>1640</v>
      </c>
      <c r="H560" s="11">
        <v>509</v>
      </c>
      <c r="I560" s="11">
        <v>0</v>
      </c>
      <c r="J560" s="11">
        <v>0</v>
      </c>
      <c r="K560" s="11" t="s">
        <v>21</v>
      </c>
      <c r="L560" s="7">
        <v>40424.022048611107</v>
      </c>
      <c r="M560" s="12" t="s">
        <v>218</v>
      </c>
      <c r="N560" s="12" t="s">
        <v>282</v>
      </c>
      <c r="O560" s="10" t="str">
        <f>HYPERLINK("https://pbs.twimg.com/profile_images/666911961599315968/aP7ID_qm_normal.png","View")</f>
        <v>View</v>
      </c>
      <c r="P560" s="11"/>
    </row>
    <row r="561" spans="1:16" ht="12.75" x14ac:dyDescent="0.35">
      <c r="A561" s="7">
        <v>42476.647303240738</v>
      </c>
      <c r="B561" s="8" t="str">
        <f>HYPERLINK("https://twitter.com/EconTypes","@EconTypes")</f>
        <v>@EconTypes</v>
      </c>
      <c r="C561" s="9" t="s">
        <v>1351</v>
      </c>
      <c r="D561" s="9" t="s">
        <v>1115</v>
      </c>
      <c r="E561" s="10" t="str">
        <f>HYPERLINK("https://twitter.com/EconTypes/status/721277483098636288","721277483098636288")</f>
        <v>721277483098636288</v>
      </c>
      <c r="F561" s="11" t="s">
        <v>1352</v>
      </c>
      <c r="G561" s="11">
        <v>41</v>
      </c>
      <c r="H561" s="11">
        <v>22</v>
      </c>
      <c r="I561" s="11">
        <v>14</v>
      </c>
      <c r="J561" s="11">
        <v>0</v>
      </c>
      <c r="K561" s="11" t="s">
        <v>21</v>
      </c>
      <c r="L561" s="7">
        <v>42449.982071759259</v>
      </c>
      <c r="M561" s="12" t="s">
        <v>537</v>
      </c>
      <c r="N561" s="12" t="s">
        <v>1353</v>
      </c>
      <c r="O561" s="10" t="str">
        <f>HYPERLINK("https://pbs.twimg.com/profile_images/711615435905441793/OmwlvWZY_normal.jpg","View")</f>
        <v>View</v>
      </c>
      <c r="P561" s="11"/>
    </row>
    <row r="562" spans="1:16" ht="12.75" x14ac:dyDescent="0.35">
      <c r="A562" s="7">
        <v>42476.650011574078</v>
      </c>
      <c r="B562" s="8" t="str">
        <f>HYPERLINK("https://twitter.com/skills_austria","@skills_austria")</f>
        <v>@skills_austria</v>
      </c>
      <c r="C562" s="9" t="s">
        <v>1354</v>
      </c>
      <c r="D562" s="9" t="s">
        <v>1349</v>
      </c>
      <c r="E562" s="10" t="str">
        <f>HYPERLINK("https://twitter.com/skills_austria/status/721278465765425152","721278465765425152")</f>
        <v>721278465765425152</v>
      </c>
      <c r="F562" s="11" t="s">
        <v>31</v>
      </c>
      <c r="G562" s="11">
        <v>82</v>
      </c>
      <c r="H562" s="11">
        <v>611</v>
      </c>
      <c r="I562" s="11">
        <v>2</v>
      </c>
      <c r="J562" s="11">
        <v>0</v>
      </c>
      <c r="K562" s="11" t="s">
        <v>21</v>
      </c>
      <c r="L562" s="7">
        <v>42440.803761574076</v>
      </c>
      <c r="M562" s="12" t="s">
        <v>406</v>
      </c>
      <c r="N562" s="12" t="s">
        <v>1355</v>
      </c>
      <c r="O562" s="10" t="str">
        <f>HYPERLINK("https://pbs.twimg.com/profile_images/708290247164108800/1Uu1Nj4Y_normal.jpg","View")</f>
        <v>View</v>
      </c>
      <c r="P562" s="11"/>
    </row>
    <row r="563" spans="1:16" ht="12.75" x14ac:dyDescent="0.35">
      <c r="A563" s="7">
        <v>42476.653101851851</v>
      </c>
      <c r="B563" s="8" t="str">
        <f>HYPERLINK("https://twitter.com/JulienGre38","@JulienGre38")</f>
        <v>@JulienGre38</v>
      </c>
      <c r="C563" s="9" t="s">
        <v>730</v>
      </c>
      <c r="D563" s="9" t="s">
        <v>924</v>
      </c>
      <c r="E563" s="10" t="str">
        <f>HYPERLINK("https://twitter.com/JulienGre38/status/721279585556553728","721279585556553728")</f>
        <v>721279585556553728</v>
      </c>
      <c r="F563" s="11" t="s">
        <v>84</v>
      </c>
      <c r="G563" s="11">
        <v>413</v>
      </c>
      <c r="H563" s="11">
        <v>840</v>
      </c>
      <c r="I563" s="11">
        <v>10</v>
      </c>
      <c r="J563" s="11">
        <v>0</v>
      </c>
      <c r="K563" s="11" t="s">
        <v>21</v>
      </c>
      <c r="L563" s="7">
        <v>42139.971631944441</v>
      </c>
      <c r="M563" s="12" t="s">
        <v>88</v>
      </c>
      <c r="N563" s="12" t="s">
        <v>731</v>
      </c>
      <c r="O563" s="10" t="str">
        <f>HYPERLINK("https://pbs.twimg.com/profile_images/618126359622221824/GH4y7y_J_normal.jpg","View")</f>
        <v>View</v>
      </c>
      <c r="P563" s="11"/>
    </row>
    <row r="564" spans="1:16" ht="12.75" x14ac:dyDescent="0.35">
      <c r="A564" s="7">
        <v>42476.654189814813</v>
      </c>
      <c r="B564" s="8" t="str">
        <f>HYPERLINK("https://twitter.com/QuickFindsIn","@QuickFindsIn")</f>
        <v>@QuickFindsIn</v>
      </c>
      <c r="C564" s="9" t="s">
        <v>208</v>
      </c>
      <c r="D564" s="9" t="s">
        <v>710</v>
      </c>
      <c r="E564" s="10" t="str">
        <f>HYPERLINK("https://twitter.com/QuickFindsIn/status/721279978067734529","721279978067734529")</f>
        <v>721279978067734529</v>
      </c>
      <c r="F564" s="11" t="s">
        <v>210</v>
      </c>
      <c r="G564" s="11">
        <v>1895</v>
      </c>
      <c r="H564" s="11">
        <v>2758</v>
      </c>
      <c r="I564" s="11">
        <v>0</v>
      </c>
      <c r="J564" s="11">
        <v>1</v>
      </c>
      <c r="K564" s="11" t="s">
        <v>21</v>
      </c>
      <c r="L564" s="7">
        <v>42069.582048611112</v>
      </c>
      <c r="M564" s="12" t="s">
        <v>211</v>
      </c>
      <c r="N564" s="12" t="s">
        <v>212</v>
      </c>
      <c r="O564" s="10" t="str">
        <f>HYPERLINK("https://pbs.twimg.com/profile_images/591951396217327616/HbcCX2zX_normal.png","View")</f>
        <v>View</v>
      </c>
      <c r="P564" s="11"/>
    </row>
    <row r="565" spans="1:16" ht="12.75" x14ac:dyDescent="0.35">
      <c r="A565" s="7">
        <v>42476.66978009259</v>
      </c>
      <c r="B565" s="8" t="str">
        <f>HYPERLINK("https://twitter.com/josebaghdad","@josebaghdad")</f>
        <v>@josebaghdad</v>
      </c>
      <c r="C565" s="9" t="s">
        <v>744</v>
      </c>
      <c r="D565" s="9" t="s">
        <v>1000</v>
      </c>
      <c r="E565" s="10" t="str">
        <f>HYPERLINK("https://twitter.com/josebaghdad/status/721285630291013633","721285630291013633")</f>
        <v>721285630291013633</v>
      </c>
      <c r="F565" s="11" t="s">
        <v>84</v>
      </c>
      <c r="G565" s="11">
        <v>361</v>
      </c>
      <c r="H565" s="11">
        <v>426</v>
      </c>
      <c r="I565" s="11">
        <v>10</v>
      </c>
      <c r="J565" s="11">
        <v>0</v>
      </c>
      <c r="K565" s="11" t="s">
        <v>21</v>
      </c>
      <c r="L565" s="7">
        <v>40832.823379629626</v>
      </c>
      <c r="M565" s="12" t="s">
        <v>243</v>
      </c>
      <c r="N565" s="12" t="s">
        <v>745</v>
      </c>
      <c r="O565" s="10" t="str">
        <f>HYPERLINK("https://pbs.twimg.com/profile_images/697158646841610240/jndBu0u2_normal.jpg","View")</f>
        <v>View</v>
      </c>
      <c r="P565" s="11"/>
    </row>
    <row r="566" spans="1:16" ht="12.75" x14ac:dyDescent="0.35">
      <c r="A566" s="7">
        <v>42476.669895833329</v>
      </c>
      <c r="B566" s="8" t="str">
        <f>HYPERLINK("https://twitter.com/JETZT_PRde","@JETZT_PRde")</f>
        <v>@JETZT_PRde</v>
      </c>
      <c r="C566" s="9" t="s">
        <v>1356</v>
      </c>
      <c r="D566" s="9" t="s">
        <v>1357</v>
      </c>
      <c r="E566" s="10" t="str">
        <f>HYPERLINK("https://twitter.com/JETZT_PRde/status/721285670929567744","721285670929567744")</f>
        <v>721285670929567744</v>
      </c>
      <c r="F566" s="11" t="s">
        <v>25</v>
      </c>
      <c r="G566" s="11">
        <v>1677</v>
      </c>
      <c r="H566" s="11">
        <v>748</v>
      </c>
      <c r="I566" s="11">
        <v>2</v>
      </c>
      <c r="J566" s="11">
        <v>1</v>
      </c>
      <c r="K566" s="11" t="s">
        <v>21</v>
      </c>
      <c r="L566" s="7">
        <v>40682.604201388887</v>
      </c>
      <c r="M566" s="12" t="s">
        <v>581</v>
      </c>
      <c r="N566" s="12" t="s">
        <v>1358</v>
      </c>
      <c r="O566" s="10" t="str">
        <f>HYPERLINK("https://pbs.twimg.com/profile_images/593011135428882432/BGMPkrwp_normal.jpg","View")</f>
        <v>View</v>
      </c>
      <c r="P566" s="11"/>
    </row>
    <row r="567" spans="1:16" ht="12.75" x14ac:dyDescent="0.35">
      <c r="A567" s="7">
        <v>42476.682291666672</v>
      </c>
      <c r="B567" s="8" t="str">
        <f>HYPERLINK("https://twitter.com/INDIZbot","@INDIZbot")</f>
        <v>@INDIZbot</v>
      </c>
      <c r="C567" s="9" t="s">
        <v>61</v>
      </c>
      <c r="D567" s="9" t="s">
        <v>1359</v>
      </c>
      <c r="E567" s="10" t="str">
        <f>HYPERLINK("https://twitter.com/INDIZbot/status/721290165294100480","721290165294100480")</f>
        <v>721290165294100480</v>
      </c>
      <c r="F567" s="11" t="s">
        <v>62</v>
      </c>
      <c r="G567" s="11">
        <v>1762</v>
      </c>
      <c r="H567" s="11">
        <v>481</v>
      </c>
      <c r="I567" s="11">
        <v>2</v>
      </c>
      <c r="J567" s="11">
        <v>0</v>
      </c>
      <c r="K567" s="11" t="s">
        <v>21</v>
      </c>
      <c r="L567" s="7">
        <v>42267.011921296296</v>
      </c>
      <c r="M567" s="12"/>
      <c r="N567" s="12" t="s">
        <v>63</v>
      </c>
      <c r="O567" s="10" t="str">
        <f>HYPERLINK("https://pbs.twimg.com/profile_images/645716711723925506/t5G0qOS6_normal.jpg","View")</f>
        <v>View</v>
      </c>
      <c r="P567" s="11"/>
    </row>
    <row r="568" spans="1:16" ht="12.75" x14ac:dyDescent="0.35">
      <c r="A568" s="7">
        <v>42476.687523148154</v>
      </c>
      <c r="B568" s="8" t="str">
        <f>HYPERLINK("https://twitter.com/QuickFindsIn","@QuickFindsIn")</f>
        <v>@QuickFindsIn</v>
      </c>
      <c r="C568" s="9" t="s">
        <v>208</v>
      </c>
      <c r="D568" s="9" t="s">
        <v>452</v>
      </c>
      <c r="E568" s="10" t="str">
        <f>HYPERLINK("https://twitter.com/QuickFindsIn/status/721292060683153408","721292060683153408")</f>
        <v>721292060683153408</v>
      </c>
      <c r="F568" s="11" t="s">
        <v>210</v>
      </c>
      <c r="G568" s="11">
        <v>1895</v>
      </c>
      <c r="H568" s="11">
        <v>2758</v>
      </c>
      <c r="I568" s="11">
        <v>0</v>
      </c>
      <c r="J568" s="11">
        <v>0</v>
      </c>
      <c r="K568" s="11" t="s">
        <v>21</v>
      </c>
      <c r="L568" s="7">
        <v>42069.582048611112</v>
      </c>
      <c r="M568" s="12" t="s">
        <v>211</v>
      </c>
      <c r="N568" s="12" t="s">
        <v>212</v>
      </c>
      <c r="O568" s="10" t="str">
        <f>HYPERLINK("https://pbs.twimg.com/profile_images/591951396217327616/HbcCX2zX_normal.png","View")</f>
        <v>View</v>
      </c>
      <c r="P568" s="11"/>
    </row>
    <row r="569" spans="1:16" ht="12.75" x14ac:dyDescent="0.35">
      <c r="A569" s="7">
        <v>42476.736273148148</v>
      </c>
      <c r="B569" s="8" t="str">
        <f>HYPERLINK("https://twitter.com/M_van_Dalen","@M_van_Dalen")</f>
        <v>@M_van_Dalen</v>
      </c>
      <c r="C569" s="9" t="s">
        <v>1360</v>
      </c>
      <c r="D569" s="9" t="s">
        <v>1115</v>
      </c>
      <c r="E569" s="10" t="str">
        <f>HYPERLINK("https://twitter.com/M_van_Dalen/status/721309725539876864","721309725539876864")</f>
        <v>721309725539876864</v>
      </c>
      <c r="F569" s="11" t="s">
        <v>31</v>
      </c>
      <c r="G569" s="11">
        <v>69</v>
      </c>
      <c r="H569" s="11">
        <v>50</v>
      </c>
      <c r="I569" s="11">
        <v>14</v>
      </c>
      <c r="J569" s="11">
        <v>0</v>
      </c>
      <c r="K569" s="11" t="s">
        <v>21</v>
      </c>
      <c r="L569" s="7">
        <v>40609.079606481479</v>
      </c>
      <c r="M569" s="12" t="s">
        <v>1361</v>
      </c>
      <c r="N569" s="12" t="s">
        <v>1362</v>
      </c>
      <c r="O569" s="10" t="str">
        <f>HYPERLINK("https://pbs.twimg.com/profile_images/2310782535/image_normal.jpg","View")</f>
        <v>View</v>
      </c>
      <c r="P569" s="11"/>
    </row>
    <row r="570" spans="1:16" ht="12.75" x14ac:dyDescent="0.35">
      <c r="A570" s="7">
        <v>42476.763229166667</v>
      </c>
      <c r="B570" s="8" t="str">
        <f>HYPERLINK("https://twitter.com/CompTIA_DACH","@CompTIA_DACH")</f>
        <v>@CompTIA_DACH</v>
      </c>
      <c r="C570" s="9" t="s">
        <v>1363</v>
      </c>
      <c r="D570" s="9" t="s">
        <v>230</v>
      </c>
      <c r="E570" s="10" t="str">
        <f>HYPERLINK("https://twitter.com/CompTIA_DACH/status/721319495739039744","721319495739039744")</f>
        <v>721319495739039744</v>
      </c>
      <c r="F570" s="11" t="s">
        <v>59</v>
      </c>
      <c r="G570" s="11">
        <v>54</v>
      </c>
      <c r="H570" s="11">
        <v>119</v>
      </c>
      <c r="I570" s="11">
        <v>15</v>
      </c>
      <c r="J570" s="11">
        <v>0</v>
      </c>
      <c r="K570" s="11" t="s">
        <v>21</v>
      </c>
      <c r="L570" s="7">
        <v>42250.560532407406</v>
      </c>
      <c r="M570" s="12"/>
      <c r="N570" s="12" t="s">
        <v>1364</v>
      </c>
      <c r="O570" s="10" t="str">
        <f>HYPERLINK("https://pbs.twimg.com/profile_images/704719602014679040/mJ2zg355_normal.jpg","View")</f>
        <v>View</v>
      </c>
      <c r="P570" s="11"/>
    </row>
    <row r="571" spans="1:16" ht="12.75" x14ac:dyDescent="0.35">
      <c r="A571" s="7">
        <v>42476.770902777775</v>
      </c>
      <c r="B571" s="8" t="str">
        <f>HYPERLINK("https://twitter.com/verlinked","@verlinked")</f>
        <v>@verlinked</v>
      </c>
      <c r="C571" s="9" t="s">
        <v>263</v>
      </c>
      <c r="D571" s="9" t="s">
        <v>1365</v>
      </c>
      <c r="E571" s="10" t="str">
        <f>HYPERLINK("https://twitter.com/verlinked/status/721322275304124418","721322275304124418")</f>
        <v>721322275304124418</v>
      </c>
      <c r="F571" s="11" t="s">
        <v>115</v>
      </c>
      <c r="G571" s="11">
        <v>600</v>
      </c>
      <c r="H571" s="11">
        <v>1201</v>
      </c>
      <c r="I571" s="11">
        <v>4</v>
      </c>
      <c r="J571" s="11">
        <v>2</v>
      </c>
      <c r="K571" s="11" t="s">
        <v>21</v>
      </c>
      <c r="L571" s="7">
        <v>41463.077627314815</v>
      </c>
      <c r="M571" s="12" t="s">
        <v>265</v>
      </c>
      <c r="N571" s="12" t="s">
        <v>266</v>
      </c>
      <c r="O571" s="10" t="str">
        <f>HYPERLINK("https://pbs.twimg.com/profile_images/722385992343285760/ww8YLZ2q_normal.jpg","View")</f>
        <v>View</v>
      </c>
      <c r="P571" s="11"/>
    </row>
    <row r="572" spans="1:16" ht="12.75" x14ac:dyDescent="0.35">
      <c r="A572" s="7">
        <v>42476.77857638889</v>
      </c>
      <c r="B572" s="8" t="str">
        <f>HYPERLINK("https://twitter.com/INDIZbot","@INDIZbot")</f>
        <v>@INDIZbot</v>
      </c>
      <c r="C572" s="9" t="s">
        <v>61</v>
      </c>
      <c r="D572" s="9" t="s">
        <v>1366</v>
      </c>
      <c r="E572" s="10" t="str">
        <f>HYPERLINK("https://twitter.com/INDIZbot/status/721325057239347200","721325057239347200")</f>
        <v>721325057239347200</v>
      </c>
      <c r="F572" s="11" t="s">
        <v>62</v>
      </c>
      <c r="G572" s="11">
        <v>1762</v>
      </c>
      <c r="H572" s="11">
        <v>481</v>
      </c>
      <c r="I572" s="11">
        <v>4</v>
      </c>
      <c r="J572" s="11">
        <v>0</v>
      </c>
      <c r="K572" s="11" t="s">
        <v>21</v>
      </c>
      <c r="L572" s="7">
        <v>42267.011921296296</v>
      </c>
      <c r="M572" s="12"/>
      <c r="N572" s="12" t="s">
        <v>63</v>
      </c>
      <c r="O572" s="10" t="str">
        <f>HYPERLINK("https://pbs.twimg.com/profile_images/645716711723925506/t5G0qOS6_normal.jpg","View")</f>
        <v>View</v>
      </c>
      <c r="P572" s="11"/>
    </row>
    <row r="573" spans="1:16" ht="12.75" x14ac:dyDescent="0.35">
      <c r="A573" s="7">
        <v>42476.780729166669</v>
      </c>
      <c r="B573" s="8" t="str">
        <f>HYPERLINK("https://twitter.com/FuturICT","@FuturICT")</f>
        <v>@FuturICT</v>
      </c>
      <c r="C573" s="9" t="s">
        <v>1367</v>
      </c>
      <c r="D573" s="9" t="s">
        <v>1368</v>
      </c>
      <c r="E573" s="10" t="str">
        <f>HYPERLINK("https://twitter.com/FuturICT/status/721325836276731904","721325836276731904")</f>
        <v>721325836276731904</v>
      </c>
      <c r="F573" s="11" t="s">
        <v>25</v>
      </c>
      <c r="G573" s="11">
        <v>2765</v>
      </c>
      <c r="H573" s="11">
        <v>2106</v>
      </c>
      <c r="I573" s="11">
        <v>3</v>
      </c>
      <c r="J573" s="11">
        <v>2</v>
      </c>
      <c r="K573" s="11" t="s">
        <v>21</v>
      </c>
      <c r="L573" s="7">
        <v>40386.879594907405</v>
      </c>
      <c r="M573" s="12" t="s">
        <v>385</v>
      </c>
      <c r="N573" s="12" t="s">
        <v>1369</v>
      </c>
      <c r="O573" s="10" t="str">
        <f>HYPERLINK("https://pbs.twimg.com/profile_images/593417639764041729/w8rJJRQd_normal.jpg","View")</f>
        <v>View</v>
      </c>
      <c r="P573" s="11"/>
    </row>
    <row r="574" spans="1:16" ht="12.75" x14ac:dyDescent="0.35">
      <c r="A574" s="7">
        <v>42476.785902777774</v>
      </c>
      <c r="B574" s="8" t="str">
        <f>HYPERLINK("https://twitter.com/INDIZbot","@INDIZbot")</f>
        <v>@INDIZbot</v>
      </c>
      <c r="C574" s="9" t="s">
        <v>61</v>
      </c>
      <c r="D574" s="9" t="s">
        <v>1370</v>
      </c>
      <c r="E574" s="10" t="str">
        <f>HYPERLINK("https://twitter.com/INDIZbot/status/721327710312742913","721327710312742913")</f>
        <v>721327710312742913</v>
      </c>
      <c r="F574" s="11" t="s">
        <v>62</v>
      </c>
      <c r="G574" s="11">
        <v>1762</v>
      </c>
      <c r="H574" s="11">
        <v>481</v>
      </c>
      <c r="I574" s="11">
        <v>3</v>
      </c>
      <c r="J574" s="11">
        <v>0</v>
      </c>
      <c r="K574" s="11" t="s">
        <v>21</v>
      </c>
      <c r="L574" s="7">
        <v>42267.011921296296</v>
      </c>
      <c r="M574" s="12"/>
      <c r="N574" s="12" t="s">
        <v>63</v>
      </c>
      <c r="O574" s="10" t="str">
        <f>HYPERLINK("https://pbs.twimg.com/profile_images/645716711723925506/t5G0qOS6_normal.jpg","View")</f>
        <v>View</v>
      </c>
      <c r="P574" s="11"/>
    </row>
    <row r="575" spans="1:16" ht="12.75" x14ac:dyDescent="0.35">
      <c r="A575" s="7">
        <v>42476.796898148154</v>
      </c>
      <c r="B575" s="8" t="str">
        <f>HYPERLINK("https://twitter.com/GSonnengott","@GSonnengott")</f>
        <v>@GSonnengott</v>
      </c>
      <c r="C575" s="9" t="s">
        <v>1371</v>
      </c>
      <c r="D575" s="9" t="s">
        <v>1372</v>
      </c>
      <c r="E575" s="10" t="str">
        <f>HYPERLINK("https://twitter.com/GSonnengott/status/721331697158090752","721331697158090752")</f>
        <v>721331697158090752</v>
      </c>
      <c r="F575" s="11" t="s">
        <v>20</v>
      </c>
      <c r="G575" s="11">
        <v>722</v>
      </c>
      <c r="H575" s="11">
        <v>210</v>
      </c>
      <c r="I575" s="11">
        <v>2</v>
      </c>
      <c r="J575" s="11">
        <v>1</v>
      </c>
      <c r="K575" s="11" t="s">
        <v>21</v>
      </c>
      <c r="L575" s="7">
        <v>41344.02952546296</v>
      </c>
      <c r="M575" s="12" t="s">
        <v>218</v>
      </c>
      <c r="N575" s="12" t="s">
        <v>1373</v>
      </c>
      <c r="O575" s="10" t="str">
        <f>HYPERLINK("https://pbs.twimg.com/profile_images/599585844563959808/bYyhHArl_normal.jpg","View")</f>
        <v>View</v>
      </c>
      <c r="P575" s="11"/>
    </row>
    <row r="576" spans="1:16" ht="12.75" x14ac:dyDescent="0.35">
      <c r="A576" s="7">
        <v>42476.814155092594</v>
      </c>
      <c r="B576" s="8" t="str">
        <f>HYPERLINK("https://twitter.com/INDIZbot","@INDIZbot")</f>
        <v>@INDIZbot</v>
      </c>
      <c r="C576" s="9" t="s">
        <v>61</v>
      </c>
      <c r="D576" s="9" t="s">
        <v>1374</v>
      </c>
      <c r="E576" s="10" t="str">
        <f>HYPERLINK("https://twitter.com/INDIZbot/status/721337948793368576","721337948793368576")</f>
        <v>721337948793368576</v>
      </c>
      <c r="F576" s="11" t="s">
        <v>62</v>
      </c>
      <c r="G576" s="11">
        <v>1762</v>
      </c>
      <c r="H576" s="11">
        <v>481</v>
      </c>
      <c r="I576" s="11">
        <v>2</v>
      </c>
      <c r="J576" s="11">
        <v>0</v>
      </c>
      <c r="K576" s="11" t="s">
        <v>21</v>
      </c>
      <c r="L576" s="7">
        <v>42267.011921296296</v>
      </c>
      <c r="M576" s="12"/>
      <c r="N576" s="12" t="s">
        <v>63</v>
      </c>
      <c r="O576" s="10" t="str">
        <f>HYPERLINK("https://pbs.twimg.com/profile_images/645716711723925506/t5G0qOS6_normal.jpg","View")</f>
        <v>View</v>
      </c>
      <c r="P576" s="11"/>
    </row>
    <row r="577" spans="1:16" ht="12.75" x14ac:dyDescent="0.35">
      <c r="A577" s="7">
        <v>42476.816863425927</v>
      </c>
      <c r="B577" s="8" t="str">
        <f>HYPERLINK("https://twitter.com/catkinEU","@catkinEU")</f>
        <v>@catkinEU</v>
      </c>
      <c r="C577" s="9" t="s">
        <v>781</v>
      </c>
      <c r="D577" s="9" t="s">
        <v>1375</v>
      </c>
      <c r="E577" s="10" t="str">
        <f>HYPERLINK("https://twitter.com/catkinEU/status/721338928494702592","721338928494702592")</f>
        <v>721338928494702592</v>
      </c>
      <c r="F577" s="11" t="s">
        <v>29</v>
      </c>
      <c r="G577" s="11">
        <v>403</v>
      </c>
      <c r="H577" s="11">
        <v>541</v>
      </c>
      <c r="I577" s="11">
        <v>1</v>
      </c>
      <c r="J577" s="11">
        <v>0</v>
      </c>
      <c r="K577" s="11" t="s">
        <v>21</v>
      </c>
      <c r="L577" s="7">
        <v>42153.955763888887</v>
      </c>
      <c r="M577" s="12"/>
      <c r="N577" s="12" t="s">
        <v>782</v>
      </c>
      <c r="O577" s="10" t="str">
        <f>HYPERLINK("https://pbs.twimg.com/profile_images/604338428227010560/6jzSa8us_normal.png","View")</f>
        <v>View</v>
      </c>
      <c r="P577" s="11"/>
    </row>
    <row r="578" spans="1:16" ht="12.75" x14ac:dyDescent="0.35">
      <c r="A578" s="7">
        <v>42476.824143518519</v>
      </c>
      <c r="B578" s="8" t="str">
        <f>HYPERLINK("https://twitter.com/Nicolas__Maury","@Nicolas__Maury")</f>
        <v>@Nicolas__Maury</v>
      </c>
      <c r="C578" s="9" t="s">
        <v>1376</v>
      </c>
      <c r="D578" s="9" t="s">
        <v>924</v>
      </c>
      <c r="E578" s="10" t="str">
        <f>HYPERLINK("https://twitter.com/Nicolas__Maury/status/721341568683286528","721341568683286528")</f>
        <v>721341568683286528</v>
      </c>
      <c r="F578" s="11" t="s">
        <v>84</v>
      </c>
      <c r="G578" s="11">
        <v>37</v>
      </c>
      <c r="H578" s="11">
        <v>55</v>
      </c>
      <c r="I578" s="11">
        <v>10</v>
      </c>
      <c r="J578" s="11">
        <v>0</v>
      </c>
      <c r="K578" s="11" t="s">
        <v>21</v>
      </c>
      <c r="L578" s="7">
        <v>42084.224525462967</v>
      </c>
      <c r="M578" s="12" t="s">
        <v>243</v>
      </c>
      <c r="N578" s="12" t="s">
        <v>1377</v>
      </c>
      <c r="O578" s="10" t="str">
        <f>HYPERLINK("https://pbs.twimg.com/profile_images/579069422062686209/ZOtLRysD_normal.jpeg","View")</f>
        <v>View</v>
      </c>
      <c r="P578" s="11"/>
    </row>
    <row r="579" spans="1:16" ht="12.75" x14ac:dyDescent="0.35">
      <c r="A579" s="7">
        <v>42476.833506944444</v>
      </c>
      <c r="B579" s="8" t="str">
        <f t="shared" ref="B579:B584" si="58">HYPERLINK("https://twitter.com/Tiba_Schweiz","@Tiba_Schweiz")</f>
        <v>@Tiba_Schweiz</v>
      </c>
      <c r="C579" s="9" t="s">
        <v>1378</v>
      </c>
      <c r="D579" s="9" t="s">
        <v>1374</v>
      </c>
      <c r="E579" s="10" t="str">
        <f>HYPERLINK("https://twitter.com/Tiba_Schweiz/status/721344963016044545","721344963016044545")</f>
        <v>721344963016044545</v>
      </c>
      <c r="F579" s="11" t="s">
        <v>39</v>
      </c>
      <c r="G579" s="11">
        <v>68</v>
      </c>
      <c r="H579" s="11">
        <v>82</v>
      </c>
      <c r="I579" s="11">
        <v>2</v>
      </c>
      <c r="J579" s="11">
        <v>0</v>
      </c>
      <c r="K579" s="11" t="s">
        <v>21</v>
      </c>
      <c r="L579" s="7">
        <v>42432.471689814818</v>
      </c>
      <c r="M579" s="12" t="s">
        <v>1379</v>
      </c>
      <c r="N579" s="12" t="s">
        <v>1380</v>
      </c>
      <c r="O579" s="10" t="str">
        <f t="shared" ref="O579:O584" si="59">HYPERLINK("https://pbs.twimg.com/profile_images/705270537073852416/CZoAp0su_normal.jpg","View")</f>
        <v>View</v>
      </c>
      <c r="P579" s="11"/>
    </row>
    <row r="580" spans="1:16" ht="12.75" x14ac:dyDescent="0.35">
      <c r="A580" s="7">
        <v>42476.836759259255</v>
      </c>
      <c r="B580" s="8" t="str">
        <f t="shared" si="58"/>
        <v>@Tiba_Schweiz</v>
      </c>
      <c r="C580" s="9" t="s">
        <v>1378</v>
      </c>
      <c r="D580" s="9" t="s">
        <v>1366</v>
      </c>
      <c r="E580" s="10" t="str">
        <f>HYPERLINK("https://twitter.com/Tiba_Schweiz/status/721346138658467840","721346138658467840")</f>
        <v>721346138658467840</v>
      </c>
      <c r="F580" s="11" t="s">
        <v>39</v>
      </c>
      <c r="G580" s="11">
        <v>68</v>
      </c>
      <c r="H580" s="11">
        <v>82</v>
      </c>
      <c r="I580" s="11">
        <v>4</v>
      </c>
      <c r="J580" s="11">
        <v>0</v>
      </c>
      <c r="K580" s="11" t="s">
        <v>21</v>
      </c>
      <c r="L580" s="7">
        <v>42432.471689814818</v>
      </c>
      <c r="M580" s="12" t="s">
        <v>1379</v>
      </c>
      <c r="N580" s="12" t="s">
        <v>1380</v>
      </c>
      <c r="O580" s="10" t="str">
        <f t="shared" si="59"/>
        <v>View</v>
      </c>
      <c r="P580" s="11"/>
    </row>
    <row r="581" spans="1:16" ht="12.75" x14ac:dyDescent="0.35">
      <c r="A581" s="7">
        <v>42476.836886574078</v>
      </c>
      <c r="B581" s="8" t="str">
        <f t="shared" si="58"/>
        <v>@Tiba_Schweiz</v>
      </c>
      <c r="C581" s="9" t="s">
        <v>1378</v>
      </c>
      <c r="D581" s="9" t="s">
        <v>1359</v>
      </c>
      <c r="E581" s="10" t="str">
        <f>HYPERLINK("https://twitter.com/Tiba_Schweiz/status/721346187190792192","721346187190792192")</f>
        <v>721346187190792192</v>
      </c>
      <c r="F581" s="11" t="s">
        <v>39</v>
      </c>
      <c r="G581" s="11">
        <v>68</v>
      </c>
      <c r="H581" s="11">
        <v>82</v>
      </c>
      <c r="I581" s="11">
        <v>2</v>
      </c>
      <c r="J581" s="11">
        <v>0</v>
      </c>
      <c r="K581" s="11" t="s">
        <v>21</v>
      </c>
      <c r="L581" s="7">
        <v>42432.471689814818</v>
      </c>
      <c r="M581" s="12" t="s">
        <v>1379</v>
      </c>
      <c r="N581" s="12" t="s">
        <v>1380</v>
      </c>
      <c r="O581" s="10" t="str">
        <f t="shared" si="59"/>
        <v>View</v>
      </c>
      <c r="P581" s="11"/>
    </row>
    <row r="582" spans="1:16" ht="12.75" x14ac:dyDescent="0.35">
      <c r="A582" s="7">
        <v>42476.837268518517</v>
      </c>
      <c r="B582" s="8" t="str">
        <f t="shared" si="58"/>
        <v>@Tiba_Schweiz</v>
      </c>
      <c r="C582" s="9" t="s">
        <v>1378</v>
      </c>
      <c r="D582" s="9" t="s">
        <v>1329</v>
      </c>
      <c r="E582" s="10" t="str">
        <f>HYPERLINK("https://twitter.com/Tiba_Schweiz/status/721346326332641280","721346326332641280")</f>
        <v>721346326332641280</v>
      </c>
      <c r="F582" s="11" t="s">
        <v>39</v>
      </c>
      <c r="G582" s="11">
        <v>68</v>
      </c>
      <c r="H582" s="11">
        <v>82</v>
      </c>
      <c r="I582" s="11">
        <v>3</v>
      </c>
      <c r="J582" s="11">
        <v>0</v>
      </c>
      <c r="K582" s="11" t="s">
        <v>21</v>
      </c>
      <c r="L582" s="7">
        <v>42432.471689814818</v>
      </c>
      <c r="M582" s="12" t="s">
        <v>1379</v>
      </c>
      <c r="N582" s="12" t="s">
        <v>1380</v>
      </c>
      <c r="O582" s="10" t="str">
        <f t="shared" si="59"/>
        <v>View</v>
      </c>
      <c r="P582" s="11"/>
    </row>
    <row r="583" spans="1:16" ht="12.75" x14ac:dyDescent="0.35">
      <c r="A583" s="7">
        <v>42476.837361111116</v>
      </c>
      <c r="B583" s="8" t="str">
        <f t="shared" si="58"/>
        <v>@Tiba_Schweiz</v>
      </c>
      <c r="C583" s="9" t="s">
        <v>1378</v>
      </c>
      <c r="D583" s="9" t="s">
        <v>1319</v>
      </c>
      <c r="E583" s="10" t="str">
        <f>HYPERLINK("https://twitter.com/Tiba_Schweiz/status/721346359819898880","721346359819898880")</f>
        <v>721346359819898880</v>
      </c>
      <c r="F583" s="11" t="s">
        <v>39</v>
      </c>
      <c r="G583" s="11">
        <v>68</v>
      </c>
      <c r="H583" s="11">
        <v>82</v>
      </c>
      <c r="I583" s="11">
        <v>3</v>
      </c>
      <c r="J583" s="11">
        <v>0</v>
      </c>
      <c r="K583" s="11" t="s">
        <v>21</v>
      </c>
      <c r="L583" s="7">
        <v>42432.471689814818</v>
      </c>
      <c r="M583" s="12" t="s">
        <v>1379</v>
      </c>
      <c r="N583" s="12" t="s">
        <v>1380</v>
      </c>
      <c r="O583" s="10" t="str">
        <f t="shared" si="59"/>
        <v>View</v>
      </c>
      <c r="P583" s="11"/>
    </row>
    <row r="584" spans="1:16" ht="12.75" x14ac:dyDescent="0.35">
      <c r="A584" s="7">
        <v>42476.837488425925</v>
      </c>
      <c r="B584" s="8" t="str">
        <f t="shared" si="58"/>
        <v>@Tiba_Schweiz</v>
      </c>
      <c r="C584" s="9" t="s">
        <v>1378</v>
      </c>
      <c r="D584" s="9" t="s">
        <v>1311</v>
      </c>
      <c r="E584" s="10" t="str">
        <f>HYPERLINK("https://twitter.com/Tiba_Schweiz/status/721346402702508032","721346402702508032")</f>
        <v>721346402702508032</v>
      </c>
      <c r="F584" s="11" t="s">
        <v>39</v>
      </c>
      <c r="G584" s="11">
        <v>68</v>
      </c>
      <c r="H584" s="11">
        <v>82</v>
      </c>
      <c r="I584" s="11">
        <v>3</v>
      </c>
      <c r="J584" s="11">
        <v>0</v>
      </c>
      <c r="K584" s="11" t="s">
        <v>21</v>
      </c>
      <c r="L584" s="7">
        <v>42432.471689814818</v>
      </c>
      <c r="M584" s="12" t="s">
        <v>1379</v>
      </c>
      <c r="N584" s="12" t="s">
        <v>1380</v>
      </c>
      <c r="O584" s="10" t="str">
        <f t="shared" si="59"/>
        <v>View</v>
      </c>
      <c r="P584" s="11"/>
    </row>
    <row r="585" spans="1:16" ht="12.75" x14ac:dyDescent="0.35">
      <c r="A585" s="7">
        <v>42476.854062500002</v>
      </c>
      <c r="B585" s="8" t="str">
        <f t="shared" ref="B585:B586" si="60">HYPERLINK("https://twitter.com/SALIM__S","@SALIM__S")</f>
        <v>@SALIM__S</v>
      </c>
      <c r="C585" s="9" t="s">
        <v>780</v>
      </c>
      <c r="D585" s="9" t="s">
        <v>1000</v>
      </c>
      <c r="E585" s="10" t="str">
        <f>HYPERLINK("https://twitter.com/SALIM__S/status/721352411617562629","721352411617562629")</f>
        <v>721352411617562629</v>
      </c>
      <c r="F585" s="11" t="s">
        <v>84</v>
      </c>
      <c r="G585" s="11">
        <v>113</v>
      </c>
      <c r="H585" s="11">
        <v>1526</v>
      </c>
      <c r="I585" s="11">
        <v>10</v>
      </c>
      <c r="J585" s="11">
        <v>0</v>
      </c>
      <c r="K585" s="11" t="s">
        <v>21</v>
      </c>
      <c r="L585" s="7">
        <v>41163.095694444448</v>
      </c>
      <c r="M585" s="12" t="s">
        <v>243</v>
      </c>
      <c r="N585" s="12"/>
      <c r="O585" s="10" t="str">
        <f t="shared" ref="O585:O586" si="61">HYPERLINK("https://pbs.twimg.com/profile_images/707651451284287488/OJug5o2o_normal.jpg","View")</f>
        <v>View</v>
      </c>
      <c r="P585" s="11"/>
    </row>
    <row r="586" spans="1:16" ht="12.75" x14ac:dyDescent="0.35">
      <c r="A586" s="7">
        <v>42476.854178240741</v>
      </c>
      <c r="B586" s="8" t="str">
        <f t="shared" si="60"/>
        <v>@SALIM__S</v>
      </c>
      <c r="C586" s="9" t="s">
        <v>780</v>
      </c>
      <c r="D586" s="9" t="s">
        <v>924</v>
      </c>
      <c r="E586" s="10" t="str">
        <f>HYPERLINK("https://twitter.com/SALIM__S/status/721352453459951616","721352453459951616")</f>
        <v>721352453459951616</v>
      </c>
      <c r="F586" s="11" t="s">
        <v>84</v>
      </c>
      <c r="G586" s="11">
        <v>113</v>
      </c>
      <c r="H586" s="11">
        <v>1526</v>
      </c>
      <c r="I586" s="11">
        <v>10</v>
      </c>
      <c r="J586" s="11">
        <v>0</v>
      </c>
      <c r="K586" s="11" t="s">
        <v>21</v>
      </c>
      <c r="L586" s="7">
        <v>41163.095694444448</v>
      </c>
      <c r="M586" s="12" t="s">
        <v>243</v>
      </c>
      <c r="N586" s="12"/>
      <c r="O586" s="10" t="str">
        <f t="shared" si="61"/>
        <v>View</v>
      </c>
      <c r="P586" s="11"/>
    </row>
    <row r="587" spans="1:16" ht="12.75" x14ac:dyDescent="0.35">
      <c r="A587" s="7">
        <v>42476.868298611109</v>
      </c>
      <c r="B587" s="8" t="str">
        <f>HYPERLINK("https://twitter.com/openHPI","@openHPI")</f>
        <v>@openHPI</v>
      </c>
      <c r="C587" s="9" t="s">
        <v>1381</v>
      </c>
      <c r="D587" s="9" t="s">
        <v>1382</v>
      </c>
      <c r="E587" s="10" t="str">
        <f>HYPERLINK("https://twitter.com/openHPI/status/721357569525170176","721357569525170176")</f>
        <v>721357569525170176</v>
      </c>
      <c r="F587" s="11" t="s">
        <v>39</v>
      </c>
      <c r="G587" s="11">
        <v>1568</v>
      </c>
      <c r="H587" s="11">
        <v>57</v>
      </c>
      <c r="I587" s="11">
        <v>5</v>
      </c>
      <c r="J587" s="11">
        <v>3</v>
      </c>
      <c r="K587" s="11" t="s">
        <v>21</v>
      </c>
      <c r="L587" s="7">
        <v>41191.624803240738</v>
      </c>
      <c r="M587" s="12" t="s">
        <v>1383</v>
      </c>
      <c r="N587" s="12" t="s">
        <v>1384</v>
      </c>
      <c r="O587" s="10" t="str">
        <f>HYPERLINK("https://pbs.twimg.com/profile_images/378800000827898552/669f90369b095789252ae6f0649bc39a_normal.png","View")</f>
        <v>View</v>
      </c>
      <c r="P587" s="11"/>
    </row>
    <row r="588" spans="1:16" ht="12.75" x14ac:dyDescent="0.35">
      <c r="A588" s="7">
        <v>42476.868877314817</v>
      </c>
      <c r="B588" s="8" t="str">
        <f>HYPERLINK("https://twitter.com/INDIZbot","@INDIZbot")</f>
        <v>@INDIZbot</v>
      </c>
      <c r="C588" s="9" t="s">
        <v>61</v>
      </c>
      <c r="D588" s="9" t="s">
        <v>1385</v>
      </c>
      <c r="E588" s="10" t="str">
        <f>HYPERLINK("https://twitter.com/INDIZbot/status/721357779315855361","721357779315855361")</f>
        <v>721357779315855361</v>
      </c>
      <c r="F588" s="11" t="s">
        <v>62</v>
      </c>
      <c r="G588" s="11">
        <v>1762</v>
      </c>
      <c r="H588" s="11">
        <v>481</v>
      </c>
      <c r="I588" s="11">
        <v>5</v>
      </c>
      <c r="J588" s="11">
        <v>0</v>
      </c>
      <c r="K588" s="11" t="s">
        <v>21</v>
      </c>
      <c r="L588" s="7">
        <v>42267.011921296296</v>
      </c>
      <c r="M588" s="12"/>
      <c r="N588" s="12" t="s">
        <v>63</v>
      </c>
      <c r="O588" s="10" t="str">
        <f>HYPERLINK("https://pbs.twimg.com/profile_images/645716711723925506/t5G0qOS6_normal.jpg","View")</f>
        <v>View</v>
      </c>
      <c r="P588" s="11"/>
    </row>
    <row r="589" spans="1:16" ht="12.75" x14ac:dyDescent="0.35">
      <c r="A589" s="7">
        <v>42476.876562500001</v>
      </c>
      <c r="B589" s="8" t="str">
        <f>HYPERLINK("https://twitter.com/BIGJTHEO","@BIGJTHEO")</f>
        <v>@BIGJTHEO</v>
      </c>
      <c r="C589" s="9" t="s">
        <v>1386</v>
      </c>
      <c r="D589" s="9" t="s">
        <v>1051</v>
      </c>
      <c r="E589" s="10" t="str">
        <f>HYPERLINK("https://twitter.com/BIGJTHEO/status/721360566120542209","721360566120542209")</f>
        <v>721360566120542209</v>
      </c>
      <c r="F589" s="11" t="s">
        <v>31</v>
      </c>
      <c r="G589" s="11">
        <v>19</v>
      </c>
      <c r="H589" s="11">
        <v>35</v>
      </c>
      <c r="I589" s="11">
        <v>4</v>
      </c>
      <c r="J589" s="11">
        <v>0</v>
      </c>
      <c r="K589" s="11" t="s">
        <v>21</v>
      </c>
      <c r="L589" s="7">
        <v>42416.789502314816</v>
      </c>
      <c r="M589" s="12"/>
      <c r="N589" s="12"/>
      <c r="O589" s="10" t="str">
        <f>HYPERLINK("https://pbs.twimg.com/profile_images/699587498058588160/bU3XuBo9_normal.jpg","View")</f>
        <v>View</v>
      </c>
      <c r="P589" s="11"/>
    </row>
    <row r="590" spans="1:16" ht="12.75" x14ac:dyDescent="0.35">
      <c r="A590" s="7">
        <v>42476.925219907411</v>
      </c>
      <c r="B590" s="8" t="str">
        <f>HYPERLINK("https://twitter.com/bamitav","@bamitav")</f>
        <v>@bamitav</v>
      </c>
      <c r="C590" s="9" t="s">
        <v>341</v>
      </c>
      <c r="D590" s="9" t="s">
        <v>1387</v>
      </c>
      <c r="E590" s="10" t="str">
        <f>HYPERLINK("https://twitter.com/bamitav/status/721378198315859968","721378198315859968")</f>
        <v>721378198315859968</v>
      </c>
      <c r="F590" s="11" t="s">
        <v>20</v>
      </c>
      <c r="G590" s="11">
        <v>7341</v>
      </c>
      <c r="H590" s="11">
        <v>6333</v>
      </c>
      <c r="I590" s="11">
        <v>1</v>
      </c>
      <c r="J590" s="11">
        <v>1</v>
      </c>
      <c r="K590" s="11" t="s">
        <v>21</v>
      </c>
      <c r="L590" s="7">
        <v>40138.933622685188</v>
      </c>
      <c r="M590" s="12" t="s">
        <v>343</v>
      </c>
      <c r="N590" s="12" t="s">
        <v>344</v>
      </c>
      <c r="O590" s="10" t="str">
        <f>HYPERLINK("https://pbs.twimg.com/profile_images/672794348442877952/m6Is-Nrc_normal.jpg","View")</f>
        <v>View</v>
      </c>
      <c r="P590" s="11"/>
    </row>
    <row r="591" spans="1:16" ht="12.75" x14ac:dyDescent="0.35">
      <c r="A591" s="7">
        <v>42476.926134259258</v>
      </c>
      <c r="B591" s="8" t="str">
        <f>HYPERLINK("https://twitter.com/iotsecurity2","@iotsecurity2")</f>
        <v>@iotsecurity2</v>
      </c>
      <c r="C591" s="9" t="s">
        <v>149</v>
      </c>
      <c r="D591" s="9" t="s">
        <v>1388</v>
      </c>
      <c r="E591" s="10" t="str">
        <f>HYPERLINK("https://twitter.com/iotsecurity2/status/721378528881717248","721378528881717248")</f>
        <v>721378528881717248</v>
      </c>
      <c r="F591" s="11" t="s">
        <v>150</v>
      </c>
      <c r="G591" s="11">
        <v>1277</v>
      </c>
      <c r="H591" s="11">
        <v>38</v>
      </c>
      <c r="I591" s="11">
        <v>1</v>
      </c>
      <c r="J591" s="11">
        <v>0</v>
      </c>
      <c r="K591" s="11" t="s">
        <v>21</v>
      </c>
      <c r="L591" s="7">
        <v>42420.891481481478</v>
      </c>
      <c r="M591" s="12"/>
      <c r="N591" s="12"/>
      <c r="O591" s="10" t="str">
        <f>HYPERLINK("https://abs.twimg.com/sticky/default_profile_images/default_profile_3_normal.png","View")</f>
        <v>View</v>
      </c>
      <c r="P591" s="11"/>
    </row>
    <row r="592" spans="1:16" ht="12.75" x14ac:dyDescent="0.35">
      <c r="A592" s="7">
        <v>42476.952557870369</v>
      </c>
      <c r="B592" s="8" t="str">
        <f>HYPERLINK("https://twitter.com/tobias_goers","@tobias_goers")</f>
        <v>@tobias_goers</v>
      </c>
      <c r="C592" s="9" t="s">
        <v>1020</v>
      </c>
      <c r="D592" s="9" t="s">
        <v>1389</v>
      </c>
      <c r="E592" s="10" t="str">
        <f>HYPERLINK("https://twitter.com/tobias_goers/status/721388102632239104","721388102632239104")</f>
        <v>721388102632239104</v>
      </c>
      <c r="F592" s="11" t="s">
        <v>31</v>
      </c>
      <c r="G592" s="11">
        <v>649</v>
      </c>
      <c r="H592" s="11">
        <v>1310</v>
      </c>
      <c r="I592" s="11">
        <v>0</v>
      </c>
      <c r="J592" s="11">
        <v>0</v>
      </c>
      <c r="K592" s="11" t="s">
        <v>21</v>
      </c>
      <c r="L592" s="7">
        <v>42195.589988425927</v>
      </c>
      <c r="M592" s="12" t="s">
        <v>549</v>
      </c>
      <c r="N592" s="12" t="s">
        <v>1022</v>
      </c>
      <c r="O592" s="10" t="str">
        <f>HYPERLINK("https://pbs.twimg.com/profile_images/619429467434434560/ywWYiH5V_normal.jpg","View")</f>
        <v>View</v>
      </c>
      <c r="P592" s="11"/>
    </row>
    <row r="593" spans="1:16" ht="12.75" x14ac:dyDescent="0.35">
      <c r="A593" s="7">
        <v>42476.962523148148</v>
      </c>
      <c r="B593" s="8" t="str">
        <f>HYPERLINK("https://twitter.com/QuickFindsIn","@QuickFindsIn")</f>
        <v>@QuickFindsIn</v>
      </c>
      <c r="C593" s="9" t="s">
        <v>208</v>
      </c>
      <c r="D593" s="9" t="s">
        <v>733</v>
      </c>
      <c r="E593" s="10" t="str">
        <f>HYPERLINK("https://twitter.com/QuickFindsIn/status/721391713957183488","721391713957183488")</f>
        <v>721391713957183488</v>
      </c>
      <c r="F593" s="11" t="s">
        <v>210</v>
      </c>
      <c r="G593" s="11">
        <v>1895</v>
      </c>
      <c r="H593" s="11">
        <v>2758</v>
      </c>
      <c r="I593" s="11">
        <v>0</v>
      </c>
      <c r="J593" s="11">
        <v>0</v>
      </c>
      <c r="K593" s="11" t="s">
        <v>21</v>
      </c>
      <c r="L593" s="7">
        <v>42069.582048611112</v>
      </c>
      <c r="M593" s="12" t="s">
        <v>211</v>
      </c>
      <c r="N593" s="12" t="s">
        <v>212</v>
      </c>
      <c r="O593" s="10" t="str">
        <f>HYPERLINK("https://pbs.twimg.com/profile_images/591951396217327616/HbcCX2zX_normal.png","View")</f>
        <v>View</v>
      </c>
      <c r="P593" s="11"/>
    </row>
    <row r="594" spans="1:16" ht="12.75" x14ac:dyDescent="0.35">
      <c r="A594" s="7">
        <v>42476.972268518519</v>
      </c>
      <c r="B594" s="8" t="str">
        <f>HYPERLINK("https://twitter.com/hydrogeniousTEC","@hydrogeniousTEC")</f>
        <v>@hydrogeniousTEC</v>
      </c>
      <c r="C594" s="9" t="s">
        <v>1390</v>
      </c>
      <c r="D594" s="9" t="s">
        <v>1391</v>
      </c>
      <c r="E594" s="10" t="str">
        <f>HYPERLINK("https://twitter.com/hydrogeniousTEC/status/721395246085599233","721395246085599233")</f>
        <v>721395246085599233</v>
      </c>
      <c r="F594" s="11" t="s">
        <v>20</v>
      </c>
      <c r="G594" s="11">
        <v>185</v>
      </c>
      <c r="H594" s="11">
        <v>191</v>
      </c>
      <c r="I594" s="11">
        <v>1</v>
      </c>
      <c r="J594" s="11">
        <v>0</v>
      </c>
      <c r="K594" s="11" t="s">
        <v>21</v>
      </c>
      <c r="L594" s="7">
        <v>42285.006307870368</v>
      </c>
      <c r="M594" s="12" t="s">
        <v>1392</v>
      </c>
      <c r="N594" s="12" t="s">
        <v>1393</v>
      </c>
      <c r="O594" s="10" t="str">
        <f>HYPERLINK("https://pbs.twimg.com/profile_images/652277358229979136/ZjpUNUgc_normal.png","View")</f>
        <v>View</v>
      </c>
      <c r="P594" s="11"/>
    </row>
    <row r="595" spans="1:16" ht="12.75" x14ac:dyDescent="0.35">
      <c r="A595" s="7">
        <v>42476.980266203704</v>
      </c>
      <c r="B595" s="8" t="str">
        <f>HYPERLINK("https://twitter.com/INDIZbot","@INDIZbot")</f>
        <v>@INDIZbot</v>
      </c>
      <c r="C595" s="9" t="s">
        <v>61</v>
      </c>
      <c r="D595" s="9" t="s">
        <v>1394</v>
      </c>
      <c r="E595" s="10" t="str">
        <f>HYPERLINK("https://twitter.com/INDIZbot/status/721398144219684868","721398144219684868")</f>
        <v>721398144219684868</v>
      </c>
      <c r="F595" s="11" t="s">
        <v>62</v>
      </c>
      <c r="G595" s="11">
        <v>1762</v>
      </c>
      <c r="H595" s="11">
        <v>481</v>
      </c>
      <c r="I595" s="11">
        <v>1</v>
      </c>
      <c r="J595" s="11">
        <v>0</v>
      </c>
      <c r="K595" s="11" t="s">
        <v>21</v>
      </c>
      <c r="L595" s="7">
        <v>42267.011921296296</v>
      </c>
      <c r="M595" s="12"/>
      <c r="N595" s="12" t="s">
        <v>63</v>
      </c>
      <c r="O595" s="10" t="str">
        <f>HYPERLINK("https://pbs.twimg.com/profile_images/645716711723925506/t5G0qOS6_normal.jpg","View")</f>
        <v>View</v>
      </c>
      <c r="P595" s="11"/>
    </row>
    <row r="596" spans="1:16" ht="12.75" x14ac:dyDescent="0.35">
      <c r="A596" s="7">
        <v>42476.990497685183</v>
      </c>
      <c r="B596" s="8" t="str">
        <f>HYPERLINK("https://twitter.com/Dr_RobertFreund","@Dr_RobertFreund")</f>
        <v>@Dr_RobertFreund</v>
      </c>
      <c r="C596" s="9" t="s">
        <v>1209</v>
      </c>
      <c r="D596" s="9" t="s">
        <v>1370</v>
      </c>
      <c r="E596" s="10" t="str">
        <f>HYPERLINK("https://twitter.com/Dr_RobertFreund/status/721401852013711360","721401852013711360")</f>
        <v>721401852013711360</v>
      </c>
      <c r="F596" s="11" t="s">
        <v>25</v>
      </c>
      <c r="G596" s="11">
        <v>440</v>
      </c>
      <c r="H596" s="11">
        <v>1003</v>
      </c>
      <c r="I596" s="11">
        <v>3</v>
      </c>
      <c r="J596" s="11">
        <v>0</v>
      </c>
      <c r="K596" s="11" t="s">
        <v>21</v>
      </c>
      <c r="L596" s="7">
        <v>41933.632627314815</v>
      </c>
      <c r="M596" s="12"/>
      <c r="N596" s="12" t="s">
        <v>1211</v>
      </c>
      <c r="O596" s="10" t="str">
        <f>HYPERLINK("https://pbs.twimg.com/profile_images/524497009311354882/cGr5KIAg_normal.jpeg","View")</f>
        <v>View</v>
      </c>
      <c r="P596" s="11"/>
    </row>
    <row r="597" spans="1:16" ht="12.75" x14ac:dyDescent="0.35">
      <c r="A597" s="7">
        <v>42476.992962962962</v>
      </c>
      <c r="B597" s="8" t="str">
        <f>HYPERLINK("https://twitter.com/AnnaWypior","@AnnaWypior")</f>
        <v>@AnnaWypior</v>
      </c>
      <c r="C597" s="9" t="s">
        <v>1395</v>
      </c>
      <c r="D597" s="9" t="s">
        <v>1385</v>
      </c>
      <c r="E597" s="10" t="str">
        <f>HYPERLINK("https://twitter.com/AnnaWypior/status/721402747912892416","721402747912892416")</f>
        <v>721402747912892416</v>
      </c>
      <c r="F597" s="11" t="s">
        <v>31</v>
      </c>
      <c r="G597" s="11">
        <v>215</v>
      </c>
      <c r="H597" s="11">
        <v>329</v>
      </c>
      <c r="I597" s="11">
        <v>5</v>
      </c>
      <c r="J597" s="11">
        <v>0</v>
      </c>
      <c r="K597" s="11" t="s">
        <v>21</v>
      </c>
      <c r="L597" s="7">
        <v>42274.81621527778</v>
      </c>
      <c r="M597" s="12" t="s">
        <v>1396</v>
      </c>
      <c r="N597" s="12" t="s">
        <v>1397</v>
      </c>
      <c r="O597" s="10" t="str">
        <f>HYPERLINK("https://pbs.twimg.com/profile_images/648137141999017989/QfJy2m6F_normal.png","View")</f>
        <v>View</v>
      </c>
      <c r="P597" s="11"/>
    </row>
    <row r="598" spans="1:16" ht="12.75" x14ac:dyDescent="0.35">
      <c r="A598" s="7">
        <v>42476.995497685188</v>
      </c>
      <c r="B598" s="8" t="str">
        <f>HYPERLINK("https://twitter.com/changetokaizen","@changetokaizen")</f>
        <v>@changetokaizen</v>
      </c>
      <c r="C598" s="9" t="s">
        <v>1398</v>
      </c>
      <c r="D598" s="9" t="s">
        <v>1399</v>
      </c>
      <c r="E598" s="10" t="str">
        <f>HYPERLINK("https://twitter.com/changetokaizen/status/721403665840517121","721403665840517121")</f>
        <v>721403665840517121</v>
      </c>
      <c r="F598" s="11" t="s">
        <v>39</v>
      </c>
      <c r="G598" s="11">
        <v>152</v>
      </c>
      <c r="H598" s="11">
        <v>33</v>
      </c>
      <c r="I598" s="11">
        <v>3</v>
      </c>
      <c r="J598" s="11">
        <v>0</v>
      </c>
      <c r="K598" s="11" t="s">
        <v>21</v>
      </c>
      <c r="L598" s="7">
        <v>41104.815393518518</v>
      </c>
      <c r="M598" s="12" t="s">
        <v>121</v>
      </c>
      <c r="N598" s="12" t="s">
        <v>1400</v>
      </c>
      <c r="O598" s="10" t="str">
        <f>HYPERLINK("https://pbs.twimg.com/profile_images/463005839918247936/Ui2bf9cw_normal.jpeg","View")</f>
        <v>View</v>
      </c>
      <c r="P598" s="11"/>
    </row>
    <row r="599" spans="1:16" ht="12.75" x14ac:dyDescent="0.35">
      <c r="A599" s="7">
        <v>42476.995590277773</v>
      </c>
      <c r="B599" s="8" t="str">
        <f>HYPERLINK("https://twitter.com/EmrahEker_","@EmrahEker_")</f>
        <v>@EmrahEker_</v>
      </c>
      <c r="C599" s="9" t="s">
        <v>1401</v>
      </c>
      <c r="D599" s="9" t="s">
        <v>1385</v>
      </c>
      <c r="E599" s="10" t="str">
        <f>HYPERLINK("https://twitter.com/EmrahEker_/status/721403700363792384","721403700363792384")</f>
        <v>721403700363792384</v>
      </c>
      <c r="F599" s="11" t="s">
        <v>20</v>
      </c>
      <c r="G599" s="11">
        <v>201</v>
      </c>
      <c r="H599" s="11">
        <v>731</v>
      </c>
      <c r="I599" s="11">
        <v>5</v>
      </c>
      <c r="J599" s="11">
        <v>0</v>
      </c>
      <c r="K599" s="11" t="s">
        <v>21</v>
      </c>
      <c r="L599" s="7">
        <v>41634.283865740741</v>
      </c>
      <c r="M599" s="12" t="s">
        <v>1402</v>
      </c>
      <c r="N599" s="12" t="s">
        <v>1403</v>
      </c>
      <c r="O599" s="10" t="str">
        <f>HYPERLINK("https://pbs.twimg.com/profile_images/427727716406673408/d6pNhVM6_normal.jpeg","View")</f>
        <v>View</v>
      </c>
      <c r="P599" s="11"/>
    </row>
    <row r="600" spans="1:16" ht="12.75" x14ac:dyDescent="0.35">
      <c r="A600" s="7">
        <v>42476.99596064815</v>
      </c>
      <c r="B600" s="8" t="str">
        <f>HYPERLINK("https://twitter.com/LeanKnowledge","@LeanKnowledge")</f>
        <v>@LeanKnowledge</v>
      </c>
      <c r="C600" s="9" t="s">
        <v>699</v>
      </c>
      <c r="D600" s="9" t="s">
        <v>1404</v>
      </c>
      <c r="E600" s="10" t="str">
        <f>HYPERLINK("https://twitter.com/LeanKnowledge/status/721403834669641728","721403834669641728")</f>
        <v>721403834669641728</v>
      </c>
      <c r="F600" s="11" t="s">
        <v>39</v>
      </c>
      <c r="G600" s="11">
        <v>89</v>
      </c>
      <c r="H600" s="11">
        <v>36</v>
      </c>
      <c r="I600" s="11">
        <v>3</v>
      </c>
      <c r="J600" s="11">
        <v>0</v>
      </c>
      <c r="K600" s="11" t="s">
        <v>21</v>
      </c>
      <c r="L600" s="7">
        <v>42328.584224537037</v>
      </c>
      <c r="M600" s="12" t="s">
        <v>92</v>
      </c>
      <c r="N600" s="12" t="s">
        <v>701</v>
      </c>
      <c r="O600" s="10" t="str">
        <f>HYPERLINK("https://pbs.twimg.com/profile_images/667622351345950720/HAHOiaMn_normal.jpg","View")</f>
        <v>View</v>
      </c>
      <c r="P600" s="11"/>
    </row>
    <row r="601" spans="1:16" ht="12.75" x14ac:dyDescent="0.35">
      <c r="A601" s="7">
        <v>42476.996030092589</v>
      </c>
      <c r="B601" s="8" t="str">
        <f>HYPERLINK("https://twitter.com/ralf_zwitschert","@ralf_zwitschert")</f>
        <v>@ralf_zwitschert</v>
      </c>
      <c r="C601" s="9" t="s">
        <v>1405</v>
      </c>
      <c r="D601" s="9" t="s">
        <v>1404</v>
      </c>
      <c r="E601" s="10" t="str">
        <f>HYPERLINK("https://twitter.com/ralf_zwitschert/status/721403859260829696","721403859260829696")</f>
        <v>721403859260829696</v>
      </c>
      <c r="F601" s="11" t="s">
        <v>39</v>
      </c>
      <c r="G601" s="11">
        <v>163</v>
      </c>
      <c r="H601" s="11">
        <v>106</v>
      </c>
      <c r="I601" s="11">
        <v>3</v>
      </c>
      <c r="J601" s="11">
        <v>0</v>
      </c>
      <c r="K601" s="11" t="s">
        <v>21</v>
      </c>
      <c r="L601" s="7">
        <v>40344.742175925923</v>
      </c>
      <c r="M601" s="12" t="s">
        <v>1406</v>
      </c>
      <c r="N601" s="12" t="s">
        <v>1407</v>
      </c>
      <c r="O601" s="10" t="str">
        <f>HYPERLINK("https://pbs.twimg.com/profile_images/2393699938/kc3cv5tzu6hjyuj9oqes_normal.jpeg","View")</f>
        <v>View</v>
      </c>
      <c r="P601" s="11"/>
    </row>
    <row r="602" spans="1:16" ht="12.75" x14ac:dyDescent="0.35">
      <c r="A602" s="7">
        <v>42476.996168981481</v>
      </c>
      <c r="B602" s="8" t="str">
        <f>HYPERLINK("https://twitter.com/_lfactory","@_lfactory")</f>
        <v>@_lfactory</v>
      </c>
      <c r="C602" s="9" t="s">
        <v>1408</v>
      </c>
      <c r="D602" s="9" t="s">
        <v>1404</v>
      </c>
      <c r="E602" s="10" t="str">
        <f>HYPERLINK("https://twitter.com/_lfactory/status/721403907126259712","721403907126259712")</f>
        <v>721403907126259712</v>
      </c>
      <c r="F602" s="11" t="s">
        <v>39</v>
      </c>
      <c r="G602" s="11">
        <v>278</v>
      </c>
      <c r="H602" s="11">
        <v>111</v>
      </c>
      <c r="I602" s="11">
        <v>3</v>
      </c>
      <c r="J602" s="11">
        <v>0</v>
      </c>
      <c r="K602" s="11" t="s">
        <v>21</v>
      </c>
      <c r="L602" s="7">
        <v>40352.706423611111</v>
      </c>
      <c r="M602" s="12" t="s">
        <v>121</v>
      </c>
      <c r="N602" s="12" t="s">
        <v>1409</v>
      </c>
      <c r="O602" s="10" t="str">
        <f>HYPERLINK("https://pbs.twimg.com/profile_images/3427840995/be9743841a82fcc743ed45c59638edb6_normal.png","View")</f>
        <v>View</v>
      </c>
      <c r="P602" s="11"/>
    </row>
    <row r="603" spans="1:16" ht="12.75" x14ac:dyDescent="0.35">
      <c r="A603" s="7">
        <v>42476.997106481482</v>
      </c>
      <c r="B603" s="8" t="str">
        <f>HYPERLINK("https://twitter.com/Lean_john","@Lean_john")</f>
        <v>@Lean_john</v>
      </c>
      <c r="C603" s="9" t="s">
        <v>705</v>
      </c>
      <c r="D603" s="9" t="s">
        <v>1410</v>
      </c>
      <c r="E603" s="10" t="str">
        <f>HYPERLINK("https://twitter.com/Lean_john/status/721404248446124033","721404248446124033")</f>
        <v>721404248446124033</v>
      </c>
      <c r="F603" s="11" t="s">
        <v>222</v>
      </c>
      <c r="G603" s="11">
        <v>725</v>
      </c>
      <c r="H603" s="11">
        <v>398</v>
      </c>
      <c r="I603" s="11">
        <v>0</v>
      </c>
      <c r="J603" s="11">
        <v>0</v>
      </c>
      <c r="K603" s="11" t="s">
        <v>21</v>
      </c>
      <c r="L603" s="7">
        <v>40703.67690972222</v>
      </c>
      <c r="M603" s="12" t="s">
        <v>162</v>
      </c>
      <c r="N603" s="12" t="s">
        <v>707</v>
      </c>
      <c r="O603" s="10" t="str">
        <f>HYPERLINK("https://pbs.twimg.com/profile_images/2181612837/Johann_normal.jpg","View")</f>
        <v>View</v>
      </c>
      <c r="P603" s="11"/>
    </row>
    <row r="604" spans="1:16" ht="12.75" x14ac:dyDescent="0.35">
      <c r="A604" s="7">
        <v>42477.014826388884</v>
      </c>
      <c r="B604" s="8" t="str">
        <f>HYPERLINK("https://twitter.com/josebaghdad","@josebaghdad")</f>
        <v>@josebaghdad</v>
      </c>
      <c r="C604" s="9" t="s">
        <v>744</v>
      </c>
      <c r="D604" s="9" t="s">
        <v>924</v>
      </c>
      <c r="E604" s="10" t="str">
        <f>HYPERLINK("https://twitter.com/josebaghdad/status/721410671544573952","721410671544573952")</f>
        <v>721410671544573952</v>
      </c>
      <c r="F604" s="11" t="s">
        <v>84</v>
      </c>
      <c r="G604" s="11">
        <v>361</v>
      </c>
      <c r="H604" s="11">
        <v>426</v>
      </c>
      <c r="I604" s="11">
        <v>10</v>
      </c>
      <c r="J604" s="11">
        <v>0</v>
      </c>
      <c r="K604" s="11" t="s">
        <v>21</v>
      </c>
      <c r="L604" s="7">
        <v>40832.823379629626</v>
      </c>
      <c r="M604" s="12" t="s">
        <v>243</v>
      </c>
      <c r="N604" s="12" t="s">
        <v>745</v>
      </c>
      <c r="O604" s="10" t="str">
        <f>HYPERLINK("https://pbs.twimg.com/profile_images/697158646841610240/jndBu0u2_normal.jpg","View")</f>
        <v>View</v>
      </c>
      <c r="P604" s="11"/>
    </row>
    <row r="605" spans="1:16" ht="12.75" x14ac:dyDescent="0.35">
      <c r="A605" s="7">
        <v>42477.020856481482</v>
      </c>
      <c r="B605" s="8" t="str">
        <f>HYPERLINK("https://twitter.com/kommoptimierer","@kommoptimierer")</f>
        <v>@kommoptimierer</v>
      </c>
      <c r="C605" s="9" t="s">
        <v>270</v>
      </c>
      <c r="D605" s="9" t="s">
        <v>669</v>
      </c>
      <c r="E605" s="10" t="str">
        <f>HYPERLINK("https://twitter.com/kommoptimierer/status/721412856575574016","721412856575574016")</f>
        <v>721412856575574016</v>
      </c>
      <c r="F605" s="11" t="s">
        <v>272</v>
      </c>
      <c r="G605" s="11">
        <v>1347</v>
      </c>
      <c r="H605" s="11">
        <v>1753</v>
      </c>
      <c r="I605" s="11">
        <v>0</v>
      </c>
      <c r="J605" s="11">
        <v>0</v>
      </c>
      <c r="K605" s="11" t="s">
        <v>21</v>
      </c>
      <c r="L605" s="7">
        <v>39986.860358796301</v>
      </c>
      <c r="M605" s="12" t="s">
        <v>273</v>
      </c>
      <c r="N605" s="12" t="s">
        <v>274</v>
      </c>
      <c r="O605" s="10" t="str">
        <f>HYPERLINK("https://pbs.twimg.com/profile_images/541146126158536704/IYardufS_normal.jpeg","View")</f>
        <v>View</v>
      </c>
      <c r="P605" s="11"/>
    </row>
    <row r="606" spans="1:16" ht="12.75" x14ac:dyDescent="0.35">
      <c r="A606" s="7">
        <v>42477.034259259264</v>
      </c>
      <c r="B606" s="8" t="str">
        <f>HYPERLINK("https://twitter.com/julienramauge","@julienramauge")</f>
        <v>@julienramauge</v>
      </c>
      <c r="C606" s="9" t="s">
        <v>1411</v>
      </c>
      <c r="D606" s="9" t="s">
        <v>658</v>
      </c>
      <c r="E606" s="10" t="str">
        <f>HYPERLINK("https://twitter.com/julienramauge/status/721417713600634880","721417713600634880")</f>
        <v>721417713600634880</v>
      </c>
      <c r="F606" s="11" t="s">
        <v>20</v>
      </c>
      <c r="G606" s="11">
        <v>804</v>
      </c>
      <c r="H606" s="11">
        <v>2061</v>
      </c>
      <c r="I606" s="11">
        <v>2</v>
      </c>
      <c r="J606" s="11">
        <v>0</v>
      </c>
      <c r="K606" s="11" t="s">
        <v>21</v>
      </c>
      <c r="L606" s="7">
        <v>41330.600960648146</v>
      </c>
      <c r="M606" s="12" t="s">
        <v>1412</v>
      </c>
      <c r="N606" s="12" t="s">
        <v>1413</v>
      </c>
      <c r="O606" s="10" t="str">
        <f>HYPERLINK("https://pbs.twimg.com/profile_images/665959206017761280/ppTc9DLM_normal.png","View")</f>
        <v>View</v>
      </c>
      <c r="P606" s="11"/>
    </row>
    <row r="607" spans="1:16" ht="12.75" x14ac:dyDescent="0.35">
      <c r="A607" s="7">
        <v>42477.041319444441</v>
      </c>
      <c r="B607" s="8" t="str">
        <f>HYPERLINK("https://twitter.com/karinsebelin","@karinsebelin")</f>
        <v>@karinsebelin</v>
      </c>
      <c r="C607" s="9" t="s">
        <v>1414</v>
      </c>
      <c r="D607" s="9" t="s">
        <v>1415</v>
      </c>
      <c r="E607" s="10" t="str">
        <f>HYPERLINK("https://twitter.com/karinsebelin/status/721420270964187136","721420270964187136")</f>
        <v>721420270964187136</v>
      </c>
      <c r="F607" s="11" t="s">
        <v>25</v>
      </c>
      <c r="G607" s="11">
        <v>1386</v>
      </c>
      <c r="H607" s="11">
        <v>1725</v>
      </c>
      <c r="I607" s="11">
        <v>2</v>
      </c>
      <c r="J607" s="11">
        <v>0</v>
      </c>
      <c r="K607" s="11" t="s">
        <v>21</v>
      </c>
      <c r="L607" s="7">
        <v>41175.111620370371</v>
      </c>
      <c r="M607" s="12" t="s">
        <v>1416</v>
      </c>
      <c r="N607" s="12" t="s">
        <v>1417</v>
      </c>
      <c r="O607" s="10" t="str">
        <f>HYPERLINK("https://pbs.twimg.com/profile_images/693172519147290625/F7qDneND_normal.jpg","View")</f>
        <v>View</v>
      </c>
      <c r="P607" s="11"/>
    </row>
    <row r="608" spans="1:16" ht="12.75" x14ac:dyDescent="0.35">
      <c r="A608" s="7">
        <v>42477.042118055557</v>
      </c>
      <c r="B608" s="8" t="str">
        <f>HYPERLINK("https://twitter.com/OJaeger","@OJaeger")</f>
        <v>@OJaeger</v>
      </c>
      <c r="C608" s="9" t="s">
        <v>1102</v>
      </c>
      <c r="D608" s="9" t="s">
        <v>1103</v>
      </c>
      <c r="E608" s="10" t="str">
        <f>HYPERLINK("https://twitter.com/OJaeger/status/721420561340088321","721420561340088321")</f>
        <v>721420561340088321</v>
      </c>
      <c r="F608" s="11" t="s">
        <v>1418</v>
      </c>
      <c r="G608" s="11">
        <v>1824</v>
      </c>
      <c r="H608" s="11">
        <v>2422</v>
      </c>
      <c r="I608" s="11">
        <v>0</v>
      </c>
      <c r="J608" s="11">
        <v>0</v>
      </c>
      <c r="K608" s="11" t="s">
        <v>21</v>
      </c>
      <c r="L608" s="7">
        <v>39906.567083333335</v>
      </c>
      <c r="M608" s="12" t="s">
        <v>121</v>
      </c>
      <c r="N608" s="12" t="s">
        <v>1104</v>
      </c>
      <c r="O608" s="10" t="str">
        <f>HYPERLINK("https://pbs.twimg.com/profile_images/510721015945498624/1UpjmZMi_normal.jpeg","View")</f>
        <v>View</v>
      </c>
      <c r="P608" s="11"/>
    </row>
    <row r="609" spans="1:16" ht="12.75" x14ac:dyDescent="0.35">
      <c r="A609" s="7">
        <v>42477.056354166663</v>
      </c>
      <c r="B609" s="8" t="str">
        <f>HYPERLINK("https://twitter.com/INDIZbot","@INDIZbot")</f>
        <v>@INDIZbot</v>
      </c>
      <c r="C609" s="9" t="s">
        <v>61</v>
      </c>
      <c r="D609" s="9" t="s">
        <v>1415</v>
      </c>
      <c r="E609" s="10" t="str">
        <f>HYPERLINK("https://twitter.com/INDIZbot/status/721425719830704128","721425719830704128")</f>
        <v>721425719830704128</v>
      </c>
      <c r="F609" s="11" t="s">
        <v>62</v>
      </c>
      <c r="G609" s="11">
        <v>1762</v>
      </c>
      <c r="H609" s="11">
        <v>481</v>
      </c>
      <c r="I609" s="11">
        <v>2</v>
      </c>
      <c r="J609" s="11">
        <v>0</v>
      </c>
      <c r="K609" s="11" t="s">
        <v>21</v>
      </c>
      <c r="L609" s="7">
        <v>42267.011921296296</v>
      </c>
      <c r="M609" s="12"/>
      <c r="N609" s="12" t="s">
        <v>63</v>
      </c>
      <c r="O609" s="10" t="str">
        <f>HYPERLINK("https://pbs.twimg.com/profile_images/645716711723925506/t5G0qOS6_normal.jpg","View")</f>
        <v>View</v>
      </c>
      <c r="P609" s="11"/>
    </row>
    <row r="610" spans="1:16" ht="12.75" x14ac:dyDescent="0.35">
      <c r="A610" s="7">
        <v>42477.059224537035</v>
      </c>
      <c r="B610" s="8" t="str">
        <f>HYPERLINK("https://twitter.com/hydrogeniousTEC","@hydrogeniousTEC")</f>
        <v>@hydrogeniousTEC</v>
      </c>
      <c r="C610" s="9" t="s">
        <v>1390</v>
      </c>
      <c r="D610" s="9" t="s">
        <v>1419</v>
      </c>
      <c r="E610" s="10" t="str">
        <f>HYPERLINK("https://twitter.com/hydrogeniousTEC/status/721426760525606913","721426760525606913")</f>
        <v>721426760525606913</v>
      </c>
      <c r="F610" s="11" t="s">
        <v>20</v>
      </c>
      <c r="G610" s="11">
        <v>185</v>
      </c>
      <c r="H610" s="11">
        <v>191</v>
      </c>
      <c r="I610" s="11">
        <v>1</v>
      </c>
      <c r="J610" s="11">
        <v>0</v>
      </c>
      <c r="K610" s="11" t="s">
        <v>21</v>
      </c>
      <c r="L610" s="7">
        <v>42285.006307870368</v>
      </c>
      <c r="M610" s="12" t="s">
        <v>1392</v>
      </c>
      <c r="N610" s="12" t="s">
        <v>1393</v>
      </c>
      <c r="O610" s="10" t="str">
        <f>HYPERLINK("https://pbs.twimg.com/profile_images/652277358229979136/ZjpUNUgc_normal.png","View")</f>
        <v>View</v>
      </c>
      <c r="P610" s="11"/>
    </row>
    <row r="611" spans="1:16" ht="12.75" x14ac:dyDescent="0.35">
      <c r="A611" s="7">
        <v>42477.063298611116</v>
      </c>
      <c r="B611" s="8" t="str">
        <f>HYPERLINK("https://twitter.com/INDIZbot","@INDIZbot")</f>
        <v>@INDIZbot</v>
      </c>
      <c r="C611" s="9" t="s">
        <v>61</v>
      </c>
      <c r="D611" s="9" t="s">
        <v>1420</v>
      </c>
      <c r="E611" s="10" t="str">
        <f>HYPERLINK("https://twitter.com/INDIZbot/status/721428235830079488","721428235830079488")</f>
        <v>721428235830079488</v>
      </c>
      <c r="F611" s="11" t="s">
        <v>62</v>
      </c>
      <c r="G611" s="11">
        <v>1762</v>
      </c>
      <c r="H611" s="11">
        <v>481</v>
      </c>
      <c r="I611" s="11">
        <v>1</v>
      </c>
      <c r="J611" s="11">
        <v>0</v>
      </c>
      <c r="K611" s="11" t="s">
        <v>21</v>
      </c>
      <c r="L611" s="7">
        <v>42267.011921296296</v>
      </c>
      <c r="M611" s="12"/>
      <c r="N611" s="12" t="s">
        <v>63</v>
      </c>
      <c r="O611" s="10" t="str">
        <f>HYPERLINK("https://pbs.twimg.com/profile_images/645716711723925506/t5G0qOS6_normal.jpg","View")</f>
        <v>View</v>
      </c>
      <c r="P611" s="11"/>
    </row>
    <row r="612" spans="1:16" ht="12.75" x14ac:dyDescent="0.35">
      <c r="A612" s="7">
        <v>42477.065983796296</v>
      </c>
      <c r="B612" s="8" t="str">
        <f>HYPERLINK("https://twitter.com/kommoptimierer","@kommoptimierer")</f>
        <v>@kommoptimierer</v>
      </c>
      <c r="C612" s="9" t="s">
        <v>270</v>
      </c>
      <c r="D612" s="9" t="s">
        <v>691</v>
      </c>
      <c r="E612" s="10" t="str">
        <f>HYPERLINK("https://twitter.com/kommoptimierer/status/721429209776852993","721429209776852993")</f>
        <v>721429209776852993</v>
      </c>
      <c r="F612" s="11" t="s">
        <v>272</v>
      </c>
      <c r="G612" s="11">
        <v>1347</v>
      </c>
      <c r="H612" s="11">
        <v>1753</v>
      </c>
      <c r="I612" s="11">
        <v>0</v>
      </c>
      <c r="J612" s="11">
        <v>0</v>
      </c>
      <c r="K612" s="11" t="s">
        <v>21</v>
      </c>
      <c r="L612" s="7">
        <v>39986.860358796301</v>
      </c>
      <c r="M612" s="12" t="s">
        <v>273</v>
      </c>
      <c r="N612" s="12" t="s">
        <v>274</v>
      </c>
      <c r="O612" s="10" t="str">
        <f>HYPERLINK("https://pbs.twimg.com/profile_images/541146126158536704/IYardufS_normal.jpeg","View")</f>
        <v>View</v>
      </c>
      <c r="P612" s="11"/>
    </row>
    <row r="613" spans="1:16" ht="12.75" x14ac:dyDescent="0.35">
      <c r="A613" s="7">
        <v>42477.066145833334</v>
      </c>
      <c r="B613" s="8" t="str">
        <f>HYPERLINK("https://twitter.com/IT_Connection","@IT_Connection")</f>
        <v>@IT_Connection</v>
      </c>
      <c r="C613" s="9" t="s">
        <v>368</v>
      </c>
      <c r="D613" s="9" t="s">
        <v>1421</v>
      </c>
      <c r="E613" s="10" t="str">
        <f>HYPERLINK("https://twitter.com/IT_Connection/status/721429266127306752","721429266127306752")</f>
        <v>721429266127306752</v>
      </c>
      <c r="F613" s="11" t="s">
        <v>39</v>
      </c>
      <c r="G613" s="11">
        <v>10900</v>
      </c>
      <c r="H613" s="11">
        <v>10875</v>
      </c>
      <c r="I613" s="11">
        <v>0</v>
      </c>
      <c r="J613" s="11">
        <v>0</v>
      </c>
      <c r="K613" s="11" t="s">
        <v>21</v>
      </c>
      <c r="L613" s="7">
        <v>40411.751539351855</v>
      </c>
      <c r="M613" s="12" t="s">
        <v>369</v>
      </c>
      <c r="N613" s="12" t="s">
        <v>370</v>
      </c>
      <c r="O613" s="10" t="str">
        <f>HYPERLINK("https://pbs.twimg.com/profile_images/566986293888835584/_uYTcau__normal.png","View")</f>
        <v>View</v>
      </c>
      <c r="P613" s="11"/>
    </row>
    <row r="614" spans="1:16" ht="12.75" x14ac:dyDescent="0.35">
      <c r="A614" s="7">
        <v>42477.121041666665</v>
      </c>
      <c r="B614" s="8" t="str">
        <f>HYPERLINK("https://twitter.com/ClemensLink","@ClemensLink")</f>
        <v>@ClemensLink</v>
      </c>
      <c r="C614" s="9" t="s">
        <v>1422</v>
      </c>
      <c r="D614" s="9" t="s">
        <v>1385</v>
      </c>
      <c r="E614" s="10" t="str">
        <f>HYPERLINK("https://twitter.com/ClemensLink/status/721449160206065665","721449160206065665")</f>
        <v>721449160206065665</v>
      </c>
      <c r="F614" s="11" t="s">
        <v>31</v>
      </c>
      <c r="G614" s="11">
        <v>324</v>
      </c>
      <c r="H614" s="11">
        <v>176</v>
      </c>
      <c r="I614" s="11">
        <v>5</v>
      </c>
      <c r="J614" s="11">
        <v>0</v>
      </c>
      <c r="K614" s="11" t="s">
        <v>21</v>
      </c>
      <c r="L614" s="7">
        <v>41580.875671296293</v>
      </c>
      <c r="M614" s="12" t="s">
        <v>121</v>
      </c>
      <c r="N614" s="12" t="s">
        <v>1423</v>
      </c>
      <c r="O614" s="10" t="str">
        <f>HYPERLINK("https://pbs.twimg.com/profile_images/378800000781608397/4a4bb3f82b4ae2545c4ed5f705d0ac94_normal.jpeg","View")</f>
        <v>View</v>
      </c>
      <c r="P614" s="11"/>
    </row>
    <row r="615" spans="1:16" ht="12.75" x14ac:dyDescent="0.35">
      <c r="A615" s="7">
        <v>42477.465254629627</v>
      </c>
      <c r="B615" s="8" t="str">
        <f>HYPERLINK("https://twitter.com/AndreasLenzDe","@AndreasLenzDe")</f>
        <v>@AndreasLenzDe</v>
      </c>
      <c r="C615" s="9" t="s">
        <v>1424</v>
      </c>
      <c r="D615" s="9" t="s">
        <v>1425</v>
      </c>
      <c r="E615" s="10" t="str">
        <f>HYPERLINK("https://twitter.com/AndreasLenzDe/status/721573900027621376","721573900027621376")</f>
        <v>721573900027621376</v>
      </c>
      <c r="F615" s="11" t="s">
        <v>20</v>
      </c>
      <c r="G615" s="11">
        <v>125</v>
      </c>
      <c r="H615" s="11">
        <v>307</v>
      </c>
      <c r="I615" s="11">
        <v>6</v>
      </c>
      <c r="J615" s="11">
        <v>0</v>
      </c>
      <c r="K615" s="11" t="s">
        <v>21</v>
      </c>
      <c r="L615" s="7">
        <v>40569.815486111111</v>
      </c>
      <c r="M615" s="12" t="s">
        <v>1426</v>
      </c>
      <c r="N615" s="12" t="s">
        <v>1427</v>
      </c>
      <c r="O615" s="10" t="str">
        <f>HYPERLINK("https://pbs.twimg.com/profile_images/719888219328933889/X_V4faXr_normal.jpg","View")</f>
        <v>View</v>
      </c>
      <c r="P615" s="11"/>
    </row>
    <row r="616" spans="1:16" ht="12.75" x14ac:dyDescent="0.35">
      <c r="A616" s="7">
        <v>42477.481273148151</v>
      </c>
      <c r="B616" s="8" t="str">
        <f>HYPERLINK("https://twitter.com/IPI_SUP","@IPI_SUP")</f>
        <v>@IPI_SUP</v>
      </c>
      <c r="C616" s="9" t="s">
        <v>1428</v>
      </c>
      <c r="D616" s="9" t="s">
        <v>1429</v>
      </c>
      <c r="E616" s="10" t="str">
        <f>HYPERLINK("https://twitter.com/IPI_SUP/status/721579703551700992","721579703551700992")</f>
        <v>721579703551700992</v>
      </c>
      <c r="F616" s="11" t="s">
        <v>115</v>
      </c>
      <c r="G616" s="11">
        <v>93</v>
      </c>
      <c r="H616" s="11">
        <v>156</v>
      </c>
      <c r="I616" s="11">
        <v>0</v>
      </c>
      <c r="J616" s="11">
        <v>0</v>
      </c>
      <c r="K616" s="11" t="s">
        <v>21</v>
      </c>
      <c r="L616" s="7">
        <v>41348.697546296295</v>
      </c>
      <c r="M616" s="12" t="s">
        <v>1430</v>
      </c>
      <c r="N616" s="12" t="s">
        <v>1431</v>
      </c>
      <c r="O616" s="10" t="str">
        <f>HYPERLINK("https://pbs.twimg.com/profile_images/378800000580030680/47e07943db95739a7f7ab30d80563801_normal.jpeg","View")</f>
        <v>View</v>
      </c>
      <c r="P616" s="11"/>
    </row>
    <row r="617" spans="1:16" ht="12.75" x14ac:dyDescent="0.35">
      <c r="A617" s="7">
        <v>42477.501527777778</v>
      </c>
      <c r="B617" s="8" t="str">
        <f>HYPERLINK("https://twitter.com/changetokaizen","@changetokaizen")</f>
        <v>@changetokaizen</v>
      </c>
      <c r="C617" s="9" t="s">
        <v>1398</v>
      </c>
      <c r="D617" s="9" t="s">
        <v>1432</v>
      </c>
      <c r="E617" s="10" t="str">
        <f>HYPERLINK("https://twitter.com/changetokaizen/status/721587045966155777","721587045966155777")</f>
        <v>721587045966155777</v>
      </c>
      <c r="F617" s="11" t="s">
        <v>39</v>
      </c>
      <c r="G617" s="11">
        <v>152</v>
      </c>
      <c r="H617" s="11">
        <v>33</v>
      </c>
      <c r="I617" s="11">
        <v>5</v>
      </c>
      <c r="J617" s="11">
        <v>4</v>
      </c>
      <c r="K617" s="11" t="s">
        <v>21</v>
      </c>
      <c r="L617" s="7">
        <v>41104.815393518518</v>
      </c>
      <c r="M617" s="12" t="s">
        <v>121</v>
      </c>
      <c r="N617" s="12" t="s">
        <v>1400</v>
      </c>
      <c r="O617" s="10" t="str">
        <f>HYPERLINK("https://pbs.twimg.com/profile_images/463005839918247936/Ui2bf9cw_normal.jpeg","View")</f>
        <v>View</v>
      </c>
      <c r="P617" s="11"/>
    </row>
    <row r="618" spans="1:16" ht="12.75" x14ac:dyDescent="0.35">
      <c r="A618" s="7">
        <v>42477.501527777778</v>
      </c>
      <c r="B618" s="8" t="str">
        <f>HYPERLINK("https://twitter.com/LeanKnowledge","@LeanKnowledge")</f>
        <v>@LeanKnowledge</v>
      </c>
      <c r="C618" s="9" t="s">
        <v>699</v>
      </c>
      <c r="D618" s="9" t="s">
        <v>1433</v>
      </c>
      <c r="E618" s="10" t="str">
        <f>HYPERLINK("https://twitter.com/LeanKnowledge/status/721587046297505792","721587046297505792")</f>
        <v>721587046297505792</v>
      </c>
      <c r="F618" s="11" t="s">
        <v>39</v>
      </c>
      <c r="G618" s="11">
        <v>89</v>
      </c>
      <c r="H618" s="11">
        <v>36</v>
      </c>
      <c r="I618" s="11">
        <v>2</v>
      </c>
      <c r="J618" s="11">
        <v>2</v>
      </c>
      <c r="K618" s="11" t="s">
        <v>21</v>
      </c>
      <c r="L618" s="7">
        <v>42328.584224537037</v>
      </c>
      <c r="M618" s="12" t="s">
        <v>92</v>
      </c>
      <c r="N618" s="12" t="s">
        <v>701</v>
      </c>
      <c r="O618" s="10" t="str">
        <f>HYPERLINK("https://pbs.twimg.com/profile_images/667622351345950720/HAHOiaMn_normal.jpg","View")</f>
        <v>View</v>
      </c>
      <c r="P618" s="11"/>
    </row>
    <row r="619" spans="1:16" ht="12.75" x14ac:dyDescent="0.35">
      <c r="A619" s="7">
        <v>42477.501539351855</v>
      </c>
      <c r="B619" s="8" t="str">
        <f>HYPERLINK("https://twitter.com/_lfactory","@_lfactory")</f>
        <v>@_lfactory</v>
      </c>
      <c r="C619" s="9" t="s">
        <v>1408</v>
      </c>
      <c r="D619" s="9" t="s">
        <v>1434</v>
      </c>
      <c r="E619" s="10" t="str">
        <f>HYPERLINK("https://twitter.com/_lfactory/status/721587048235343872","721587048235343872")</f>
        <v>721587048235343872</v>
      </c>
      <c r="F619" s="10" t="s">
        <v>1435</v>
      </c>
      <c r="G619" s="11">
        <v>278</v>
      </c>
      <c r="H619" s="11">
        <v>111</v>
      </c>
      <c r="I619" s="11">
        <v>1</v>
      </c>
      <c r="J619" s="11">
        <v>0</v>
      </c>
      <c r="K619" s="11" t="s">
        <v>21</v>
      </c>
      <c r="L619" s="7">
        <v>40352.706423611111</v>
      </c>
      <c r="M619" s="12" t="s">
        <v>121</v>
      </c>
      <c r="N619" s="12" t="s">
        <v>1409</v>
      </c>
      <c r="O619" s="10" t="str">
        <f>HYPERLINK("https://pbs.twimg.com/profile_images/3427840995/be9743841a82fcc743ed45c59638edb6_normal.png","View")</f>
        <v>View</v>
      </c>
      <c r="P619" s="11"/>
    </row>
    <row r="620" spans="1:16" ht="12.75" x14ac:dyDescent="0.35">
      <c r="A620" s="7">
        <v>42477.507430555561</v>
      </c>
      <c r="B620" s="8" t="str">
        <f>HYPERLINK("https://twitter.com/Lean_john","@Lean_john")</f>
        <v>@Lean_john</v>
      </c>
      <c r="C620" s="9" t="s">
        <v>705</v>
      </c>
      <c r="D620" s="9" t="s">
        <v>1436</v>
      </c>
      <c r="E620" s="10" t="str">
        <f>HYPERLINK("https://twitter.com/Lean_john/status/721589184775995392","721589184775995392")</f>
        <v>721589184775995392</v>
      </c>
      <c r="F620" s="11" t="s">
        <v>222</v>
      </c>
      <c r="G620" s="11">
        <v>725</v>
      </c>
      <c r="H620" s="11">
        <v>398</v>
      </c>
      <c r="I620" s="11">
        <v>1</v>
      </c>
      <c r="J620" s="11">
        <v>0</v>
      </c>
      <c r="K620" s="11" t="s">
        <v>21</v>
      </c>
      <c r="L620" s="7">
        <v>40703.67690972222</v>
      </c>
      <c r="M620" s="12" t="s">
        <v>162</v>
      </c>
      <c r="N620" s="12" t="s">
        <v>707</v>
      </c>
      <c r="O620" s="10" t="str">
        <f>HYPERLINK("https://pbs.twimg.com/profile_images/2181612837/Johann_normal.jpg","View")</f>
        <v>View</v>
      </c>
      <c r="P620" s="11"/>
    </row>
    <row r="621" spans="1:16" ht="12.75" x14ac:dyDescent="0.35">
      <c r="A621" s="7">
        <v>42477.507731481484</v>
      </c>
      <c r="B621" s="8" t="str">
        <f t="shared" ref="B621:B623" si="62">HYPERLINK("https://twitter.com/INDIZbot","@INDIZbot")</f>
        <v>@INDIZbot</v>
      </c>
      <c r="C621" s="9" t="s">
        <v>61</v>
      </c>
      <c r="D621" s="9" t="s">
        <v>1437</v>
      </c>
      <c r="E621" s="10" t="str">
        <f>HYPERLINK("https://twitter.com/INDIZbot/status/721589294087958528","721589294087958528")</f>
        <v>721589294087958528</v>
      </c>
      <c r="F621" s="11" t="s">
        <v>62</v>
      </c>
      <c r="G621" s="11">
        <v>1762</v>
      </c>
      <c r="H621" s="11">
        <v>481</v>
      </c>
      <c r="I621" s="11">
        <v>1</v>
      </c>
      <c r="J621" s="11">
        <v>0</v>
      </c>
      <c r="K621" s="11" t="s">
        <v>21</v>
      </c>
      <c r="L621" s="7">
        <v>42267.011921296296</v>
      </c>
      <c r="M621" s="12"/>
      <c r="N621" s="12" t="s">
        <v>63</v>
      </c>
      <c r="O621" s="10" t="str">
        <f t="shared" ref="O621:O623" si="63">HYPERLINK("https://pbs.twimg.com/profile_images/645716711723925506/t5G0qOS6_normal.jpg","View")</f>
        <v>View</v>
      </c>
      <c r="P621" s="11"/>
    </row>
    <row r="622" spans="1:16" ht="12.75" x14ac:dyDescent="0.35">
      <c r="A622" s="7">
        <v>42477.508587962962</v>
      </c>
      <c r="B622" s="8" t="str">
        <f t="shared" si="62"/>
        <v>@INDIZbot</v>
      </c>
      <c r="C622" s="9" t="s">
        <v>61</v>
      </c>
      <c r="D622" s="9" t="s">
        <v>1438</v>
      </c>
      <c r="E622" s="10" t="str">
        <f>HYPERLINK("https://twitter.com/INDIZbot/status/721589601941512192","721589601941512192")</f>
        <v>721589601941512192</v>
      </c>
      <c r="F622" s="11" t="s">
        <v>62</v>
      </c>
      <c r="G622" s="11">
        <v>1762</v>
      </c>
      <c r="H622" s="11">
        <v>481</v>
      </c>
      <c r="I622" s="11">
        <v>1</v>
      </c>
      <c r="J622" s="11">
        <v>0</v>
      </c>
      <c r="K622" s="11" t="s">
        <v>21</v>
      </c>
      <c r="L622" s="7">
        <v>42267.011921296296</v>
      </c>
      <c r="M622" s="12"/>
      <c r="N622" s="12" t="s">
        <v>63</v>
      </c>
      <c r="O622" s="10" t="str">
        <f t="shared" si="63"/>
        <v>View</v>
      </c>
      <c r="P622" s="11"/>
    </row>
    <row r="623" spans="1:16" ht="12.75" x14ac:dyDescent="0.35">
      <c r="A623" s="7">
        <v>42477.508773148147</v>
      </c>
      <c r="B623" s="8" t="str">
        <f t="shared" si="62"/>
        <v>@INDIZbot</v>
      </c>
      <c r="C623" s="9" t="s">
        <v>61</v>
      </c>
      <c r="D623" s="9" t="s">
        <v>1439</v>
      </c>
      <c r="E623" s="10" t="str">
        <f>HYPERLINK("https://twitter.com/INDIZbot/status/721589669843116032","721589669843116032")</f>
        <v>721589669843116032</v>
      </c>
      <c r="F623" s="11" t="s">
        <v>62</v>
      </c>
      <c r="G623" s="11">
        <v>1762</v>
      </c>
      <c r="H623" s="11">
        <v>481</v>
      </c>
      <c r="I623" s="11">
        <v>2</v>
      </c>
      <c r="J623" s="11">
        <v>0</v>
      </c>
      <c r="K623" s="11" t="s">
        <v>21</v>
      </c>
      <c r="L623" s="7">
        <v>42267.011921296296</v>
      </c>
      <c r="M623" s="12"/>
      <c r="N623" s="12" t="s">
        <v>63</v>
      </c>
      <c r="O623" s="10" t="str">
        <f t="shared" si="63"/>
        <v>View</v>
      </c>
      <c r="P623" s="11"/>
    </row>
    <row r="624" spans="1:16" ht="12.75" x14ac:dyDescent="0.35">
      <c r="A624" s="7">
        <v>42477.531736111108</v>
      </c>
      <c r="B624" s="8" t="str">
        <f>HYPERLINK("https://twitter.com/condet020274","@condet020274")</f>
        <v>@condet020274</v>
      </c>
      <c r="C624" s="9" t="s">
        <v>735</v>
      </c>
      <c r="D624" s="9" t="s">
        <v>1439</v>
      </c>
      <c r="E624" s="10" t="str">
        <f>HYPERLINK("https://twitter.com/condet020274/status/721597991312887808","721597991312887808")</f>
        <v>721597991312887808</v>
      </c>
      <c r="F624" s="11" t="s">
        <v>31</v>
      </c>
      <c r="G624" s="11">
        <v>257</v>
      </c>
      <c r="H624" s="11">
        <v>274</v>
      </c>
      <c r="I624" s="11">
        <v>2</v>
      </c>
      <c r="J624" s="11">
        <v>0</v>
      </c>
      <c r="K624" s="11" t="s">
        <v>21</v>
      </c>
      <c r="L624" s="7">
        <v>41421.427025462966</v>
      </c>
      <c r="M624" s="12"/>
      <c r="N624" s="12" t="s">
        <v>737</v>
      </c>
      <c r="O624" s="10" t="str">
        <f>HYPERLINK("https://pbs.twimg.com/profile_images/507399803509026816/KdF-WSKm_normal.jpeg","View")</f>
        <v>View</v>
      </c>
      <c r="P624" s="11"/>
    </row>
    <row r="625" spans="1:16" ht="12.75" x14ac:dyDescent="0.35">
      <c r="A625" s="7">
        <v>42477.53770833333</v>
      </c>
      <c r="B625" s="8" t="str">
        <f>HYPERLINK("https://twitter.com/Thomas_Michl","@Thomas_Michl")</f>
        <v>@Thomas_Michl</v>
      </c>
      <c r="C625" s="9" t="s">
        <v>1440</v>
      </c>
      <c r="D625" s="9" t="s">
        <v>1441</v>
      </c>
      <c r="E625" s="10" t="str">
        <f>HYPERLINK("https://twitter.com/Thomas_Michl/status/721600155149926400","721600155149926400")</f>
        <v>721600155149926400</v>
      </c>
      <c r="F625" s="11" t="s">
        <v>20</v>
      </c>
      <c r="G625" s="11">
        <v>2722</v>
      </c>
      <c r="H625" s="11">
        <v>2619</v>
      </c>
      <c r="I625" s="11">
        <v>5</v>
      </c>
      <c r="J625" s="11">
        <v>0</v>
      </c>
      <c r="K625" s="11" t="s">
        <v>21</v>
      </c>
      <c r="L625" s="7">
        <v>40606.12605324074</v>
      </c>
      <c r="M625" s="12" t="s">
        <v>1442</v>
      </c>
      <c r="N625" s="12" t="s">
        <v>1443</v>
      </c>
      <c r="O625" s="10" t="str">
        <f>HYPERLINK("https://pbs.twimg.com/profile_images/670627985410625536/8zMkHCVp_normal.jpg","View")</f>
        <v>View</v>
      </c>
      <c r="P625" s="11"/>
    </row>
    <row r="626" spans="1:16" ht="12.75" x14ac:dyDescent="0.35">
      <c r="A626" s="7">
        <v>42477.544988425929</v>
      </c>
      <c r="B626" s="8" t="str">
        <f>HYPERLINK("https://twitter.com/condet020274","@condet020274")</f>
        <v>@condet020274</v>
      </c>
      <c r="C626" s="9" t="s">
        <v>735</v>
      </c>
      <c r="D626" s="9" t="s">
        <v>1441</v>
      </c>
      <c r="E626" s="10" t="str">
        <f>HYPERLINK("https://twitter.com/condet020274/status/721602793182785536","721602793182785536")</f>
        <v>721602793182785536</v>
      </c>
      <c r="F626" s="11" t="s">
        <v>31</v>
      </c>
      <c r="G626" s="11">
        <v>257</v>
      </c>
      <c r="H626" s="11">
        <v>274</v>
      </c>
      <c r="I626" s="11">
        <v>5</v>
      </c>
      <c r="J626" s="11">
        <v>0</v>
      </c>
      <c r="K626" s="11" t="s">
        <v>21</v>
      </c>
      <c r="L626" s="7">
        <v>41421.427025462966</v>
      </c>
      <c r="M626" s="12"/>
      <c r="N626" s="12" t="s">
        <v>737</v>
      </c>
      <c r="O626" s="10" t="str">
        <f>HYPERLINK("https://pbs.twimg.com/profile_images/507399803509026816/KdF-WSKm_normal.jpeg","View")</f>
        <v>View</v>
      </c>
      <c r="P626" s="11"/>
    </row>
    <row r="627" spans="1:16" ht="12.75" x14ac:dyDescent="0.35">
      <c r="A627" s="7">
        <v>42477.550798611112</v>
      </c>
      <c r="B627" s="8" t="str">
        <f>HYPERLINK("https://twitter.com/MDBlanchfield","@MDBlanchfield")</f>
        <v>@MDBlanchfield</v>
      </c>
      <c r="C627" s="9" t="s">
        <v>1444</v>
      </c>
      <c r="D627" s="9" t="s">
        <v>1425</v>
      </c>
      <c r="E627" s="10" t="str">
        <f>HYPERLINK("https://twitter.com/MDBlanchfield/status/721604898131824641","721604898131824641")</f>
        <v>721604898131824641</v>
      </c>
      <c r="F627" s="11" t="s">
        <v>31</v>
      </c>
      <c r="G627" s="11">
        <v>24179</v>
      </c>
      <c r="H627" s="11">
        <v>21774</v>
      </c>
      <c r="I627" s="11">
        <v>6</v>
      </c>
      <c r="J627" s="11">
        <v>0</v>
      </c>
      <c r="K627" s="11" t="s">
        <v>21</v>
      </c>
      <c r="L627" s="7">
        <v>41084.212696759263</v>
      </c>
      <c r="M627" s="12" t="s">
        <v>1445</v>
      </c>
      <c r="N627" s="12" t="s">
        <v>1446</v>
      </c>
      <c r="O627" s="10" t="str">
        <f>HYPERLINK("https://pbs.twimg.com/profile_images/717361645454905344/eSYXksup_normal.jpg","View")</f>
        <v>View</v>
      </c>
      <c r="P627" s="11"/>
    </row>
    <row r="628" spans="1:16" ht="12.75" x14ac:dyDescent="0.35">
      <c r="A628" s="7">
        <v>42477.554178240738</v>
      </c>
      <c r="B628" s="8" t="str">
        <f>HYPERLINK("https://twitter.com/QuickFindsIn","@QuickFindsIn")</f>
        <v>@QuickFindsIn</v>
      </c>
      <c r="C628" s="9" t="s">
        <v>208</v>
      </c>
      <c r="D628" s="9" t="s">
        <v>710</v>
      </c>
      <c r="E628" s="10" t="str">
        <f>HYPERLINK("https://twitter.com/QuickFindsIn/status/721606123984277504","721606123984277504")</f>
        <v>721606123984277504</v>
      </c>
      <c r="F628" s="11" t="s">
        <v>210</v>
      </c>
      <c r="G628" s="11">
        <v>1895</v>
      </c>
      <c r="H628" s="11">
        <v>2758</v>
      </c>
      <c r="I628" s="11">
        <v>0</v>
      </c>
      <c r="J628" s="11">
        <v>0</v>
      </c>
      <c r="K628" s="11" t="s">
        <v>21</v>
      </c>
      <c r="L628" s="7">
        <v>42069.582048611112</v>
      </c>
      <c r="M628" s="12" t="s">
        <v>211</v>
      </c>
      <c r="N628" s="12" t="s">
        <v>212</v>
      </c>
      <c r="O628" s="10" t="str">
        <f>HYPERLINK("https://pbs.twimg.com/profile_images/591951396217327616/HbcCX2zX_normal.png","View")</f>
        <v>View</v>
      </c>
      <c r="P628" s="11"/>
    </row>
    <row r="629" spans="1:16" ht="12.75" x14ac:dyDescent="0.35">
      <c r="A629" s="7">
        <v>42477.556620370371</v>
      </c>
      <c r="B629" s="8" t="str">
        <f>HYPERLINK("https://twitter.com/Tiba_Schweiz","@Tiba_Schweiz")</f>
        <v>@Tiba_Schweiz</v>
      </c>
      <c r="C629" s="9" t="s">
        <v>1378</v>
      </c>
      <c r="D629" s="9" t="s">
        <v>1441</v>
      </c>
      <c r="E629" s="10" t="str">
        <f>HYPERLINK("https://twitter.com/Tiba_Schweiz/status/721607008361832448","721607008361832448")</f>
        <v>721607008361832448</v>
      </c>
      <c r="F629" s="11" t="s">
        <v>39</v>
      </c>
      <c r="G629" s="11">
        <v>68</v>
      </c>
      <c r="H629" s="11">
        <v>82</v>
      </c>
      <c r="I629" s="11">
        <v>5</v>
      </c>
      <c r="J629" s="11">
        <v>0</v>
      </c>
      <c r="K629" s="11" t="s">
        <v>21</v>
      </c>
      <c r="L629" s="7">
        <v>42432.471689814818</v>
      </c>
      <c r="M629" s="12" t="s">
        <v>1379</v>
      </c>
      <c r="N629" s="12" t="s">
        <v>1380</v>
      </c>
      <c r="O629" s="10" t="str">
        <f>HYPERLINK("https://pbs.twimg.com/profile_images/705270537073852416/CZoAp0su_normal.jpg","View")</f>
        <v>View</v>
      </c>
      <c r="P629" s="11"/>
    </row>
    <row r="630" spans="1:16" ht="12.75" x14ac:dyDescent="0.35">
      <c r="A630" s="7">
        <v>42477.563807870371</v>
      </c>
      <c r="B630" s="8" t="str">
        <f>HYPERLINK("https://twitter.com/INDIZbot","@INDIZbot")</f>
        <v>@INDIZbot</v>
      </c>
      <c r="C630" s="9" t="s">
        <v>61</v>
      </c>
      <c r="D630" s="9" t="s">
        <v>1441</v>
      </c>
      <c r="E630" s="10" t="str">
        <f>HYPERLINK("https://twitter.com/INDIZbot/status/721609612177367040","721609612177367040")</f>
        <v>721609612177367040</v>
      </c>
      <c r="F630" s="11" t="s">
        <v>62</v>
      </c>
      <c r="G630" s="11">
        <v>1762</v>
      </c>
      <c r="H630" s="11">
        <v>481</v>
      </c>
      <c r="I630" s="11">
        <v>5</v>
      </c>
      <c r="J630" s="11">
        <v>0</v>
      </c>
      <c r="K630" s="11" t="s">
        <v>21</v>
      </c>
      <c r="L630" s="7">
        <v>42267.011921296296</v>
      </c>
      <c r="M630" s="12"/>
      <c r="N630" s="12" t="s">
        <v>63</v>
      </c>
      <c r="O630" s="10" t="str">
        <f>HYPERLINK("https://pbs.twimg.com/profile_images/645716711723925506/t5G0qOS6_normal.jpg","View")</f>
        <v>View</v>
      </c>
      <c r="P630" s="11"/>
    </row>
    <row r="631" spans="1:16" ht="12.75" x14ac:dyDescent="0.35">
      <c r="A631" s="7">
        <v>42477.565335648149</v>
      </c>
      <c r="B631" s="8" t="str">
        <f>HYPERLINK("https://twitter.com/Geschnattere","@Geschnattere")</f>
        <v>@Geschnattere</v>
      </c>
      <c r="C631" s="9" t="s">
        <v>577</v>
      </c>
      <c r="D631" s="9" t="s">
        <v>1441</v>
      </c>
      <c r="E631" s="10" t="str">
        <f>HYPERLINK("https://twitter.com/Geschnattere/status/721610168501460993","721610168501460993")</f>
        <v>721610168501460993</v>
      </c>
      <c r="F631" s="11" t="s">
        <v>578</v>
      </c>
      <c r="G631" s="11">
        <v>192</v>
      </c>
      <c r="H631" s="11">
        <v>360</v>
      </c>
      <c r="I631" s="11">
        <v>5</v>
      </c>
      <c r="J631" s="11">
        <v>0</v>
      </c>
      <c r="K631" s="11" t="s">
        <v>21</v>
      </c>
      <c r="L631" s="7">
        <v>42392.975821759261</v>
      </c>
      <c r="M631" s="12"/>
      <c r="N631" s="12"/>
      <c r="O631" s="10" t="str">
        <f>HYPERLINK("https://pbs.twimg.com/profile_images/690957065490161664/Nat2upS4_normal.jpg","View")</f>
        <v>View</v>
      </c>
      <c r="P631" s="11"/>
    </row>
    <row r="632" spans="1:16" ht="12.75" x14ac:dyDescent="0.35">
      <c r="A632" s="7">
        <v>42477.577060185184</v>
      </c>
      <c r="B632" s="8" t="str">
        <f>HYPERLINK("https://twitter.com/samuel_vuadens","@samuel_vuadens")</f>
        <v>@samuel_vuadens</v>
      </c>
      <c r="C632" s="9" t="s">
        <v>796</v>
      </c>
      <c r="D632" s="9" t="s">
        <v>1447</v>
      </c>
      <c r="E632" s="10" t="str">
        <f>HYPERLINK("https://twitter.com/samuel_vuadens/status/721614416970690561","721614416970690561")</f>
        <v>721614416970690561</v>
      </c>
      <c r="F632" s="11" t="s">
        <v>39</v>
      </c>
      <c r="G632" s="11">
        <v>295</v>
      </c>
      <c r="H632" s="11">
        <v>433</v>
      </c>
      <c r="I632" s="11">
        <v>2</v>
      </c>
      <c r="J632" s="11">
        <v>3</v>
      </c>
      <c r="K632" s="11" t="s">
        <v>21</v>
      </c>
      <c r="L632" s="7">
        <v>40318.859363425923</v>
      </c>
      <c r="M632" s="12" t="s">
        <v>798</v>
      </c>
      <c r="N632" s="12" t="s">
        <v>799</v>
      </c>
      <c r="O632" s="10" t="str">
        <f>HYPERLINK("https://pbs.twimg.com/profile_images/645921258018725888/K6K3dJyf_normal.jpg","View")</f>
        <v>View</v>
      </c>
      <c r="P632" s="11"/>
    </row>
    <row r="633" spans="1:16" ht="12.75" x14ac:dyDescent="0.35">
      <c r="A633" s="7">
        <v>42477.590289351851</v>
      </c>
      <c r="B633" s="8" t="str">
        <f>HYPERLINK("https://twitter.com/kommoptimierer","@kommoptimierer")</f>
        <v>@kommoptimierer</v>
      </c>
      <c r="C633" s="9" t="s">
        <v>270</v>
      </c>
      <c r="D633" s="9" t="s">
        <v>684</v>
      </c>
      <c r="E633" s="10" t="str">
        <f>HYPERLINK("https://twitter.com/kommoptimierer/status/721619211580260352","721619211580260352")</f>
        <v>721619211580260352</v>
      </c>
      <c r="F633" s="11" t="s">
        <v>272</v>
      </c>
      <c r="G633" s="11">
        <v>1347</v>
      </c>
      <c r="H633" s="11">
        <v>1753</v>
      </c>
      <c r="I633" s="11">
        <v>1</v>
      </c>
      <c r="J633" s="11">
        <v>0</v>
      </c>
      <c r="K633" s="11" t="s">
        <v>21</v>
      </c>
      <c r="L633" s="7">
        <v>39986.860358796301</v>
      </c>
      <c r="M633" s="12" t="s">
        <v>273</v>
      </c>
      <c r="N633" s="12" t="s">
        <v>274</v>
      </c>
      <c r="O633" s="10" t="str">
        <f>HYPERLINK("https://pbs.twimg.com/profile_images/541146126158536704/IYardufS_normal.jpeg","View")</f>
        <v>View</v>
      </c>
      <c r="P633" s="11"/>
    </row>
    <row r="634" spans="1:16" ht="12.75" x14ac:dyDescent="0.35">
      <c r="A634" s="7">
        <v>42477.59107638889</v>
      </c>
      <c r="B634" s="8" t="str">
        <f>HYPERLINK("https://twitter.com/INDIZbot","@INDIZbot")</f>
        <v>@INDIZbot</v>
      </c>
      <c r="C634" s="9" t="s">
        <v>61</v>
      </c>
      <c r="D634" s="9" t="s">
        <v>1448</v>
      </c>
      <c r="E634" s="10" t="str">
        <f>HYPERLINK("https://twitter.com/INDIZbot/status/721619493877858304","721619493877858304")</f>
        <v>721619493877858304</v>
      </c>
      <c r="F634" s="11" t="s">
        <v>62</v>
      </c>
      <c r="G634" s="11">
        <v>1762</v>
      </c>
      <c r="H634" s="11">
        <v>481</v>
      </c>
      <c r="I634" s="11">
        <v>1</v>
      </c>
      <c r="J634" s="11">
        <v>0</v>
      </c>
      <c r="K634" s="11" t="s">
        <v>21</v>
      </c>
      <c r="L634" s="7">
        <v>42267.011921296296</v>
      </c>
      <c r="M634" s="12"/>
      <c r="N634" s="12" t="s">
        <v>63</v>
      </c>
      <c r="O634" s="10" t="str">
        <f>HYPERLINK("https://pbs.twimg.com/profile_images/645716711723925506/t5G0qOS6_normal.jpg","View")</f>
        <v>View</v>
      </c>
      <c r="P634" s="11"/>
    </row>
    <row r="635" spans="1:16" ht="12.75" x14ac:dyDescent="0.35">
      <c r="A635" s="7">
        <v>42477.606909722221</v>
      </c>
      <c r="B635" s="8" t="str">
        <f>HYPERLINK("https://twitter.com/ITnet_TH","@ITnet_TH")</f>
        <v>@ITnet_TH</v>
      </c>
      <c r="C635" s="9" t="s">
        <v>1218</v>
      </c>
      <c r="D635" s="9" t="s">
        <v>1449</v>
      </c>
      <c r="E635" s="10" t="str">
        <f>HYPERLINK("https://twitter.com/ITnet_TH/status/721625233573195776","721625233573195776")</f>
        <v>721625233573195776</v>
      </c>
      <c r="F635" s="11" t="s">
        <v>25</v>
      </c>
      <c r="G635" s="11">
        <v>125</v>
      </c>
      <c r="H635" s="11">
        <v>369</v>
      </c>
      <c r="I635" s="11">
        <v>2</v>
      </c>
      <c r="J635" s="11">
        <v>4</v>
      </c>
      <c r="K635" s="11" t="s">
        <v>21</v>
      </c>
      <c r="L635" s="7">
        <v>42350.711446759262</v>
      </c>
      <c r="M635" s="12" t="s">
        <v>1220</v>
      </c>
      <c r="N635" s="12" t="s">
        <v>1221</v>
      </c>
      <c r="O635" s="10" t="str">
        <f>HYPERLINK("https://pbs.twimg.com/profile_images/677512659554672640/2jnhRYHY_normal.jpg","View")</f>
        <v>View</v>
      </c>
      <c r="P635" s="11"/>
    </row>
    <row r="636" spans="1:16" ht="12.75" x14ac:dyDescent="0.35">
      <c r="A636" s="7">
        <v>42477.609444444446</v>
      </c>
      <c r="B636" s="8" t="str">
        <f>HYPERLINK("https://twitter.com/LeanKnowledge","@LeanKnowledge")</f>
        <v>@LeanKnowledge</v>
      </c>
      <c r="C636" s="9" t="s">
        <v>699</v>
      </c>
      <c r="D636" s="9" t="s">
        <v>1450</v>
      </c>
      <c r="E636" s="10" t="str">
        <f>HYPERLINK("https://twitter.com/LeanKnowledge/status/721626154084515840","721626154084515840")</f>
        <v>721626154084515840</v>
      </c>
      <c r="F636" s="11" t="s">
        <v>39</v>
      </c>
      <c r="G636" s="11">
        <v>89</v>
      </c>
      <c r="H636" s="11">
        <v>36</v>
      </c>
      <c r="I636" s="11">
        <v>2</v>
      </c>
      <c r="J636" s="11">
        <v>0</v>
      </c>
      <c r="K636" s="11" t="s">
        <v>21</v>
      </c>
      <c r="L636" s="7">
        <v>42328.584224537037</v>
      </c>
      <c r="M636" s="12" t="s">
        <v>92</v>
      </c>
      <c r="N636" s="12" t="s">
        <v>701</v>
      </c>
      <c r="O636" s="10" t="str">
        <f>HYPERLINK("https://pbs.twimg.com/profile_images/667622351345950720/HAHOiaMn_normal.jpg","View")</f>
        <v>View</v>
      </c>
      <c r="P636" s="11"/>
    </row>
    <row r="637" spans="1:16" ht="12.75" x14ac:dyDescent="0.35">
      <c r="A637" s="7">
        <v>42477.609699074077</v>
      </c>
      <c r="B637" s="8" t="str">
        <f>HYPERLINK("https://twitter.com/_leangame","@_leangame")</f>
        <v>@_leangame</v>
      </c>
      <c r="C637" s="9" t="s">
        <v>1451</v>
      </c>
      <c r="D637" s="9" t="s">
        <v>1452</v>
      </c>
      <c r="E637" s="10" t="str">
        <f>HYPERLINK("https://twitter.com/_leangame/status/721626245293817856","721626245293817856")</f>
        <v>721626245293817856</v>
      </c>
      <c r="F637" s="11" t="s">
        <v>39</v>
      </c>
      <c r="G637" s="11">
        <v>44</v>
      </c>
      <c r="H637" s="11">
        <v>24</v>
      </c>
      <c r="I637" s="11">
        <v>2</v>
      </c>
      <c r="J637" s="11">
        <v>0</v>
      </c>
      <c r="K637" s="11" t="s">
        <v>21</v>
      </c>
      <c r="L637" s="7">
        <v>42244.701689814814</v>
      </c>
      <c r="M637" s="12" t="s">
        <v>1453</v>
      </c>
      <c r="N637" s="12" t="s">
        <v>1454</v>
      </c>
      <c r="O637" s="10" t="str">
        <f>HYPERLINK("https://pbs.twimg.com/profile_images/637227259481468928/NfIt-fjl_normal.jpg","View")</f>
        <v>View</v>
      </c>
      <c r="P637" s="11"/>
    </row>
    <row r="638" spans="1:16" ht="12.75" x14ac:dyDescent="0.35">
      <c r="A638" s="7">
        <v>42477.611620370371</v>
      </c>
      <c r="B638" s="8" t="str">
        <f>HYPERLINK("https://twitter.com/Lean_john","@Lean_john")</f>
        <v>@Lean_john</v>
      </c>
      <c r="C638" s="9" t="s">
        <v>705</v>
      </c>
      <c r="D638" s="9" t="s">
        <v>1455</v>
      </c>
      <c r="E638" s="10" t="str">
        <f>HYPERLINK("https://twitter.com/Lean_john/status/721626941695127552","721626941695127552")</f>
        <v>721626941695127552</v>
      </c>
      <c r="F638" s="11" t="s">
        <v>222</v>
      </c>
      <c r="G638" s="11">
        <v>725</v>
      </c>
      <c r="H638" s="11">
        <v>398</v>
      </c>
      <c r="I638" s="11">
        <v>1</v>
      </c>
      <c r="J638" s="11">
        <v>0</v>
      </c>
      <c r="K638" s="11" t="s">
        <v>21</v>
      </c>
      <c r="L638" s="7">
        <v>40703.67690972222</v>
      </c>
      <c r="M638" s="12" t="s">
        <v>162</v>
      </c>
      <c r="N638" s="12" t="s">
        <v>707</v>
      </c>
      <c r="O638" s="10" t="str">
        <f>HYPERLINK("https://pbs.twimg.com/profile_images/2181612837/Johann_normal.jpg","View")</f>
        <v>View</v>
      </c>
      <c r="P638" s="11"/>
    </row>
    <row r="639" spans="1:16" ht="12.75" x14ac:dyDescent="0.35">
      <c r="A639" s="7">
        <v>42477.611909722225</v>
      </c>
      <c r="B639" s="8" t="str">
        <f t="shared" ref="B639:B640" si="64">HYPERLINK("https://twitter.com/INDIZbot","@INDIZbot")</f>
        <v>@INDIZbot</v>
      </c>
      <c r="C639" s="9" t="s">
        <v>61</v>
      </c>
      <c r="D639" s="9" t="s">
        <v>1456</v>
      </c>
      <c r="E639" s="10" t="str">
        <f>HYPERLINK("https://twitter.com/INDIZbot/status/721627043776110592","721627043776110592")</f>
        <v>721627043776110592</v>
      </c>
      <c r="F639" s="11" t="s">
        <v>62</v>
      </c>
      <c r="G639" s="11">
        <v>1762</v>
      </c>
      <c r="H639" s="11">
        <v>481</v>
      </c>
      <c r="I639" s="11">
        <v>1</v>
      </c>
      <c r="J639" s="11">
        <v>0</v>
      </c>
      <c r="K639" s="11" t="s">
        <v>21</v>
      </c>
      <c r="L639" s="7">
        <v>42267.011921296296</v>
      </c>
      <c r="M639" s="12"/>
      <c r="N639" s="12" t="s">
        <v>63</v>
      </c>
      <c r="O639" s="10" t="str">
        <f t="shared" ref="O639:O640" si="65">HYPERLINK("https://pbs.twimg.com/profile_images/645716711723925506/t5G0qOS6_normal.jpg","View")</f>
        <v>View</v>
      </c>
      <c r="P639" s="11"/>
    </row>
    <row r="640" spans="1:16" ht="12.75" x14ac:dyDescent="0.35">
      <c r="A640" s="7">
        <v>42477.612569444449</v>
      </c>
      <c r="B640" s="8" t="str">
        <f t="shared" si="64"/>
        <v>@INDIZbot</v>
      </c>
      <c r="C640" s="9" t="s">
        <v>61</v>
      </c>
      <c r="D640" s="9" t="s">
        <v>1452</v>
      </c>
      <c r="E640" s="10" t="str">
        <f>HYPERLINK("https://twitter.com/INDIZbot/status/721627285242134528","721627285242134528")</f>
        <v>721627285242134528</v>
      </c>
      <c r="F640" s="11" t="s">
        <v>62</v>
      </c>
      <c r="G640" s="11">
        <v>1762</v>
      </c>
      <c r="H640" s="11">
        <v>481</v>
      </c>
      <c r="I640" s="11">
        <v>2</v>
      </c>
      <c r="J640" s="11">
        <v>0</v>
      </c>
      <c r="K640" s="11" t="s">
        <v>21</v>
      </c>
      <c r="L640" s="7">
        <v>42267.011921296296</v>
      </c>
      <c r="M640" s="12"/>
      <c r="N640" s="12" t="s">
        <v>63</v>
      </c>
      <c r="O640" s="10" t="str">
        <f t="shared" si="65"/>
        <v>View</v>
      </c>
      <c r="P640" s="11"/>
    </row>
    <row r="641" spans="1:16" ht="12.75" x14ac:dyDescent="0.35">
      <c r="A641" s="7">
        <v>42477.613738425927</v>
      </c>
      <c r="B641" s="8" t="str">
        <f>HYPERLINK("https://twitter.com/Rhartschmidt","@Rhartschmidt")</f>
        <v>@Rhartschmidt</v>
      </c>
      <c r="C641" s="9" t="s">
        <v>1457</v>
      </c>
      <c r="D641" s="9" t="s">
        <v>1458</v>
      </c>
      <c r="E641" s="10" t="str">
        <f>HYPERLINK("https://twitter.com/Rhartschmidt/status/721627709101719552","721627709101719552")</f>
        <v>721627709101719552</v>
      </c>
      <c r="F641" s="11" t="s">
        <v>31</v>
      </c>
      <c r="G641" s="11">
        <v>47</v>
      </c>
      <c r="H641" s="11">
        <v>77</v>
      </c>
      <c r="I641" s="11">
        <v>2</v>
      </c>
      <c r="J641" s="11">
        <v>0</v>
      </c>
      <c r="K641" s="11" t="s">
        <v>21</v>
      </c>
      <c r="L641" s="7">
        <v>39987.048032407409</v>
      </c>
      <c r="M641" s="12"/>
      <c r="N641" s="12"/>
      <c r="O641" s="10" t="str">
        <f>HYPERLINK("https://pbs.twimg.com/profile_images/534683632380571648/y2Euoxmm_normal.png","View")</f>
        <v>View</v>
      </c>
      <c r="P641" s="11"/>
    </row>
    <row r="642" spans="1:16" ht="12.75" x14ac:dyDescent="0.35">
      <c r="A642" s="7">
        <v>42477.614918981482</v>
      </c>
      <c r="B642" s="8" t="str">
        <f>HYPERLINK("https://twitter.com/batix","@batix")</f>
        <v>@batix</v>
      </c>
      <c r="C642" s="9" t="s">
        <v>1214</v>
      </c>
      <c r="D642" s="9" t="s">
        <v>1458</v>
      </c>
      <c r="E642" s="10" t="str">
        <f>HYPERLINK("https://twitter.com/batix/status/721628134651609088","721628134651609088")</f>
        <v>721628134651609088</v>
      </c>
      <c r="F642" s="11" t="s">
        <v>29</v>
      </c>
      <c r="G642" s="11">
        <v>44</v>
      </c>
      <c r="H642" s="11">
        <v>83</v>
      </c>
      <c r="I642" s="11">
        <v>2</v>
      </c>
      <c r="J642" s="11">
        <v>0</v>
      </c>
      <c r="K642" s="11" t="s">
        <v>21</v>
      </c>
      <c r="L642" s="7">
        <v>40056.079768518517</v>
      </c>
      <c r="M642" s="12" t="s">
        <v>1216</v>
      </c>
      <c r="N642" s="12" t="s">
        <v>1217</v>
      </c>
      <c r="O642" s="10" t="str">
        <f>HYPERLINK("https://pbs.twimg.com/profile_images/710178864778121216/Eq8vGVB9_normal.jpg","View")</f>
        <v>View</v>
      </c>
      <c r="P642" s="11"/>
    </row>
    <row r="643" spans="1:16" ht="12.75" x14ac:dyDescent="0.35">
      <c r="A643" s="7">
        <v>42477.632395833338</v>
      </c>
      <c r="B643" s="8" t="str">
        <f>HYPERLINK("https://twitter.com/JeffRConnolly","@JeffRConnolly")</f>
        <v>@JeffRConnolly</v>
      </c>
      <c r="C643" s="9" t="s">
        <v>1459</v>
      </c>
      <c r="D643" s="9" t="s">
        <v>1460</v>
      </c>
      <c r="E643" s="10" t="str">
        <f>HYPERLINK("https://twitter.com/JeffRConnolly/status/721634471116537857","721634471116537857")</f>
        <v>721634471116537857</v>
      </c>
      <c r="F643" s="11" t="s">
        <v>31</v>
      </c>
      <c r="G643" s="11">
        <v>493</v>
      </c>
      <c r="H643" s="11">
        <v>220</v>
      </c>
      <c r="I643" s="11">
        <v>24</v>
      </c>
      <c r="J643" s="11">
        <v>0</v>
      </c>
      <c r="K643" s="11" t="s">
        <v>21</v>
      </c>
      <c r="L643" s="7">
        <v>41680.69259259259</v>
      </c>
      <c r="M643" s="12" t="s">
        <v>1461</v>
      </c>
      <c r="N643" s="12" t="s">
        <v>1462</v>
      </c>
      <c r="O643" s="10" t="str">
        <f>HYPERLINK("https://pbs.twimg.com/profile_images/444069537869094912/Oh8ZB7sl_normal.jpeg","View")</f>
        <v>View</v>
      </c>
      <c r="P643" s="11"/>
    </row>
    <row r="644" spans="1:16" ht="12.75" x14ac:dyDescent="0.35">
      <c r="A644" s="7">
        <v>42477.654178240744</v>
      </c>
      <c r="B644" s="8" t="str">
        <f>HYPERLINK("https://twitter.com/QuickFindsIn","@QuickFindsIn")</f>
        <v>@QuickFindsIn</v>
      </c>
      <c r="C644" s="9" t="s">
        <v>208</v>
      </c>
      <c r="D644" s="9" t="s">
        <v>733</v>
      </c>
      <c r="E644" s="10" t="str">
        <f>HYPERLINK("https://twitter.com/QuickFindsIn/status/721642364989628416","721642364989628416")</f>
        <v>721642364989628416</v>
      </c>
      <c r="F644" s="11" t="s">
        <v>210</v>
      </c>
      <c r="G644" s="11">
        <v>1895</v>
      </c>
      <c r="H644" s="11">
        <v>2758</v>
      </c>
      <c r="I644" s="11">
        <v>0</v>
      </c>
      <c r="J644" s="11">
        <v>0</v>
      </c>
      <c r="K644" s="11" t="s">
        <v>21</v>
      </c>
      <c r="L644" s="7">
        <v>42069.582048611112</v>
      </c>
      <c r="M644" s="12" t="s">
        <v>211</v>
      </c>
      <c r="N644" s="12" t="s">
        <v>212</v>
      </c>
      <c r="O644" s="10" t="str">
        <f>HYPERLINK("https://pbs.twimg.com/profile_images/591951396217327616/HbcCX2zX_normal.png","View")</f>
        <v>View</v>
      </c>
      <c r="P644" s="11"/>
    </row>
    <row r="645" spans="1:16" ht="12.75" x14ac:dyDescent="0.35">
      <c r="A645" s="7">
        <v>42477.683055555557</v>
      </c>
      <c r="B645" s="8" t="str">
        <f>HYPERLINK("https://twitter.com/PiotrDrago","@PiotrDrago")</f>
        <v>@PiotrDrago</v>
      </c>
      <c r="C645" s="9" t="s">
        <v>1463</v>
      </c>
      <c r="D645" s="9" t="s">
        <v>1464</v>
      </c>
      <c r="E645" s="10" t="str">
        <f>HYPERLINK("https://twitter.com/PiotrDrago/status/721652827085533184","721652827085533184")</f>
        <v>721652827085533184</v>
      </c>
      <c r="F645" s="11" t="s">
        <v>20</v>
      </c>
      <c r="G645" s="11">
        <v>795</v>
      </c>
      <c r="H645" s="11">
        <v>1679</v>
      </c>
      <c r="I645" s="11">
        <v>5</v>
      </c>
      <c r="J645" s="11">
        <v>0</v>
      </c>
      <c r="K645" s="11" t="s">
        <v>21</v>
      </c>
      <c r="L645" s="7">
        <v>41066.625104166669</v>
      </c>
      <c r="M645" s="12" t="s">
        <v>1465</v>
      </c>
      <c r="N645" s="12" t="s">
        <v>1466</v>
      </c>
      <c r="O645" s="10" t="str">
        <f>HYPERLINK("https://pbs.twimg.com/profile_images/623143712797892608/KJ6dYp6z_normal.jpg","View")</f>
        <v>View</v>
      </c>
      <c r="P645" s="11"/>
    </row>
    <row r="646" spans="1:16" ht="12.75" x14ac:dyDescent="0.35">
      <c r="A646" s="7">
        <v>42477.687523148154</v>
      </c>
      <c r="B646" s="8" t="str">
        <f>HYPERLINK("https://twitter.com/verlinked","@verlinked")</f>
        <v>@verlinked</v>
      </c>
      <c r="C646" s="9" t="s">
        <v>263</v>
      </c>
      <c r="D646" s="9" t="s">
        <v>1467</v>
      </c>
      <c r="E646" s="10" t="str">
        <f>HYPERLINK("https://twitter.com/verlinked/status/721654448011935745","721654448011935745")</f>
        <v>721654448011935745</v>
      </c>
      <c r="F646" s="11" t="s">
        <v>115</v>
      </c>
      <c r="G646" s="11">
        <v>600</v>
      </c>
      <c r="H646" s="11">
        <v>1201</v>
      </c>
      <c r="I646" s="11">
        <v>1</v>
      </c>
      <c r="J646" s="11">
        <v>0</v>
      </c>
      <c r="K646" s="11" t="s">
        <v>21</v>
      </c>
      <c r="L646" s="7">
        <v>41463.077627314815</v>
      </c>
      <c r="M646" s="12" t="s">
        <v>265</v>
      </c>
      <c r="N646" s="12" t="s">
        <v>266</v>
      </c>
      <c r="O646" s="10" t="str">
        <f>HYPERLINK("https://pbs.twimg.com/profile_images/722385992343285760/ww8YLZ2q_normal.jpg","View")</f>
        <v>View</v>
      </c>
      <c r="P646" s="11"/>
    </row>
    <row r="647" spans="1:16" ht="12.75" x14ac:dyDescent="0.35">
      <c r="A647" s="7">
        <v>42477.68818287037</v>
      </c>
      <c r="B647" s="8" t="str">
        <f>HYPERLINK("https://twitter.com/induux_de","@induux_de")</f>
        <v>@induux_de</v>
      </c>
      <c r="C647" s="9" t="s">
        <v>349</v>
      </c>
      <c r="D647" s="9" t="s">
        <v>1468</v>
      </c>
      <c r="E647" s="10" t="str">
        <f>HYPERLINK("https://twitter.com/induux_de/status/721654687292895232","721654687292895232")</f>
        <v>721654687292895232</v>
      </c>
      <c r="F647" s="11" t="s">
        <v>39</v>
      </c>
      <c r="G647" s="11">
        <v>1751</v>
      </c>
      <c r="H647" s="11">
        <v>2358</v>
      </c>
      <c r="I647" s="11">
        <v>2</v>
      </c>
      <c r="J647" s="11">
        <v>1</v>
      </c>
      <c r="K647" s="11" t="s">
        <v>21</v>
      </c>
      <c r="L647" s="7">
        <v>40222.837696759263</v>
      </c>
      <c r="M647" s="12" t="s">
        <v>351</v>
      </c>
      <c r="N647" s="12" t="s">
        <v>352</v>
      </c>
      <c r="O647" s="10" t="str">
        <f>HYPERLINK("https://pbs.twimg.com/profile_images/455629070454116352/ujZ3h7Ww_normal.png","View")</f>
        <v>View</v>
      </c>
      <c r="P647" s="11"/>
    </row>
    <row r="648" spans="1:16" ht="12.75" x14ac:dyDescent="0.35">
      <c r="A648" s="7">
        <v>42477.688298611116</v>
      </c>
      <c r="B648" s="8" t="str">
        <f>HYPERLINK("https://twitter.com/INDIZbot","@INDIZbot")</f>
        <v>@INDIZbot</v>
      </c>
      <c r="C648" s="9" t="s">
        <v>61</v>
      </c>
      <c r="D648" s="9" t="s">
        <v>1469</v>
      </c>
      <c r="E648" s="10" t="str">
        <f>HYPERLINK("https://twitter.com/INDIZbot/status/721654726593495040","721654726593495040")</f>
        <v>721654726593495040</v>
      </c>
      <c r="F648" s="11" t="s">
        <v>62</v>
      </c>
      <c r="G648" s="11">
        <v>1762</v>
      </c>
      <c r="H648" s="11">
        <v>481</v>
      </c>
      <c r="I648" s="11">
        <v>1</v>
      </c>
      <c r="J648" s="11">
        <v>0</v>
      </c>
      <c r="K648" s="11" t="s">
        <v>21</v>
      </c>
      <c r="L648" s="7">
        <v>42267.011921296296</v>
      </c>
      <c r="M648" s="12"/>
      <c r="N648" s="12" t="s">
        <v>63</v>
      </c>
      <c r="O648" s="10" t="str">
        <f>HYPERLINK("https://pbs.twimg.com/profile_images/645716711723925506/t5G0qOS6_normal.jpg","View")</f>
        <v>View</v>
      </c>
      <c r="P648" s="11"/>
    </row>
    <row r="649" spans="1:16" ht="12.75" x14ac:dyDescent="0.35">
      <c r="A649" s="7">
        <v>42477.695358796293</v>
      </c>
      <c r="B649" s="8" t="str">
        <f>HYPERLINK("https://twitter.com/HonMovies","@HonMovies")</f>
        <v>@HonMovies</v>
      </c>
      <c r="C649" s="9" t="s">
        <v>1470</v>
      </c>
      <c r="D649" s="9" t="s">
        <v>1471</v>
      </c>
      <c r="E649" s="10" t="str">
        <f>HYPERLINK("https://twitter.com/HonMovies/status/721657285596946432","721657285596946432")</f>
        <v>721657285596946432</v>
      </c>
      <c r="F649" s="10" t="s">
        <v>1472</v>
      </c>
      <c r="G649" s="11">
        <v>23</v>
      </c>
      <c r="H649" s="11">
        <v>23</v>
      </c>
      <c r="I649" s="11">
        <v>0</v>
      </c>
      <c r="J649" s="11">
        <v>0</v>
      </c>
      <c r="K649" s="11" t="s">
        <v>21</v>
      </c>
      <c r="L649" s="7">
        <v>42426.900694444441</v>
      </c>
      <c r="M649" s="12"/>
      <c r="N649" s="12"/>
      <c r="O649" s="10" t="str">
        <f>HYPERLINK("https://pbs.twimg.com/profile_images/703250496518098944/5SnwZ41l_normal.jpg","View")</f>
        <v>View</v>
      </c>
      <c r="P649" s="11"/>
    </row>
    <row r="650" spans="1:16" ht="12.75" x14ac:dyDescent="0.35">
      <c r="A650" s="7">
        <v>42477.695740740739</v>
      </c>
      <c r="B650" s="8" t="str">
        <f>HYPERLINK("https://twitter.com/INDIZbot","@INDIZbot")</f>
        <v>@INDIZbot</v>
      </c>
      <c r="C650" s="9" t="s">
        <v>61</v>
      </c>
      <c r="D650" s="9" t="s">
        <v>1473</v>
      </c>
      <c r="E650" s="10" t="str">
        <f>HYPERLINK("https://twitter.com/INDIZbot/status/721657424806068224","721657424806068224")</f>
        <v>721657424806068224</v>
      </c>
      <c r="F650" s="11" t="s">
        <v>62</v>
      </c>
      <c r="G650" s="11">
        <v>1762</v>
      </c>
      <c r="H650" s="11">
        <v>481</v>
      </c>
      <c r="I650" s="11">
        <v>2</v>
      </c>
      <c r="J650" s="11">
        <v>0</v>
      </c>
      <c r="K650" s="11" t="s">
        <v>21</v>
      </c>
      <c r="L650" s="7">
        <v>42267.011921296296</v>
      </c>
      <c r="M650" s="12"/>
      <c r="N650" s="12" t="s">
        <v>63</v>
      </c>
      <c r="O650" s="10" t="str">
        <f>HYPERLINK("https://pbs.twimg.com/profile_images/645716711723925506/t5G0qOS6_normal.jpg","View")</f>
        <v>View</v>
      </c>
      <c r="P650" s="11"/>
    </row>
    <row r="651" spans="1:16" ht="12.75" x14ac:dyDescent="0.35">
      <c r="A651" s="7">
        <v>42477.70313657407</v>
      </c>
      <c r="B651" s="8" t="str">
        <f>HYPERLINK("https://twitter.com/VDI_News","@VDI_News")</f>
        <v>@VDI_News</v>
      </c>
      <c r="C651" s="9" t="s">
        <v>118</v>
      </c>
      <c r="D651" s="9" t="s">
        <v>1474</v>
      </c>
      <c r="E651" s="10" t="str">
        <f>HYPERLINK("https://twitter.com/VDI_News/status/721660103917748224","721660103917748224")</f>
        <v>721660103917748224</v>
      </c>
      <c r="F651" s="11" t="s">
        <v>25</v>
      </c>
      <c r="G651" s="11">
        <v>8756</v>
      </c>
      <c r="H651" s="11">
        <v>514</v>
      </c>
      <c r="I651" s="11">
        <v>1</v>
      </c>
      <c r="J651" s="11">
        <v>0</v>
      </c>
      <c r="K651" s="11" t="s">
        <v>21</v>
      </c>
      <c r="L651" s="7">
        <v>39876.69908564815</v>
      </c>
      <c r="M651" s="12" t="s">
        <v>121</v>
      </c>
      <c r="N651" s="12" t="s">
        <v>122</v>
      </c>
      <c r="O651" s="10" t="str">
        <f>HYPERLINK("https://pbs.twimg.com/profile_images/469070945483628546/iD8AeJP6_normal.png","View")</f>
        <v>View</v>
      </c>
      <c r="P651" s="11"/>
    </row>
    <row r="652" spans="1:16" ht="12.75" x14ac:dyDescent="0.35">
      <c r="A652" s="7">
        <v>42477.731874999998</v>
      </c>
      <c r="B652" s="8" t="str">
        <f>HYPERLINK("https://twitter.com/H_IT_D","@H_IT_D")</f>
        <v>@H_IT_D</v>
      </c>
      <c r="C652" s="9" t="s">
        <v>159</v>
      </c>
      <c r="D652" s="9" t="s">
        <v>1475</v>
      </c>
      <c r="E652" s="10" t="str">
        <f>HYPERLINK("https://twitter.com/H_IT_D/status/721670519263666176","721670519263666176")</f>
        <v>721670519263666176</v>
      </c>
      <c r="F652" s="11" t="s">
        <v>161</v>
      </c>
      <c r="G652" s="11">
        <v>463</v>
      </c>
      <c r="H652" s="11">
        <v>467</v>
      </c>
      <c r="I652" s="11">
        <v>1</v>
      </c>
      <c r="J652" s="11">
        <v>0</v>
      </c>
      <c r="K652" s="11" t="s">
        <v>21</v>
      </c>
      <c r="L652" s="7">
        <v>40723.867673611108</v>
      </c>
      <c r="M652" s="12" t="s">
        <v>162</v>
      </c>
      <c r="N652" s="12" t="s">
        <v>163</v>
      </c>
      <c r="O652" s="10" t="str">
        <f>HYPERLINK("https://pbs.twimg.com/profile_images/662723326096224256/5V4KH9_O_normal.jpg","View")</f>
        <v>View</v>
      </c>
      <c r="P652" s="11"/>
    </row>
    <row r="653" spans="1:16" ht="12.75" x14ac:dyDescent="0.35">
      <c r="A653" s="7">
        <v>42477.731956018513</v>
      </c>
      <c r="B653" s="8" t="str">
        <f>HYPERLINK("https://twitter.com/Apandia","@Apandia")</f>
        <v>@Apandia</v>
      </c>
      <c r="C653" s="9" t="s">
        <v>245</v>
      </c>
      <c r="D653" s="9" t="s">
        <v>1476</v>
      </c>
      <c r="E653" s="10" t="str">
        <f>HYPERLINK("https://twitter.com/Apandia/status/721670549601185792","721670549601185792")</f>
        <v>721670549601185792</v>
      </c>
      <c r="F653" s="11" t="s">
        <v>115</v>
      </c>
      <c r="G653" s="11">
        <v>196</v>
      </c>
      <c r="H653" s="11">
        <v>384</v>
      </c>
      <c r="I653" s="11">
        <v>1</v>
      </c>
      <c r="J653" s="11">
        <v>0</v>
      </c>
      <c r="K653" s="11" t="s">
        <v>21</v>
      </c>
      <c r="L653" s="7">
        <v>39966.049884259257</v>
      </c>
      <c r="M653" s="12" t="s">
        <v>247</v>
      </c>
      <c r="N653" s="12" t="s">
        <v>248</v>
      </c>
      <c r="O653" s="10" t="str">
        <f>HYPERLINK("https://pbs.twimg.com/profile_images/685327213/Apandia_normal.gif","View")</f>
        <v>View</v>
      </c>
      <c r="P653" s="11"/>
    </row>
    <row r="654" spans="1:16" ht="12.75" x14ac:dyDescent="0.35">
      <c r="A654" s="7">
        <v>42477.737546296295</v>
      </c>
      <c r="B654" s="8" t="str">
        <f t="shared" ref="B654:B655" si="66">HYPERLINK("https://twitter.com/INDIZbot","@INDIZbot")</f>
        <v>@INDIZbot</v>
      </c>
      <c r="C654" s="9" t="s">
        <v>61</v>
      </c>
      <c r="D654" s="9" t="s">
        <v>1477</v>
      </c>
      <c r="E654" s="10" t="str">
        <f>HYPERLINK("https://twitter.com/INDIZbot/status/721672573684215808","721672573684215808")</f>
        <v>721672573684215808</v>
      </c>
      <c r="F654" s="11" t="s">
        <v>62</v>
      </c>
      <c r="G654" s="11">
        <v>1762</v>
      </c>
      <c r="H654" s="11">
        <v>481</v>
      </c>
      <c r="I654" s="11">
        <v>1</v>
      </c>
      <c r="J654" s="11">
        <v>0</v>
      </c>
      <c r="K654" s="11" t="s">
        <v>21</v>
      </c>
      <c r="L654" s="7">
        <v>42267.011921296296</v>
      </c>
      <c r="M654" s="12"/>
      <c r="N654" s="12" t="s">
        <v>63</v>
      </c>
      <c r="O654" s="10" t="str">
        <f t="shared" ref="O654:O655" si="67">HYPERLINK("https://pbs.twimg.com/profile_images/645716711723925506/t5G0qOS6_normal.jpg","View")</f>
        <v>View</v>
      </c>
      <c r="P654" s="11"/>
    </row>
    <row r="655" spans="1:16" ht="12.75" x14ac:dyDescent="0.35">
      <c r="A655" s="7">
        <v>42477.737847222219</v>
      </c>
      <c r="B655" s="8" t="str">
        <f t="shared" si="66"/>
        <v>@INDIZbot</v>
      </c>
      <c r="C655" s="9" t="s">
        <v>61</v>
      </c>
      <c r="D655" s="9" t="s">
        <v>1478</v>
      </c>
      <c r="E655" s="10" t="str">
        <f>HYPERLINK("https://twitter.com/INDIZbot/status/721672685206519809","721672685206519809")</f>
        <v>721672685206519809</v>
      </c>
      <c r="F655" s="11" t="s">
        <v>62</v>
      </c>
      <c r="G655" s="11">
        <v>1762</v>
      </c>
      <c r="H655" s="11">
        <v>481</v>
      </c>
      <c r="I655" s="11">
        <v>1</v>
      </c>
      <c r="J655" s="11">
        <v>0</v>
      </c>
      <c r="K655" s="11" t="s">
        <v>21</v>
      </c>
      <c r="L655" s="7">
        <v>42267.011921296296</v>
      </c>
      <c r="M655" s="12"/>
      <c r="N655" s="12" t="s">
        <v>63</v>
      </c>
      <c r="O655" s="10" t="str">
        <f t="shared" si="67"/>
        <v>View</v>
      </c>
      <c r="P655" s="11"/>
    </row>
    <row r="656" spans="1:16" ht="12.75" x14ac:dyDescent="0.35">
      <c r="A656" s="7">
        <v>42477.747615740736</v>
      </c>
      <c r="B656" s="8" t="str">
        <f>HYPERLINK("https://twitter.com/MartaBalan","@MartaBalan")</f>
        <v>@MartaBalan</v>
      </c>
      <c r="C656" s="9" t="s">
        <v>1479</v>
      </c>
      <c r="D656" s="9" t="s">
        <v>1480</v>
      </c>
      <c r="E656" s="10" t="str">
        <f>HYPERLINK("https://twitter.com/MartaBalan/status/721676222418145281","721676222418145281")</f>
        <v>721676222418145281</v>
      </c>
      <c r="F656" s="11" t="s">
        <v>25</v>
      </c>
      <c r="G656" s="11">
        <v>1477</v>
      </c>
      <c r="H656" s="11">
        <v>1310</v>
      </c>
      <c r="I656" s="11">
        <v>1</v>
      </c>
      <c r="J656" s="11">
        <v>0</v>
      </c>
      <c r="K656" s="11" t="s">
        <v>21</v>
      </c>
      <c r="L656" s="7">
        <v>40353.304814814815</v>
      </c>
      <c r="M656" s="12" t="s">
        <v>1481</v>
      </c>
      <c r="N656" s="12" t="s">
        <v>1482</v>
      </c>
      <c r="O656" s="10" t="str">
        <f>HYPERLINK("https://pbs.twimg.com/profile_images/618300868606062592/rBEB_H0O_normal.png","View")</f>
        <v>View</v>
      </c>
      <c r="P656" s="11"/>
    </row>
    <row r="657" spans="1:16" ht="12.75" x14ac:dyDescent="0.35">
      <c r="A657" s="7">
        <v>42477.770902777775</v>
      </c>
      <c r="B657" s="8" t="str">
        <f>HYPERLINK("https://twitter.com/verlinked","@verlinked")</f>
        <v>@verlinked</v>
      </c>
      <c r="C657" s="9" t="s">
        <v>263</v>
      </c>
      <c r="D657" s="9" t="s">
        <v>1483</v>
      </c>
      <c r="E657" s="10" t="str">
        <f>HYPERLINK("https://twitter.com/verlinked/status/721684663001939971","721684663001939971")</f>
        <v>721684663001939971</v>
      </c>
      <c r="F657" s="11" t="s">
        <v>115</v>
      </c>
      <c r="G657" s="11">
        <v>600</v>
      </c>
      <c r="H657" s="11">
        <v>1201</v>
      </c>
      <c r="I657" s="11">
        <v>1</v>
      </c>
      <c r="J657" s="11">
        <v>0</v>
      </c>
      <c r="K657" s="11" t="s">
        <v>21</v>
      </c>
      <c r="L657" s="7">
        <v>41463.077627314815</v>
      </c>
      <c r="M657" s="12" t="s">
        <v>265</v>
      </c>
      <c r="N657" s="12" t="s">
        <v>266</v>
      </c>
      <c r="O657" s="10" t="str">
        <f>HYPERLINK("https://pbs.twimg.com/profile_images/722385992343285760/ww8YLZ2q_normal.jpg","View")</f>
        <v>View</v>
      </c>
      <c r="P657" s="11"/>
    </row>
    <row r="658" spans="1:16" ht="12.75" x14ac:dyDescent="0.35">
      <c r="A658" s="7">
        <v>42477.77721064815</v>
      </c>
      <c r="B658" s="8" t="str">
        <f>HYPERLINK("https://twitter.com/H_IT_D","@H_IT_D")</f>
        <v>@H_IT_D</v>
      </c>
      <c r="C658" s="9" t="s">
        <v>159</v>
      </c>
      <c r="D658" s="9" t="s">
        <v>1484</v>
      </c>
      <c r="E658" s="10" t="str">
        <f>HYPERLINK("https://twitter.com/H_IT_D/status/721686949140897794","721686949140897794")</f>
        <v>721686949140897794</v>
      </c>
      <c r="F658" s="11" t="s">
        <v>161</v>
      </c>
      <c r="G658" s="11">
        <v>463</v>
      </c>
      <c r="H658" s="11">
        <v>467</v>
      </c>
      <c r="I658" s="11">
        <v>1</v>
      </c>
      <c r="J658" s="11">
        <v>0</v>
      </c>
      <c r="K658" s="11" t="s">
        <v>21</v>
      </c>
      <c r="L658" s="7">
        <v>40723.867673611108</v>
      </c>
      <c r="M658" s="12" t="s">
        <v>162</v>
      </c>
      <c r="N658" s="12" t="s">
        <v>163</v>
      </c>
      <c r="O658" s="10" t="str">
        <f>HYPERLINK("https://pbs.twimg.com/profile_images/662723326096224256/5V4KH9_O_normal.jpg","View")</f>
        <v>View</v>
      </c>
      <c r="P658" s="11"/>
    </row>
    <row r="659" spans="1:16" ht="12.75" x14ac:dyDescent="0.35">
      <c r="A659" s="7">
        <v>42477.782141203701</v>
      </c>
      <c r="B659" s="8" t="str">
        <f>HYPERLINK("https://twitter.com/CmartinCg","@CmartinCg")</f>
        <v>@CmartinCg</v>
      </c>
      <c r="C659" s="9" t="s">
        <v>1485</v>
      </c>
      <c r="D659" s="9" t="s">
        <v>1000</v>
      </c>
      <c r="E659" s="10" t="str">
        <f>HYPERLINK("https://twitter.com/CmartinCg/status/721688736233365504","721688736233365504")</f>
        <v>721688736233365504</v>
      </c>
      <c r="F659" s="11" t="s">
        <v>20</v>
      </c>
      <c r="G659" s="11">
        <v>54</v>
      </c>
      <c r="H659" s="11">
        <v>126</v>
      </c>
      <c r="I659" s="11">
        <v>10</v>
      </c>
      <c r="J659" s="11">
        <v>0</v>
      </c>
      <c r="K659" s="11" t="s">
        <v>21</v>
      </c>
      <c r="L659" s="7">
        <v>42220.863541666666</v>
      </c>
      <c r="M659" s="12" t="s">
        <v>1486</v>
      </c>
      <c r="N659" s="12" t="s">
        <v>1487</v>
      </c>
      <c r="O659" s="10" t="str">
        <f>HYPERLINK("https://pbs.twimg.com/profile_images/628639886103445504/x3eziL0C_normal.jpg","View")</f>
        <v>View</v>
      </c>
      <c r="P659" s="11"/>
    </row>
    <row r="660" spans="1:16" ht="12.75" x14ac:dyDescent="0.35">
      <c r="A660" s="7">
        <v>42477.792870370366</v>
      </c>
      <c r="B660" s="8" t="str">
        <f t="shared" ref="B660:B661" si="68">HYPERLINK("https://twitter.com/INDIZbot","@INDIZbot")</f>
        <v>@INDIZbot</v>
      </c>
      <c r="C660" s="9" t="s">
        <v>61</v>
      </c>
      <c r="D660" s="9" t="s">
        <v>1488</v>
      </c>
      <c r="E660" s="10" t="str">
        <f>HYPERLINK("https://twitter.com/INDIZbot/status/721692624046985216","721692624046985216")</f>
        <v>721692624046985216</v>
      </c>
      <c r="F660" s="11" t="s">
        <v>62</v>
      </c>
      <c r="G660" s="11">
        <v>1762</v>
      </c>
      <c r="H660" s="11">
        <v>481</v>
      </c>
      <c r="I660" s="11">
        <v>1</v>
      </c>
      <c r="J660" s="11">
        <v>0</v>
      </c>
      <c r="K660" s="11" t="s">
        <v>21</v>
      </c>
      <c r="L660" s="7">
        <v>42267.011921296296</v>
      </c>
      <c r="M660" s="12"/>
      <c r="N660" s="12" t="s">
        <v>63</v>
      </c>
      <c r="O660" s="10" t="str">
        <f t="shared" ref="O660:O661" si="69">HYPERLINK("https://pbs.twimg.com/profile_images/645716711723925506/t5G0qOS6_normal.jpg","View")</f>
        <v>View</v>
      </c>
      <c r="P660" s="11"/>
    </row>
    <row r="661" spans="1:16" ht="12.75" x14ac:dyDescent="0.35">
      <c r="A661" s="7">
        <v>42477.793645833328</v>
      </c>
      <c r="B661" s="8" t="str">
        <f t="shared" si="68"/>
        <v>@INDIZbot</v>
      </c>
      <c r="C661" s="9" t="s">
        <v>61</v>
      </c>
      <c r="D661" s="9" t="s">
        <v>1489</v>
      </c>
      <c r="E661" s="10" t="str">
        <f>HYPERLINK("https://twitter.com/INDIZbot/status/721692904704634880","721692904704634880")</f>
        <v>721692904704634880</v>
      </c>
      <c r="F661" s="11" t="s">
        <v>62</v>
      </c>
      <c r="G661" s="11">
        <v>1762</v>
      </c>
      <c r="H661" s="11">
        <v>481</v>
      </c>
      <c r="I661" s="11">
        <v>1</v>
      </c>
      <c r="J661" s="11">
        <v>0</v>
      </c>
      <c r="K661" s="11" t="s">
        <v>21</v>
      </c>
      <c r="L661" s="7">
        <v>42267.011921296296</v>
      </c>
      <c r="M661" s="12"/>
      <c r="N661" s="12" t="s">
        <v>63</v>
      </c>
      <c r="O661" s="10" t="str">
        <f t="shared" si="69"/>
        <v>View</v>
      </c>
      <c r="P661" s="11"/>
    </row>
    <row r="662" spans="1:16" ht="12.75" x14ac:dyDescent="0.35">
      <c r="A662" s="7">
        <v>42477.798287037032</v>
      </c>
      <c r="B662" s="8" t="str">
        <f>HYPERLINK("https://twitter.com/JUMO_net","@JUMO_net")</f>
        <v>@JUMO_net</v>
      </c>
      <c r="C662" s="9" t="s">
        <v>1490</v>
      </c>
      <c r="D662" s="9" t="s">
        <v>1473</v>
      </c>
      <c r="E662" s="10" t="str">
        <f>HYPERLINK("https://twitter.com/JUMO_net/status/721694587081912321","721694587081912321")</f>
        <v>721694587081912321</v>
      </c>
      <c r="F662" s="11" t="s">
        <v>1491</v>
      </c>
      <c r="G662" s="11">
        <v>554</v>
      </c>
      <c r="H662" s="11">
        <v>561</v>
      </c>
      <c r="I662" s="11">
        <v>2</v>
      </c>
      <c r="J662" s="11">
        <v>0</v>
      </c>
      <c r="K662" s="11" t="s">
        <v>21</v>
      </c>
      <c r="L662" s="7">
        <v>40422.719814814816</v>
      </c>
      <c r="M662" s="12" t="s">
        <v>1492</v>
      </c>
      <c r="N662" s="12" t="s">
        <v>1493</v>
      </c>
      <c r="O662" s="10" t="str">
        <f>HYPERLINK("https://pbs.twimg.com/profile_images/378800000369621923/8d32a81bad5abda3a93519fc049253f3_normal.jpeg","View")</f>
        <v>View</v>
      </c>
      <c r="P662" s="11"/>
    </row>
    <row r="663" spans="1:16" ht="12.75" x14ac:dyDescent="0.35">
      <c r="A663" s="7">
        <v>42477.825682870374</v>
      </c>
      <c r="B663" s="8" t="str">
        <f>HYPERLINK("https://twitter.com/Mario_Trapp","@Mario_Trapp")</f>
        <v>@Mario_Trapp</v>
      </c>
      <c r="C663" s="9" t="s">
        <v>1494</v>
      </c>
      <c r="D663" s="9" t="s">
        <v>1495</v>
      </c>
      <c r="E663" s="10" t="str">
        <f>HYPERLINK("https://twitter.com/Mario_Trapp/status/721704513904721921","721704513904721921")</f>
        <v>721704513904721921</v>
      </c>
      <c r="F663" s="11" t="s">
        <v>20</v>
      </c>
      <c r="G663" s="11">
        <v>84</v>
      </c>
      <c r="H663" s="11">
        <v>114</v>
      </c>
      <c r="I663" s="11">
        <v>4</v>
      </c>
      <c r="J663" s="11">
        <v>3</v>
      </c>
      <c r="K663" s="11" t="s">
        <v>21</v>
      </c>
      <c r="L663" s="7">
        <v>42170.856053240743</v>
      </c>
      <c r="M663" s="12"/>
      <c r="N663" s="12" t="s">
        <v>1496</v>
      </c>
      <c r="O663" s="10" t="str">
        <f>HYPERLINK("https://pbs.twimg.com/profile_images/611280074017538048/w7tmii0Y_normal.jpg","View")</f>
        <v>View</v>
      </c>
      <c r="P663" s="11"/>
    </row>
    <row r="664" spans="1:16" ht="12.75" x14ac:dyDescent="0.35">
      <c r="A664" s="7">
        <v>42477.830972222218</v>
      </c>
      <c r="B664" s="8" t="str">
        <f>HYPERLINK("https://twitter.com/b_spokeB","@b_spokeB")</f>
        <v>@b_spokeB</v>
      </c>
      <c r="C664" s="9" t="s">
        <v>1497</v>
      </c>
      <c r="D664" s="9" t="s">
        <v>1498</v>
      </c>
      <c r="E664" s="10" t="str">
        <f>HYPERLINK("https://twitter.com/b_spokeB/status/721706431393701888","721706431393701888")</f>
        <v>721706431393701888</v>
      </c>
      <c r="F664" s="11" t="s">
        <v>25</v>
      </c>
      <c r="G664" s="11">
        <v>43</v>
      </c>
      <c r="H664" s="11">
        <v>53</v>
      </c>
      <c r="I664" s="11">
        <v>2</v>
      </c>
      <c r="J664" s="11">
        <v>5</v>
      </c>
      <c r="K664" s="11" t="s">
        <v>21</v>
      </c>
      <c r="L664" s="7">
        <v>42080.83289351852</v>
      </c>
      <c r="M664" s="12"/>
      <c r="N664" s="12" t="s">
        <v>1499</v>
      </c>
      <c r="O664" s="10" t="str">
        <f>HYPERLINK("https://pbs.twimg.com/profile_images/684134634179923968/2dsDVRvp_normal.jpg","View")</f>
        <v>View</v>
      </c>
      <c r="P664" s="11"/>
    </row>
    <row r="665" spans="1:16" ht="12.75" x14ac:dyDescent="0.35">
      <c r="A665" s="7">
        <v>42477.839409722219</v>
      </c>
      <c r="B665" s="8" t="str">
        <f>HYPERLINK("https://twitter.com/CWRoehl","@CWRoehl")</f>
        <v>@CWRoehl</v>
      </c>
      <c r="C665" s="9" t="s">
        <v>1500</v>
      </c>
      <c r="D665" s="9" t="s">
        <v>1501</v>
      </c>
      <c r="E665" s="10" t="str">
        <f>HYPERLINK("https://twitter.com/CWRoehl/status/721709487594323968","721709487594323968")</f>
        <v>721709487594323968</v>
      </c>
      <c r="F665" s="11" t="s">
        <v>25</v>
      </c>
      <c r="G665" s="11">
        <v>174</v>
      </c>
      <c r="H665" s="11">
        <v>627</v>
      </c>
      <c r="I665" s="11">
        <v>0</v>
      </c>
      <c r="J665" s="11">
        <v>0</v>
      </c>
      <c r="K665" s="11" t="s">
        <v>21</v>
      </c>
      <c r="L665" s="7">
        <v>40763.560567129629</v>
      </c>
      <c r="M665" s="12" t="s">
        <v>116</v>
      </c>
      <c r="N665" s="12" t="s">
        <v>1502</v>
      </c>
      <c r="O665" s="10" t="str">
        <f>HYPERLINK("https://pbs.twimg.com/profile_images/702492224047730688/vof8rTo__normal.jpg","View")</f>
        <v>View</v>
      </c>
      <c r="P665" s="11"/>
    </row>
    <row r="666" spans="1:16" ht="12.75" x14ac:dyDescent="0.35">
      <c r="A666" s="7">
        <v>42477.848668981482</v>
      </c>
      <c r="B666" s="8" t="str">
        <f>HYPERLINK("https://twitter.com/INDIZbot","@INDIZbot")</f>
        <v>@INDIZbot</v>
      </c>
      <c r="C666" s="9" t="s">
        <v>61</v>
      </c>
      <c r="D666" s="9" t="s">
        <v>1503</v>
      </c>
      <c r="E666" s="10" t="str">
        <f>HYPERLINK("https://twitter.com/INDIZbot/status/721712845960953856","721712845960953856")</f>
        <v>721712845960953856</v>
      </c>
      <c r="F666" s="11" t="s">
        <v>62</v>
      </c>
      <c r="G666" s="11">
        <v>1762</v>
      </c>
      <c r="H666" s="11">
        <v>481</v>
      </c>
      <c r="I666" s="11">
        <v>2</v>
      </c>
      <c r="J666" s="11">
        <v>0</v>
      </c>
      <c r="K666" s="11" t="s">
        <v>21</v>
      </c>
      <c r="L666" s="7">
        <v>42267.011921296296</v>
      </c>
      <c r="M666" s="12"/>
      <c r="N666" s="12" t="s">
        <v>63</v>
      </c>
      <c r="O666" s="10" t="str">
        <f>HYPERLINK("https://pbs.twimg.com/profile_images/645716711723925506/t5G0qOS6_normal.jpg","View")</f>
        <v>View</v>
      </c>
      <c r="P666" s="11"/>
    </row>
    <row r="667" spans="1:16" ht="12.75" x14ac:dyDescent="0.35">
      <c r="A667" s="7">
        <v>42477.849131944444</v>
      </c>
      <c r="B667" s="8" t="str">
        <f>HYPERLINK("https://twitter.com/conosco","@conosco")</f>
        <v>@conosco</v>
      </c>
      <c r="C667" s="9" t="s">
        <v>1052</v>
      </c>
      <c r="D667" s="9" t="s">
        <v>1504</v>
      </c>
      <c r="E667" s="10" t="str">
        <f>HYPERLINK("https://twitter.com/conosco/status/721713011501703168","721713011501703168")</f>
        <v>721713011501703168</v>
      </c>
      <c r="F667" s="11" t="s">
        <v>29</v>
      </c>
      <c r="G667" s="11">
        <v>1015</v>
      </c>
      <c r="H667" s="11">
        <v>1897</v>
      </c>
      <c r="I667" s="11">
        <v>1</v>
      </c>
      <c r="J667" s="11">
        <v>1</v>
      </c>
      <c r="K667" s="11" t="s">
        <v>21</v>
      </c>
      <c r="L667" s="7">
        <v>39560.746261574073</v>
      </c>
      <c r="M667" s="12" t="s">
        <v>121</v>
      </c>
      <c r="N667" s="12" t="s">
        <v>1054</v>
      </c>
      <c r="O667" s="10" t="str">
        <f>HYPERLINK("https://pbs.twimg.com/profile_images/459441279181398016/MmGzaeIu_normal.jpeg","View")</f>
        <v>View</v>
      </c>
      <c r="P667" s="11"/>
    </row>
    <row r="668" spans="1:16" ht="12.75" x14ac:dyDescent="0.35">
      <c r="A668" s="7">
        <v>42477.849189814813</v>
      </c>
      <c r="B668" s="8" t="str">
        <f t="shared" ref="B668:B669" si="70">HYPERLINK("https://twitter.com/INDIZbot","@INDIZbot")</f>
        <v>@INDIZbot</v>
      </c>
      <c r="C668" s="9" t="s">
        <v>61</v>
      </c>
      <c r="D668" s="9" t="s">
        <v>1505</v>
      </c>
      <c r="E668" s="10" t="str">
        <f>HYPERLINK("https://twitter.com/INDIZbot/status/721713032737501184","721713032737501184")</f>
        <v>721713032737501184</v>
      </c>
      <c r="F668" s="11" t="s">
        <v>62</v>
      </c>
      <c r="G668" s="11">
        <v>1762</v>
      </c>
      <c r="H668" s="11">
        <v>481</v>
      </c>
      <c r="I668" s="11">
        <v>4</v>
      </c>
      <c r="J668" s="11">
        <v>0</v>
      </c>
      <c r="K668" s="11" t="s">
        <v>21</v>
      </c>
      <c r="L668" s="7">
        <v>42267.011921296296</v>
      </c>
      <c r="M668" s="12"/>
      <c r="N668" s="12" t="s">
        <v>63</v>
      </c>
      <c r="O668" s="10" t="str">
        <f t="shared" ref="O668:O669" si="71">HYPERLINK("https://pbs.twimg.com/profile_images/645716711723925506/t5G0qOS6_normal.jpg","View")</f>
        <v>View</v>
      </c>
      <c r="P668" s="11"/>
    </row>
    <row r="669" spans="1:16" ht="12.75" x14ac:dyDescent="0.35">
      <c r="A669" s="7">
        <v>42477.869791666672</v>
      </c>
      <c r="B669" s="8" t="str">
        <f t="shared" si="70"/>
        <v>@INDIZbot</v>
      </c>
      <c r="C669" s="9" t="s">
        <v>61</v>
      </c>
      <c r="D669" s="9" t="s">
        <v>1506</v>
      </c>
      <c r="E669" s="10" t="str">
        <f>HYPERLINK("https://twitter.com/INDIZbot/status/721720498091081728","721720498091081728")</f>
        <v>721720498091081728</v>
      </c>
      <c r="F669" s="11" t="s">
        <v>62</v>
      </c>
      <c r="G669" s="11">
        <v>1762</v>
      </c>
      <c r="H669" s="11">
        <v>481</v>
      </c>
      <c r="I669" s="11">
        <v>1</v>
      </c>
      <c r="J669" s="11">
        <v>0</v>
      </c>
      <c r="K669" s="11" t="s">
        <v>21</v>
      </c>
      <c r="L669" s="7">
        <v>42267.011921296296</v>
      </c>
      <c r="M669" s="12"/>
      <c r="N669" s="12" t="s">
        <v>63</v>
      </c>
      <c r="O669" s="10" t="str">
        <f t="shared" si="71"/>
        <v>View</v>
      </c>
      <c r="P669" s="11"/>
    </row>
    <row r="670" spans="1:16" ht="12.75" x14ac:dyDescent="0.35">
      <c r="A670" s="7">
        <v>42477.871701388889</v>
      </c>
      <c r="B670" s="8" t="str">
        <f>HYPERLINK("https://twitter.com/openHPI","@openHPI")</f>
        <v>@openHPI</v>
      </c>
      <c r="C670" s="9" t="s">
        <v>1381</v>
      </c>
      <c r="D670" s="9" t="s">
        <v>1507</v>
      </c>
      <c r="E670" s="10" t="str">
        <f>HYPERLINK("https://twitter.com/openHPI/status/721721192558764033","721721192558764033")</f>
        <v>721721192558764033</v>
      </c>
      <c r="F670" s="11" t="s">
        <v>39</v>
      </c>
      <c r="G670" s="11">
        <v>1568</v>
      </c>
      <c r="H670" s="11">
        <v>57</v>
      </c>
      <c r="I670" s="11">
        <v>4</v>
      </c>
      <c r="J670" s="11">
        <v>1</v>
      </c>
      <c r="K670" s="11" t="s">
        <v>21</v>
      </c>
      <c r="L670" s="7">
        <v>41191.624803240738</v>
      </c>
      <c r="M670" s="12" t="s">
        <v>1383</v>
      </c>
      <c r="N670" s="12" t="s">
        <v>1384</v>
      </c>
      <c r="O670" s="10" t="str">
        <f>HYPERLINK("https://pbs.twimg.com/profile_images/378800000827898552/669f90369b095789252ae6f0649bc39a_normal.png","View")</f>
        <v>View</v>
      </c>
      <c r="P670" s="11"/>
    </row>
    <row r="671" spans="1:16" ht="12.75" x14ac:dyDescent="0.35">
      <c r="A671" s="7">
        <v>42477.878206018519</v>
      </c>
      <c r="B671" s="8" t="str">
        <f>HYPERLINK("https://twitter.com/Lenze_FR","@Lenze_FR")</f>
        <v>@Lenze_FR</v>
      </c>
      <c r="C671" s="9" t="s">
        <v>1508</v>
      </c>
      <c r="D671" s="9" t="s">
        <v>1509</v>
      </c>
      <c r="E671" s="10" t="str">
        <f>HYPERLINK("https://twitter.com/Lenze_FR/status/721723546033106944","721723546033106944")</f>
        <v>721723546033106944</v>
      </c>
      <c r="F671" s="11" t="s">
        <v>59</v>
      </c>
      <c r="G671" s="11">
        <v>508</v>
      </c>
      <c r="H671" s="11">
        <v>826</v>
      </c>
      <c r="I671" s="11">
        <v>2</v>
      </c>
      <c r="J671" s="11">
        <v>2</v>
      </c>
      <c r="K671" s="11" t="s">
        <v>21</v>
      </c>
      <c r="L671" s="7">
        <v>40503.887106481481</v>
      </c>
      <c r="M671" s="12" t="s">
        <v>88</v>
      </c>
      <c r="N671" s="12" t="s">
        <v>1510</v>
      </c>
      <c r="O671" s="10" t="str">
        <f>HYPERLINK("https://pbs.twimg.com/profile_images/659103527302746112/SHt7cxmw_normal.png","View")</f>
        <v>View</v>
      </c>
      <c r="P671" s="11"/>
    </row>
    <row r="672" spans="1:16" ht="12.75" x14ac:dyDescent="0.35">
      <c r="A672" s="7">
        <v>42477.908576388887</v>
      </c>
      <c r="B672" s="8" t="str">
        <f>HYPERLINK("https://twitter.com/bamitav","@bamitav")</f>
        <v>@bamitav</v>
      </c>
      <c r="C672" s="9" t="s">
        <v>341</v>
      </c>
      <c r="D672" s="9" t="s">
        <v>1511</v>
      </c>
      <c r="E672" s="10" t="str">
        <f>HYPERLINK("https://twitter.com/bamitav/status/721734553501499394","721734553501499394")</f>
        <v>721734553501499394</v>
      </c>
      <c r="F672" s="11" t="s">
        <v>20</v>
      </c>
      <c r="G672" s="11">
        <v>7341</v>
      </c>
      <c r="H672" s="11">
        <v>6333</v>
      </c>
      <c r="I672" s="11">
        <v>1</v>
      </c>
      <c r="J672" s="11">
        <v>2</v>
      </c>
      <c r="K672" s="11" t="s">
        <v>21</v>
      </c>
      <c r="L672" s="7">
        <v>40138.933622685188</v>
      </c>
      <c r="M672" s="12" t="s">
        <v>343</v>
      </c>
      <c r="N672" s="12" t="s">
        <v>344</v>
      </c>
      <c r="O672" s="10" t="str">
        <f>HYPERLINK("https://pbs.twimg.com/profile_images/672794348442877952/m6Is-Nrc_normal.jpg","View")</f>
        <v>View</v>
      </c>
      <c r="P672" s="11"/>
    </row>
    <row r="673" spans="1:16" ht="12.75" x14ac:dyDescent="0.35">
      <c r="A673" s="7">
        <v>42477.910115740742</v>
      </c>
      <c r="B673" s="8" t="str">
        <f>HYPERLINK("https://twitter.com/H_IT_D","@H_IT_D")</f>
        <v>@H_IT_D</v>
      </c>
      <c r="C673" s="9" t="s">
        <v>159</v>
      </c>
      <c r="D673" s="9" t="s">
        <v>1512</v>
      </c>
      <c r="E673" s="10" t="str">
        <f>HYPERLINK("https://twitter.com/H_IT_D/status/721735113776586759","721735113776586759")</f>
        <v>721735113776586759</v>
      </c>
      <c r="F673" s="11" t="s">
        <v>161</v>
      </c>
      <c r="G673" s="11">
        <v>463</v>
      </c>
      <c r="H673" s="11">
        <v>467</v>
      </c>
      <c r="I673" s="11">
        <v>0</v>
      </c>
      <c r="J673" s="11">
        <v>0</v>
      </c>
      <c r="K673" s="11" t="s">
        <v>21</v>
      </c>
      <c r="L673" s="7">
        <v>40723.867673611108</v>
      </c>
      <c r="M673" s="12" t="s">
        <v>162</v>
      </c>
      <c r="N673" s="12" t="s">
        <v>163</v>
      </c>
      <c r="O673" s="10" t="str">
        <f>HYPERLINK("https://pbs.twimg.com/profile_images/662723326096224256/5V4KH9_O_normal.jpg","View")</f>
        <v>View</v>
      </c>
      <c r="P673" s="11"/>
    </row>
    <row r="674" spans="1:16" ht="12.75" x14ac:dyDescent="0.35">
      <c r="A674" s="7">
        <v>42477.910416666666</v>
      </c>
      <c r="B674" s="8" t="str">
        <f>HYPERLINK("https://twitter.com/digitalperiod","@digitalperiod")</f>
        <v>@digitalperiod</v>
      </c>
      <c r="C674" s="9" t="s">
        <v>1513</v>
      </c>
      <c r="D674" s="9" t="s">
        <v>1514</v>
      </c>
      <c r="E674" s="10" t="str">
        <f>HYPERLINK("https://twitter.com/digitalperiod/status/721735222337880064","721735222337880064")</f>
        <v>721735222337880064</v>
      </c>
      <c r="F674" s="11" t="s">
        <v>1515</v>
      </c>
      <c r="G674" s="11">
        <v>4078</v>
      </c>
      <c r="H674" s="11">
        <v>1906</v>
      </c>
      <c r="I674" s="11">
        <v>1</v>
      </c>
      <c r="J674" s="11">
        <v>0</v>
      </c>
      <c r="K674" s="11" t="s">
        <v>21</v>
      </c>
      <c r="L674" s="7">
        <v>40930.42355324074</v>
      </c>
      <c r="M674" s="12"/>
      <c r="N674" s="12" t="s">
        <v>1516</v>
      </c>
      <c r="O674" s="10" t="str">
        <f>HYPERLINK("https://pbs.twimg.com/profile_images/625362695651364864/Z8Tt0Fon_normal.png","View")</f>
        <v>View</v>
      </c>
      <c r="P674" s="11"/>
    </row>
    <row r="675" spans="1:16" ht="12.75" x14ac:dyDescent="0.35">
      <c r="A675" s="7">
        <v>42477.920960648145</v>
      </c>
      <c r="B675" s="8" t="str">
        <f>HYPERLINK("https://twitter.com/GeraldSwarat","@GeraldSwarat")</f>
        <v>@GeraldSwarat</v>
      </c>
      <c r="C675" s="9" t="s">
        <v>1517</v>
      </c>
      <c r="D675" s="9" t="s">
        <v>1505</v>
      </c>
      <c r="E675" s="10" t="str">
        <f>HYPERLINK("https://twitter.com/GeraldSwarat/status/721739042279309314","721739042279309314")</f>
        <v>721739042279309314</v>
      </c>
      <c r="F675" s="11" t="s">
        <v>20</v>
      </c>
      <c r="G675" s="11">
        <v>158</v>
      </c>
      <c r="H675" s="11">
        <v>654</v>
      </c>
      <c r="I675" s="11">
        <v>4</v>
      </c>
      <c r="J675" s="11">
        <v>0</v>
      </c>
      <c r="K675" s="11" t="s">
        <v>21</v>
      </c>
      <c r="L675" s="7">
        <v>42432.861435185187</v>
      </c>
      <c r="M675" s="12" t="s">
        <v>116</v>
      </c>
      <c r="N675" s="12" t="s">
        <v>1518</v>
      </c>
      <c r="O675" s="10" t="str">
        <f>HYPERLINK("https://pbs.twimg.com/profile_images/705485928823955460/6bOzIJq9_normal.jpg","View")</f>
        <v>View</v>
      </c>
      <c r="P675" s="11"/>
    </row>
    <row r="676" spans="1:16" ht="12.75" x14ac:dyDescent="0.35">
      <c r="A676" s="7">
        <v>42477.943356481483</v>
      </c>
      <c r="B676" s="8" t="str">
        <f>HYPERLINK("https://twitter.com/SmartRuralAreas","@SmartRuralAreas")</f>
        <v>@SmartRuralAreas</v>
      </c>
      <c r="C676" s="9" t="s">
        <v>1519</v>
      </c>
      <c r="D676" s="9" t="s">
        <v>1505</v>
      </c>
      <c r="E676" s="10" t="str">
        <f>HYPERLINK("https://twitter.com/SmartRuralAreas/status/721747156755955712","721747156755955712")</f>
        <v>721747156755955712</v>
      </c>
      <c r="F676" s="11" t="s">
        <v>20</v>
      </c>
      <c r="G676" s="11">
        <v>349</v>
      </c>
      <c r="H676" s="11">
        <v>805</v>
      </c>
      <c r="I676" s="11">
        <v>4</v>
      </c>
      <c r="J676" s="11">
        <v>0</v>
      </c>
      <c r="K676" s="11" t="s">
        <v>21</v>
      </c>
      <c r="L676" s="7">
        <v>42089.094421296293</v>
      </c>
      <c r="M676" s="12" t="s">
        <v>116</v>
      </c>
      <c r="N676" s="12" t="s">
        <v>1520</v>
      </c>
      <c r="O676" s="10" t="str">
        <f>HYPERLINK("https://pbs.twimg.com/profile_images/580833677128699905/neFmKz39_normal.png","View")</f>
        <v>View</v>
      </c>
      <c r="P676" s="11"/>
    </row>
    <row r="677" spans="1:16" ht="12.75" x14ac:dyDescent="0.35">
      <c r="A677" s="7">
        <v>42477.94935185185</v>
      </c>
      <c r="B677" s="8" t="str">
        <f>HYPERLINK("https://twitter.com/TUV_IT","@TUV_IT")</f>
        <v>@TUV_IT</v>
      </c>
      <c r="C677" s="9" t="s">
        <v>1184</v>
      </c>
      <c r="D677" s="9" t="s">
        <v>1503</v>
      </c>
      <c r="E677" s="10" t="str">
        <f>HYPERLINK("https://twitter.com/TUV_IT/status/721749330546278400","721749330546278400")</f>
        <v>721749330546278400</v>
      </c>
      <c r="F677" s="11" t="s">
        <v>25</v>
      </c>
      <c r="G677" s="11">
        <v>34</v>
      </c>
      <c r="H677" s="11">
        <v>49</v>
      </c>
      <c r="I677" s="11">
        <v>2</v>
      </c>
      <c r="J677" s="11">
        <v>0</v>
      </c>
      <c r="K677" s="11" t="s">
        <v>21</v>
      </c>
      <c r="L677" s="7">
        <v>42436.636574074073</v>
      </c>
      <c r="M677" s="12" t="s">
        <v>1186</v>
      </c>
      <c r="N677" s="12" t="s">
        <v>1187</v>
      </c>
      <c r="O677" s="10" t="str">
        <f>HYPERLINK("https://pbs.twimg.com/profile_images/706784163433680896/xE8ttuE2_normal.jpg","View")</f>
        <v>View</v>
      </c>
      <c r="P677" s="11"/>
    </row>
    <row r="678" spans="1:16" ht="12.75" x14ac:dyDescent="0.35">
      <c r="A678" s="7">
        <v>42477.965300925927</v>
      </c>
      <c r="B678" s="8" t="str">
        <f>HYPERLINK("https://twitter.com/culturbureau","@culturbureau")</f>
        <v>@culturbureau</v>
      </c>
      <c r="C678" s="9" t="s">
        <v>1521</v>
      </c>
      <c r="D678" s="9" t="s">
        <v>1522</v>
      </c>
      <c r="E678" s="10" t="str">
        <f>HYPERLINK("https://twitter.com/culturbureau/status/721755111471587328","721755111471587328")</f>
        <v>721755111471587328</v>
      </c>
      <c r="F678" s="11" t="s">
        <v>115</v>
      </c>
      <c r="G678" s="11">
        <v>1568</v>
      </c>
      <c r="H678" s="11">
        <v>1423</v>
      </c>
      <c r="I678" s="11">
        <v>1</v>
      </c>
      <c r="J678" s="11">
        <v>1</v>
      </c>
      <c r="K678" s="11" t="s">
        <v>21</v>
      </c>
      <c r="L678" s="7">
        <v>39866.28800925926</v>
      </c>
      <c r="M678" s="12"/>
      <c r="N678" s="12" t="s">
        <v>1523</v>
      </c>
      <c r="O678" s="10" t="str">
        <f>HYPERLINK("https://pbs.twimg.com/profile_images/720635590639796224/PWzZDSKB_normal.jpg","View")</f>
        <v>View</v>
      </c>
      <c r="P678" s="11"/>
    </row>
    <row r="679" spans="1:16" ht="12.75" x14ac:dyDescent="0.35">
      <c r="A679" s="7">
        <v>42477.974537037036</v>
      </c>
      <c r="B679" s="8" t="str">
        <f>HYPERLINK("https://twitter.com/_MBauer_","@_MBauer_")</f>
        <v>@_MBauer_</v>
      </c>
      <c r="C679" s="9" t="s">
        <v>1524</v>
      </c>
      <c r="D679" s="9" t="s">
        <v>1525</v>
      </c>
      <c r="E679" s="10" t="str">
        <f>HYPERLINK("https://twitter.com/_MBauer_/status/721758455741169664","721758455741169664")</f>
        <v>721758455741169664</v>
      </c>
      <c r="F679" s="11" t="s">
        <v>31</v>
      </c>
      <c r="G679" s="11">
        <v>396</v>
      </c>
      <c r="H679" s="11">
        <v>1164</v>
      </c>
      <c r="I679" s="11">
        <v>4</v>
      </c>
      <c r="J679" s="11">
        <v>0</v>
      </c>
      <c r="K679" s="11" t="s">
        <v>21</v>
      </c>
      <c r="L679" s="7">
        <v>41010.521458333329</v>
      </c>
      <c r="M679" s="12" t="s">
        <v>121</v>
      </c>
      <c r="N679" s="12" t="s">
        <v>1526</v>
      </c>
      <c r="O679" s="10" t="str">
        <f>HYPERLINK("https://pbs.twimg.com/profile_images/378800000322896667/d1c60784e60aac20428623b3195d2ca8_normal.jpeg","View")</f>
        <v>View</v>
      </c>
      <c r="P679" s="11"/>
    </row>
    <row r="680" spans="1:16" ht="12.75" x14ac:dyDescent="0.35">
      <c r="A680" s="7">
        <v>42477.979965277773</v>
      </c>
      <c r="B680" s="8" t="str">
        <f t="shared" ref="B680:B681" si="72">HYPERLINK("https://twitter.com/INDIZbot","@INDIZbot")</f>
        <v>@INDIZbot</v>
      </c>
      <c r="C680" s="9" t="s">
        <v>61</v>
      </c>
      <c r="D680" s="9" t="s">
        <v>1525</v>
      </c>
      <c r="E680" s="10" t="str">
        <f>HYPERLINK("https://twitter.com/INDIZbot/status/721760424077733888","721760424077733888")</f>
        <v>721760424077733888</v>
      </c>
      <c r="F680" s="11" t="s">
        <v>62</v>
      </c>
      <c r="G680" s="11">
        <v>1762</v>
      </c>
      <c r="H680" s="11">
        <v>481</v>
      </c>
      <c r="I680" s="11">
        <v>4</v>
      </c>
      <c r="J680" s="11">
        <v>0</v>
      </c>
      <c r="K680" s="11" t="s">
        <v>21</v>
      </c>
      <c r="L680" s="7">
        <v>42267.011921296296</v>
      </c>
      <c r="M680" s="12"/>
      <c r="N680" s="12" t="s">
        <v>63</v>
      </c>
      <c r="O680" s="10" t="str">
        <f t="shared" ref="O680:O681" si="73">HYPERLINK("https://pbs.twimg.com/profile_images/645716711723925506/t5G0qOS6_normal.jpg","View")</f>
        <v>View</v>
      </c>
      <c r="P680" s="11"/>
    </row>
    <row r="681" spans="1:16" ht="12.75" x14ac:dyDescent="0.35">
      <c r="A681" s="7">
        <v>42477.980347222227</v>
      </c>
      <c r="B681" s="8" t="str">
        <f t="shared" si="72"/>
        <v>@INDIZbot</v>
      </c>
      <c r="C681" s="9" t="s">
        <v>61</v>
      </c>
      <c r="D681" s="9" t="s">
        <v>1527</v>
      </c>
      <c r="E681" s="10" t="str">
        <f>HYPERLINK("https://twitter.com/INDIZbot/status/721760563353804800","721760563353804800")</f>
        <v>721760563353804800</v>
      </c>
      <c r="F681" s="11" t="s">
        <v>62</v>
      </c>
      <c r="G681" s="11">
        <v>1762</v>
      </c>
      <c r="H681" s="11">
        <v>481</v>
      </c>
      <c r="I681" s="11">
        <v>1</v>
      </c>
      <c r="J681" s="11">
        <v>0</v>
      </c>
      <c r="K681" s="11" t="s">
        <v>21</v>
      </c>
      <c r="L681" s="7">
        <v>42267.011921296296</v>
      </c>
      <c r="M681" s="12"/>
      <c r="N681" s="12" t="s">
        <v>63</v>
      </c>
      <c r="O681" s="10" t="str">
        <f t="shared" si="73"/>
        <v>View</v>
      </c>
      <c r="P681" s="11"/>
    </row>
    <row r="682" spans="1:16" ht="12.75" x14ac:dyDescent="0.35">
      <c r="A682" s="7">
        <v>42478.020856481482</v>
      </c>
      <c r="B682" s="8" t="str">
        <f>HYPERLINK("https://twitter.com/kommoptimierer","@kommoptimierer")</f>
        <v>@kommoptimierer</v>
      </c>
      <c r="C682" s="9" t="s">
        <v>270</v>
      </c>
      <c r="D682" s="9" t="s">
        <v>669</v>
      </c>
      <c r="E682" s="10" t="str">
        <f>HYPERLINK("https://twitter.com/kommoptimierer/status/721775243988234246","721775243988234246")</f>
        <v>721775243988234246</v>
      </c>
      <c r="F682" s="11" t="s">
        <v>272</v>
      </c>
      <c r="G682" s="11">
        <v>1347</v>
      </c>
      <c r="H682" s="11">
        <v>1753</v>
      </c>
      <c r="I682" s="11">
        <v>1</v>
      </c>
      <c r="J682" s="11">
        <v>0</v>
      </c>
      <c r="K682" s="11" t="s">
        <v>21</v>
      </c>
      <c r="L682" s="7">
        <v>39986.860358796301</v>
      </c>
      <c r="M682" s="12" t="s">
        <v>273</v>
      </c>
      <c r="N682" s="12" t="s">
        <v>274</v>
      </c>
      <c r="O682" s="10" t="str">
        <f>HYPERLINK("https://pbs.twimg.com/profile_images/541146126158536704/IYardufS_normal.jpeg","View")</f>
        <v>View</v>
      </c>
      <c r="P682" s="11"/>
    </row>
    <row r="683" spans="1:16" ht="12.75" x14ac:dyDescent="0.35">
      <c r="A683" s="7">
        <v>42478.049664351856</v>
      </c>
      <c r="B683" s="8" t="str">
        <f>HYPERLINK("https://twitter.com/INDIZbot","@INDIZbot")</f>
        <v>@INDIZbot</v>
      </c>
      <c r="C683" s="9" t="s">
        <v>61</v>
      </c>
      <c r="D683" s="9" t="s">
        <v>1528</v>
      </c>
      <c r="E683" s="10" t="str">
        <f>HYPERLINK("https://twitter.com/INDIZbot/status/721785680834215937","721785680834215937")</f>
        <v>721785680834215937</v>
      </c>
      <c r="F683" s="11" t="s">
        <v>62</v>
      </c>
      <c r="G683" s="11">
        <v>1762</v>
      </c>
      <c r="H683" s="11">
        <v>481</v>
      </c>
      <c r="I683" s="11">
        <v>1</v>
      </c>
      <c r="J683" s="11">
        <v>0</v>
      </c>
      <c r="K683" s="11" t="s">
        <v>21</v>
      </c>
      <c r="L683" s="7">
        <v>42267.011921296296</v>
      </c>
      <c r="M683" s="12"/>
      <c r="N683" s="12" t="s">
        <v>63</v>
      </c>
      <c r="O683" s="10" t="str">
        <f>HYPERLINK("https://pbs.twimg.com/profile_images/645716711723925506/t5G0qOS6_normal.jpg","View")</f>
        <v>View</v>
      </c>
      <c r="P683" s="11"/>
    </row>
    <row r="684" spans="1:16" ht="12.75" x14ac:dyDescent="0.35">
      <c r="A684" s="7">
        <v>42478.053726851853</v>
      </c>
      <c r="B684" s="8" t="str">
        <f>HYPERLINK("https://twitter.com/SAPlearn","@SAPlearn")</f>
        <v>@SAPlearn</v>
      </c>
      <c r="C684" s="9" t="s">
        <v>73</v>
      </c>
      <c r="D684" s="9" t="s">
        <v>1385</v>
      </c>
      <c r="E684" s="10" t="str">
        <f>HYPERLINK("https://twitter.com/SAPlearn/status/721787155811405824","721787155811405824")</f>
        <v>721787155811405824</v>
      </c>
      <c r="F684" s="11" t="s">
        <v>31</v>
      </c>
      <c r="G684" s="11">
        <v>10367</v>
      </c>
      <c r="H684" s="11">
        <v>1566</v>
      </c>
      <c r="I684" s="11">
        <v>5</v>
      </c>
      <c r="J684" s="11">
        <v>0</v>
      </c>
      <c r="K684" s="11" t="s">
        <v>21</v>
      </c>
      <c r="L684" s="7">
        <v>39377.358854166669</v>
      </c>
      <c r="M684" s="12" t="s">
        <v>75</v>
      </c>
      <c r="N684" s="12" t="s">
        <v>76</v>
      </c>
      <c r="O684" s="10" t="str">
        <f>HYPERLINK("https://pbs.twimg.com/profile_images/609353055839064064/G4xcQR7r_normal.jpg","View")</f>
        <v>View</v>
      </c>
      <c r="P684" s="11"/>
    </row>
    <row r="685" spans="1:16" ht="12.75" x14ac:dyDescent="0.35">
      <c r="A685" s="7">
        <v>42478.057268518518</v>
      </c>
      <c r="B685" s="8" t="str">
        <f>HYPERLINK("https://twitter.com/_DanielB","@_DanielB")</f>
        <v>@_DanielB</v>
      </c>
      <c r="C685" s="9" t="s">
        <v>1529</v>
      </c>
      <c r="D685" s="9" t="s">
        <v>1530</v>
      </c>
      <c r="E685" s="10" t="str">
        <f>HYPERLINK("https://twitter.com/_DanielB/status/721788439516024833","721788439516024833")</f>
        <v>721788439516024833</v>
      </c>
      <c r="F685" s="11" t="s">
        <v>115</v>
      </c>
      <c r="G685" s="11">
        <v>591</v>
      </c>
      <c r="H685" s="11">
        <v>1463</v>
      </c>
      <c r="I685" s="11">
        <v>1</v>
      </c>
      <c r="J685" s="11">
        <v>4</v>
      </c>
      <c r="K685" s="11" t="s">
        <v>21</v>
      </c>
      <c r="L685" s="7">
        <v>40615.702951388885</v>
      </c>
      <c r="M685" s="12" t="s">
        <v>689</v>
      </c>
      <c r="N685" s="12" t="s">
        <v>1531</v>
      </c>
      <c r="O685" s="10" t="str">
        <f>HYPERLINK("https://pbs.twimg.com/profile_images/442767343555321856/p7B-wXOm_normal.jpeg","View")</f>
        <v>View</v>
      </c>
      <c r="P685" s="11"/>
    </row>
    <row r="686" spans="1:16" ht="12.75" x14ac:dyDescent="0.35">
      <c r="A686" s="7">
        <v>42478.060740740737</v>
      </c>
      <c r="B686" s="8" t="str">
        <f>HYPERLINK("https://twitter.com/SpielbergHolger","@SpielbergHolger")</f>
        <v>@SpielbergHolger</v>
      </c>
      <c r="C686" s="9" t="s">
        <v>1532</v>
      </c>
      <c r="D686" s="9" t="s">
        <v>1533</v>
      </c>
      <c r="E686" s="10" t="str">
        <f>HYPERLINK("https://twitter.com/SpielbergHolger/status/721789694447632384","721789694447632384")</f>
        <v>721789694447632384</v>
      </c>
      <c r="F686" s="11" t="s">
        <v>31</v>
      </c>
      <c r="G686" s="11">
        <v>368</v>
      </c>
      <c r="H686" s="11">
        <v>451</v>
      </c>
      <c r="I686" s="11">
        <v>1</v>
      </c>
      <c r="J686" s="11">
        <v>2</v>
      </c>
      <c r="K686" s="11" t="s">
        <v>21</v>
      </c>
      <c r="L686" s="7">
        <v>42328.462962962964</v>
      </c>
      <c r="M686" s="12" t="s">
        <v>1534</v>
      </c>
      <c r="N686" s="12" t="s">
        <v>1535</v>
      </c>
      <c r="O686" s="10" t="str">
        <f>HYPERLINK("https://pbs.twimg.com/profile_images/718861442347311105/ot-bEQgV_normal.jpg","View")</f>
        <v>View</v>
      </c>
      <c r="P686" s="11"/>
    </row>
    <row r="687" spans="1:16" ht="12.75" x14ac:dyDescent="0.35">
      <c r="A687" s="7">
        <v>42478.063298611116</v>
      </c>
      <c r="B687" s="8" t="str">
        <f t="shared" ref="B687:B688" si="74">HYPERLINK("https://twitter.com/INDIZbot","@INDIZbot")</f>
        <v>@INDIZbot</v>
      </c>
      <c r="C687" s="9" t="s">
        <v>61</v>
      </c>
      <c r="D687" s="9" t="s">
        <v>1536</v>
      </c>
      <c r="E687" s="10" t="str">
        <f>HYPERLINK("https://twitter.com/INDIZbot/status/721790621690802177","721790621690802177")</f>
        <v>721790621690802177</v>
      </c>
      <c r="F687" s="11" t="s">
        <v>62</v>
      </c>
      <c r="G687" s="11">
        <v>1762</v>
      </c>
      <c r="H687" s="11">
        <v>481</v>
      </c>
      <c r="I687" s="11">
        <v>1</v>
      </c>
      <c r="J687" s="11">
        <v>0</v>
      </c>
      <c r="K687" s="11" t="s">
        <v>21</v>
      </c>
      <c r="L687" s="7">
        <v>42267.011921296296</v>
      </c>
      <c r="M687" s="12"/>
      <c r="N687" s="12" t="s">
        <v>63</v>
      </c>
      <c r="O687" s="10" t="str">
        <f t="shared" ref="O687:O688" si="75">HYPERLINK("https://pbs.twimg.com/profile_images/645716711723925506/t5G0qOS6_normal.jpg","View")</f>
        <v>View</v>
      </c>
      <c r="P687" s="11"/>
    </row>
    <row r="688" spans="1:16" ht="12.75" x14ac:dyDescent="0.35">
      <c r="A688" s="7">
        <v>42478.063576388886</v>
      </c>
      <c r="B688" s="8" t="str">
        <f t="shared" si="74"/>
        <v>@INDIZbot</v>
      </c>
      <c r="C688" s="9" t="s">
        <v>61</v>
      </c>
      <c r="D688" s="9" t="s">
        <v>1537</v>
      </c>
      <c r="E688" s="10" t="str">
        <f>HYPERLINK("https://twitter.com/INDIZbot/status/721790723813675008","721790723813675008")</f>
        <v>721790723813675008</v>
      </c>
      <c r="F688" s="11" t="s">
        <v>62</v>
      </c>
      <c r="G688" s="11">
        <v>1762</v>
      </c>
      <c r="H688" s="11">
        <v>481</v>
      </c>
      <c r="I688" s="11">
        <v>1</v>
      </c>
      <c r="J688" s="11">
        <v>0</v>
      </c>
      <c r="K688" s="11" t="s">
        <v>21</v>
      </c>
      <c r="L688" s="7">
        <v>42267.011921296296</v>
      </c>
      <c r="M688" s="12"/>
      <c r="N688" s="12" t="s">
        <v>63</v>
      </c>
      <c r="O688" s="10" t="str">
        <f t="shared" si="75"/>
        <v>View</v>
      </c>
      <c r="P688" s="11"/>
    </row>
    <row r="689" spans="1:16" ht="12.75" x14ac:dyDescent="0.35">
      <c r="A689" s="7">
        <v>42478.065983796296</v>
      </c>
      <c r="B689" s="8" t="str">
        <f>HYPERLINK("https://twitter.com/kommoptimierer","@kommoptimierer")</f>
        <v>@kommoptimierer</v>
      </c>
      <c r="C689" s="9" t="s">
        <v>270</v>
      </c>
      <c r="D689" s="9" t="s">
        <v>691</v>
      </c>
      <c r="E689" s="10" t="str">
        <f>HYPERLINK("https://twitter.com/kommoptimierer/status/721791596912578560","721791596912578560")</f>
        <v>721791596912578560</v>
      </c>
      <c r="F689" s="11" t="s">
        <v>272</v>
      </c>
      <c r="G689" s="11">
        <v>1347</v>
      </c>
      <c r="H689" s="11">
        <v>1753</v>
      </c>
      <c r="I689" s="11">
        <v>0</v>
      </c>
      <c r="J689" s="11">
        <v>0</v>
      </c>
      <c r="K689" s="11" t="s">
        <v>21</v>
      </c>
      <c r="L689" s="7">
        <v>39986.860358796301</v>
      </c>
      <c r="M689" s="12" t="s">
        <v>273</v>
      </c>
      <c r="N689" s="12" t="s">
        <v>274</v>
      </c>
      <c r="O689" s="10" t="str">
        <f>HYPERLINK("https://pbs.twimg.com/profile_images/541146126158536704/IYardufS_normal.jpeg","View")</f>
        <v>View</v>
      </c>
      <c r="P689" s="11"/>
    </row>
    <row r="690" spans="1:16" ht="12.75" x14ac:dyDescent="0.35">
      <c r="A690" s="7">
        <v>42478.096851851849</v>
      </c>
      <c r="B690" s="8" t="str">
        <f>HYPERLINK("https://twitter.com/APPI37510","@APPI37510")</f>
        <v>@APPI37510</v>
      </c>
      <c r="C690" s="9" t="s">
        <v>1538</v>
      </c>
      <c r="D690" s="9" t="s">
        <v>1539</v>
      </c>
      <c r="E690" s="10" t="str">
        <f>HYPERLINK("https://twitter.com/APPI37510/status/721802781510746112","721802781510746112")</f>
        <v>721802781510746112</v>
      </c>
      <c r="F690" s="11" t="s">
        <v>31</v>
      </c>
      <c r="G690" s="11">
        <v>41</v>
      </c>
      <c r="H690" s="11">
        <v>80</v>
      </c>
      <c r="I690" s="11">
        <v>2</v>
      </c>
      <c r="J690" s="11">
        <v>0</v>
      </c>
      <c r="K690" s="11" t="s">
        <v>21</v>
      </c>
      <c r="L690" s="7">
        <v>42122.510694444441</v>
      </c>
      <c r="M690" s="12" t="s">
        <v>1540</v>
      </c>
      <c r="N690" s="12" t="s">
        <v>1541</v>
      </c>
      <c r="O690" s="10" t="str">
        <f>HYPERLINK("https://pbs.twimg.com/profile_images/592943995879297024/UjTKpVKt_normal.png","View")</f>
        <v>View</v>
      </c>
      <c r="P690" s="11"/>
    </row>
    <row r="691" spans="1:16" ht="12.75" x14ac:dyDescent="0.35">
      <c r="A691" s="7">
        <v>42478.137442129635</v>
      </c>
      <c r="B691" s="8" t="str">
        <f>HYPERLINK("https://twitter.com/pkoerner81929","@pkoerner81929")</f>
        <v>@pkoerner81929</v>
      </c>
      <c r="C691" s="9" t="s">
        <v>1542</v>
      </c>
      <c r="D691" s="9" t="s">
        <v>1287</v>
      </c>
      <c r="E691" s="10" t="str">
        <f>HYPERLINK("https://twitter.com/pkoerner81929/status/721817490339328001","721817490339328001")</f>
        <v>721817490339328001</v>
      </c>
      <c r="F691" s="11" t="s">
        <v>31</v>
      </c>
      <c r="G691" s="11">
        <v>89</v>
      </c>
      <c r="H691" s="11">
        <v>123</v>
      </c>
      <c r="I691" s="11">
        <v>3</v>
      </c>
      <c r="J691" s="11">
        <v>0</v>
      </c>
      <c r="K691" s="11" t="s">
        <v>21</v>
      </c>
      <c r="L691" s="7">
        <v>39960.576215277775</v>
      </c>
      <c r="M691" s="12"/>
      <c r="N691" s="12"/>
      <c r="O691" s="10" t="str">
        <f>HYPERLINK("https://pbs.twimg.com/profile_images/3629676660/36f6e8f9de85dccd7d197d4bdafad372_normal.jpeg","View")</f>
        <v>View</v>
      </c>
      <c r="P691" s="11"/>
    </row>
    <row r="692" spans="1:16" ht="12.75" x14ac:dyDescent="0.35">
      <c r="A692" s="7">
        <v>42478.165601851855</v>
      </c>
      <c r="B692" s="8" t="str">
        <f>HYPERLINK("https://twitter.com/APGuha","@APGuha")</f>
        <v>@APGuha</v>
      </c>
      <c r="C692" s="9" t="s">
        <v>1543</v>
      </c>
      <c r="D692" s="9" t="s">
        <v>1544</v>
      </c>
      <c r="E692" s="10" t="str">
        <f>HYPERLINK("https://twitter.com/APGuha/status/721827698595667968","721827698595667968")</f>
        <v>721827698595667968</v>
      </c>
      <c r="F692" s="11" t="s">
        <v>29</v>
      </c>
      <c r="G692" s="11">
        <v>2640</v>
      </c>
      <c r="H692" s="11">
        <v>3141</v>
      </c>
      <c r="I692" s="11">
        <v>0</v>
      </c>
      <c r="J692" s="11">
        <v>1</v>
      </c>
      <c r="K692" s="11" t="s">
        <v>21</v>
      </c>
      <c r="L692" s="7">
        <v>41721.293391203704</v>
      </c>
      <c r="M692" s="12" t="s">
        <v>1545</v>
      </c>
      <c r="N692" s="12" t="s">
        <v>1546</v>
      </c>
      <c r="O692" s="10" t="str">
        <f>HYPERLINK("https://pbs.twimg.com/profile_images/480533400743182336/w7vvPFUY_normal.png","View")</f>
        <v>View</v>
      </c>
      <c r="P692" s="11"/>
    </row>
    <row r="693" spans="1:16" ht="12.75" x14ac:dyDescent="0.35">
      <c r="A693" s="7">
        <v>42478.173356481479</v>
      </c>
      <c r="B693" s="8" t="str">
        <f>HYPERLINK("https://twitter.com/acfredenucci","@acfredenucci")</f>
        <v>@acfredenucci</v>
      </c>
      <c r="C693" s="9" t="s">
        <v>1547</v>
      </c>
      <c r="D693" s="9" t="s">
        <v>1172</v>
      </c>
      <c r="E693" s="10" t="str">
        <f>HYPERLINK("https://twitter.com/acfredenucci/status/721830508649390080","721830508649390080")</f>
        <v>721830508649390080</v>
      </c>
      <c r="F693" s="11" t="s">
        <v>25</v>
      </c>
      <c r="G693" s="11">
        <v>40</v>
      </c>
      <c r="H693" s="11">
        <v>10</v>
      </c>
      <c r="I693" s="11">
        <v>4</v>
      </c>
      <c r="J693" s="11">
        <v>0</v>
      </c>
      <c r="K693" s="11" t="s">
        <v>21</v>
      </c>
      <c r="L693" s="7">
        <v>41157.165625000001</v>
      </c>
      <c r="M693" s="12"/>
      <c r="N693" s="12"/>
      <c r="O693" s="10" t="str">
        <f>HYPERLINK("https://pbs.twimg.com/profile_images/2577573295/IMG_0896_normal.JPG","View")</f>
        <v>View</v>
      </c>
      <c r="P693" s="11"/>
    </row>
    <row r="694" spans="1:16" ht="12.75" x14ac:dyDescent="0.35">
      <c r="A694" s="7">
        <v>42478.22079861111</v>
      </c>
      <c r="B694" s="8" t="str">
        <f>HYPERLINK("https://twitter.com/H_IT_D","@H_IT_D")</f>
        <v>@H_IT_D</v>
      </c>
      <c r="C694" s="9" t="s">
        <v>159</v>
      </c>
      <c r="D694" s="9" t="s">
        <v>1548</v>
      </c>
      <c r="E694" s="10" t="str">
        <f>HYPERLINK("https://twitter.com/H_IT_D/status/721847699742400513","721847699742400513")</f>
        <v>721847699742400513</v>
      </c>
      <c r="F694" s="11" t="s">
        <v>161</v>
      </c>
      <c r="G694" s="11">
        <v>463</v>
      </c>
      <c r="H694" s="11">
        <v>467</v>
      </c>
      <c r="I694" s="11">
        <v>1</v>
      </c>
      <c r="J694" s="11">
        <v>0</v>
      </c>
      <c r="K694" s="11" t="s">
        <v>21</v>
      </c>
      <c r="L694" s="7">
        <v>40723.867673611108</v>
      </c>
      <c r="M694" s="12" t="s">
        <v>162</v>
      </c>
      <c r="N694" s="12" t="s">
        <v>163</v>
      </c>
      <c r="O694" s="10" t="str">
        <f>HYPERLINK("https://pbs.twimg.com/profile_images/662723326096224256/5V4KH9_O_normal.jpg","View")</f>
        <v>View</v>
      </c>
      <c r="P694" s="11"/>
    </row>
    <row r="695" spans="1:16" ht="12.75" x14ac:dyDescent="0.35">
      <c r="A695" s="7">
        <v>42478.223020833335</v>
      </c>
      <c r="B695" s="8" t="str">
        <f>HYPERLINK("https://twitter.com/INDIZbot","@INDIZbot")</f>
        <v>@INDIZbot</v>
      </c>
      <c r="C695" s="9" t="s">
        <v>61</v>
      </c>
      <c r="D695" s="9" t="s">
        <v>1549</v>
      </c>
      <c r="E695" s="10" t="str">
        <f>HYPERLINK("https://twitter.com/INDIZbot/status/721848505325772800","721848505325772800")</f>
        <v>721848505325772800</v>
      </c>
      <c r="F695" s="11" t="s">
        <v>62</v>
      </c>
      <c r="G695" s="11">
        <v>1762</v>
      </c>
      <c r="H695" s="11">
        <v>481</v>
      </c>
      <c r="I695" s="11">
        <v>1</v>
      </c>
      <c r="J695" s="11">
        <v>0</v>
      </c>
      <c r="K695" s="11" t="s">
        <v>21</v>
      </c>
      <c r="L695" s="7">
        <v>42267.011921296296</v>
      </c>
      <c r="M695" s="12"/>
      <c r="N695" s="12" t="s">
        <v>63</v>
      </c>
      <c r="O695" s="10" t="str">
        <f>HYPERLINK("https://pbs.twimg.com/profile_images/645716711723925506/t5G0qOS6_normal.jpg","View")</f>
        <v>View</v>
      </c>
      <c r="P695" s="11"/>
    </row>
    <row r="696" spans="1:16" ht="12.75" x14ac:dyDescent="0.35">
      <c r="A696" s="7">
        <v>42478.437523148154</v>
      </c>
      <c r="B696" s="8" t="str">
        <f>HYPERLINK("https://twitter.com/QuickFindsIn","@QuickFindsIn")</f>
        <v>@QuickFindsIn</v>
      </c>
      <c r="C696" s="9" t="s">
        <v>208</v>
      </c>
      <c r="D696" s="9" t="s">
        <v>504</v>
      </c>
      <c r="E696" s="10" t="str">
        <f>HYPERLINK("https://twitter.com/QuickFindsIn/status/721926237849911297","721926237849911297")</f>
        <v>721926237849911297</v>
      </c>
      <c r="F696" s="11" t="s">
        <v>210</v>
      </c>
      <c r="G696" s="11">
        <v>1895</v>
      </c>
      <c r="H696" s="11">
        <v>2758</v>
      </c>
      <c r="I696" s="11">
        <v>0</v>
      </c>
      <c r="J696" s="11">
        <v>0</v>
      </c>
      <c r="K696" s="11" t="s">
        <v>21</v>
      </c>
      <c r="L696" s="7">
        <v>42069.582048611112</v>
      </c>
      <c r="M696" s="12" t="s">
        <v>211</v>
      </c>
      <c r="N696" s="12" t="s">
        <v>212</v>
      </c>
      <c r="O696" s="10" t="str">
        <f>HYPERLINK("https://pbs.twimg.com/profile_images/591951396217327616/HbcCX2zX_normal.png","View")</f>
        <v>View</v>
      </c>
      <c r="P696" s="11"/>
    </row>
    <row r="697" spans="1:16" ht="12.75" x14ac:dyDescent="0.35">
      <c r="A697" s="7">
        <v>42478.438958333332</v>
      </c>
      <c r="B697" s="8" t="str">
        <f t="shared" ref="B697:B699" si="76">HYPERLINK("https://twitter.com/kommoptimierer","@kommoptimierer")</f>
        <v>@kommoptimierer</v>
      </c>
      <c r="C697" s="9" t="s">
        <v>270</v>
      </c>
      <c r="D697" s="9" t="s">
        <v>1550</v>
      </c>
      <c r="E697" s="10" t="str">
        <f>HYPERLINK("https://twitter.com/kommoptimierer/status/721926758023438336","721926758023438336")</f>
        <v>721926758023438336</v>
      </c>
      <c r="F697" s="11" t="s">
        <v>25</v>
      </c>
      <c r="G697" s="11">
        <v>1347</v>
      </c>
      <c r="H697" s="11">
        <v>1753</v>
      </c>
      <c r="I697" s="11">
        <v>0</v>
      </c>
      <c r="J697" s="11">
        <v>0</v>
      </c>
      <c r="K697" s="11" t="s">
        <v>21</v>
      </c>
      <c r="L697" s="7">
        <v>39986.860358796301</v>
      </c>
      <c r="M697" s="12" t="s">
        <v>273</v>
      </c>
      <c r="N697" s="12" t="s">
        <v>274</v>
      </c>
      <c r="O697" s="10" t="str">
        <f t="shared" ref="O697:O699" si="77">HYPERLINK("https://pbs.twimg.com/profile_images/541146126158536704/IYardufS_normal.jpeg","View")</f>
        <v>View</v>
      </c>
      <c r="P697" s="11"/>
    </row>
    <row r="698" spans="1:16" ht="12.75" x14ac:dyDescent="0.35">
      <c r="A698" s="7">
        <v>42478.440127314811</v>
      </c>
      <c r="B698" s="8" t="str">
        <f t="shared" si="76"/>
        <v>@kommoptimierer</v>
      </c>
      <c r="C698" s="9" t="s">
        <v>270</v>
      </c>
      <c r="D698" s="9" t="s">
        <v>1551</v>
      </c>
      <c r="E698" s="10" t="str">
        <f>HYPERLINK("https://twitter.com/kommoptimierer/status/721927179991392256","721927179991392256")</f>
        <v>721927179991392256</v>
      </c>
      <c r="F698" s="11" t="s">
        <v>25</v>
      </c>
      <c r="G698" s="11">
        <v>1347</v>
      </c>
      <c r="H698" s="11">
        <v>1753</v>
      </c>
      <c r="I698" s="11">
        <v>0</v>
      </c>
      <c r="J698" s="11">
        <v>0</v>
      </c>
      <c r="K698" s="11" t="s">
        <v>21</v>
      </c>
      <c r="L698" s="7">
        <v>39986.860358796301</v>
      </c>
      <c r="M698" s="12" t="s">
        <v>273</v>
      </c>
      <c r="N698" s="12" t="s">
        <v>274</v>
      </c>
      <c r="O698" s="10" t="str">
        <f t="shared" si="77"/>
        <v>View</v>
      </c>
      <c r="P698" s="11"/>
    </row>
    <row r="699" spans="1:16" ht="12.75" x14ac:dyDescent="0.35">
      <c r="A699" s="7">
        <v>42478.44131944445</v>
      </c>
      <c r="B699" s="8" t="str">
        <f t="shared" si="76"/>
        <v>@kommoptimierer</v>
      </c>
      <c r="C699" s="9" t="s">
        <v>270</v>
      </c>
      <c r="D699" s="9" t="s">
        <v>1552</v>
      </c>
      <c r="E699" s="10" t="str">
        <f>HYPERLINK("https://twitter.com/kommoptimierer/status/721927614248693760","721927614248693760")</f>
        <v>721927614248693760</v>
      </c>
      <c r="F699" s="11" t="s">
        <v>25</v>
      </c>
      <c r="G699" s="11">
        <v>1347</v>
      </c>
      <c r="H699" s="11">
        <v>1753</v>
      </c>
      <c r="I699" s="11">
        <v>1</v>
      </c>
      <c r="J699" s="11">
        <v>0</v>
      </c>
      <c r="K699" s="11" t="s">
        <v>21</v>
      </c>
      <c r="L699" s="7">
        <v>39986.860358796301</v>
      </c>
      <c r="M699" s="12" t="s">
        <v>273</v>
      </c>
      <c r="N699" s="12" t="s">
        <v>274</v>
      </c>
      <c r="O699" s="10" t="str">
        <f t="shared" si="77"/>
        <v>View</v>
      </c>
      <c r="P699" s="11"/>
    </row>
    <row r="700" spans="1:16" ht="12.75" x14ac:dyDescent="0.35">
      <c r="A700" s="7">
        <v>42478.445057870369</v>
      </c>
      <c r="B700" s="8" t="str">
        <f>HYPERLINK("https://twitter.com/ScopeOnline","@ScopeOnline")</f>
        <v>@ScopeOnline</v>
      </c>
      <c r="C700" s="9" t="s">
        <v>905</v>
      </c>
      <c r="D700" s="9" t="s">
        <v>1553</v>
      </c>
      <c r="E700" s="10" t="str">
        <f>HYPERLINK("https://twitter.com/ScopeOnline/status/721928967285010432","721928967285010432")</f>
        <v>721928967285010432</v>
      </c>
      <c r="F700" s="11" t="s">
        <v>25</v>
      </c>
      <c r="G700" s="11">
        <v>1727</v>
      </c>
      <c r="H700" s="11">
        <v>1483</v>
      </c>
      <c r="I700" s="11">
        <v>0</v>
      </c>
      <c r="J700" s="11">
        <v>0</v>
      </c>
      <c r="K700" s="11" t="s">
        <v>21</v>
      </c>
      <c r="L700" s="7">
        <v>40064.751226851848</v>
      </c>
      <c r="M700" s="12" t="s">
        <v>907</v>
      </c>
      <c r="N700" s="12" t="s">
        <v>908</v>
      </c>
      <c r="O700" s="10" t="str">
        <f>HYPERLINK("https://pbs.twimg.com/profile_images/542205461139705857/rG0aBulP_normal.png","View")</f>
        <v>View</v>
      </c>
      <c r="P700" s="11"/>
    </row>
    <row r="701" spans="1:16" ht="12.75" x14ac:dyDescent="0.35">
      <c r="A701" s="7">
        <v>42478.445520833338</v>
      </c>
      <c r="B701" s="8" t="str">
        <f>HYPERLINK("https://twitter.com/INDIZbot","@INDIZbot")</f>
        <v>@INDIZbot</v>
      </c>
      <c r="C701" s="9" t="s">
        <v>61</v>
      </c>
      <c r="D701" s="9" t="s">
        <v>1554</v>
      </c>
      <c r="E701" s="10" t="str">
        <f>HYPERLINK("https://twitter.com/INDIZbot/status/721929137129177088","721929137129177088")</f>
        <v>721929137129177088</v>
      </c>
      <c r="F701" s="11" t="s">
        <v>62</v>
      </c>
      <c r="G701" s="11">
        <v>1762</v>
      </c>
      <c r="H701" s="11">
        <v>481</v>
      </c>
      <c r="I701" s="11">
        <v>1</v>
      </c>
      <c r="J701" s="11">
        <v>0</v>
      </c>
      <c r="K701" s="11" t="s">
        <v>21</v>
      </c>
      <c r="L701" s="7">
        <v>42267.011921296296</v>
      </c>
      <c r="M701" s="12"/>
      <c r="N701" s="12" t="s">
        <v>63</v>
      </c>
      <c r="O701" s="10" t="str">
        <f>HYPERLINK("https://pbs.twimg.com/profile_images/645716711723925506/t5G0qOS6_normal.jpg","View")</f>
        <v>View</v>
      </c>
      <c r="P701" s="11"/>
    </row>
    <row r="702" spans="1:16" ht="12.75" x14ac:dyDescent="0.35">
      <c r="A702" s="7">
        <v>42478.44831018518</v>
      </c>
      <c r="B702" s="8" t="str">
        <f t="shared" ref="B702:B703" si="78">HYPERLINK("https://twitter.com/ScopeOnline","@ScopeOnline")</f>
        <v>@ScopeOnline</v>
      </c>
      <c r="C702" s="9" t="s">
        <v>905</v>
      </c>
      <c r="D702" s="9" t="s">
        <v>1555</v>
      </c>
      <c r="E702" s="10" t="str">
        <f>HYPERLINK("https://twitter.com/ScopeOnline/status/721930148614946816","721930148614946816")</f>
        <v>721930148614946816</v>
      </c>
      <c r="F702" s="11" t="s">
        <v>25</v>
      </c>
      <c r="G702" s="11">
        <v>1727</v>
      </c>
      <c r="H702" s="11">
        <v>1483</v>
      </c>
      <c r="I702" s="11">
        <v>4</v>
      </c>
      <c r="J702" s="11">
        <v>0</v>
      </c>
      <c r="K702" s="11" t="s">
        <v>21</v>
      </c>
      <c r="L702" s="7">
        <v>40064.751226851848</v>
      </c>
      <c r="M702" s="12" t="s">
        <v>907</v>
      </c>
      <c r="N702" s="12" t="s">
        <v>908</v>
      </c>
      <c r="O702" s="10" t="str">
        <f t="shared" ref="O702:O703" si="79">HYPERLINK("https://pbs.twimg.com/profile_images/542205461139705857/rG0aBulP_normal.png","View")</f>
        <v>View</v>
      </c>
      <c r="P702" s="11"/>
    </row>
    <row r="703" spans="1:16" ht="12.75" x14ac:dyDescent="0.35">
      <c r="A703" s="7">
        <v>42478.44976851852</v>
      </c>
      <c r="B703" s="8" t="str">
        <f t="shared" si="78"/>
        <v>@ScopeOnline</v>
      </c>
      <c r="C703" s="9" t="s">
        <v>905</v>
      </c>
      <c r="D703" s="9" t="s">
        <v>1556</v>
      </c>
      <c r="E703" s="10" t="str">
        <f>HYPERLINK("https://twitter.com/ScopeOnline/status/721930674077364224","721930674077364224")</f>
        <v>721930674077364224</v>
      </c>
      <c r="F703" s="11" t="s">
        <v>25</v>
      </c>
      <c r="G703" s="11">
        <v>1727</v>
      </c>
      <c r="H703" s="11">
        <v>1483</v>
      </c>
      <c r="I703" s="11">
        <v>4</v>
      </c>
      <c r="J703" s="11">
        <v>5</v>
      </c>
      <c r="K703" s="11" t="s">
        <v>21</v>
      </c>
      <c r="L703" s="7">
        <v>40064.751226851848</v>
      </c>
      <c r="M703" s="12" t="s">
        <v>907</v>
      </c>
      <c r="N703" s="12" t="s">
        <v>908</v>
      </c>
      <c r="O703" s="10" t="str">
        <f t="shared" si="79"/>
        <v>View</v>
      </c>
      <c r="P703" s="11"/>
    </row>
    <row r="704" spans="1:16" ht="12.75" x14ac:dyDescent="0.35">
      <c r="A704" s="7">
        <v>42478.452326388884</v>
      </c>
      <c r="B704" s="8" t="str">
        <f t="shared" ref="B704:B705" si="80">HYPERLINK("https://twitter.com/INDIZbot","@INDIZbot")</f>
        <v>@INDIZbot</v>
      </c>
      <c r="C704" s="9" t="s">
        <v>61</v>
      </c>
      <c r="D704" s="9" t="s">
        <v>1557</v>
      </c>
      <c r="E704" s="10" t="str">
        <f>HYPERLINK("https://twitter.com/INDIZbot/status/721931600951250944","721931600951250944")</f>
        <v>721931600951250944</v>
      </c>
      <c r="F704" s="11" t="s">
        <v>62</v>
      </c>
      <c r="G704" s="11">
        <v>1762</v>
      </c>
      <c r="H704" s="11">
        <v>481</v>
      </c>
      <c r="I704" s="11">
        <v>4</v>
      </c>
      <c r="J704" s="11">
        <v>0</v>
      </c>
      <c r="K704" s="11" t="s">
        <v>21</v>
      </c>
      <c r="L704" s="7">
        <v>42267.011921296296</v>
      </c>
      <c r="M704" s="12"/>
      <c r="N704" s="12" t="s">
        <v>63</v>
      </c>
      <c r="O704" s="10" t="str">
        <f t="shared" ref="O704:O705" si="81">HYPERLINK("https://pbs.twimg.com/profile_images/645716711723925506/t5G0qOS6_normal.jpg","View")</f>
        <v>View</v>
      </c>
      <c r="P704" s="11"/>
    </row>
    <row r="705" spans="1:16" ht="12.75" x14ac:dyDescent="0.35">
      <c r="A705" s="7">
        <v>42478.452974537038</v>
      </c>
      <c r="B705" s="8" t="str">
        <f t="shared" si="80"/>
        <v>@INDIZbot</v>
      </c>
      <c r="C705" s="9" t="s">
        <v>61</v>
      </c>
      <c r="D705" s="9" t="s">
        <v>1558</v>
      </c>
      <c r="E705" s="10" t="str">
        <f>HYPERLINK("https://twitter.com/INDIZbot/status/721931838663618560","721931838663618560")</f>
        <v>721931838663618560</v>
      </c>
      <c r="F705" s="11" t="s">
        <v>62</v>
      </c>
      <c r="G705" s="11">
        <v>1762</v>
      </c>
      <c r="H705" s="11">
        <v>481</v>
      </c>
      <c r="I705" s="11">
        <v>4</v>
      </c>
      <c r="J705" s="11">
        <v>0</v>
      </c>
      <c r="K705" s="11" t="s">
        <v>21</v>
      </c>
      <c r="L705" s="7">
        <v>42267.011921296296</v>
      </c>
      <c r="M705" s="12"/>
      <c r="N705" s="12" t="s">
        <v>63</v>
      </c>
      <c r="O705" s="10" t="str">
        <f t="shared" si="81"/>
        <v>View</v>
      </c>
      <c r="P705" s="11"/>
    </row>
    <row r="706" spans="1:16" ht="12.75" x14ac:dyDescent="0.35">
      <c r="A706" s="7">
        <v>42478.454189814816</v>
      </c>
      <c r="B706" s="8" t="str">
        <f>HYPERLINK("https://twitter.com/ScopeOnline","@ScopeOnline")</f>
        <v>@ScopeOnline</v>
      </c>
      <c r="C706" s="9" t="s">
        <v>905</v>
      </c>
      <c r="D706" s="9" t="s">
        <v>1559</v>
      </c>
      <c r="E706" s="10" t="str">
        <f>HYPERLINK("https://twitter.com/ScopeOnline/status/721932275550707712","721932275550707712")</f>
        <v>721932275550707712</v>
      </c>
      <c r="F706" s="11" t="s">
        <v>25</v>
      </c>
      <c r="G706" s="11">
        <v>1727</v>
      </c>
      <c r="H706" s="11">
        <v>1483</v>
      </c>
      <c r="I706" s="11">
        <v>0</v>
      </c>
      <c r="J706" s="11">
        <v>1</v>
      </c>
      <c r="K706" s="11" t="s">
        <v>21</v>
      </c>
      <c r="L706" s="7">
        <v>40064.751226851848</v>
      </c>
      <c r="M706" s="12" t="s">
        <v>907</v>
      </c>
      <c r="N706" s="12" t="s">
        <v>908</v>
      </c>
      <c r="O706" s="10" t="str">
        <f>HYPERLINK("https://pbs.twimg.com/profile_images/542205461139705857/rG0aBulP_normal.png","View")</f>
        <v>View</v>
      </c>
      <c r="P706" s="11"/>
    </row>
    <row r="707" spans="1:16" ht="12.75" x14ac:dyDescent="0.35">
      <c r="A707" s="7">
        <v>42478.456261574072</v>
      </c>
      <c r="B707" s="8" t="str">
        <f>HYPERLINK("https://twitter.com/MartinGaedt","@MartinGaedt")</f>
        <v>@MartinGaedt</v>
      </c>
      <c r="C707" s="9" t="s">
        <v>1296</v>
      </c>
      <c r="D707" s="9" t="s">
        <v>1558</v>
      </c>
      <c r="E707" s="10" t="str">
        <f>HYPERLINK("https://twitter.com/MartinGaedt/status/721933030504443905","721933030504443905")</f>
        <v>721933030504443905</v>
      </c>
      <c r="F707" s="11" t="s">
        <v>25</v>
      </c>
      <c r="G707" s="11">
        <v>5366</v>
      </c>
      <c r="H707" s="11">
        <v>5909</v>
      </c>
      <c r="I707" s="11">
        <v>4</v>
      </c>
      <c r="J707" s="11">
        <v>0</v>
      </c>
      <c r="K707" s="11" t="s">
        <v>21</v>
      </c>
      <c r="L707" s="7">
        <v>39938.908993055556</v>
      </c>
      <c r="M707" s="12" t="s">
        <v>1297</v>
      </c>
      <c r="N707" s="12" t="s">
        <v>1298</v>
      </c>
      <c r="O707" s="10" t="str">
        <f>HYPERLINK("https://pbs.twimg.com/profile_images/709444980553740288/Xds-Aan6_normal.jpg","View")</f>
        <v>View</v>
      </c>
      <c r="P707" s="11"/>
    </row>
    <row r="708" spans="1:16" ht="12.75" x14ac:dyDescent="0.35">
      <c r="A708" s="7">
        <v>42478.468807870369</v>
      </c>
      <c r="B708" s="8" t="str">
        <f>HYPERLINK("https://twitter.com/innovationbawue","@innovationbawue")</f>
        <v>@innovationbawue</v>
      </c>
      <c r="C708" s="8" t="s">
        <v>1173</v>
      </c>
      <c r="D708" s="9" t="s">
        <v>1560</v>
      </c>
      <c r="E708" s="10" t="str">
        <f>HYPERLINK("https://twitter.com/innovationbawue/status/721937575284449280","721937575284449280")</f>
        <v>721937575284449280</v>
      </c>
      <c r="F708" s="11" t="s">
        <v>59</v>
      </c>
      <c r="G708" s="11">
        <v>210</v>
      </c>
      <c r="H708" s="11">
        <v>353</v>
      </c>
      <c r="I708" s="11">
        <v>0</v>
      </c>
      <c r="J708" s="11">
        <v>0</v>
      </c>
      <c r="K708" s="11" t="s">
        <v>21</v>
      </c>
      <c r="L708" s="7">
        <v>42380.713946759264</v>
      </c>
      <c r="M708" s="12" t="s">
        <v>985</v>
      </c>
      <c r="N708" s="12" t="s">
        <v>1175</v>
      </c>
      <c r="O708" s="10" t="str">
        <f>HYPERLINK("https://pbs.twimg.com/profile_images/719538951988592641/7lKnB2dG_normal.jpg","View")</f>
        <v>View</v>
      </c>
      <c r="P708" s="11"/>
    </row>
    <row r="709" spans="1:16" ht="12.75" x14ac:dyDescent="0.35">
      <c r="A709" s="7">
        <v>42478.473854166667</v>
      </c>
      <c r="B709" s="8" t="str">
        <f>HYPERLINK("https://twitter.com/3DSGermany","@3DSGermany")</f>
        <v>@3DSGermany</v>
      </c>
      <c r="C709" s="9" t="s">
        <v>1561</v>
      </c>
      <c r="D709" s="9" t="s">
        <v>1558</v>
      </c>
      <c r="E709" s="10" t="str">
        <f>HYPERLINK("https://twitter.com/3DSGermany/status/721939404110110720","721939404110110720")</f>
        <v>721939404110110720</v>
      </c>
      <c r="F709" s="11" t="s">
        <v>25</v>
      </c>
      <c r="G709" s="11">
        <v>1611</v>
      </c>
      <c r="H709" s="11">
        <v>494</v>
      </c>
      <c r="I709" s="11">
        <v>4</v>
      </c>
      <c r="J709" s="11">
        <v>0</v>
      </c>
      <c r="K709" s="11" t="s">
        <v>21</v>
      </c>
      <c r="L709" s="7">
        <v>40231.641770833332</v>
      </c>
      <c r="M709" s="12" t="s">
        <v>162</v>
      </c>
      <c r="N709" s="12" t="s">
        <v>1562</v>
      </c>
      <c r="O709" s="10" t="str">
        <f>HYPERLINK("https://pbs.twimg.com/profile_images/501687273964851200/p2aEL2iP_normal.png","View")</f>
        <v>View</v>
      </c>
      <c r="P709" s="11"/>
    </row>
    <row r="710" spans="1:16" ht="12.75" x14ac:dyDescent="0.35">
      <c r="A710" s="7">
        <v>42478.4847337963</v>
      </c>
      <c r="B710" s="8" t="str">
        <f>HYPERLINK("https://twitter.com/UL_Commercial","@UL_Commercial")</f>
        <v>@UL_Commercial</v>
      </c>
      <c r="C710" s="9" t="s">
        <v>783</v>
      </c>
      <c r="D710" s="9" t="s">
        <v>1563</v>
      </c>
      <c r="E710" s="10" t="str">
        <f>HYPERLINK("https://twitter.com/UL_Commercial/status/721943347351330816","721943347351330816")</f>
        <v>721943347351330816</v>
      </c>
      <c r="F710" s="11" t="s">
        <v>785</v>
      </c>
      <c r="G710" s="11">
        <v>396</v>
      </c>
      <c r="H710" s="11">
        <v>106</v>
      </c>
      <c r="I710" s="11">
        <v>1</v>
      </c>
      <c r="J710" s="11">
        <v>0</v>
      </c>
      <c r="K710" s="11" t="s">
        <v>21</v>
      </c>
      <c r="L710" s="7">
        <v>42311.859340277777</v>
      </c>
      <c r="M710" s="12" t="s">
        <v>786</v>
      </c>
      <c r="N710" s="12" t="s">
        <v>787</v>
      </c>
      <c r="O710" s="10" t="str">
        <f>HYPERLINK("https://pbs.twimg.com/profile_images/661569725550469124/-Uzw8rQt_normal.jpg","View")</f>
        <v>View</v>
      </c>
      <c r="P710" s="11"/>
    </row>
    <row r="711" spans="1:16" ht="12.75" x14ac:dyDescent="0.35">
      <c r="A711" s="7">
        <v>42478.4847337963</v>
      </c>
      <c r="B711" s="8" t="str">
        <f>HYPERLINK("https://twitter.com/ULdialogue","@ULdialogue")</f>
        <v>@ULdialogue</v>
      </c>
      <c r="C711" s="9" t="s">
        <v>788</v>
      </c>
      <c r="D711" s="9" t="s">
        <v>1564</v>
      </c>
      <c r="E711" s="10" t="str">
        <f>HYPERLINK("https://twitter.com/ULdialogue/status/721943347963662336","721943347963662336")</f>
        <v>721943347963662336</v>
      </c>
      <c r="F711" s="11" t="s">
        <v>785</v>
      </c>
      <c r="G711" s="11">
        <v>23159</v>
      </c>
      <c r="H711" s="11">
        <v>1948</v>
      </c>
      <c r="I711" s="11">
        <v>1</v>
      </c>
      <c r="J711" s="11">
        <v>0</v>
      </c>
      <c r="K711" s="11" t="s">
        <v>21</v>
      </c>
      <c r="L711" s="7">
        <v>40897.152025462965</v>
      </c>
      <c r="M711" s="12"/>
      <c r="N711" s="12" t="s">
        <v>790</v>
      </c>
      <c r="O711" s="10" t="str">
        <f>HYPERLINK("https://pbs.twimg.com/profile_images/458696399211606016/rUZELqAc_normal.jpeg","View")</f>
        <v>View</v>
      </c>
      <c r="P711" s="11"/>
    </row>
    <row r="712" spans="1:16" ht="12.75" x14ac:dyDescent="0.35">
      <c r="A712" s="7">
        <v>42478.487314814818</v>
      </c>
      <c r="B712" s="8" t="str">
        <f t="shared" ref="B712:B713" si="82">HYPERLINK("https://twitter.com/INDIZbot","@INDIZbot")</f>
        <v>@INDIZbot</v>
      </c>
      <c r="C712" s="9" t="s">
        <v>61</v>
      </c>
      <c r="D712" s="9" t="s">
        <v>791</v>
      </c>
      <c r="E712" s="10" t="str">
        <f>HYPERLINK("https://twitter.com/INDIZbot/status/721944281158696960","721944281158696960")</f>
        <v>721944281158696960</v>
      </c>
      <c r="F712" s="11" t="s">
        <v>62</v>
      </c>
      <c r="G712" s="11">
        <v>1762</v>
      </c>
      <c r="H712" s="11">
        <v>481</v>
      </c>
      <c r="I712" s="11">
        <v>1</v>
      </c>
      <c r="J712" s="11">
        <v>0</v>
      </c>
      <c r="K712" s="11" t="s">
        <v>21</v>
      </c>
      <c r="L712" s="7">
        <v>42267.011921296296</v>
      </c>
      <c r="M712" s="12"/>
      <c r="N712" s="12" t="s">
        <v>63</v>
      </c>
      <c r="O712" s="10" t="str">
        <f t="shared" ref="O712:O713" si="83">HYPERLINK("https://pbs.twimg.com/profile_images/645716711723925506/t5G0qOS6_normal.jpg","View")</f>
        <v>View</v>
      </c>
      <c r="P712" s="11"/>
    </row>
    <row r="713" spans="1:16" ht="12.75" x14ac:dyDescent="0.35">
      <c r="A713" s="7">
        <v>42478.487546296295</v>
      </c>
      <c r="B713" s="8" t="str">
        <f t="shared" si="82"/>
        <v>@INDIZbot</v>
      </c>
      <c r="C713" s="9" t="s">
        <v>61</v>
      </c>
      <c r="D713" s="9" t="s">
        <v>792</v>
      </c>
      <c r="E713" s="10" t="str">
        <f>HYPERLINK("https://twitter.com/INDIZbot/status/721944366277926912","721944366277926912")</f>
        <v>721944366277926912</v>
      </c>
      <c r="F713" s="11" t="s">
        <v>62</v>
      </c>
      <c r="G713" s="11">
        <v>1762</v>
      </c>
      <c r="H713" s="11">
        <v>481</v>
      </c>
      <c r="I713" s="11">
        <v>1</v>
      </c>
      <c r="J713" s="11">
        <v>0</v>
      </c>
      <c r="K713" s="11" t="s">
        <v>21</v>
      </c>
      <c r="L713" s="7">
        <v>42267.011921296296</v>
      </c>
      <c r="M713" s="12"/>
      <c r="N713" s="12" t="s">
        <v>63</v>
      </c>
      <c r="O713" s="10" t="str">
        <f t="shared" si="83"/>
        <v>View</v>
      </c>
      <c r="P713" s="11"/>
    </row>
    <row r="714" spans="1:16" ht="12.75" x14ac:dyDescent="0.35">
      <c r="A714" s="7">
        <v>42478.490949074076</v>
      </c>
      <c r="B714" s="8" t="str">
        <f>HYPERLINK("https://twitter.com/handling","@handling")</f>
        <v>@handling</v>
      </c>
      <c r="C714" s="9" t="s">
        <v>1565</v>
      </c>
      <c r="D714" s="9" t="s">
        <v>1557</v>
      </c>
      <c r="E714" s="10" t="str">
        <f>HYPERLINK("https://twitter.com/handling/status/721945597599621121","721945597599621121")</f>
        <v>721945597599621121</v>
      </c>
      <c r="F714" s="11" t="s">
        <v>25</v>
      </c>
      <c r="G714" s="11">
        <v>1541</v>
      </c>
      <c r="H714" s="11">
        <v>1027</v>
      </c>
      <c r="I714" s="11">
        <v>4</v>
      </c>
      <c r="J714" s="11">
        <v>0</v>
      </c>
      <c r="K714" s="11" t="s">
        <v>21</v>
      </c>
      <c r="L714" s="7">
        <v>39667.882245370369</v>
      </c>
      <c r="M714" s="12" t="s">
        <v>1566</v>
      </c>
      <c r="N714" s="12" t="s">
        <v>1567</v>
      </c>
      <c r="O714" s="10" t="str">
        <f>HYPERLINK("https://pbs.twimg.com/profile_images/648776467464212480/zcXaLLGc_normal.png","View")</f>
        <v>View</v>
      </c>
      <c r="P714" s="11"/>
    </row>
    <row r="715" spans="1:16" ht="12.75" x14ac:dyDescent="0.35">
      <c r="A715" s="7">
        <v>42478.494317129633</v>
      </c>
      <c r="B715" s="8" t="str">
        <f>HYPERLINK("https://twitter.com/AnnaWypior","@AnnaWypior")</f>
        <v>@AnnaWypior</v>
      </c>
      <c r="C715" s="9" t="s">
        <v>1395</v>
      </c>
      <c r="D715" s="9" t="s">
        <v>1525</v>
      </c>
      <c r="E715" s="10" t="str">
        <f>HYPERLINK("https://twitter.com/AnnaWypior/status/721946821325647872","721946821325647872")</f>
        <v>721946821325647872</v>
      </c>
      <c r="F715" s="11" t="s">
        <v>31</v>
      </c>
      <c r="G715" s="11">
        <v>215</v>
      </c>
      <c r="H715" s="11">
        <v>329</v>
      </c>
      <c r="I715" s="11">
        <v>4</v>
      </c>
      <c r="J715" s="11">
        <v>0</v>
      </c>
      <c r="K715" s="11" t="s">
        <v>21</v>
      </c>
      <c r="L715" s="7">
        <v>42274.81621527778</v>
      </c>
      <c r="M715" s="12" t="s">
        <v>1396</v>
      </c>
      <c r="N715" s="12" t="s">
        <v>1397</v>
      </c>
      <c r="O715" s="10" t="str">
        <f>HYPERLINK("https://pbs.twimg.com/profile_images/648137141999017989/QfJy2m6F_normal.png","View")</f>
        <v>View</v>
      </c>
      <c r="P715" s="11"/>
    </row>
    <row r="716" spans="1:16" ht="12.75" x14ac:dyDescent="0.35">
      <c r="A716" s="7">
        <v>42478.501643518517</v>
      </c>
      <c r="B716" s="8" t="str">
        <f>HYPERLINK("https://twitter.com/3Dsignals","@3Dsignals")</f>
        <v>@3Dsignals</v>
      </c>
      <c r="C716" s="9" t="s">
        <v>1568</v>
      </c>
      <c r="D716" s="9" t="s">
        <v>1569</v>
      </c>
      <c r="E716" s="10" t="str">
        <f>HYPERLINK("https://twitter.com/3Dsignals/status/721949475070152705","721949475070152705")</f>
        <v>721949475070152705</v>
      </c>
      <c r="F716" s="11" t="s">
        <v>25</v>
      </c>
      <c r="G716" s="11">
        <v>122</v>
      </c>
      <c r="H716" s="11">
        <v>148</v>
      </c>
      <c r="I716" s="11">
        <v>0</v>
      </c>
      <c r="J716" s="11">
        <v>0</v>
      </c>
      <c r="K716" s="11" t="s">
        <v>21</v>
      </c>
      <c r="L716" s="7">
        <v>42456.743807870371</v>
      </c>
      <c r="M716" s="12" t="s">
        <v>1570</v>
      </c>
      <c r="N716" s="12" t="s">
        <v>1571</v>
      </c>
      <c r="O716" s="10" t="str">
        <f>HYPERLINK("https://pbs.twimg.com/profile_images/714066105875238913/_zCsdrvR_normal.jpg","View")</f>
        <v>View</v>
      </c>
      <c r="P716" s="11"/>
    </row>
    <row r="717" spans="1:16" ht="12.75" x14ac:dyDescent="0.35">
      <c r="A717" s="7">
        <v>42478.504988425921</v>
      </c>
      <c r="B717" s="8" t="str">
        <f>HYPERLINK("https://twitter.com/BISGeV","@BISGeV")</f>
        <v>@BISGeV</v>
      </c>
      <c r="C717" s="9" t="s">
        <v>1572</v>
      </c>
      <c r="D717" s="9" t="s">
        <v>1573</v>
      </c>
      <c r="E717" s="10" t="str">
        <f>HYPERLINK("https://twitter.com/BISGeV/status/721950685630218240","721950685630218240")</f>
        <v>721950685630218240</v>
      </c>
      <c r="F717" s="11" t="s">
        <v>25</v>
      </c>
      <c r="G717" s="11">
        <v>208</v>
      </c>
      <c r="H717" s="11">
        <v>349</v>
      </c>
      <c r="I717" s="11">
        <v>1</v>
      </c>
      <c r="J717" s="11">
        <v>1</v>
      </c>
      <c r="K717" s="11" t="s">
        <v>21</v>
      </c>
      <c r="L717" s="7">
        <v>41863.823252314818</v>
      </c>
      <c r="M717" s="12" t="s">
        <v>1574</v>
      </c>
      <c r="N717" s="12" t="s">
        <v>1575</v>
      </c>
      <c r="O717" s="10" t="str">
        <f>HYPERLINK("https://pbs.twimg.com/profile_images/500565080807723009/yP0sT_1k_normal.png","View")</f>
        <v>View</v>
      </c>
      <c r="P717" s="11"/>
    </row>
    <row r="718" spans="1:16" ht="12.75" x14ac:dyDescent="0.35">
      <c r="A718" s="7">
        <v>42478.507071759261</v>
      </c>
      <c r="B718" s="8" t="str">
        <f>HYPERLINK("https://twitter.com/kommoptimierer","@kommoptimierer")</f>
        <v>@kommoptimierer</v>
      </c>
      <c r="C718" s="9" t="s">
        <v>270</v>
      </c>
      <c r="D718" s="9" t="s">
        <v>684</v>
      </c>
      <c r="E718" s="10" t="str">
        <f>HYPERLINK("https://twitter.com/kommoptimierer/status/721951442978893824","721951442978893824")</f>
        <v>721951442978893824</v>
      </c>
      <c r="F718" s="11" t="s">
        <v>272</v>
      </c>
      <c r="G718" s="11">
        <v>1347</v>
      </c>
      <c r="H718" s="11">
        <v>1753</v>
      </c>
      <c r="I718" s="11">
        <v>0</v>
      </c>
      <c r="J718" s="11">
        <v>1</v>
      </c>
      <c r="K718" s="11" t="s">
        <v>21</v>
      </c>
      <c r="L718" s="7">
        <v>39986.860358796301</v>
      </c>
      <c r="M718" s="12" t="s">
        <v>273</v>
      </c>
      <c r="N718" s="12" t="s">
        <v>274</v>
      </c>
      <c r="O718" s="10" t="str">
        <f>HYPERLINK("https://pbs.twimg.com/profile_images/541146126158536704/IYardufS_normal.jpeg","View")</f>
        <v>View</v>
      </c>
      <c r="P718" s="11"/>
    </row>
    <row r="719" spans="1:16" ht="12.75" x14ac:dyDescent="0.35">
      <c r="A719" s="7">
        <v>42478.514131944445</v>
      </c>
      <c r="B719" s="8" t="str">
        <f>HYPERLINK("https://twitter.com/FreudenbergITde","@FreudenbergITde")</f>
        <v>@FreudenbergITde</v>
      </c>
      <c r="C719" s="9" t="s">
        <v>1576</v>
      </c>
      <c r="D719" s="9" t="s">
        <v>1577</v>
      </c>
      <c r="E719" s="10" t="str">
        <f>HYPERLINK("https://twitter.com/FreudenbergITde/status/721954000980078592","721954000980078592")</f>
        <v>721954000980078592</v>
      </c>
      <c r="F719" s="11" t="s">
        <v>39</v>
      </c>
      <c r="G719" s="11">
        <v>399</v>
      </c>
      <c r="H719" s="11">
        <v>93</v>
      </c>
      <c r="I719" s="11">
        <v>2</v>
      </c>
      <c r="J719" s="11">
        <v>1</v>
      </c>
      <c r="K719" s="11" t="s">
        <v>21</v>
      </c>
      <c r="L719" s="7">
        <v>40969.841539351852</v>
      </c>
      <c r="M719" s="12" t="s">
        <v>1578</v>
      </c>
      <c r="N719" s="12" t="s">
        <v>1579</v>
      </c>
      <c r="O719" s="10" t="str">
        <f>HYPERLINK("https://pbs.twimg.com/profile_images/378800000732095310/37ab974996c9a200327301623007a55d_normal.png","View")</f>
        <v>View</v>
      </c>
      <c r="P719" s="11"/>
    </row>
    <row r="720" spans="1:16" ht="12.75" x14ac:dyDescent="0.35">
      <c r="A720" s="7">
        <v>42478.514467592591</v>
      </c>
      <c r="B720" s="8" t="str">
        <f>HYPERLINK("https://twitter.com/LIMITEDMETHWEED","@LIMITEDMETHWEED")</f>
        <v>@LIMITEDMETHWEED</v>
      </c>
      <c r="C720" s="9" t="s">
        <v>1580</v>
      </c>
      <c r="D720" s="9" t="s">
        <v>1581</v>
      </c>
      <c r="E720" s="10" t="str">
        <f>HYPERLINK("https://twitter.com/LIMITEDMETHWEED/status/721954119657865216","721954119657865216")</f>
        <v>721954119657865216</v>
      </c>
      <c r="F720" s="11" t="s">
        <v>25</v>
      </c>
      <c r="G720" s="11">
        <v>438</v>
      </c>
      <c r="H720" s="11">
        <v>1654</v>
      </c>
      <c r="I720" s="11">
        <v>2</v>
      </c>
      <c r="J720" s="11">
        <v>0</v>
      </c>
      <c r="K720" s="11" t="s">
        <v>21</v>
      </c>
      <c r="L720" s="7">
        <v>41965.171793981484</v>
      </c>
      <c r="M720" s="12"/>
      <c r="N720" s="12" t="s">
        <v>1582</v>
      </c>
      <c r="O720" s="10" t="str">
        <f>HYPERLINK("https://pbs.twimg.com/profile_images/535925502330941440/eWFvAEji_normal.jpeg","View")</f>
        <v>View</v>
      </c>
      <c r="P720" s="11"/>
    </row>
    <row r="721" spans="1:16" ht="12.75" x14ac:dyDescent="0.35">
      <c r="A721" s="7">
        <v>42478.514675925922</v>
      </c>
      <c r="B721" s="8" t="str">
        <f>HYPERLINK("https://twitter.com/tuevnord","@tuevnord")</f>
        <v>@tuevnord</v>
      </c>
      <c r="C721" s="9" t="s">
        <v>1583</v>
      </c>
      <c r="D721" s="9" t="s">
        <v>1197</v>
      </c>
      <c r="E721" s="10" t="str">
        <f>HYPERLINK("https://twitter.com/tuevnord/status/721954198158471168","721954198158471168")</f>
        <v>721954198158471168</v>
      </c>
      <c r="F721" s="11" t="s">
        <v>25</v>
      </c>
      <c r="G721" s="11">
        <v>711</v>
      </c>
      <c r="H721" s="11">
        <v>461</v>
      </c>
      <c r="I721" s="11">
        <v>3</v>
      </c>
      <c r="J721" s="11">
        <v>0</v>
      </c>
      <c r="K721" s="11" t="s">
        <v>21</v>
      </c>
      <c r="L721" s="7">
        <v>39864.594178240739</v>
      </c>
      <c r="M721" s="12" t="s">
        <v>1584</v>
      </c>
      <c r="N721" s="12" t="s">
        <v>1585</v>
      </c>
      <c r="O721" s="10" t="str">
        <f>HYPERLINK("https://pbs.twimg.com/profile_images/378800000104294821/5a742075b9441c9de8a86c75a712b0c7_normal.png","View")</f>
        <v>View</v>
      </c>
      <c r="P721" s="11"/>
    </row>
    <row r="722" spans="1:16" ht="12.75" x14ac:dyDescent="0.35">
      <c r="A722" s="7">
        <v>42478.514965277776</v>
      </c>
      <c r="B722" s="8" t="str">
        <f>HYPERLINK("https://twitter.com/MarioReinsch","@MarioReinsch")</f>
        <v>@MarioReinsch</v>
      </c>
      <c r="C722" s="9" t="s">
        <v>109</v>
      </c>
      <c r="D722" s="9" t="s">
        <v>1586</v>
      </c>
      <c r="E722" s="10" t="str">
        <f>HYPERLINK("https://twitter.com/MarioReinsch/status/721954302265307136","721954302265307136")</f>
        <v>721954302265307136</v>
      </c>
      <c r="F722" s="11" t="s">
        <v>25</v>
      </c>
      <c r="G722" s="11">
        <v>203</v>
      </c>
      <c r="H722" s="11">
        <v>455</v>
      </c>
      <c r="I722" s="11">
        <v>3</v>
      </c>
      <c r="J722" s="11">
        <v>4</v>
      </c>
      <c r="K722" s="11" t="s">
        <v>21</v>
      </c>
      <c r="L722" s="7">
        <v>41858.737534722226</v>
      </c>
      <c r="M722" s="12" t="s">
        <v>111</v>
      </c>
      <c r="N722" s="12" t="s">
        <v>112</v>
      </c>
      <c r="O722" s="10" t="str">
        <f>HYPERLINK("https://pbs.twimg.com/profile_images/560799766007664640/lsjqv0TW_normal.jpeg","View")</f>
        <v>View</v>
      </c>
      <c r="P722" s="11"/>
    </row>
    <row r="723" spans="1:16" ht="12.75" x14ac:dyDescent="0.35">
      <c r="A723" s="7">
        <v>42478.519097222219</v>
      </c>
      <c r="B723" s="8" t="str">
        <f>HYPERLINK("https://twitter.com/HDSintGroup","@HDSintGroup")</f>
        <v>@HDSintGroup</v>
      </c>
      <c r="C723" s="9" t="s">
        <v>1046</v>
      </c>
      <c r="D723" s="9" t="s">
        <v>1587</v>
      </c>
      <c r="E723" s="10" t="str">
        <f>HYPERLINK("https://twitter.com/HDSintGroup/status/721955799203979265","721955799203979265")</f>
        <v>721955799203979265</v>
      </c>
      <c r="F723" s="11" t="s">
        <v>25</v>
      </c>
      <c r="G723" s="11">
        <v>372</v>
      </c>
      <c r="H723" s="11">
        <v>546</v>
      </c>
      <c r="I723" s="11">
        <v>3</v>
      </c>
      <c r="J723" s="11">
        <v>1</v>
      </c>
      <c r="K723" s="11" t="s">
        <v>21</v>
      </c>
      <c r="L723" s="7">
        <v>42415.710590277777</v>
      </c>
      <c r="M723" s="12" t="s">
        <v>1048</v>
      </c>
      <c r="N723" s="12" t="s">
        <v>1049</v>
      </c>
      <c r="O723" s="10" t="str">
        <f>HYPERLINK("https://pbs.twimg.com/profile_images/699226610428420096/jjvfJFvl_normal.png","View")</f>
        <v>View</v>
      </c>
      <c r="P723" s="11"/>
    </row>
    <row r="724" spans="1:16" ht="12.75" x14ac:dyDescent="0.35">
      <c r="A724" s="7">
        <v>42478.521122685182</v>
      </c>
      <c r="B724" s="8" t="str">
        <f>HYPERLINK("https://twitter.com/VDMAonline","@VDMAonline")</f>
        <v>@VDMAonline</v>
      </c>
      <c r="C724" s="9" t="s">
        <v>191</v>
      </c>
      <c r="D724" s="9" t="s">
        <v>1588</v>
      </c>
      <c r="E724" s="10" t="str">
        <f>HYPERLINK("https://twitter.com/VDMAonline/status/721956535149002752","721956535149002752")</f>
        <v>721956535149002752</v>
      </c>
      <c r="F724" s="11" t="s">
        <v>115</v>
      </c>
      <c r="G724" s="11">
        <v>6793</v>
      </c>
      <c r="H724" s="11">
        <v>4</v>
      </c>
      <c r="I724" s="11">
        <v>7</v>
      </c>
      <c r="J724" s="11">
        <v>3</v>
      </c>
      <c r="K724" s="11" t="s">
        <v>21</v>
      </c>
      <c r="L724" s="7">
        <v>39932.616342592592</v>
      </c>
      <c r="M724" s="12" t="s">
        <v>49</v>
      </c>
      <c r="N724" s="12" t="s">
        <v>193</v>
      </c>
      <c r="O724" s="10" t="str">
        <f>HYPERLINK("https://pbs.twimg.com/profile_images/609375510158774272/P5glOk4b_normal.jpg","View")</f>
        <v>View</v>
      </c>
      <c r="P724" s="11"/>
    </row>
    <row r="725" spans="1:16" ht="12.75" x14ac:dyDescent="0.35">
      <c r="A725" s="7">
        <v>42478.521261574075</v>
      </c>
      <c r="B725" s="8" t="str">
        <f>HYPERLINK("https://twitter.com/mbesch","@mbesch")</f>
        <v>@mbesch</v>
      </c>
      <c r="C725" s="9" t="s">
        <v>1589</v>
      </c>
      <c r="D725" s="9" t="s">
        <v>1590</v>
      </c>
      <c r="E725" s="10" t="str">
        <f>HYPERLINK("https://twitter.com/mbesch/status/721956585216598016","721956585216598016")</f>
        <v>721956585216598016</v>
      </c>
      <c r="F725" s="11" t="s">
        <v>39</v>
      </c>
      <c r="G725" s="11">
        <v>2531</v>
      </c>
      <c r="H725" s="11">
        <v>2518</v>
      </c>
      <c r="I725" s="11">
        <v>2</v>
      </c>
      <c r="J725" s="11">
        <v>1</v>
      </c>
      <c r="K725" s="11" t="s">
        <v>21</v>
      </c>
      <c r="L725" s="7">
        <v>39712.606064814812</v>
      </c>
      <c r="M725" s="12" t="s">
        <v>1591</v>
      </c>
      <c r="N725" s="12" t="s">
        <v>1592</v>
      </c>
      <c r="O725" s="10" t="str">
        <f>HYPERLINK("https://pbs.twimg.com/profile_images/378800000095428642/8ef0ce9ca980b41ef8db86c5e546114f_normal.jpeg","View")</f>
        <v>View</v>
      </c>
      <c r="P725" s="11"/>
    </row>
    <row r="726" spans="1:16" ht="12.75" x14ac:dyDescent="0.35">
      <c r="A726" s="7">
        <v>42478.521620370375</v>
      </c>
      <c r="B726" s="8" t="str">
        <f t="shared" ref="B726:B728" si="84">HYPERLINK("https://twitter.com/INDIZbot","@INDIZbot")</f>
        <v>@INDIZbot</v>
      </c>
      <c r="C726" s="9" t="s">
        <v>61</v>
      </c>
      <c r="D726" s="9" t="s">
        <v>1593</v>
      </c>
      <c r="E726" s="10" t="str">
        <f>HYPERLINK("https://twitter.com/INDIZbot/status/721956715562971136","721956715562971136")</f>
        <v>721956715562971136</v>
      </c>
      <c r="F726" s="11" t="s">
        <v>62</v>
      </c>
      <c r="G726" s="11">
        <v>1762</v>
      </c>
      <c r="H726" s="11">
        <v>481</v>
      </c>
      <c r="I726" s="11">
        <v>2</v>
      </c>
      <c r="J726" s="11">
        <v>0</v>
      </c>
      <c r="K726" s="11" t="s">
        <v>21</v>
      </c>
      <c r="L726" s="7">
        <v>42267.011921296296</v>
      </c>
      <c r="M726" s="12"/>
      <c r="N726" s="12" t="s">
        <v>63</v>
      </c>
      <c r="O726" s="10" t="str">
        <f t="shared" ref="O726:O728" si="85">HYPERLINK("https://pbs.twimg.com/profile_images/645716711723925506/t5G0qOS6_normal.jpg","View")</f>
        <v>View</v>
      </c>
      <c r="P726" s="11"/>
    </row>
    <row r="727" spans="1:16" ht="12.75" x14ac:dyDescent="0.35">
      <c r="A727" s="7">
        <v>42478.52180555556</v>
      </c>
      <c r="B727" s="8" t="str">
        <f t="shared" si="84"/>
        <v>@INDIZbot</v>
      </c>
      <c r="C727" s="9" t="s">
        <v>61</v>
      </c>
      <c r="D727" s="9" t="s">
        <v>1594</v>
      </c>
      <c r="E727" s="10" t="str">
        <f>HYPERLINK("https://twitter.com/INDIZbot/status/721956780214001664","721956780214001664")</f>
        <v>721956780214001664</v>
      </c>
      <c r="F727" s="11" t="s">
        <v>62</v>
      </c>
      <c r="G727" s="11">
        <v>1762</v>
      </c>
      <c r="H727" s="11">
        <v>481</v>
      </c>
      <c r="I727" s="11">
        <v>7</v>
      </c>
      <c r="J727" s="11">
        <v>0</v>
      </c>
      <c r="K727" s="11" t="s">
        <v>21</v>
      </c>
      <c r="L727" s="7">
        <v>42267.011921296296</v>
      </c>
      <c r="M727" s="12"/>
      <c r="N727" s="12" t="s">
        <v>63</v>
      </c>
      <c r="O727" s="10" t="str">
        <f t="shared" si="85"/>
        <v>View</v>
      </c>
      <c r="P727" s="11"/>
    </row>
    <row r="728" spans="1:16" ht="12.75" x14ac:dyDescent="0.35">
      <c r="A728" s="7">
        <v>42478.522499999999</v>
      </c>
      <c r="B728" s="8" t="str">
        <f t="shared" si="84"/>
        <v>@INDIZbot</v>
      </c>
      <c r="C728" s="9" t="s">
        <v>61</v>
      </c>
      <c r="D728" s="9" t="s">
        <v>1595</v>
      </c>
      <c r="E728" s="10" t="str">
        <f>HYPERLINK("https://twitter.com/INDIZbot/status/721957032673341440","721957032673341440")</f>
        <v>721957032673341440</v>
      </c>
      <c r="F728" s="11" t="s">
        <v>62</v>
      </c>
      <c r="G728" s="11">
        <v>1762</v>
      </c>
      <c r="H728" s="11">
        <v>481</v>
      </c>
      <c r="I728" s="11">
        <v>3</v>
      </c>
      <c r="J728" s="11">
        <v>0</v>
      </c>
      <c r="K728" s="11" t="s">
        <v>21</v>
      </c>
      <c r="L728" s="7">
        <v>42267.011921296296</v>
      </c>
      <c r="M728" s="12"/>
      <c r="N728" s="12" t="s">
        <v>63</v>
      </c>
      <c r="O728" s="10" t="str">
        <f t="shared" si="85"/>
        <v>View</v>
      </c>
      <c r="P728" s="11"/>
    </row>
    <row r="729" spans="1:16" ht="12.75" x14ac:dyDescent="0.35">
      <c r="A729" s="7">
        <v>42478.523587962962</v>
      </c>
      <c r="B729" s="8" t="str">
        <f>HYPERLINK("https://twitter.com/SICK_Karriere","@SICK_Karriere")</f>
        <v>@SICK_Karriere</v>
      </c>
      <c r="C729" s="9" t="s">
        <v>1596</v>
      </c>
      <c r="D729" s="9" t="s">
        <v>1594</v>
      </c>
      <c r="E729" s="10" t="str">
        <f>HYPERLINK("https://twitter.com/SICK_Karriere/status/721957427881631744","721957427881631744")</f>
        <v>721957427881631744</v>
      </c>
      <c r="F729" s="11" t="s">
        <v>25</v>
      </c>
      <c r="G729" s="11">
        <v>570</v>
      </c>
      <c r="H729" s="11">
        <v>535</v>
      </c>
      <c r="I729" s="11">
        <v>7</v>
      </c>
      <c r="J729" s="11">
        <v>0</v>
      </c>
      <c r="K729" s="11" t="s">
        <v>21</v>
      </c>
      <c r="L729" s="7">
        <v>40863.876527777778</v>
      </c>
      <c r="M729" s="12" t="s">
        <v>1597</v>
      </c>
      <c r="N729" s="12" t="s">
        <v>1598</v>
      </c>
      <c r="O729" s="10" t="str">
        <f>HYPERLINK("https://pbs.twimg.com/profile_images/616135945973317632/te85BV7p_normal.jpg","View")</f>
        <v>View</v>
      </c>
      <c r="P729" s="11"/>
    </row>
    <row r="730" spans="1:16" ht="12.75" x14ac:dyDescent="0.35">
      <c r="A730" s="7">
        <v>42478.523611111115</v>
      </c>
      <c r="B730" s="8" t="str">
        <f>HYPERLINK("https://twitter.com/OXID_eSales","@OXID_eSales")</f>
        <v>@OXID_eSales</v>
      </c>
      <c r="C730" s="9" t="s">
        <v>1599</v>
      </c>
      <c r="D730" s="9" t="s">
        <v>1600</v>
      </c>
      <c r="E730" s="10" t="str">
        <f>HYPERLINK("https://twitter.com/OXID_eSales/status/721957434122760192","721957434122760192")</f>
        <v>721957434122760192</v>
      </c>
      <c r="F730" s="11" t="s">
        <v>25</v>
      </c>
      <c r="G730" s="11">
        <v>5312</v>
      </c>
      <c r="H730" s="11">
        <v>3989</v>
      </c>
      <c r="I730" s="11">
        <v>0</v>
      </c>
      <c r="J730" s="11">
        <v>0</v>
      </c>
      <c r="K730" s="11" t="s">
        <v>21</v>
      </c>
      <c r="L730" s="7">
        <v>39644.566550925927</v>
      </c>
      <c r="M730" s="12" t="s">
        <v>1601</v>
      </c>
      <c r="N730" s="12" t="s">
        <v>1602</v>
      </c>
      <c r="O730" s="10" t="str">
        <f>HYPERLINK("https://pbs.twimg.com/profile_images/2911298396/59dee8fe447db9ec9a5009910199cbaf_normal.png","View")</f>
        <v>View</v>
      </c>
      <c r="P730" s="11"/>
    </row>
    <row r="731" spans="1:16" ht="12.75" x14ac:dyDescent="0.35">
      <c r="A731" s="7">
        <v>42478.524942129632</v>
      </c>
      <c r="B731" s="8" t="str">
        <f>HYPERLINK("https://twitter.com/Balluff","@Balluff")</f>
        <v>@Balluff</v>
      </c>
      <c r="C731" s="9" t="s">
        <v>357</v>
      </c>
      <c r="D731" s="9" t="s">
        <v>1603</v>
      </c>
      <c r="E731" s="10" t="str">
        <f>HYPERLINK("https://twitter.com/Balluff/status/721957919256887297","721957919256887297")</f>
        <v>721957919256887297</v>
      </c>
      <c r="F731" s="11" t="s">
        <v>25</v>
      </c>
      <c r="G731" s="11">
        <v>1545</v>
      </c>
      <c r="H731" s="11">
        <v>444</v>
      </c>
      <c r="I731" s="11">
        <v>3</v>
      </c>
      <c r="J731" s="11">
        <v>0</v>
      </c>
      <c r="K731" s="11" t="s">
        <v>21</v>
      </c>
      <c r="L731" s="7">
        <v>39842.576643518521</v>
      </c>
      <c r="M731" s="12" t="s">
        <v>359</v>
      </c>
      <c r="N731" s="12" t="s">
        <v>360</v>
      </c>
      <c r="O731" s="10" t="str">
        <f>HYPERLINK("https://pbs.twimg.com/profile_images/663668561366245376/2ovYiiJf_normal.jpg","View")</f>
        <v>View</v>
      </c>
      <c r="P731" s="11"/>
    </row>
    <row r="732" spans="1:16" ht="12.75" x14ac:dyDescent="0.35">
      <c r="A732" s="7">
        <v>42478.527939814812</v>
      </c>
      <c r="B732" s="8" t="str">
        <f>HYPERLINK("https://twitter.com/nextDBI","@nextDBI")</f>
        <v>@nextDBI</v>
      </c>
      <c r="C732" s="9" t="s">
        <v>1604</v>
      </c>
      <c r="D732" s="9" t="s">
        <v>1605</v>
      </c>
      <c r="E732" s="10" t="str">
        <f>HYPERLINK("https://twitter.com/nextDBI/status/721959003727773696","721959003727773696")</f>
        <v>721959003727773696</v>
      </c>
      <c r="F732" s="11" t="s">
        <v>39</v>
      </c>
      <c r="G732" s="11">
        <v>117</v>
      </c>
      <c r="H732" s="11">
        <v>236</v>
      </c>
      <c r="I732" s="11">
        <v>0</v>
      </c>
      <c r="J732" s="11">
        <v>0</v>
      </c>
      <c r="K732" s="11" t="s">
        <v>21</v>
      </c>
      <c r="L732" s="7">
        <v>41659.021435185183</v>
      </c>
      <c r="M732" s="12" t="s">
        <v>157</v>
      </c>
      <c r="N732" s="12" t="s">
        <v>1606</v>
      </c>
      <c r="O732" s="10" t="str">
        <f>HYPERLINK("https://pbs.twimg.com/profile_images/544485391860916225/UGg0IhKT_normal.png","View")</f>
        <v>View</v>
      </c>
      <c r="P732" s="11"/>
    </row>
    <row r="733" spans="1:16" ht="12.75" x14ac:dyDescent="0.35">
      <c r="A733" s="7">
        <v>42478.534652777773</v>
      </c>
      <c r="B733" s="8" t="str">
        <f>HYPERLINK("https://twitter.com/H_IT_D","@H_IT_D")</f>
        <v>@H_IT_D</v>
      </c>
      <c r="C733" s="9" t="s">
        <v>159</v>
      </c>
      <c r="D733" s="9" t="s">
        <v>1607</v>
      </c>
      <c r="E733" s="10" t="str">
        <f>HYPERLINK("https://twitter.com/H_IT_D/status/721961438479134720","721961438479134720")</f>
        <v>721961438479134720</v>
      </c>
      <c r="F733" s="11" t="s">
        <v>161</v>
      </c>
      <c r="G733" s="11">
        <v>463</v>
      </c>
      <c r="H733" s="11">
        <v>467</v>
      </c>
      <c r="I733" s="11">
        <v>0</v>
      </c>
      <c r="J733" s="11">
        <v>0</v>
      </c>
      <c r="K733" s="11" t="s">
        <v>21</v>
      </c>
      <c r="L733" s="7">
        <v>40723.867673611108</v>
      </c>
      <c r="M733" s="12" t="s">
        <v>162</v>
      </c>
      <c r="N733" s="12" t="s">
        <v>163</v>
      </c>
      <c r="O733" s="10" t="str">
        <f>HYPERLINK("https://pbs.twimg.com/profile_images/662723326096224256/5V4KH9_O_normal.jpg","View")</f>
        <v>View</v>
      </c>
      <c r="P733" s="11"/>
    </row>
    <row r="734" spans="1:16" ht="12.75" x14ac:dyDescent="0.35">
      <c r="A734" s="7">
        <v>42478.53497685185</v>
      </c>
      <c r="B734" s="8" t="str">
        <f>HYPERLINK("https://twitter.com/SHC_GmbH","@SHC_GmbH")</f>
        <v>@SHC_GmbH</v>
      </c>
      <c r="C734" s="9" t="s">
        <v>105</v>
      </c>
      <c r="D734" s="9" t="s">
        <v>1608</v>
      </c>
      <c r="E734" s="10" t="str">
        <f>HYPERLINK("https://twitter.com/SHC_GmbH/status/721961551855493120","721961551855493120")</f>
        <v>721961551855493120</v>
      </c>
      <c r="F734" s="11" t="s">
        <v>39</v>
      </c>
      <c r="G734" s="11">
        <v>427</v>
      </c>
      <c r="H734" s="11">
        <v>598</v>
      </c>
      <c r="I734" s="11">
        <v>0</v>
      </c>
      <c r="J734" s="11">
        <v>0</v>
      </c>
      <c r="K734" s="11" t="s">
        <v>21</v>
      </c>
      <c r="L734" s="7">
        <v>41423.549513888887</v>
      </c>
      <c r="M734" s="12" t="s">
        <v>107</v>
      </c>
      <c r="N734" s="12" t="s">
        <v>108</v>
      </c>
      <c r="O734" s="10" t="str">
        <f>HYPERLINK("https://pbs.twimg.com/profile_images/3726440228/9ba49ccb938cf571b195e3e83a4e1327_normal.jpeg","View")</f>
        <v>View</v>
      </c>
      <c r="P734" s="11"/>
    </row>
    <row r="735" spans="1:16" ht="12.75" x14ac:dyDescent="0.35">
      <c r="A735" s="7">
        <v>42478.535995370374</v>
      </c>
      <c r="B735" s="8" t="str">
        <f>HYPERLINK("https://twitter.com/catkinEU","@catkinEU")</f>
        <v>@catkinEU</v>
      </c>
      <c r="C735" s="9" t="s">
        <v>781</v>
      </c>
      <c r="D735" s="9" t="s">
        <v>1594</v>
      </c>
      <c r="E735" s="10" t="str">
        <f>HYPERLINK("https://twitter.com/catkinEU/status/721961923043016704","721961923043016704")</f>
        <v>721961923043016704</v>
      </c>
      <c r="F735" s="11" t="s">
        <v>29</v>
      </c>
      <c r="G735" s="11">
        <v>403</v>
      </c>
      <c r="H735" s="11">
        <v>541</v>
      </c>
      <c r="I735" s="11">
        <v>7</v>
      </c>
      <c r="J735" s="11">
        <v>0</v>
      </c>
      <c r="K735" s="11" t="s">
        <v>21</v>
      </c>
      <c r="L735" s="7">
        <v>42153.955763888887</v>
      </c>
      <c r="M735" s="12"/>
      <c r="N735" s="12" t="s">
        <v>782</v>
      </c>
      <c r="O735" s="10" t="str">
        <f>HYPERLINK("https://pbs.twimg.com/profile_images/604338428227010560/6jzSa8us_normal.png","View")</f>
        <v>View</v>
      </c>
      <c r="P735" s="11"/>
    </row>
    <row r="736" spans="1:16" ht="12.75" x14ac:dyDescent="0.35">
      <c r="A736" s="7">
        <v>42478.53634259259</v>
      </c>
      <c r="B736" s="8" t="str">
        <f>HYPERLINK("https://twitter.com/MeinGeldMedien","@MeinGeldMedien")</f>
        <v>@MeinGeldMedien</v>
      </c>
      <c r="C736" s="9" t="s">
        <v>302</v>
      </c>
      <c r="D736" s="9" t="s">
        <v>1609</v>
      </c>
      <c r="E736" s="10" t="str">
        <f>HYPERLINK("https://twitter.com/MeinGeldMedien/status/721962047077031936","721962047077031936")</f>
        <v>721962047077031936</v>
      </c>
      <c r="F736" s="11" t="s">
        <v>39</v>
      </c>
      <c r="G736" s="11">
        <v>694</v>
      </c>
      <c r="H736" s="11">
        <v>583</v>
      </c>
      <c r="I736" s="11">
        <v>0</v>
      </c>
      <c r="J736" s="11">
        <v>0</v>
      </c>
      <c r="K736" s="11" t="s">
        <v>21</v>
      </c>
      <c r="L736" s="7">
        <v>41793.608449074076</v>
      </c>
      <c r="M736" s="12" t="s">
        <v>218</v>
      </c>
      <c r="N736" s="12" t="s">
        <v>304</v>
      </c>
      <c r="O736" s="10" t="str">
        <f>HYPERLINK("https://pbs.twimg.com/profile_images/473759721023758338/3CcJL-Vq_normal.jpeg","View")</f>
        <v>View</v>
      </c>
      <c r="P736" s="11"/>
    </row>
    <row r="737" spans="1:16" ht="12.75" x14ac:dyDescent="0.35">
      <c r="A737" s="7">
        <v>42478.536666666667</v>
      </c>
      <c r="B737" s="8" t="str">
        <f>HYPERLINK("https://twitter.com/bluebait","@bluebait")</f>
        <v>@bluebait</v>
      </c>
      <c r="C737" s="9" t="s">
        <v>1610</v>
      </c>
      <c r="D737" s="9" t="s">
        <v>1593</v>
      </c>
      <c r="E737" s="10" t="str">
        <f>HYPERLINK("https://twitter.com/bluebait/status/721962167986163712","721962167986163712")</f>
        <v>721962167986163712</v>
      </c>
      <c r="F737" s="11" t="s">
        <v>39</v>
      </c>
      <c r="G737" s="11">
        <v>233</v>
      </c>
      <c r="H737" s="11">
        <v>401</v>
      </c>
      <c r="I737" s="11">
        <v>2</v>
      </c>
      <c r="J737" s="11">
        <v>0</v>
      </c>
      <c r="K737" s="11" t="s">
        <v>21</v>
      </c>
      <c r="L737" s="7">
        <v>40914.746157407411</v>
      </c>
      <c r="M737" s="12" t="s">
        <v>512</v>
      </c>
      <c r="N737" s="12" t="s">
        <v>1611</v>
      </c>
      <c r="O737" s="10" t="str">
        <f>HYPERLINK("https://pbs.twimg.com/profile_images/2747377011/98d4136fa24a3cef4d4a650c705edd5d_normal.jpeg","View")</f>
        <v>View</v>
      </c>
      <c r="P737" s="11"/>
    </row>
    <row r="738" spans="1:16" ht="12.75" x14ac:dyDescent="0.35">
      <c r="A738" s="7">
        <v>42478.541435185187</v>
      </c>
      <c r="B738" s="8" t="str">
        <f>HYPERLINK("https://twitter.com/Angela_Josephs","@Angela_Josephs")</f>
        <v>@Angela_Josephs</v>
      </c>
      <c r="C738" s="9" t="s">
        <v>1612</v>
      </c>
      <c r="D738" s="9" t="s">
        <v>1613</v>
      </c>
      <c r="E738" s="10" t="str">
        <f>HYPERLINK("https://twitter.com/Angela_Josephs/status/721963893644521472","721963893644521472")</f>
        <v>721963893644521472</v>
      </c>
      <c r="F738" s="11" t="s">
        <v>115</v>
      </c>
      <c r="G738" s="11">
        <v>173</v>
      </c>
      <c r="H738" s="11">
        <v>83</v>
      </c>
      <c r="I738" s="11">
        <v>5</v>
      </c>
      <c r="J738" s="11">
        <v>4</v>
      </c>
      <c r="K738" s="11" t="s">
        <v>21</v>
      </c>
      <c r="L738" s="7">
        <v>41954.653541666667</v>
      </c>
      <c r="M738" s="12" t="s">
        <v>1273</v>
      </c>
      <c r="N738" s="12" t="s">
        <v>1614</v>
      </c>
      <c r="O738" s="10" t="str">
        <f>HYPERLINK("https://pbs.twimg.com/profile_images/649572788148285440/Sxl5vTa3_normal.jpg","View")</f>
        <v>View</v>
      </c>
      <c r="P738" s="11"/>
    </row>
    <row r="739" spans="1:16" ht="12.75" x14ac:dyDescent="0.35">
      <c r="A739" s="7">
        <v>42478.543067129634</v>
      </c>
      <c r="B739" s="8" t="str">
        <f>HYPERLINK("https://twitter.com/INDIZbot","@INDIZbot")</f>
        <v>@INDIZbot</v>
      </c>
      <c r="C739" s="9" t="s">
        <v>61</v>
      </c>
      <c r="D739" s="9" t="s">
        <v>1615</v>
      </c>
      <c r="E739" s="10" t="str">
        <f>HYPERLINK("https://twitter.com/INDIZbot/status/721964486924615680","721964486924615680")</f>
        <v>721964486924615680</v>
      </c>
      <c r="F739" s="11" t="s">
        <v>62</v>
      </c>
      <c r="G739" s="11">
        <v>1762</v>
      </c>
      <c r="H739" s="11">
        <v>481</v>
      </c>
      <c r="I739" s="11">
        <v>5</v>
      </c>
      <c r="J739" s="11">
        <v>0</v>
      </c>
      <c r="K739" s="11" t="s">
        <v>21</v>
      </c>
      <c r="L739" s="7">
        <v>42267.011921296296</v>
      </c>
      <c r="M739" s="12"/>
      <c r="N739" s="12" t="s">
        <v>63</v>
      </c>
      <c r="O739" s="10" t="str">
        <f>HYPERLINK("https://pbs.twimg.com/profile_images/645716711723925506/t5G0qOS6_normal.jpg","View")</f>
        <v>View</v>
      </c>
      <c r="P739" s="11"/>
    </row>
    <row r="740" spans="1:16" ht="12.75" x14ac:dyDescent="0.35">
      <c r="A740" s="7">
        <v>42478.54488425926</v>
      </c>
      <c r="B740" s="8" t="str">
        <f>HYPERLINK("https://twitter.com/OJaeger","@OJaeger")</f>
        <v>@OJaeger</v>
      </c>
      <c r="C740" s="9" t="s">
        <v>1102</v>
      </c>
      <c r="D740" s="9" t="s">
        <v>1616</v>
      </c>
      <c r="E740" s="10" t="str">
        <f>HYPERLINK("https://twitter.com/OJaeger/status/721965146051125248","721965146051125248")</f>
        <v>721965146051125248</v>
      </c>
      <c r="F740" s="11" t="s">
        <v>25</v>
      </c>
      <c r="G740" s="11">
        <v>1824</v>
      </c>
      <c r="H740" s="11">
        <v>2422</v>
      </c>
      <c r="I740" s="11">
        <v>2</v>
      </c>
      <c r="J740" s="11">
        <v>1</v>
      </c>
      <c r="K740" s="11" t="s">
        <v>21</v>
      </c>
      <c r="L740" s="7">
        <v>39906.567083333335</v>
      </c>
      <c r="M740" s="12" t="s">
        <v>121</v>
      </c>
      <c r="N740" s="12" t="s">
        <v>1104</v>
      </c>
      <c r="O740" s="10" t="str">
        <f>HYPERLINK("https://pbs.twimg.com/profile_images/510721015945498624/1UpjmZMi_normal.jpeg","View")</f>
        <v>View</v>
      </c>
      <c r="P740" s="11"/>
    </row>
    <row r="741" spans="1:16" ht="12.75" x14ac:dyDescent="0.35">
      <c r="A741" s="7">
        <v>42478.549629629633</v>
      </c>
      <c r="B741" s="8" t="str">
        <f>HYPERLINK("https://twitter.com/RolandBent","@RolandBent")</f>
        <v>@RolandBent</v>
      </c>
      <c r="C741" s="9" t="s">
        <v>1272</v>
      </c>
      <c r="D741" s="9" t="s">
        <v>1615</v>
      </c>
      <c r="E741" s="10" t="str">
        <f>HYPERLINK("https://twitter.com/RolandBent/status/721966861781495808","721966861781495808")</f>
        <v>721966861781495808</v>
      </c>
      <c r="F741" s="11" t="s">
        <v>115</v>
      </c>
      <c r="G741" s="11">
        <v>503</v>
      </c>
      <c r="H741" s="11">
        <v>235</v>
      </c>
      <c r="I741" s="11">
        <v>5</v>
      </c>
      <c r="J741" s="11">
        <v>0</v>
      </c>
      <c r="K741" s="11" t="s">
        <v>21</v>
      </c>
      <c r="L741" s="7">
        <v>41733.564432870371</v>
      </c>
      <c r="M741" s="12" t="s">
        <v>1273</v>
      </c>
      <c r="N741" s="12" t="s">
        <v>1274</v>
      </c>
      <c r="O741" s="10" t="str">
        <f>HYPERLINK("https://pbs.twimg.com/profile_images/451994816889360385/SYPpc3iI_normal.jpeg","View")</f>
        <v>View</v>
      </c>
      <c r="P741" s="11"/>
    </row>
    <row r="742" spans="1:16" ht="12.75" x14ac:dyDescent="0.35">
      <c r="A742" s="7">
        <v>42478.551631944443</v>
      </c>
      <c r="B742" s="8" t="str">
        <f>HYPERLINK("https://twitter.com/business_ruhr","@business_ruhr")</f>
        <v>@business_ruhr</v>
      </c>
      <c r="C742" s="9" t="s">
        <v>1617</v>
      </c>
      <c r="D742" s="9" t="s">
        <v>1618</v>
      </c>
      <c r="E742" s="10" t="str">
        <f>HYPERLINK("https://twitter.com/business_ruhr/status/721967589166084096","721967589166084096")</f>
        <v>721967589166084096</v>
      </c>
      <c r="F742" s="11" t="s">
        <v>25</v>
      </c>
      <c r="G742" s="11">
        <v>278</v>
      </c>
      <c r="H742" s="11">
        <v>171</v>
      </c>
      <c r="I742" s="11">
        <v>0</v>
      </c>
      <c r="J742" s="11">
        <v>1</v>
      </c>
      <c r="K742" s="11" t="s">
        <v>21</v>
      </c>
      <c r="L742" s="7">
        <v>42156.735474537039</v>
      </c>
      <c r="M742" s="12" t="s">
        <v>1027</v>
      </c>
      <c r="N742" s="12" t="s">
        <v>1619</v>
      </c>
      <c r="O742" s="10" t="str">
        <f>HYPERLINK("https://pbs.twimg.com/profile_images/705363323911606277/4I5Qik5n_normal.jpg","View")</f>
        <v>View</v>
      </c>
      <c r="P742" s="11"/>
    </row>
    <row r="743" spans="1:16" ht="12.75" x14ac:dyDescent="0.35">
      <c r="A743" s="7">
        <v>42478.551747685182</v>
      </c>
      <c r="B743" s="8" t="str">
        <f>HYPERLINK("https://twitter.com/sensorplustest","@sensorplustest")</f>
        <v>@sensorplustest</v>
      </c>
      <c r="C743" s="9" t="s">
        <v>886</v>
      </c>
      <c r="D743" s="9" t="s">
        <v>1620</v>
      </c>
      <c r="E743" s="10" t="str">
        <f>HYPERLINK("https://twitter.com/sensorplustest/status/721967629628522496","721967629628522496")</f>
        <v>721967629628522496</v>
      </c>
      <c r="F743" s="11" t="s">
        <v>39</v>
      </c>
      <c r="G743" s="11">
        <v>414</v>
      </c>
      <c r="H743" s="11">
        <v>182</v>
      </c>
      <c r="I743" s="11">
        <v>0</v>
      </c>
      <c r="J743" s="11">
        <v>0</v>
      </c>
      <c r="K743" s="11" t="s">
        <v>21</v>
      </c>
      <c r="L743" s="7">
        <v>41318.824606481481</v>
      </c>
      <c r="M743" s="12" t="s">
        <v>887</v>
      </c>
      <c r="N743" s="12" t="s">
        <v>888</v>
      </c>
      <c r="O743" s="10" t="str">
        <f>HYPERLINK("https://pbs.twimg.com/profile_images/378800000664327316/6a5c3a2d43525a9b5044906960528925_normal.jpeg","View")</f>
        <v>View</v>
      </c>
      <c r="P743" s="11"/>
    </row>
    <row r="744" spans="1:16" ht="12.75" x14ac:dyDescent="0.35">
      <c r="A744" s="7">
        <v>42478.553287037037</v>
      </c>
      <c r="B744" s="8" t="str">
        <f>HYPERLINK("https://twitter.com/NicolasChulot","@NicolasChulot")</f>
        <v>@NicolasChulot</v>
      </c>
      <c r="C744" s="9" t="s">
        <v>1621</v>
      </c>
      <c r="D744" s="9" t="s">
        <v>1172</v>
      </c>
      <c r="E744" s="10" t="str">
        <f>HYPERLINK("https://twitter.com/NicolasChulot/status/721968187391217664","721968187391217664")</f>
        <v>721968187391217664</v>
      </c>
      <c r="F744" s="11" t="s">
        <v>25</v>
      </c>
      <c r="G744" s="11">
        <v>68</v>
      </c>
      <c r="H744" s="11">
        <v>432</v>
      </c>
      <c r="I744" s="11">
        <v>4</v>
      </c>
      <c r="J744" s="11">
        <v>0</v>
      </c>
      <c r="K744" s="11" t="s">
        <v>21</v>
      </c>
      <c r="L744" s="7">
        <v>42451.762048611112</v>
      </c>
      <c r="M744" s="12" t="s">
        <v>1622</v>
      </c>
      <c r="N744" s="12" t="s">
        <v>1623</v>
      </c>
      <c r="O744" s="10" t="str">
        <f>HYPERLINK("https://pbs.twimg.com/profile_images/712259533599580160/jLEP38YT_normal.jpg","View")</f>
        <v>View</v>
      </c>
      <c r="P744" s="11"/>
    </row>
    <row r="745" spans="1:16" ht="12.75" x14ac:dyDescent="0.35">
      <c r="A745" s="7">
        <v>42478.553379629629</v>
      </c>
      <c r="B745" s="8" t="str">
        <f>HYPERLINK("https://twitter.com/BGarciaSchmidt","@BGarciaSchmidt")</f>
        <v>@BGarciaSchmidt</v>
      </c>
      <c r="C745" s="9" t="s">
        <v>1281</v>
      </c>
      <c r="D745" s="9" t="s">
        <v>1615</v>
      </c>
      <c r="E745" s="10" t="str">
        <f>HYPERLINK("https://twitter.com/BGarciaSchmidt/status/721968224527589377","721968224527589377")</f>
        <v>721968224527589377</v>
      </c>
      <c r="F745" s="11" t="s">
        <v>115</v>
      </c>
      <c r="G745" s="11">
        <v>51</v>
      </c>
      <c r="H745" s="11">
        <v>57</v>
      </c>
      <c r="I745" s="11">
        <v>5</v>
      </c>
      <c r="J745" s="11">
        <v>0</v>
      </c>
      <c r="K745" s="11" t="s">
        <v>21</v>
      </c>
      <c r="L745" s="7">
        <v>40054.956192129626</v>
      </c>
      <c r="M745" s="12" t="s">
        <v>1062</v>
      </c>
      <c r="N745" s="12" t="s">
        <v>1282</v>
      </c>
      <c r="O745" s="10" t="str">
        <f>HYPERLINK("https://pbs.twimg.com/profile_images/690172121973145601/pudiMkyd_normal.jpg","View")</f>
        <v>View</v>
      </c>
      <c r="P745" s="11"/>
    </row>
    <row r="746" spans="1:16" ht="12.75" x14ac:dyDescent="0.35">
      <c r="A746" s="7">
        <v>42478.553888888884</v>
      </c>
      <c r="B746" s="8" t="str">
        <f>HYPERLINK("https://twitter.com/Frank_Reinelt","@Frank_Reinelt")</f>
        <v>@Frank_Reinelt</v>
      </c>
      <c r="C746" s="9" t="s">
        <v>963</v>
      </c>
      <c r="D746" s="9" t="s">
        <v>1624</v>
      </c>
      <c r="E746" s="10" t="str">
        <f>HYPERLINK("https://twitter.com/Frank_Reinelt/status/721968405335699456","721968405335699456")</f>
        <v>721968405335699456</v>
      </c>
      <c r="F746" s="11" t="s">
        <v>25</v>
      </c>
      <c r="G746" s="11">
        <v>86</v>
      </c>
      <c r="H746" s="11">
        <v>61</v>
      </c>
      <c r="I746" s="11">
        <v>2</v>
      </c>
      <c r="J746" s="11">
        <v>1</v>
      </c>
      <c r="K746" s="11" t="s">
        <v>21</v>
      </c>
      <c r="L746" s="7">
        <v>42272.607060185182</v>
      </c>
      <c r="M746" s="12" t="s">
        <v>559</v>
      </c>
      <c r="N746" s="12" t="s">
        <v>965</v>
      </c>
      <c r="O746" s="10" t="str">
        <f>HYPERLINK("https://pbs.twimg.com/profile_images/669853588152283137/mqKB9aP__normal.jpg","View")</f>
        <v>View</v>
      </c>
      <c r="P746" s="11"/>
    </row>
    <row r="747" spans="1:16" ht="12.75" x14ac:dyDescent="0.35">
      <c r="A747" s="7">
        <v>42478.555798611109</v>
      </c>
      <c r="B747" s="8" t="str">
        <f>HYPERLINK("https://twitter.com/IoTClan","@IoTClan")</f>
        <v>@IoTClan</v>
      </c>
      <c r="C747" s="9" t="s">
        <v>1625</v>
      </c>
      <c r="D747" s="9" t="s">
        <v>1626</v>
      </c>
      <c r="E747" s="10" t="str">
        <f>HYPERLINK("https://twitter.com/IoTClan/status/721969097894924289","721969097894924289")</f>
        <v>721969097894924289</v>
      </c>
      <c r="F747" s="11" t="s">
        <v>39</v>
      </c>
      <c r="G747" s="11">
        <v>845</v>
      </c>
      <c r="H747" s="11">
        <v>920</v>
      </c>
      <c r="I747" s="11">
        <v>0</v>
      </c>
      <c r="J747" s="11">
        <v>0</v>
      </c>
      <c r="K747" s="11" t="s">
        <v>21</v>
      </c>
      <c r="L747" s="7">
        <v>41934.610509259262</v>
      </c>
      <c r="M747" s="12" t="s">
        <v>1627</v>
      </c>
      <c r="N747" s="12" t="s">
        <v>1628</v>
      </c>
      <c r="O747" s="10" t="str">
        <f>HYPERLINK("https://pbs.twimg.com/profile_images/525238384826916865/_iZAE1sU_normal.jpeg","View")</f>
        <v>View</v>
      </c>
      <c r="P747" s="11"/>
    </row>
    <row r="748" spans="1:16" ht="12.75" x14ac:dyDescent="0.35">
      <c r="A748" s="7">
        <v>42478.557094907403</v>
      </c>
      <c r="B748" s="8" t="str">
        <f>HYPERLINK("https://twitter.com/INDIZbot","@INDIZbot")</f>
        <v>@INDIZbot</v>
      </c>
      <c r="C748" s="9" t="s">
        <v>61</v>
      </c>
      <c r="D748" s="9" t="s">
        <v>1629</v>
      </c>
      <c r="E748" s="10" t="str">
        <f>HYPERLINK("https://twitter.com/INDIZbot/status/721969570374946817","721969570374946817")</f>
        <v>721969570374946817</v>
      </c>
      <c r="F748" s="11" t="s">
        <v>62</v>
      </c>
      <c r="G748" s="11">
        <v>1762</v>
      </c>
      <c r="H748" s="11">
        <v>481</v>
      </c>
      <c r="I748" s="11">
        <v>2</v>
      </c>
      <c r="J748" s="11">
        <v>0</v>
      </c>
      <c r="K748" s="11" t="s">
        <v>21</v>
      </c>
      <c r="L748" s="7">
        <v>42267.011921296296</v>
      </c>
      <c r="M748" s="12"/>
      <c r="N748" s="12" t="s">
        <v>63</v>
      </c>
      <c r="O748" s="10" t="str">
        <f>HYPERLINK("https://pbs.twimg.com/profile_images/645716711723925506/t5G0qOS6_normal.jpg","View")</f>
        <v>View</v>
      </c>
      <c r="P748" s="11"/>
    </row>
    <row r="749" spans="1:16" ht="12.75" x14ac:dyDescent="0.35">
      <c r="A749" s="7">
        <v>42478.560648148152</v>
      </c>
      <c r="B749" s="8" t="str">
        <f>HYPERLINK("https://twitter.com/reanvent","@reanvent")</f>
        <v>@reanvent</v>
      </c>
      <c r="C749" s="9" t="s">
        <v>1630</v>
      </c>
      <c r="D749" s="9" t="s">
        <v>1629</v>
      </c>
      <c r="E749" s="10" t="str">
        <f>HYPERLINK("https://twitter.com/reanvent/status/721970856923148288","721970856923148288")</f>
        <v>721970856923148288</v>
      </c>
      <c r="F749" s="11" t="s">
        <v>1631</v>
      </c>
      <c r="G749" s="11">
        <v>44</v>
      </c>
      <c r="H749" s="11">
        <v>73</v>
      </c>
      <c r="I749" s="11">
        <v>2</v>
      </c>
      <c r="J749" s="11">
        <v>0</v>
      </c>
      <c r="K749" s="11" t="s">
        <v>21</v>
      </c>
      <c r="L749" s="7">
        <v>41114.744502314818</v>
      </c>
      <c r="M749" s="12" t="s">
        <v>121</v>
      </c>
      <c r="N749" s="12" t="s">
        <v>1632</v>
      </c>
      <c r="O749" s="10" t="str">
        <f>HYPERLINK("https://pbs.twimg.com/profile_images/698748740811821056/qse_j83N_normal.jpg","View")</f>
        <v>View</v>
      </c>
      <c r="P749" s="11"/>
    </row>
    <row r="750" spans="1:16" ht="12.75" x14ac:dyDescent="0.35">
      <c r="A750" s="7">
        <v>42478.56086805556</v>
      </c>
      <c r="B750" s="8" t="str">
        <f>HYPERLINK("https://twitter.com/FranBlanSAP","@FranBlanSAP")</f>
        <v>@FranBlanSAP</v>
      </c>
      <c r="C750" s="9" t="s">
        <v>597</v>
      </c>
      <c r="D750" s="9" t="s">
        <v>598</v>
      </c>
      <c r="E750" s="10" t="str">
        <f>HYPERLINK("https://twitter.com/FranBlanSAP/status/721970936271020032","721970936271020032")</f>
        <v>721970936271020032</v>
      </c>
      <c r="F750" s="11" t="s">
        <v>25</v>
      </c>
      <c r="G750" s="11">
        <v>167</v>
      </c>
      <c r="H750" s="11">
        <v>128</v>
      </c>
      <c r="I750" s="11">
        <v>0</v>
      </c>
      <c r="J750" s="11">
        <v>0</v>
      </c>
      <c r="K750" s="11" t="s">
        <v>21</v>
      </c>
      <c r="L750" s="7">
        <v>41740.801423611112</v>
      </c>
      <c r="M750" s="12" t="s">
        <v>599</v>
      </c>
      <c r="N750" s="12" t="s">
        <v>600</v>
      </c>
      <c r="O750" s="10" t="str">
        <f>HYPERLINK("https://pbs.twimg.com/profile_images/526839119175880705/0Z9Mlwc5_normal.jpeg","View")</f>
        <v>View</v>
      </c>
      <c r="P750" s="11"/>
    </row>
    <row r="751" spans="1:16" ht="12.75" x14ac:dyDescent="0.35">
      <c r="A751" s="7">
        <v>42478.563530092593</v>
      </c>
      <c r="B751" s="8" t="str">
        <f t="shared" ref="B751:B752" si="86">HYPERLINK("https://twitter.com/innovationbawue","@innovationbawue")</f>
        <v>@innovationbawue</v>
      </c>
      <c r="C751" s="8" t="s">
        <v>1173</v>
      </c>
      <c r="D751" s="9" t="s">
        <v>1603</v>
      </c>
      <c r="E751" s="10" t="str">
        <f>HYPERLINK("https://twitter.com/innovationbawue/status/721971902101762048","721971902101762048")</f>
        <v>721971902101762048</v>
      </c>
      <c r="F751" s="11" t="s">
        <v>25</v>
      </c>
      <c r="G751" s="11">
        <v>210</v>
      </c>
      <c r="H751" s="11">
        <v>353</v>
      </c>
      <c r="I751" s="11">
        <v>3</v>
      </c>
      <c r="J751" s="11">
        <v>0</v>
      </c>
      <c r="K751" s="11" t="s">
        <v>21</v>
      </c>
      <c r="L751" s="7">
        <v>42380.713946759264</v>
      </c>
      <c r="M751" s="12" t="s">
        <v>985</v>
      </c>
      <c r="N751" s="12" t="s">
        <v>1175</v>
      </c>
      <c r="O751" s="10" t="str">
        <f t="shared" ref="O751:O752" si="87">HYPERLINK("https://pbs.twimg.com/profile_images/719538951988592641/7lKnB2dG_normal.jpg","View")</f>
        <v>View</v>
      </c>
      <c r="P751" s="11"/>
    </row>
    <row r="752" spans="1:16" ht="12.75" x14ac:dyDescent="0.35">
      <c r="A752" s="7">
        <v>42478.56417824074</v>
      </c>
      <c r="B752" s="8" t="str">
        <f t="shared" si="86"/>
        <v>@innovationbawue</v>
      </c>
      <c r="C752" s="8" t="s">
        <v>1173</v>
      </c>
      <c r="D752" s="9" t="s">
        <v>1581</v>
      </c>
      <c r="E752" s="10" t="str">
        <f>HYPERLINK("https://twitter.com/innovationbawue/status/721972135867101184","721972135867101184")</f>
        <v>721972135867101184</v>
      </c>
      <c r="F752" s="11" t="s">
        <v>25</v>
      </c>
      <c r="G752" s="11">
        <v>210</v>
      </c>
      <c r="H752" s="11">
        <v>353</v>
      </c>
      <c r="I752" s="11">
        <v>2</v>
      </c>
      <c r="J752" s="11">
        <v>0</v>
      </c>
      <c r="K752" s="11" t="s">
        <v>21</v>
      </c>
      <c r="L752" s="7">
        <v>42380.713946759264</v>
      </c>
      <c r="M752" s="12" t="s">
        <v>985</v>
      </c>
      <c r="N752" s="12" t="s">
        <v>1175</v>
      </c>
      <c r="O752" s="10" t="str">
        <f t="shared" si="87"/>
        <v>View</v>
      </c>
      <c r="P752" s="11"/>
    </row>
    <row r="753" spans="1:16" ht="12.75" x14ac:dyDescent="0.35">
      <c r="A753" s="7">
        <v>42478.568472222221</v>
      </c>
      <c r="B753" s="8" t="str">
        <f>HYPERLINK("https://twitter.com/ironsharkgmbh","@ironsharkgmbh")</f>
        <v>@ironsharkgmbh</v>
      </c>
      <c r="C753" s="9" t="s">
        <v>1633</v>
      </c>
      <c r="D753" s="9" t="s">
        <v>1051</v>
      </c>
      <c r="E753" s="10" t="str">
        <f>HYPERLINK("https://twitter.com/ironsharkgmbh/status/721973691689644032","721973691689644032")</f>
        <v>721973691689644032</v>
      </c>
      <c r="F753" s="11" t="s">
        <v>25</v>
      </c>
      <c r="G753" s="11">
        <v>912</v>
      </c>
      <c r="H753" s="11">
        <v>887</v>
      </c>
      <c r="I753" s="11">
        <v>4</v>
      </c>
      <c r="J753" s="11">
        <v>0</v>
      </c>
      <c r="K753" s="11" t="s">
        <v>21</v>
      </c>
      <c r="L753" s="7">
        <v>40113.790543981479</v>
      </c>
      <c r="M753" s="12" t="s">
        <v>1634</v>
      </c>
      <c r="N753" s="12" t="s">
        <v>1635</v>
      </c>
      <c r="O753" s="10" t="str">
        <f>HYPERLINK("https://pbs.twimg.com/profile_images/438259348062494720/vqPgBxrb_normal.jpeg","View")</f>
        <v>View</v>
      </c>
      <c r="P753" s="11"/>
    </row>
    <row r="754" spans="1:16" ht="12.75" x14ac:dyDescent="0.35">
      <c r="A754" s="7">
        <v>42478.56962962963</v>
      </c>
      <c r="B754" s="8" t="str">
        <f>HYPERLINK("https://twitter.com/Leader_LR","@Leader_LR")</f>
        <v>@Leader_LR</v>
      </c>
      <c r="C754" s="9" t="s">
        <v>1636</v>
      </c>
      <c r="D754" s="9" t="s">
        <v>1637</v>
      </c>
      <c r="E754" s="10" t="str">
        <f>HYPERLINK("https://twitter.com/Leader_LR/status/721974113330454528","721974113330454528")</f>
        <v>721974113330454528</v>
      </c>
      <c r="F754" s="11" t="s">
        <v>25</v>
      </c>
      <c r="G754" s="11">
        <v>883</v>
      </c>
      <c r="H754" s="11">
        <v>457</v>
      </c>
      <c r="I754" s="11">
        <v>0</v>
      </c>
      <c r="J754" s="11">
        <v>2</v>
      </c>
      <c r="K754" s="11" t="s">
        <v>21</v>
      </c>
      <c r="L754" s="7">
        <v>41565.77784722222</v>
      </c>
      <c r="M754" s="12" t="s">
        <v>1638</v>
      </c>
      <c r="N754" s="12" t="s">
        <v>1639</v>
      </c>
      <c r="O754" s="10" t="str">
        <f>HYPERLINK("https://pbs.twimg.com/profile_images/708593414833623041/je9d1EJc_normal.jpg","View")</f>
        <v>View</v>
      </c>
      <c r="P754" s="11"/>
    </row>
    <row r="755" spans="1:16" ht="12.75" x14ac:dyDescent="0.35">
      <c r="A755" s="7">
        <v>42478.572152777779</v>
      </c>
      <c r="B755" s="8" t="str">
        <f>HYPERLINK("https://twitter.com/SEWEURODRIVE","@SEWEURODRIVE")</f>
        <v>@SEWEURODRIVE</v>
      </c>
      <c r="C755" s="9" t="s">
        <v>1640</v>
      </c>
      <c r="D755" s="9" t="s">
        <v>1557</v>
      </c>
      <c r="E755" s="10" t="str">
        <f>HYPERLINK("https://twitter.com/SEWEURODRIVE/status/721975024425570304","721975024425570304")</f>
        <v>721975024425570304</v>
      </c>
      <c r="F755" s="11" t="s">
        <v>25</v>
      </c>
      <c r="G755" s="11">
        <v>1413</v>
      </c>
      <c r="H755" s="11">
        <v>297</v>
      </c>
      <c r="I755" s="11">
        <v>4</v>
      </c>
      <c r="J755" s="11">
        <v>0</v>
      </c>
      <c r="K755" s="11" t="s">
        <v>21</v>
      </c>
      <c r="L755" s="7">
        <v>40221.178854166668</v>
      </c>
      <c r="M755" s="12" t="s">
        <v>1641</v>
      </c>
      <c r="N755" s="12" t="s">
        <v>1642</v>
      </c>
      <c r="O755" s="10" t="str">
        <f>HYPERLINK("https://pbs.twimg.com/profile_images/490060130231132160/qLmnir1s_normal.jpeg","View")</f>
        <v>View</v>
      </c>
      <c r="P755" s="11"/>
    </row>
    <row r="756" spans="1:16" ht="12.75" x14ac:dyDescent="0.35">
      <c r="A756" s="7">
        <v>42478.57612268519</v>
      </c>
      <c r="B756" s="8" t="str">
        <f>HYPERLINK("https://twitter.com/Alex_Sattler","@Alex_Sattler")</f>
        <v>@Alex_Sattler</v>
      </c>
      <c r="C756" s="9" t="s">
        <v>1643</v>
      </c>
      <c r="D756" s="9" t="s">
        <v>1644</v>
      </c>
      <c r="E756" s="10" t="str">
        <f>HYPERLINK("https://twitter.com/Alex_Sattler/status/721976465395421184","721976465395421184")</f>
        <v>721976465395421184</v>
      </c>
      <c r="F756" s="11" t="s">
        <v>25</v>
      </c>
      <c r="G756" s="11">
        <v>637</v>
      </c>
      <c r="H756" s="11">
        <v>969</v>
      </c>
      <c r="I756" s="11">
        <v>0</v>
      </c>
      <c r="J756" s="11">
        <v>0</v>
      </c>
      <c r="K756" s="11" t="s">
        <v>21</v>
      </c>
      <c r="L756" s="7">
        <v>39976.981817129628</v>
      </c>
      <c r="M756" s="12" t="s">
        <v>443</v>
      </c>
      <c r="N756" s="12" t="s">
        <v>1645</v>
      </c>
      <c r="O756" s="10" t="str">
        <f>HYPERLINK("https://pbs.twimg.com/profile_images/543856389802561537/ir0-Sw0y_normal.png","View")</f>
        <v>View</v>
      </c>
      <c r="P756" s="11"/>
    </row>
    <row r="757" spans="1:16" ht="12.75" x14ac:dyDescent="0.35">
      <c r="A757" s="7">
        <v>42478.580243055556</v>
      </c>
      <c r="B757" s="8" t="str">
        <f>HYPERLINK("https://twitter.com/H_IT_D","@H_IT_D")</f>
        <v>@H_IT_D</v>
      </c>
      <c r="C757" s="9" t="s">
        <v>159</v>
      </c>
      <c r="D757" s="9" t="s">
        <v>1646</v>
      </c>
      <c r="E757" s="10" t="str">
        <f>HYPERLINK("https://twitter.com/H_IT_D/status/721977958190022656","721977958190022656")</f>
        <v>721977958190022656</v>
      </c>
      <c r="F757" s="11" t="s">
        <v>161</v>
      </c>
      <c r="G757" s="11">
        <v>463</v>
      </c>
      <c r="H757" s="11">
        <v>467</v>
      </c>
      <c r="I757" s="11">
        <v>0</v>
      </c>
      <c r="J757" s="11">
        <v>0</v>
      </c>
      <c r="K757" s="11" t="s">
        <v>21</v>
      </c>
      <c r="L757" s="7">
        <v>40723.867673611108</v>
      </c>
      <c r="M757" s="12" t="s">
        <v>162</v>
      </c>
      <c r="N757" s="12" t="s">
        <v>163</v>
      </c>
      <c r="O757" s="10" t="str">
        <f>HYPERLINK("https://pbs.twimg.com/profile_images/662723326096224256/5V4KH9_O_normal.jpg","View")</f>
        <v>View</v>
      </c>
      <c r="P757" s="11"/>
    </row>
    <row r="758" spans="1:16" ht="12.75" x14ac:dyDescent="0.35">
      <c r="A758" s="7">
        <v>42478.581041666665</v>
      </c>
      <c r="B758" s="8" t="str">
        <f>HYPERLINK("https://twitter.com/SASdmexco","@SASdmexco")</f>
        <v>@SASdmexco</v>
      </c>
      <c r="C758" s="9" t="s">
        <v>1647</v>
      </c>
      <c r="D758" s="9" t="s">
        <v>1648</v>
      </c>
      <c r="E758" s="10" t="str">
        <f>HYPERLINK("https://twitter.com/SASdmexco/status/721978246808604672","721978246808604672")</f>
        <v>721978246808604672</v>
      </c>
      <c r="F758" s="11" t="s">
        <v>25</v>
      </c>
      <c r="G758" s="11">
        <v>105</v>
      </c>
      <c r="H758" s="11">
        <v>69</v>
      </c>
      <c r="I758" s="11">
        <v>0</v>
      </c>
      <c r="J758" s="11">
        <v>2</v>
      </c>
      <c r="K758" s="11" t="s">
        <v>21</v>
      </c>
      <c r="L758" s="7">
        <v>42260.185416666667</v>
      </c>
      <c r="M758" s="12" t="s">
        <v>92</v>
      </c>
      <c r="N758" s="12" t="s">
        <v>1649</v>
      </c>
      <c r="O758" s="10" t="str">
        <f>HYPERLINK("https://pbs.twimg.com/profile_images/643434595703238656/-Q4sNYcu_normal.png","View")</f>
        <v>View</v>
      </c>
      <c r="P758" s="11"/>
    </row>
    <row r="759" spans="1:16" ht="12.75" x14ac:dyDescent="0.35">
      <c r="A759" s="7">
        <v>42478.581053240741</v>
      </c>
      <c r="B759" s="8" t="str">
        <f>HYPERLINK("https://twitter.com/UweKubach","@UweKubach")</f>
        <v>@UweKubach</v>
      </c>
      <c r="C759" s="9" t="s">
        <v>1650</v>
      </c>
      <c r="D759" s="9" t="s">
        <v>1651</v>
      </c>
      <c r="E759" s="10" t="str">
        <f>HYPERLINK("https://twitter.com/UweKubach/status/721978252756193280","721978252756193280")</f>
        <v>721978252756193280</v>
      </c>
      <c r="F759" s="11" t="s">
        <v>25</v>
      </c>
      <c r="G759" s="11">
        <v>33</v>
      </c>
      <c r="H759" s="11">
        <v>20</v>
      </c>
      <c r="I759" s="11">
        <v>0</v>
      </c>
      <c r="J759" s="11">
        <v>0</v>
      </c>
      <c r="K759" s="11" t="s">
        <v>21</v>
      </c>
      <c r="L759" s="7">
        <v>41597.681932870371</v>
      </c>
      <c r="M759" s="12"/>
      <c r="N759" s="12"/>
      <c r="O759" s="10" t="str">
        <f>HYPERLINK("https://pbs.twimg.com/profile_images/710750672581484545/n4dPcodC_normal.jpg","View")</f>
        <v>View</v>
      </c>
      <c r="P759" s="11"/>
    </row>
    <row r="760" spans="1:16" ht="12.75" x14ac:dyDescent="0.35">
      <c r="A760" s="7">
        <v>42478.581493055557</v>
      </c>
      <c r="B760" s="8" t="str">
        <f>HYPERLINK("https://twitter.com/cpcEU","@cpcEU")</f>
        <v>@cpcEU</v>
      </c>
      <c r="C760" s="9" t="s">
        <v>1652</v>
      </c>
      <c r="D760" s="9" t="s">
        <v>1653</v>
      </c>
      <c r="E760" s="10" t="str">
        <f>HYPERLINK("https://twitter.com/cpcEU/status/721978410906558464","721978410906558464")</f>
        <v>721978410906558464</v>
      </c>
      <c r="F760" s="11" t="s">
        <v>25</v>
      </c>
      <c r="G760" s="11">
        <v>88</v>
      </c>
      <c r="H760" s="11">
        <v>13</v>
      </c>
      <c r="I760" s="11">
        <v>1</v>
      </c>
      <c r="J760" s="11">
        <v>0</v>
      </c>
      <c r="K760" s="11" t="s">
        <v>21</v>
      </c>
      <c r="L760" s="7">
        <v>41676.947152777779</v>
      </c>
      <c r="M760" s="12" t="s">
        <v>227</v>
      </c>
      <c r="N760" s="12" t="s">
        <v>1654</v>
      </c>
      <c r="O760" s="10" t="str">
        <f>HYPERLINK("https://pbs.twimg.com/profile_images/667271327137587200/CLOinVH2_normal.png","View")</f>
        <v>View</v>
      </c>
      <c r="P760" s="11"/>
    </row>
    <row r="761" spans="1:16" ht="12.75" x14ac:dyDescent="0.35">
      <c r="A761" s="7">
        <v>42478.58222222222</v>
      </c>
      <c r="B761" s="8" t="str">
        <f>HYPERLINK("https://twitter.com/UweKubach","@UweKubach")</f>
        <v>@UweKubach</v>
      </c>
      <c r="C761" s="9" t="s">
        <v>1650</v>
      </c>
      <c r="D761" s="9" t="s">
        <v>1655</v>
      </c>
      <c r="E761" s="10" t="str">
        <f>HYPERLINK("https://twitter.com/UweKubach/status/721978675831431168","721978675831431168")</f>
        <v>721978675831431168</v>
      </c>
      <c r="F761" s="11" t="s">
        <v>25</v>
      </c>
      <c r="G761" s="11">
        <v>33</v>
      </c>
      <c r="H761" s="11">
        <v>20</v>
      </c>
      <c r="I761" s="11">
        <v>1</v>
      </c>
      <c r="J761" s="11">
        <v>1</v>
      </c>
      <c r="K761" s="11" t="s">
        <v>21</v>
      </c>
      <c r="L761" s="7">
        <v>41597.681932870371</v>
      </c>
      <c r="M761" s="12"/>
      <c r="N761" s="12"/>
      <c r="O761" s="10" t="str">
        <f>HYPERLINK("https://pbs.twimg.com/profile_images/710750672581484545/n4dPcodC_normal.jpg","View")</f>
        <v>View</v>
      </c>
      <c r="P761" s="11"/>
    </row>
    <row r="762" spans="1:16" ht="12.75" x14ac:dyDescent="0.35">
      <c r="A762" s="7">
        <v>42478.583009259259</v>
      </c>
      <c r="B762" s="8" t="str">
        <f>HYPERLINK("https://twitter.com/markherten","@markherten")</f>
        <v>@markherten</v>
      </c>
      <c r="C762" s="9" t="s">
        <v>37</v>
      </c>
      <c r="D762" s="9" t="s">
        <v>1656</v>
      </c>
      <c r="E762" s="10" t="str">
        <f>HYPERLINK("https://twitter.com/markherten/status/721978960188469248","721978960188469248")</f>
        <v>721978960188469248</v>
      </c>
      <c r="F762" s="11" t="s">
        <v>39</v>
      </c>
      <c r="G762" s="11">
        <v>96</v>
      </c>
      <c r="H762" s="11">
        <v>176</v>
      </c>
      <c r="I762" s="11">
        <v>1</v>
      </c>
      <c r="J762" s="11">
        <v>0</v>
      </c>
      <c r="K762" s="11" t="s">
        <v>21</v>
      </c>
      <c r="L762" s="7">
        <v>40249.947696759264</v>
      </c>
      <c r="M762" s="12" t="s">
        <v>40</v>
      </c>
      <c r="N762" s="12" t="s">
        <v>41</v>
      </c>
      <c r="O762" s="10" t="str">
        <f>HYPERLINK("https://pbs.twimg.com/profile_images/718175389890310145/GX8DLe_h_normal.jpg","View")</f>
        <v>View</v>
      </c>
      <c r="P762" s="11"/>
    </row>
    <row r="763" spans="1:16" ht="12.75" x14ac:dyDescent="0.35">
      <c r="A763" s="7">
        <v>42478.583750000005</v>
      </c>
      <c r="B763" s="8" t="str">
        <f>HYPERLINK("https://twitter.com/AdrianWeiler","@AdrianWeiler")</f>
        <v>@AdrianWeiler</v>
      </c>
      <c r="C763" s="9" t="s">
        <v>1657</v>
      </c>
      <c r="D763" s="9" t="s">
        <v>1658</v>
      </c>
      <c r="E763" s="10" t="str">
        <f>HYPERLINK("https://twitter.com/AdrianWeiler/status/721979226665140225","721979226665140225")</f>
        <v>721979226665140225</v>
      </c>
      <c r="F763" s="11" t="s">
        <v>25</v>
      </c>
      <c r="G763" s="11">
        <v>186</v>
      </c>
      <c r="H763" s="11">
        <v>163</v>
      </c>
      <c r="I763" s="11">
        <v>3</v>
      </c>
      <c r="J763" s="11">
        <v>0</v>
      </c>
      <c r="K763" s="11" t="s">
        <v>21</v>
      </c>
      <c r="L763" s="7">
        <v>42296.747245370367</v>
      </c>
      <c r="M763" s="12" t="s">
        <v>127</v>
      </c>
      <c r="N763" s="12" t="s">
        <v>1659</v>
      </c>
      <c r="O763" s="10" t="str">
        <f>HYPERLINK("https://pbs.twimg.com/profile_images/656084414661840897/KVbUEpYC_normal.jpg","View")</f>
        <v>View</v>
      </c>
      <c r="P763" s="11"/>
    </row>
    <row r="764" spans="1:16" ht="12.75" x14ac:dyDescent="0.35">
      <c r="A764" s="7">
        <v>42478.584155092598</v>
      </c>
      <c r="B764" s="8" t="str">
        <f>HYPERLINK("https://twitter.com/BigDataTweetBot","@BigDataTweetBot")</f>
        <v>@BigDataTweetBot</v>
      </c>
      <c r="C764" s="9" t="s">
        <v>1660</v>
      </c>
      <c r="D764" s="9" t="s">
        <v>1661</v>
      </c>
      <c r="E764" s="10" t="str">
        <f>HYPERLINK("https://twitter.com/BigDataTweetBot/status/721979376489906176","721979376489906176")</f>
        <v>721979376489906176</v>
      </c>
      <c r="F764" s="11" t="s">
        <v>1662</v>
      </c>
      <c r="G764" s="11">
        <v>11323</v>
      </c>
      <c r="H764" s="11">
        <v>240</v>
      </c>
      <c r="I764" s="11">
        <v>1</v>
      </c>
      <c r="J764" s="11">
        <v>0</v>
      </c>
      <c r="K764" s="11" t="s">
        <v>21</v>
      </c>
      <c r="L764" s="7">
        <v>42188.291898148149</v>
      </c>
      <c r="M764" s="12"/>
      <c r="N764" s="12" t="s">
        <v>1663</v>
      </c>
      <c r="O764" s="10" t="str">
        <f>HYPERLINK("https://pbs.twimg.com/profile_images/616793252524650496/bQbxJqmz_normal.jpg","View")</f>
        <v>View</v>
      </c>
      <c r="P764" s="11"/>
    </row>
    <row r="765" spans="1:16" ht="12.75" x14ac:dyDescent="0.35">
      <c r="A765" s="7">
        <v>42478.584502314814</v>
      </c>
      <c r="B765" s="8" t="str">
        <f>HYPERLINK("https://twitter.com/INDIZbot","@INDIZbot")</f>
        <v>@INDIZbot</v>
      </c>
      <c r="C765" s="9" t="s">
        <v>61</v>
      </c>
      <c r="D765" s="9" t="s">
        <v>1664</v>
      </c>
      <c r="E765" s="10" t="str">
        <f>HYPERLINK("https://twitter.com/INDIZbot/status/721979502407118848","721979502407118848")</f>
        <v>721979502407118848</v>
      </c>
      <c r="F765" s="11" t="s">
        <v>62</v>
      </c>
      <c r="G765" s="11">
        <v>1762</v>
      </c>
      <c r="H765" s="11">
        <v>481</v>
      </c>
      <c r="I765" s="11">
        <v>3</v>
      </c>
      <c r="J765" s="11">
        <v>0</v>
      </c>
      <c r="K765" s="11" t="s">
        <v>21</v>
      </c>
      <c r="L765" s="7">
        <v>42267.011921296296</v>
      </c>
      <c r="M765" s="12"/>
      <c r="N765" s="12" t="s">
        <v>63</v>
      </c>
      <c r="O765" s="10" t="str">
        <f>HYPERLINK("https://pbs.twimg.com/profile_images/645716711723925506/t5G0qOS6_normal.jpg","View")</f>
        <v>View</v>
      </c>
      <c r="P765" s="11"/>
    </row>
    <row r="766" spans="1:16" ht="12.75" x14ac:dyDescent="0.35">
      <c r="A766" s="7">
        <v>42478.58457175926</v>
      </c>
      <c r="B766" s="8" t="str">
        <f>HYPERLINK("https://twitter.com/UweKubach","@UweKubach")</f>
        <v>@UweKubach</v>
      </c>
      <c r="C766" s="9" t="s">
        <v>1650</v>
      </c>
      <c r="D766" s="9" t="s">
        <v>1665</v>
      </c>
      <c r="E766" s="10" t="str">
        <f>HYPERLINK("https://twitter.com/UweKubach/status/721979528512409600","721979528512409600")</f>
        <v>721979528512409600</v>
      </c>
      <c r="F766" s="11" t="s">
        <v>25</v>
      </c>
      <c r="G766" s="11">
        <v>33</v>
      </c>
      <c r="H766" s="11">
        <v>20</v>
      </c>
      <c r="I766" s="11">
        <v>0</v>
      </c>
      <c r="J766" s="11">
        <v>0</v>
      </c>
      <c r="K766" s="11" t="s">
        <v>21</v>
      </c>
      <c r="L766" s="7">
        <v>41597.681932870371</v>
      </c>
      <c r="M766" s="12"/>
      <c r="N766" s="12"/>
      <c r="O766" s="10" t="str">
        <f>HYPERLINK("https://pbs.twimg.com/profile_images/710750672581484545/n4dPcodC_normal.jpg","View")</f>
        <v>View</v>
      </c>
      <c r="P766" s="11"/>
    </row>
    <row r="767" spans="1:16" ht="12.75" x14ac:dyDescent="0.35">
      <c r="A767" s="7">
        <v>42478.58493055556</v>
      </c>
      <c r="B767" s="8" t="str">
        <f>HYPERLINK("https://twitter.com/INDIZbot","@INDIZbot")</f>
        <v>@INDIZbot</v>
      </c>
      <c r="C767" s="9" t="s">
        <v>61</v>
      </c>
      <c r="D767" s="9" t="s">
        <v>1666</v>
      </c>
      <c r="E767" s="10" t="str">
        <f>HYPERLINK("https://twitter.com/INDIZbot/status/721979654861627392","721979654861627392")</f>
        <v>721979654861627392</v>
      </c>
      <c r="F767" s="11" t="s">
        <v>62</v>
      </c>
      <c r="G767" s="11">
        <v>1762</v>
      </c>
      <c r="H767" s="11">
        <v>481</v>
      </c>
      <c r="I767" s="11">
        <v>1</v>
      </c>
      <c r="J767" s="11">
        <v>0</v>
      </c>
      <c r="K767" s="11" t="s">
        <v>21</v>
      </c>
      <c r="L767" s="7">
        <v>42267.011921296296</v>
      </c>
      <c r="M767" s="12"/>
      <c r="N767" s="12" t="s">
        <v>63</v>
      </c>
      <c r="O767" s="10" t="str">
        <f>HYPERLINK("https://pbs.twimg.com/profile_images/645716711723925506/t5G0qOS6_normal.jpg","View")</f>
        <v>View</v>
      </c>
      <c r="P767" s="11"/>
    </row>
    <row r="768" spans="1:16" ht="12.75" x14ac:dyDescent="0.35">
      <c r="A768" s="7">
        <v>42478.587118055555</v>
      </c>
      <c r="B768" s="8" t="str">
        <f>HYPERLINK("https://twitter.com/acatech_de","@acatech_de")</f>
        <v>@acatech_de</v>
      </c>
      <c r="C768" s="9" t="s">
        <v>1667</v>
      </c>
      <c r="D768" s="9" t="s">
        <v>1668</v>
      </c>
      <c r="E768" s="10" t="str">
        <f>HYPERLINK("https://twitter.com/acatech_de/status/721980449887776768","721980449887776768")</f>
        <v>721980449887776768</v>
      </c>
      <c r="F768" s="11" t="s">
        <v>25</v>
      </c>
      <c r="G768" s="11">
        <v>202</v>
      </c>
      <c r="H768" s="11">
        <v>204</v>
      </c>
      <c r="I768" s="11">
        <v>0</v>
      </c>
      <c r="J768" s="11">
        <v>0</v>
      </c>
      <c r="K768" s="11" t="s">
        <v>21</v>
      </c>
      <c r="L768" s="7">
        <v>42101.61513888889</v>
      </c>
      <c r="M768" s="12" t="s">
        <v>1669</v>
      </c>
      <c r="N768" s="12" t="s">
        <v>1670</v>
      </c>
      <c r="O768" s="10" t="str">
        <f>HYPERLINK("https://pbs.twimg.com/profile_images/600969802908356609/3JqGMg38_normal.png","View")</f>
        <v>View</v>
      </c>
      <c r="P768" s="11"/>
    </row>
    <row r="769" spans="1:16" ht="12.75" x14ac:dyDescent="0.35">
      <c r="A769" s="7">
        <v>42478.591053240743</v>
      </c>
      <c r="B769" s="8" t="str">
        <f>HYPERLINK("https://twitter.com/ingenieur_de","@ingenieur_de")</f>
        <v>@ingenieur_de</v>
      </c>
      <c r="C769" s="8" t="s">
        <v>1671</v>
      </c>
      <c r="D769" s="9" t="s">
        <v>1672</v>
      </c>
      <c r="E769" s="10" t="str">
        <f>HYPERLINK("https://twitter.com/ingenieur_de/status/721981874411827200","721981874411827200")</f>
        <v>721981874411827200</v>
      </c>
      <c r="F769" s="11" t="s">
        <v>25</v>
      </c>
      <c r="G769" s="11">
        <v>826</v>
      </c>
      <c r="H769" s="11">
        <v>346</v>
      </c>
      <c r="I769" s="11">
        <v>0</v>
      </c>
      <c r="J769" s="11">
        <v>1</v>
      </c>
      <c r="K769" s="11" t="s">
        <v>21</v>
      </c>
      <c r="L769" s="7">
        <v>41312.574178240742</v>
      </c>
      <c r="M769" s="12" t="s">
        <v>581</v>
      </c>
      <c r="N769" s="12" t="s">
        <v>1673</v>
      </c>
      <c r="O769" s="10" t="str">
        <f>HYPERLINK("https://pbs.twimg.com/profile_images/464294575624839168/2yUa4yUA_normal.png","View")</f>
        <v>View</v>
      </c>
      <c r="P769" s="11"/>
    </row>
    <row r="770" spans="1:16" ht="12.75" x14ac:dyDescent="0.35">
      <c r="A770" s="7">
        <v>42478.59239583333</v>
      </c>
      <c r="B770" s="8" t="str">
        <f>HYPERLINK("https://twitter.com/HoganVerfahren","@HoganVerfahren")</f>
        <v>@HoganVerfahren</v>
      </c>
      <c r="C770" s="9" t="s">
        <v>1674</v>
      </c>
      <c r="D770" s="9" t="s">
        <v>1675</v>
      </c>
      <c r="E770" s="10" t="str">
        <f>HYPERLINK("https://twitter.com/HoganVerfahren/status/721982359780913152","721982359780913152")</f>
        <v>721982359780913152</v>
      </c>
      <c r="F770" s="11" t="s">
        <v>25</v>
      </c>
      <c r="G770" s="11">
        <v>132</v>
      </c>
      <c r="H770" s="11">
        <v>257</v>
      </c>
      <c r="I770" s="11">
        <v>0</v>
      </c>
      <c r="J770" s="11">
        <v>0</v>
      </c>
      <c r="K770" s="11" t="s">
        <v>21</v>
      </c>
      <c r="L770" s="7">
        <v>41542.531192129631</v>
      </c>
      <c r="M770" s="12" t="s">
        <v>1676</v>
      </c>
      <c r="N770" s="12" t="s">
        <v>1677</v>
      </c>
      <c r="O770" s="10" t="str">
        <f>HYPERLINK("https://pbs.twimg.com/profile_images/378800000546242905/6e86c892970e3fb7318e814d5a45b4f7_normal.png","View")</f>
        <v>View</v>
      </c>
      <c r="P770" s="11"/>
    </row>
    <row r="771" spans="1:16" ht="12.75" x14ac:dyDescent="0.35">
      <c r="A771" s="7">
        <v>42478.59306712963</v>
      </c>
      <c r="B771" s="8" t="str">
        <f>HYPERLINK("https://twitter.com/conosco","@conosco")</f>
        <v>@conosco</v>
      </c>
      <c r="C771" s="9" t="s">
        <v>1052</v>
      </c>
      <c r="D771" s="9" t="s">
        <v>1678</v>
      </c>
      <c r="E771" s="10" t="str">
        <f>HYPERLINK("https://twitter.com/conosco/status/721982604551987201","721982604551987201")</f>
        <v>721982604551987201</v>
      </c>
      <c r="F771" s="11" t="s">
        <v>115</v>
      </c>
      <c r="G771" s="11">
        <v>1015</v>
      </c>
      <c r="H771" s="11">
        <v>1897</v>
      </c>
      <c r="I771" s="11">
        <v>0</v>
      </c>
      <c r="J771" s="11">
        <v>1</v>
      </c>
      <c r="K771" s="11" t="s">
        <v>21</v>
      </c>
      <c r="L771" s="7">
        <v>39560.746261574073</v>
      </c>
      <c r="M771" s="12" t="s">
        <v>121</v>
      </c>
      <c r="N771" s="12" t="s">
        <v>1054</v>
      </c>
      <c r="O771" s="10" t="str">
        <f>HYPERLINK("https://pbs.twimg.com/profile_images/459441279181398016/MmGzaeIu_normal.jpeg","View")</f>
        <v>View</v>
      </c>
      <c r="P771" s="11"/>
    </row>
    <row r="772" spans="1:16" ht="12.75" x14ac:dyDescent="0.35">
      <c r="A772" s="7">
        <v>42478.593993055554</v>
      </c>
      <c r="B772" s="8" t="str">
        <f>HYPERLINK("https://twitter.com/openHPI","@openHPI")</f>
        <v>@openHPI</v>
      </c>
      <c r="C772" s="9" t="s">
        <v>1381</v>
      </c>
      <c r="D772" s="9" t="s">
        <v>1679</v>
      </c>
      <c r="E772" s="10" t="str">
        <f>HYPERLINK("https://twitter.com/openHPI/status/721982938775228417","721982938775228417")</f>
        <v>721982938775228417</v>
      </c>
      <c r="F772" s="11" t="s">
        <v>39</v>
      </c>
      <c r="G772" s="11">
        <v>1568</v>
      </c>
      <c r="H772" s="11">
        <v>57</v>
      </c>
      <c r="I772" s="11">
        <v>0</v>
      </c>
      <c r="J772" s="11">
        <v>0</v>
      </c>
      <c r="K772" s="11" t="s">
        <v>21</v>
      </c>
      <c r="L772" s="7">
        <v>41191.624803240738</v>
      </c>
      <c r="M772" s="12" t="s">
        <v>1383</v>
      </c>
      <c r="N772" s="12" t="s">
        <v>1384</v>
      </c>
      <c r="O772" s="10" t="str">
        <f>HYPERLINK("https://pbs.twimg.com/profile_images/378800000827898552/669f90369b095789252ae6f0649bc39a_normal.png","View")</f>
        <v>View</v>
      </c>
      <c r="P772" s="11"/>
    </row>
    <row r="773" spans="1:16" ht="12.75" x14ac:dyDescent="0.35">
      <c r="A773" s="7">
        <v>42478.597928240742</v>
      </c>
      <c r="B773" s="8" t="str">
        <f>HYPERLINK("https://twitter.com/AndreasKaemmer","@AndreasKaemmer")</f>
        <v>@AndreasKaemmer</v>
      </c>
      <c r="C773" s="9" t="s">
        <v>1680</v>
      </c>
      <c r="D773" s="9" t="s">
        <v>1681</v>
      </c>
      <c r="E773" s="10" t="str">
        <f>HYPERLINK("https://twitter.com/AndreasKaemmer/status/721984366038093824","721984366038093824")</f>
        <v>721984366038093824</v>
      </c>
      <c r="F773" s="11" t="s">
        <v>59</v>
      </c>
      <c r="G773" s="11">
        <v>611</v>
      </c>
      <c r="H773" s="11">
        <v>680</v>
      </c>
      <c r="I773" s="11">
        <v>2</v>
      </c>
      <c r="J773" s="11">
        <v>0</v>
      </c>
      <c r="K773" s="11" t="s">
        <v>21</v>
      </c>
      <c r="L773" s="7">
        <v>39948.722187499996</v>
      </c>
      <c r="M773" s="12" t="s">
        <v>1062</v>
      </c>
      <c r="N773" s="12" t="s">
        <v>1682</v>
      </c>
      <c r="O773" s="10" t="str">
        <f>HYPERLINK("https://pbs.twimg.com/profile_images/677028324829433856/xBJk1jpV_normal.jpg","View")</f>
        <v>View</v>
      </c>
      <c r="P773" s="11"/>
    </row>
    <row r="774" spans="1:16" ht="12.75" x14ac:dyDescent="0.35">
      <c r="A774" s="7">
        <v>42478.60356481481</v>
      </c>
      <c r="B774" s="8" t="str">
        <f>HYPERLINK("https://twitter.com/Slyleg","@Slyleg")</f>
        <v>@Slyleg</v>
      </c>
      <c r="C774" s="9" t="s">
        <v>1683</v>
      </c>
      <c r="D774" s="9" t="s">
        <v>1684</v>
      </c>
      <c r="E774" s="10" t="str">
        <f>HYPERLINK("https://twitter.com/Slyleg/status/721986407322009600","721986407322009600")</f>
        <v>721986407322009600</v>
      </c>
      <c r="F774" s="11" t="s">
        <v>25</v>
      </c>
      <c r="G774" s="11">
        <v>122</v>
      </c>
      <c r="H774" s="11">
        <v>257</v>
      </c>
      <c r="I774" s="11">
        <v>0</v>
      </c>
      <c r="J774" s="11">
        <v>0</v>
      </c>
      <c r="K774" s="11" t="s">
        <v>21</v>
      </c>
      <c r="L774" s="7">
        <v>39933.791585648149</v>
      </c>
      <c r="M774" s="12" t="s">
        <v>1685</v>
      </c>
      <c r="N774" s="12" t="s">
        <v>1686</v>
      </c>
      <c r="O774" s="10" t="str">
        <f>HYPERLINK("https://pbs.twimg.com/profile_images/378800000478827263/78f0a3858615937bdc908680bc7b4955_normal.jpeg","View")</f>
        <v>View</v>
      </c>
      <c r="P774" s="11"/>
    </row>
    <row r="775" spans="1:16" ht="12.75" x14ac:dyDescent="0.35">
      <c r="A775" s="7">
        <v>42478.604421296295</v>
      </c>
      <c r="B775" s="8" t="str">
        <f>HYPERLINK("https://twitter.com/kommoptimierer","@kommoptimierer")</f>
        <v>@kommoptimierer</v>
      </c>
      <c r="C775" s="9" t="s">
        <v>270</v>
      </c>
      <c r="D775" s="9" t="s">
        <v>1687</v>
      </c>
      <c r="E775" s="10" t="str">
        <f>HYPERLINK("https://twitter.com/kommoptimierer/status/721986718560161792","721986718560161792")</f>
        <v>721986718560161792</v>
      </c>
      <c r="F775" s="11" t="s">
        <v>272</v>
      </c>
      <c r="G775" s="11">
        <v>1347</v>
      </c>
      <c r="H775" s="11">
        <v>1753</v>
      </c>
      <c r="I775" s="11">
        <v>1</v>
      </c>
      <c r="J775" s="11">
        <v>0</v>
      </c>
      <c r="K775" s="11" t="s">
        <v>21</v>
      </c>
      <c r="L775" s="7">
        <v>39986.860358796301</v>
      </c>
      <c r="M775" s="12" t="s">
        <v>273</v>
      </c>
      <c r="N775" s="12" t="s">
        <v>274</v>
      </c>
      <c r="O775" s="10" t="str">
        <f>HYPERLINK("https://pbs.twimg.com/profile_images/541146126158536704/IYardufS_normal.jpeg","View")</f>
        <v>View</v>
      </c>
      <c r="P775" s="11"/>
    </row>
    <row r="776" spans="1:16" ht="12.75" x14ac:dyDescent="0.35">
      <c r="A776" s="7">
        <v>42478.604571759264</v>
      </c>
      <c r="B776" s="8" t="str">
        <f>HYPERLINK("https://twitter.com/verlinked","@verlinked")</f>
        <v>@verlinked</v>
      </c>
      <c r="C776" s="9" t="s">
        <v>263</v>
      </c>
      <c r="D776" s="9" t="s">
        <v>1688</v>
      </c>
      <c r="E776" s="10" t="str">
        <f>HYPERLINK("https://twitter.com/verlinked/status/721986775527202816","721986775527202816")</f>
        <v>721986775527202816</v>
      </c>
      <c r="F776" s="11" t="s">
        <v>115</v>
      </c>
      <c r="G776" s="11">
        <v>600</v>
      </c>
      <c r="H776" s="11">
        <v>1201</v>
      </c>
      <c r="I776" s="11">
        <v>1</v>
      </c>
      <c r="J776" s="11">
        <v>0</v>
      </c>
      <c r="K776" s="11" t="s">
        <v>21</v>
      </c>
      <c r="L776" s="7">
        <v>41463.077627314815</v>
      </c>
      <c r="M776" s="12" t="s">
        <v>265</v>
      </c>
      <c r="N776" s="12" t="s">
        <v>266</v>
      </c>
      <c r="O776" s="10" t="str">
        <f>HYPERLINK("https://pbs.twimg.com/profile_images/722385992343285760/ww8YLZ2q_normal.jpg","View")</f>
        <v>View</v>
      </c>
      <c r="P776" s="11"/>
    </row>
    <row r="777" spans="1:16" ht="12.75" x14ac:dyDescent="0.35">
      <c r="A777" s="7">
        <v>42478.604965277773</v>
      </c>
      <c r="B777" s="8" t="str">
        <f>HYPERLINK("https://twitter.com/INDIZbot","@INDIZbot")</f>
        <v>@INDIZbot</v>
      </c>
      <c r="C777" s="9" t="s">
        <v>61</v>
      </c>
      <c r="D777" s="9" t="s">
        <v>1689</v>
      </c>
      <c r="E777" s="10" t="str">
        <f>HYPERLINK("https://twitter.com/INDIZbot/status/721986916980236288","721986916980236288")</f>
        <v>721986916980236288</v>
      </c>
      <c r="F777" s="11" t="s">
        <v>62</v>
      </c>
      <c r="G777" s="11">
        <v>1762</v>
      </c>
      <c r="H777" s="11">
        <v>481</v>
      </c>
      <c r="I777" s="11">
        <v>1</v>
      </c>
      <c r="J777" s="11">
        <v>0</v>
      </c>
      <c r="K777" s="11" t="s">
        <v>21</v>
      </c>
      <c r="L777" s="7">
        <v>42267.011921296296</v>
      </c>
      <c r="M777" s="12"/>
      <c r="N777" s="12" t="s">
        <v>63</v>
      </c>
      <c r="O777" s="10" t="str">
        <f>HYPERLINK("https://pbs.twimg.com/profile_images/645716711723925506/t5G0qOS6_normal.jpg","View")</f>
        <v>View</v>
      </c>
      <c r="P777" s="11"/>
    </row>
    <row r="778" spans="1:16" ht="12.75" x14ac:dyDescent="0.35">
      <c r="A778" s="7">
        <v>42478.604999999996</v>
      </c>
      <c r="B778" s="8" t="str">
        <f>HYPERLINK("https://twitter.com/WibuSystems","@WibuSystems")</f>
        <v>@WibuSystems</v>
      </c>
      <c r="C778" s="9" t="s">
        <v>1690</v>
      </c>
      <c r="D778" s="9" t="s">
        <v>1691</v>
      </c>
      <c r="E778" s="10" t="str">
        <f>HYPERLINK("https://twitter.com/WibuSystems/status/721986929135325185","721986929135325185")</f>
        <v>721986929135325185</v>
      </c>
      <c r="F778" s="11" t="s">
        <v>39</v>
      </c>
      <c r="G778" s="11">
        <v>459</v>
      </c>
      <c r="H778" s="11">
        <v>836</v>
      </c>
      <c r="I778" s="11">
        <v>1</v>
      </c>
      <c r="J778" s="11">
        <v>2</v>
      </c>
      <c r="K778" s="11" t="s">
        <v>21</v>
      </c>
      <c r="L778" s="7">
        <v>40302.50681712963</v>
      </c>
      <c r="M778" s="12" t="s">
        <v>468</v>
      </c>
      <c r="N778" s="12" t="s">
        <v>1692</v>
      </c>
      <c r="O778" s="10" t="str">
        <f>HYPERLINK("https://pbs.twimg.com/profile_images/458888137326882816/oGjpHLOK_normal.png","View")</f>
        <v>View</v>
      </c>
      <c r="P778" s="11"/>
    </row>
    <row r="779" spans="1:16" ht="12.75" x14ac:dyDescent="0.35">
      <c r="A779" s="7">
        <v>42478.605162037042</v>
      </c>
      <c r="B779" s="8" t="str">
        <f>HYPERLINK("https://twitter.com/INDIZbot","@INDIZbot")</f>
        <v>@INDIZbot</v>
      </c>
      <c r="C779" s="9" t="s">
        <v>61</v>
      </c>
      <c r="D779" s="9" t="s">
        <v>275</v>
      </c>
      <c r="E779" s="10" t="str">
        <f>HYPERLINK("https://twitter.com/INDIZbot/status/721986986500878336","721986986500878336")</f>
        <v>721986986500878336</v>
      </c>
      <c r="F779" s="11" t="s">
        <v>62</v>
      </c>
      <c r="G779" s="11">
        <v>1762</v>
      </c>
      <c r="H779" s="11">
        <v>481</v>
      </c>
      <c r="I779" s="11">
        <v>1</v>
      </c>
      <c r="J779" s="11">
        <v>0</v>
      </c>
      <c r="K779" s="11" t="s">
        <v>21</v>
      </c>
      <c r="L779" s="7">
        <v>42267.011921296296</v>
      </c>
      <c r="M779" s="12"/>
      <c r="N779" s="12" t="s">
        <v>63</v>
      </c>
      <c r="O779" s="10" t="str">
        <f>HYPERLINK("https://pbs.twimg.com/profile_images/645716711723925506/t5G0qOS6_normal.jpg","View")</f>
        <v>View</v>
      </c>
      <c r="P779" s="11"/>
    </row>
    <row r="780" spans="1:16" ht="12.75" x14ac:dyDescent="0.35">
      <c r="A780" s="7">
        <v>42478.605196759258</v>
      </c>
      <c r="B780" s="8" t="str">
        <f>HYPERLINK("https://twitter.com/AndreHD20","@AndreHD20")</f>
        <v>@AndreHD20</v>
      </c>
      <c r="C780" s="9" t="s">
        <v>1693</v>
      </c>
      <c r="D780" s="9" t="s">
        <v>1557</v>
      </c>
      <c r="E780" s="10" t="str">
        <f>HYPERLINK("https://twitter.com/AndreHD20/status/721987001285746688","721987001285746688")</f>
        <v>721987001285746688</v>
      </c>
      <c r="F780" s="11" t="s">
        <v>31</v>
      </c>
      <c r="G780" s="11">
        <v>981</v>
      </c>
      <c r="H780" s="11">
        <v>37</v>
      </c>
      <c r="I780" s="11">
        <v>4</v>
      </c>
      <c r="J780" s="11">
        <v>0</v>
      </c>
      <c r="K780" s="11" t="s">
        <v>21</v>
      </c>
      <c r="L780" s="7">
        <v>41954.033009259263</v>
      </c>
      <c r="M780" s="12" t="s">
        <v>1694</v>
      </c>
      <c r="N780" s="12" t="s">
        <v>1695</v>
      </c>
      <c r="O780" s="10" t="str">
        <f>HYPERLINK("https://pbs.twimg.com/profile_images/701346285345972224/o2eiYGY__normal.jpg","View")</f>
        <v>View</v>
      </c>
      <c r="P780" s="11"/>
    </row>
    <row r="781" spans="1:16" ht="12.75" x14ac:dyDescent="0.35">
      <c r="A781" s="7">
        <v>42478.611967592587</v>
      </c>
      <c r="B781" s="8" t="str">
        <f>HYPERLINK("https://twitter.com/HTxA","@HTxA")</f>
        <v>@HTxA</v>
      </c>
      <c r="C781" s="9" t="s">
        <v>1176</v>
      </c>
      <c r="D781" s="9" t="s">
        <v>1696</v>
      </c>
      <c r="E781" s="10" t="str">
        <f>HYPERLINK("https://twitter.com/HTxA/status/721989455893131264","721989455893131264")</f>
        <v>721989455893131264</v>
      </c>
      <c r="F781" s="11" t="s">
        <v>1697</v>
      </c>
      <c r="G781" s="11">
        <v>770</v>
      </c>
      <c r="H781" s="11">
        <v>1891</v>
      </c>
      <c r="I781" s="11">
        <v>1</v>
      </c>
      <c r="J781" s="11">
        <v>1</v>
      </c>
      <c r="K781" s="11" t="s">
        <v>21</v>
      </c>
      <c r="L781" s="7">
        <v>40873.657754629632</v>
      </c>
      <c r="M781" s="12" t="s">
        <v>1178</v>
      </c>
      <c r="N781" s="12" t="s">
        <v>1179</v>
      </c>
      <c r="O781" s="10" t="str">
        <f>HYPERLINK("https://pbs.twimg.com/profile_images/438597769180094464/3KS08yHc_normal.jpeg","View")</f>
        <v>View</v>
      </c>
      <c r="P781" s="11"/>
    </row>
    <row r="782" spans="1:16" ht="12.75" x14ac:dyDescent="0.35">
      <c r="A782" s="7">
        <v>42478.619675925926</v>
      </c>
      <c r="B782" s="8" t="str">
        <f>HYPERLINK("https://twitter.com/INDIZbot","@INDIZbot")</f>
        <v>@INDIZbot</v>
      </c>
      <c r="C782" s="9" t="s">
        <v>61</v>
      </c>
      <c r="D782" s="9" t="s">
        <v>1698</v>
      </c>
      <c r="E782" s="10" t="str">
        <f>HYPERLINK("https://twitter.com/INDIZbot/status/721992247626084352","721992247626084352")</f>
        <v>721992247626084352</v>
      </c>
      <c r="F782" s="11" t="s">
        <v>62</v>
      </c>
      <c r="G782" s="11">
        <v>1762</v>
      </c>
      <c r="H782" s="11">
        <v>481</v>
      </c>
      <c r="I782" s="11">
        <v>1</v>
      </c>
      <c r="J782" s="11">
        <v>0</v>
      </c>
      <c r="K782" s="11" t="s">
        <v>21</v>
      </c>
      <c r="L782" s="7">
        <v>42267.011921296296</v>
      </c>
      <c r="M782" s="12"/>
      <c r="N782" s="12" t="s">
        <v>63</v>
      </c>
      <c r="O782" s="10" t="str">
        <f>HYPERLINK("https://pbs.twimg.com/profile_images/645716711723925506/t5G0qOS6_normal.jpg","View")</f>
        <v>View</v>
      </c>
      <c r="P782" s="11"/>
    </row>
    <row r="783" spans="1:16" ht="12.75" x14ac:dyDescent="0.35">
      <c r="A783" s="7">
        <v>42478.628171296295</v>
      </c>
      <c r="B783" s="8" t="str">
        <f>HYPERLINK("https://twitter.com/Jo_H123","@Jo_H123")</f>
        <v>@Jo_H123</v>
      </c>
      <c r="C783" s="9" t="s">
        <v>1056</v>
      </c>
      <c r="D783" s="9" t="s">
        <v>1699</v>
      </c>
      <c r="E783" s="10" t="str">
        <f>HYPERLINK("https://twitter.com/Jo_H123/status/721995327214129152","721995327214129152")</f>
        <v>721995327214129152</v>
      </c>
      <c r="F783" s="11" t="s">
        <v>25</v>
      </c>
      <c r="G783" s="11">
        <v>487</v>
      </c>
      <c r="H783" s="11">
        <v>510</v>
      </c>
      <c r="I783" s="11">
        <v>0</v>
      </c>
      <c r="J783" s="11">
        <v>0</v>
      </c>
      <c r="K783" s="11" t="s">
        <v>21</v>
      </c>
      <c r="L783" s="7">
        <v>41955.805868055555</v>
      </c>
      <c r="M783" s="12" t="s">
        <v>1058</v>
      </c>
      <c r="N783" s="12" t="s">
        <v>1059</v>
      </c>
      <c r="O783" s="10" t="str">
        <f>HYPERLINK("https://pbs.twimg.com/profile_images/532532270788128768/ubrFTMd7_normal.jpeg","View")</f>
        <v>View</v>
      </c>
      <c r="P783" s="11"/>
    </row>
    <row r="784" spans="1:16" ht="12.75" x14ac:dyDescent="0.35">
      <c r="A784" s="7">
        <v>42478.635509259257</v>
      </c>
      <c r="B784" s="8" t="str">
        <f>HYPERLINK("https://twitter.com/hannover_messe","@hannover_messe")</f>
        <v>@hannover_messe</v>
      </c>
      <c r="C784" s="9" t="s">
        <v>1161</v>
      </c>
      <c r="D784" s="9" t="s">
        <v>1700</v>
      </c>
      <c r="E784" s="10" t="str">
        <f>HYPERLINK("https://twitter.com/hannover_messe/status/721997985438109697","721997985438109697")</f>
        <v>721997985438109697</v>
      </c>
      <c r="F784" s="11" t="s">
        <v>39</v>
      </c>
      <c r="G784" s="11">
        <v>17092</v>
      </c>
      <c r="H784" s="11">
        <v>260</v>
      </c>
      <c r="I784" s="11">
        <v>13</v>
      </c>
      <c r="J784" s="11">
        <v>7</v>
      </c>
      <c r="K784" s="11" t="s">
        <v>21</v>
      </c>
      <c r="L784" s="7">
        <v>39878.916354166664</v>
      </c>
      <c r="M784" s="12" t="s">
        <v>1163</v>
      </c>
      <c r="N784" s="12" t="s">
        <v>1164</v>
      </c>
      <c r="O784" s="10" t="str">
        <f>HYPERLINK("https://pbs.twimg.com/profile_images/685255985/Bild_2_normal.png","View")</f>
        <v>View</v>
      </c>
      <c r="P784" s="11"/>
    </row>
    <row r="785" spans="1:16" ht="12.75" x14ac:dyDescent="0.35">
      <c r="A785" s="7">
        <v>42478.635798611111</v>
      </c>
      <c r="B785" s="8" t="str">
        <f>HYPERLINK("https://twitter.com/Jo_H123","@Jo_H123")</f>
        <v>@Jo_H123</v>
      </c>
      <c r="C785" s="9" t="s">
        <v>1056</v>
      </c>
      <c r="D785" s="9" t="s">
        <v>1701</v>
      </c>
      <c r="E785" s="10" t="str">
        <f>HYPERLINK("https://twitter.com/Jo_H123/status/721998091885408256","721998091885408256")</f>
        <v>721998091885408256</v>
      </c>
      <c r="F785" s="11" t="s">
        <v>25</v>
      </c>
      <c r="G785" s="11">
        <v>487</v>
      </c>
      <c r="H785" s="11">
        <v>510</v>
      </c>
      <c r="I785" s="11">
        <v>4</v>
      </c>
      <c r="J785" s="11">
        <v>1</v>
      </c>
      <c r="K785" s="11" t="s">
        <v>21</v>
      </c>
      <c r="L785" s="7">
        <v>41955.805868055555</v>
      </c>
      <c r="M785" s="12" t="s">
        <v>1058</v>
      </c>
      <c r="N785" s="12" t="s">
        <v>1059</v>
      </c>
      <c r="O785" s="10" t="str">
        <f>HYPERLINK("https://pbs.twimg.com/profile_images/532532270788128768/ubrFTMd7_normal.jpeg","View")</f>
        <v>View</v>
      </c>
      <c r="P785" s="11"/>
    </row>
    <row r="786" spans="1:16" ht="12.75" x14ac:dyDescent="0.35">
      <c r="A786" s="7">
        <v>42478.635937500003</v>
      </c>
      <c r="B786" s="8" t="str">
        <f>HYPERLINK("https://twitter.com/WIKON_GmbH","@WIKON_GmbH")</f>
        <v>@WIKON_GmbH</v>
      </c>
      <c r="C786" s="9" t="s">
        <v>1702</v>
      </c>
      <c r="D786" s="9" t="s">
        <v>1703</v>
      </c>
      <c r="E786" s="10" t="str">
        <f>HYPERLINK("https://twitter.com/WIKON_GmbH/status/721998139998212096","721998139998212096")</f>
        <v>721998139998212096</v>
      </c>
      <c r="F786" s="11" t="s">
        <v>25</v>
      </c>
      <c r="G786" s="11">
        <v>8</v>
      </c>
      <c r="H786" s="11">
        <v>8</v>
      </c>
      <c r="I786" s="11">
        <v>1</v>
      </c>
      <c r="J786" s="11">
        <v>0</v>
      </c>
      <c r="K786" s="11" t="s">
        <v>21</v>
      </c>
      <c r="L786" s="7">
        <v>41975.693483796298</v>
      </c>
      <c r="M786" s="12" t="s">
        <v>1704</v>
      </c>
      <c r="N786" s="12"/>
      <c r="O786" s="10" t="str">
        <f>HYPERLINK("https://pbs.twimg.com/profile_images/539742807791902723/3lL_4fo2_normal.png","View")</f>
        <v>View</v>
      </c>
      <c r="P786" s="11"/>
    </row>
    <row r="787" spans="1:16" ht="12.75" x14ac:dyDescent="0.35">
      <c r="A787" s="7">
        <v>42478.636446759258</v>
      </c>
      <c r="B787" s="8" t="str">
        <f>HYPERLINK("https://twitter.com/mediamorfo","@mediamorfo")</f>
        <v>@mediamorfo</v>
      </c>
      <c r="C787" s="9" t="s">
        <v>1705</v>
      </c>
      <c r="D787" s="9" t="s">
        <v>1706</v>
      </c>
      <c r="E787" s="10" t="str">
        <f>HYPERLINK("https://twitter.com/mediamorfo/status/721998324002385920","721998324002385920")</f>
        <v>721998324002385920</v>
      </c>
      <c r="F787" s="11" t="s">
        <v>1707</v>
      </c>
      <c r="G787" s="11">
        <v>1057</v>
      </c>
      <c r="H787" s="11">
        <v>698</v>
      </c>
      <c r="I787" s="11">
        <v>1</v>
      </c>
      <c r="J787" s="11">
        <v>0</v>
      </c>
      <c r="K787" s="11" t="s">
        <v>21</v>
      </c>
      <c r="L787" s="7">
        <v>42378.659143518518</v>
      </c>
      <c r="M787" s="12" t="s">
        <v>1708</v>
      </c>
      <c r="N787" s="12" t="s">
        <v>1709</v>
      </c>
      <c r="O787" s="10" t="str">
        <f>HYPERLINK("https://pbs.twimg.com/profile_images/685769503016366080/O5hxeJeS_normal.png","View")</f>
        <v>View</v>
      </c>
      <c r="P787" s="11"/>
    </row>
    <row r="788" spans="1:16" ht="12.75" x14ac:dyDescent="0.35">
      <c r="A788" s="7">
        <v>42478.640601851846</v>
      </c>
      <c r="B788" s="8" t="str">
        <f>HYPERLINK("https://twitter.com/matthiaslechner","@matthiaslechner")</f>
        <v>@matthiaslechner</v>
      </c>
      <c r="C788" s="9" t="s">
        <v>1710</v>
      </c>
      <c r="D788" s="9" t="s">
        <v>1711</v>
      </c>
      <c r="E788" s="10" t="str">
        <f>HYPERLINK("https://twitter.com/matthiaslechner/status/721999829359009792","721999829359009792")</f>
        <v>721999829359009792</v>
      </c>
      <c r="F788" s="11" t="s">
        <v>1712</v>
      </c>
      <c r="G788" s="11">
        <v>1309</v>
      </c>
      <c r="H788" s="11">
        <v>2009</v>
      </c>
      <c r="I788" s="11">
        <v>0</v>
      </c>
      <c r="J788" s="11">
        <v>0</v>
      </c>
      <c r="K788" s="11" t="s">
        <v>21</v>
      </c>
      <c r="L788" s="7">
        <v>39308.689016203702</v>
      </c>
      <c r="M788" s="12" t="s">
        <v>1713</v>
      </c>
      <c r="N788" s="12" t="s">
        <v>1714</v>
      </c>
      <c r="O788" s="10" t="str">
        <f>HYPERLINK("https://pbs.twimg.com/profile_images/1433733321/35984_458684286354_752236354_6842403_4519162_n-1_normal.jpg","View")</f>
        <v>View</v>
      </c>
      <c r="P788" s="11"/>
    </row>
    <row r="789" spans="1:16" ht="12.75" x14ac:dyDescent="0.35">
      <c r="A789" s="7">
        <v>42478.640601851846</v>
      </c>
      <c r="B789" s="8" t="str">
        <f>HYPERLINK("https://twitter.com/raum21gmbh","@raum21gmbh")</f>
        <v>@raum21gmbh</v>
      </c>
      <c r="C789" s="9" t="s">
        <v>1715</v>
      </c>
      <c r="D789" s="9" t="s">
        <v>1716</v>
      </c>
      <c r="E789" s="10" t="str">
        <f>HYPERLINK("https://twitter.com/raum21gmbh/status/721999830143381504","721999830143381504")</f>
        <v>721999830143381504</v>
      </c>
      <c r="F789" s="11" t="s">
        <v>25</v>
      </c>
      <c r="G789" s="11">
        <v>70</v>
      </c>
      <c r="H789" s="11">
        <v>9</v>
      </c>
      <c r="I789" s="11">
        <v>1</v>
      </c>
      <c r="J789" s="11">
        <v>0</v>
      </c>
      <c r="K789" s="11" t="s">
        <v>21</v>
      </c>
      <c r="L789" s="7">
        <v>40317.779189814813</v>
      </c>
      <c r="M789" s="12" t="s">
        <v>1717</v>
      </c>
      <c r="N789" s="12" t="s">
        <v>1718</v>
      </c>
      <c r="O789" s="10" t="str">
        <f>HYPERLINK("https://pbs.twimg.com/profile_images/615886082417274881/1pKhEKhT_normal.png","View")</f>
        <v>View</v>
      </c>
      <c r="P789" s="11"/>
    </row>
    <row r="790" spans="1:16" ht="12.75" x14ac:dyDescent="0.35">
      <c r="A790" s="7">
        <v>42478.641111111108</v>
      </c>
      <c r="B790" s="8" t="str">
        <f>HYPERLINK("https://twitter.com/OpenMarketingTV","@OpenMarketingTV")</f>
        <v>@OpenMarketingTV</v>
      </c>
      <c r="C790" s="9" t="s">
        <v>1719</v>
      </c>
      <c r="D790" s="9" t="s">
        <v>1681</v>
      </c>
      <c r="E790" s="10" t="str">
        <f>HYPERLINK("https://twitter.com/OpenMarketingTV/status/722000014298492928","722000014298492928")</f>
        <v>722000014298492928</v>
      </c>
      <c r="F790" s="11" t="s">
        <v>20</v>
      </c>
      <c r="G790" s="11">
        <v>9551</v>
      </c>
      <c r="H790" s="11">
        <v>10205</v>
      </c>
      <c r="I790" s="11">
        <v>2</v>
      </c>
      <c r="J790" s="11">
        <v>0</v>
      </c>
      <c r="K790" s="11" t="s">
        <v>21</v>
      </c>
      <c r="L790" s="7">
        <v>40649.84715277778</v>
      </c>
      <c r="M790" s="12" t="s">
        <v>1720</v>
      </c>
      <c r="N790" s="12" t="s">
        <v>1721</v>
      </c>
      <c r="O790" s="10" t="str">
        <f>HYPERLINK("https://pbs.twimg.com/profile_images/2416217270/6vmtlo7m644v6jwaux83_normal.jpeg","View")</f>
        <v>View</v>
      </c>
      <c r="P790" s="11"/>
    </row>
    <row r="791" spans="1:16" ht="12.75" x14ac:dyDescent="0.35">
      <c r="A791" s="7">
        <v>42478.646701388891</v>
      </c>
      <c r="B791" s="8" t="str">
        <f>HYPERLINK("https://twitter.com/Tiba_Schweiz","@Tiba_Schweiz")</f>
        <v>@Tiba_Schweiz</v>
      </c>
      <c r="C791" s="9" t="s">
        <v>1378</v>
      </c>
      <c r="D791" s="9" t="s">
        <v>1722</v>
      </c>
      <c r="E791" s="10" t="str">
        <f>HYPERLINK("https://twitter.com/Tiba_Schweiz/status/722002042781310976","722002042781310976")</f>
        <v>722002042781310976</v>
      </c>
      <c r="F791" s="11" t="s">
        <v>39</v>
      </c>
      <c r="G791" s="11">
        <v>68</v>
      </c>
      <c r="H791" s="11">
        <v>82</v>
      </c>
      <c r="I791" s="11">
        <v>0</v>
      </c>
      <c r="J791" s="11">
        <v>1</v>
      </c>
      <c r="K791" s="11" t="s">
        <v>21</v>
      </c>
      <c r="L791" s="7">
        <v>42432.471689814818</v>
      </c>
      <c r="M791" s="12" t="s">
        <v>1379</v>
      </c>
      <c r="N791" s="12" t="s">
        <v>1380</v>
      </c>
      <c r="O791" s="10" t="str">
        <f>HYPERLINK("https://pbs.twimg.com/profile_images/705270537073852416/CZoAp0su_normal.jpg","View")</f>
        <v>View</v>
      </c>
      <c r="P791" s="11"/>
    </row>
    <row r="792" spans="1:16" ht="12.75" x14ac:dyDescent="0.35">
      <c r="A792" s="7">
        <v>42478.647962962961</v>
      </c>
      <c r="B792" s="8" t="str">
        <f>HYPERLINK("https://twitter.com/Pamsav1","@Pamsav1")</f>
        <v>@Pamsav1</v>
      </c>
      <c r="C792" s="9" t="s">
        <v>571</v>
      </c>
      <c r="D792" s="9" t="s">
        <v>924</v>
      </c>
      <c r="E792" s="10" t="str">
        <f>HYPERLINK("https://twitter.com/Pamsav1/status/722002497456484352","722002497456484352")</f>
        <v>722002497456484352</v>
      </c>
      <c r="F792" s="11" t="s">
        <v>84</v>
      </c>
      <c r="G792" s="11">
        <v>54</v>
      </c>
      <c r="H792" s="11">
        <v>103</v>
      </c>
      <c r="I792" s="11">
        <v>10</v>
      </c>
      <c r="J792" s="11">
        <v>0</v>
      </c>
      <c r="K792" s="11" t="s">
        <v>21</v>
      </c>
      <c r="L792" s="7">
        <v>41022.873749999999</v>
      </c>
      <c r="M792" s="12" t="s">
        <v>572</v>
      </c>
      <c r="N792" s="12" t="s">
        <v>573</v>
      </c>
      <c r="O792" s="10" t="str">
        <f>HYPERLINK("https://pbs.twimg.com/profile_images/706811232695750657/fVFQauFe_normal.jpg","View")</f>
        <v>View</v>
      </c>
      <c r="P792" s="11"/>
    </row>
    <row r="793" spans="1:16" ht="12.75" x14ac:dyDescent="0.35">
      <c r="A793" s="7">
        <v>42478.652094907404</v>
      </c>
      <c r="B793" s="8" t="str">
        <f>HYPERLINK("https://twitter.com/IoTMinded","@IoTMinded")</f>
        <v>@IoTMinded</v>
      </c>
      <c r="C793" s="9" t="s">
        <v>435</v>
      </c>
      <c r="D793" s="9" t="s">
        <v>1723</v>
      </c>
      <c r="E793" s="10" t="str">
        <f>HYPERLINK("https://twitter.com/IoTMinded/status/722003994109952000","722003994109952000")</f>
        <v>722003994109952000</v>
      </c>
      <c r="F793" s="11" t="s">
        <v>437</v>
      </c>
      <c r="G793" s="11">
        <v>1102</v>
      </c>
      <c r="H793" s="11">
        <v>656</v>
      </c>
      <c r="I793" s="11">
        <v>1</v>
      </c>
      <c r="J793" s="11">
        <v>0</v>
      </c>
      <c r="K793" s="11" t="s">
        <v>21</v>
      </c>
      <c r="L793" s="7">
        <v>40085.127789351856</v>
      </c>
      <c r="M793" s="12"/>
      <c r="N793" s="12" t="s">
        <v>438</v>
      </c>
      <c r="O793" s="10" t="str">
        <f>HYPERLINK("https://pbs.twimg.com/profile_images/603699032804859904/lb5IMG5x_normal.jpg","View")</f>
        <v>View</v>
      </c>
      <c r="P793" s="11"/>
    </row>
    <row r="794" spans="1:16" ht="12.75" x14ac:dyDescent="0.35">
      <c r="A794" s="7">
        <v>42478.665104166663</v>
      </c>
      <c r="B794" s="8" t="str">
        <f>HYPERLINK("https://twitter.com/rene_ziegler","@rene_ziegler")</f>
        <v>@rene_ziegler</v>
      </c>
      <c r="C794" s="9" t="s">
        <v>1724</v>
      </c>
      <c r="D794" s="9" t="s">
        <v>1725</v>
      </c>
      <c r="E794" s="10" t="str">
        <f>HYPERLINK("https://twitter.com/rene_ziegler/status/722008709061353472","722008709061353472")</f>
        <v>722008709061353472</v>
      </c>
      <c r="F794" s="11" t="s">
        <v>31</v>
      </c>
      <c r="G794" s="11">
        <v>897</v>
      </c>
      <c r="H794" s="11">
        <v>434</v>
      </c>
      <c r="I794" s="11">
        <v>1</v>
      </c>
      <c r="J794" s="11">
        <v>1</v>
      </c>
      <c r="K794" s="11" t="s">
        <v>21</v>
      </c>
      <c r="L794" s="7">
        <v>41176.054814814815</v>
      </c>
      <c r="M794" s="12" t="s">
        <v>1726</v>
      </c>
      <c r="N794" s="12" t="s">
        <v>1727</v>
      </c>
      <c r="O794" s="10" t="str">
        <f>HYPERLINK("https://pbs.twimg.com/profile_images/643892666695073792/IDQzvziq_normal.jpg","View")</f>
        <v>View</v>
      </c>
      <c r="P794" s="11"/>
    </row>
    <row r="795" spans="1:16" ht="12.75" x14ac:dyDescent="0.35">
      <c r="A795" s="7">
        <v>42478.668078703704</v>
      </c>
      <c r="B795" s="8" t="str">
        <f>HYPERLINK("https://twitter.com/akquinet","@akquinet")</f>
        <v>@akquinet</v>
      </c>
      <c r="C795" s="9" t="s">
        <v>510</v>
      </c>
      <c r="D795" s="9" t="s">
        <v>1728</v>
      </c>
      <c r="E795" s="10" t="str">
        <f>HYPERLINK("https://twitter.com/akquinet/status/722009788931026944","722009788931026944")</f>
        <v>722009788931026944</v>
      </c>
      <c r="F795" s="11" t="s">
        <v>25</v>
      </c>
      <c r="G795" s="11">
        <v>220</v>
      </c>
      <c r="H795" s="11">
        <v>129</v>
      </c>
      <c r="I795" s="11">
        <v>13</v>
      </c>
      <c r="J795" s="11">
        <v>0</v>
      </c>
      <c r="K795" s="11" t="s">
        <v>21</v>
      </c>
      <c r="L795" s="7">
        <v>40057.550069444442</v>
      </c>
      <c r="M795" s="12" t="s">
        <v>512</v>
      </c>
      <c r="N795" s="12" t="s">
        <v>513</v>
      </c>
      <c r="O795" s="10" t="str">
        <f>HYPERLINK("https://pbs.twimg.com/profile_images/509252372774653952/cl1TCi-g_normal.png","View")</f>
        <v>View</v>
      </c>
      <c r="P795" s="11"/>
    </row>
    <row r="796" spans="1:16" ht="12.75" x14ac:dyDescent="0.35">
      <c r="A796" s="7">
        <v>42478.67</v>
      </c>
      <c r="B796" s="8" t="str">
        <f>HYPERLINK("https://twitter.com/BetzOliver","@BetzOliver")</f>
        <v>@BetzOliver</v>
      </c>
      <c r="C796" s="9" t="s">
        <v>1729</v>
      </c>
      <c r="D796" s="9" t="s">
        <v>1730</v>
      </c>
      <c r="E796" s="10" t="str">
        <f>HYPERLINK("https://twitter.com/BetzOliver/status/722010486636720128","722010486636720128")</f>
        <v>722010486636720128</v>
      </c>
      <c r="F796" s="11" t="s">
        <v>25</v>
      </c>
      <c r="G796" s="11">
        <v>463</v>
      </c>
      <c r="H796" s="11">
        <v>105</v>
      </c>
      <c r="I796" s="11">
        <v>1</v>
      </c>
      <c r="J796" s="11">
        <v>0</v>
      </c>
      <c r="K796" s="11" t="s">
        <v>21</v>
      </c>
      <c r="L796" s="7">
        <v>40957.814918981479</v>
      </c>
      <c r="M796" s="12" t="s">
        <v>1731</v>
      </c>
      <c r="N796" s="12" t="s">
        <v>1732</v>
      </c>
      <c r="O796" s="10" t="str">
        <f>HYPERLINK("https://pbs.twimg.com/profile_images/1835944962/Oliver_Betz_-_klein_normal.JPG","View")</f>
        <v>View</v>
      </c>
      <c r="P796" s="11"/>
    </row>
    <row r="797" spans="1:16" ht="12.75" x14ac:dyDescent="0.35">
      <c r="A797" s="7">
        <v>42478.670289351852</v>
      </c>
      <c r="B797" s="8" t="str">
        <f>HYPERLINK("https://twitter.com/birgit_buck","@birgit_buck")</f>
        <v>@birgit_buck</v>
      </c>
      <c r="C797" s="9" t="s">
        <v>1733</v>
      </c>
      <c r="D797" s="9" t="s">
        <v>1505</v>
      </c>
      <c r="E797" s="10" t="str">
        <f>HYPERLINK("https://twitter.com/birgit_buck/status/722010589212602369","722010589212602369")</f>
        <v>722010589212602369</v>
      </c>
      <c r="F797" s="11" t="s">
        <v>31</v>
      </c>
      <c r="G797" s="11">
        <v>27</v>
      </c>
      <c r="H797" s="11">
        <v>32</v>
      </c>
      <c r="I797" s="11">
        <v>4</v>
      </c>
      <c r="J797" s="11">
        <v>0</v>
      </c>
      <c r="K797" s="11" t="s">
        <v>21</v>
      </c>
      <c r="L797" s="7">
        <v>42089.84684027778</v>
      </c>
      <c r="M797" s="12"/>
      <c r="N797" s="12"/>
      <c r="O797" s="10" t="str">
        <f>HYPERLINK("https://pbs.twimg.com/profile_images/615483475265765376/ntQ1BSUI_normal.jpg","View")</f>
        <v>View</v>
      </c>
      <c r="P797" s="11"/>
    </row>
    <row r="798" spans="1:16" ht="12.75" x14ac:dyDescent="0.35">
      <c r="A798" s="7">
        <v>42478.670439814814</v>
      </c>
      <c r="B798" s="8" t="str">
        <f>HYPERLINK("https://twitter.com/H_IT_D","@H_IT_D")</f>
        <v>@H_IT_D</v>
      </c>
      <c r="C798" s="9" t="s">
        <v>159</v>
      </c>
      <c r="D798" s="9" t="s">
        <v>1734</v>
      </c>
      <c r="E798" s="10" t="str">
        <f>HYPERLINK("https://twitter.com/H_IT_D/status/722010642048155648","722010642048155648")</f>
        <v>722010642048155648</v>
      </c>
      <c r="F798" s="11" t="s">
        <v>161</v>
      </c>
      <c r="G798" s="11">
        <v>463</v>
      </c>
      <c r="H798" s="11">
        <v>467</v>
      </c>
      <c r="I798" s="11">
        <v>0</v>
      </c>
      <c r="J798" s="11">
        <v>0</v>
      </c>
      <c r="K798" s="11" t="s">
        <v>21</v>
      </c>
      <c r="L798" s="7">
        <v>40723.867673611108</v>
      </c>
      <c r="M798" s="12" t="s">
        <v>162</v>
      </c>
      <c r="N798" s="12" t="s">
        <v>163</v>
      </c>
      <c r="O798" s="10" t="str">
        <f>HYPERLINK("https://pbs.twimg.com/profile_images/662723326096224256/5V4KH9_O_normal.jpg","View")</f>
        <v>View</v>
      </c>
      <c r="P798" s="11"/>
    </row>
    <row r="799" spans="1:16" ht="12.75" x14ac:dyDescent="0.35">
      <c r="A799" s="7">
        <v>42478.687060185184</v>
      </c>
      <c r="B799" s="8" t="str">
        <f>HYPERLINK("https://twitter.com/foresight_lab","@foresight_lab")</f>
        <v>@foresight_lab</v>
      </c>
      <c r="C799" s="9" t="s">
        <v>1735</v>
      </c>
      <c r="D799" s="9" t="s">
        <v>1736</v>
      </c>
      <c r="E799" s="10" t="str">
        <f>HYPERLINK("https://twitter.com/foresight_lab/status/722016667971272704","722016667971272704")</f>
        <v>722016667971272704</v>
      </c>
      <c r="F799" s="11" t="s">
        <v>31</v>
      </c>
      <c r="G799" s="11">
        <v>673</v>
      </c>
      <c r="H799" s="11">
        <v>1023</v>
      </c>
      <c r="I799" s="11">
        <v>0</v>
      </c>
      <c r="J799" s="11">
        <v>0</v>
      </c>
      <c r="K799" s="11" t="s">
        <v>21</v>
      </c>
      <c r="L799" s="7">
        <v>42322.787974537037</v>
      </c>
      <c r="M799" s="12" t="s">
        <v>581</v>
      </c>
      <c r="N799" s="12" t="s">
        <v>1737</v>
      </c>
      <c r="O799" s="10" t="str">
        <f>HYPERLINK("https://pbs.twimg.com/profile_images/665798535779065856/sbUN3m6Q_normal.jpg","View")</f>
        <v>View</v>
      </c>
      <c r="P799" s="11"/>
    </row>
    <row r="800" spans="1:16" ht="12.75" x14ac:dyDescent="0.35">
      <c r="A800" s="7">
        <v>42478.6878125</v>
      </c>
      <c r="B800" s="8" t="str">
        <f>HYPERLINK("https://twitter.com/verlinked","@verlinked")</f>
        <v>@verlinked</v>
      </c>
      <c r="C800" s="9" t="s">
        <v>263</v>
      </c>
      <c r="D800" s="9" t="s">
        <v>1738</v>
      </c>
      <c r="E800" s="10" t="str">
        <f>HYPERLINK("https://twitter.com/verlinked/status/722016939611004929","722016939611004929")</f>
        <v>722016939611004929</v>
      </c>
      <c r="F800" s="11" t="s">
        <v>115</v>
      </c>
      <c r="G800" s="11">
        <v>600</v>
      </c>
      <c r="H800" s="11">
        <v>1201</v>
      </c>
      <c r="I800" s="11">
        <v>1</v>
      </c>
      <c r="J800" s="11">
        <v>0</v>
      </c>
      <c r="K800" s="11" t="s">
        <v>21</v>
      </c>
      <c r="L800" s="7">
        <v>41463.077627314815</v>
      </c>
      <c r="M800" s="12" t="s">
        <v>265</v>
      </c>
      <c r="N800" s="12" t="s">
        <v>266</v>
      </c>
      <c r="O800" s="10" t="str">
        <f>HYPERLINK("https://pbs.twimg.com/profile_images/722385992343285760/ww8YLZ2q_normal.jpg","View")</f>
        <v>View</v>
      </c>
      <c r="P800" s="11"/>
    </row>
    <row r="801" spans="1:16" ht="12.75" x14ac:dyDescent="0.35">
      <c r="A801" s="7">
        <v>42478.688020833331</v>
      </c>
      <c r="B801" s="8" t="str">
        <f>HYPERLINK("https://twitter.com/MeinGeldMedien","@MeinGeldMedien")</f>
        <v>@MeinGeldMedien</v>
      </c>
      <c r="C801" s="9" t="s">
        <v>302</v>
      </c>
      <c r="D801" s="9" t="s">
        <v>1739</v>
      </c>
      <c r="E801" s="10" t="str">
        <f>HYPERLINK("https://twitter.com/MeinGeldMedien/status/722017013909057536","722017013909057536")</f>
        <v>722017013909057536</v>
      </c>
      <c r="F801" s="11" t="s">
        <v>39</v>
      </c>
      <c r="G801" s="11">
        <v>694</v>
      </c>
      <c r="H801" s="11">
        <v>583</v>
      </c>
      <c r="I801" s="11">
        <v>1</v>
      </c>
      <c r="J801" s="11">
        <v>0</v>
      </c>
      <c r="K801" s="11" t="s">
        <v>21</v>
      </c>
      <c r="L801" s="7">
        <v>41793.608449074076</v>
      </c>
      <c r="M801" s="12" t="s">
        <v>218</v>
      </c>
      <c r="N801" s="12" t="s">
        <v>304</v>
      </c>
      <c r="O801" s="10" t="str">
        <f>HYPERLINK("https://pbs.twimg.com/profile_images/473759721023758338/3CcJL-Vq_normal.jpeg","View")</f>
        <v>View</v>
      </c>
      <c r="P801" s="11"/>
    </row>
    <row r="802" spans="1:16" ht="12.75" x14ac:dyDescent="0.35">
      <c r="A802" s="7">
        <v>42478.688298611116</v>
      </c>
      <c r="B802" s="8" t="str">
        <f t="shared" ref="B802:B803" si="88">HYPERLINK("https://twitter.com/INDIZbot","@INDIZbot")</f>
        <v>@INDIZbot</v>
      </c>
      <c r="C802" s="9" t="s">
        <v>61</v>
      </c>
      <c r="D802" s="9" t="s">
        <v>1740</v>
      </c>
      <c r="E802" s="10" t="str">
        <f>HYPERLINK("https://twitter.com/INDIZbot/status/722017116560498688","722017116560498688")</f>
        <v>722017116560498688</v>
      </c>
      <c r="F802" s="11" t="s">
        <v>62</v>
      </c>
      <c r="G802" s="11">
        <v>1762</v>
      </c>
      <c r="H802" s="11">
        <v>481</v>
      </c>
      <c r="I802" s="11">
        <v>1</v>
      </c>
      <c r="J802" s="11">
        <v>0</v>
      </c>
      <c r="K802" s="11" t="s">
        <v>21</v>
      </c>
      <c r="L802" s="7">
        <v>42267.011921296296</v>
      </c>
      <c r="M802" s="12"/>
      <c r="N802" s="12" t="s">
        <v>63</v>
      </c>
      <c r="O802" s="10" t="str">
        <f t="shared" ref="O802:O803" si="89">HYPERLINK("https://pbs.twimg.com/profile_images/645716711723925506/t5G0qOS6_normal.jpg","View")</f>
        <v>View</v>
      </c>
      <c r="P802" s="11"/>
    </row>
    <row r="803" spans="1:16" ht="12.75" x14ac:dyDescent="0.35">
      <c r="A803" s="7">
        <v>42478.688634259262</v>
      </c>
      <c r="B803" s="8" t="str">
        <f t="shared" si="88"/>
        <v>@INDIZbot</v>
      </c>
      <c r="C803" s="9" t="s">
        <v>61</v>
      </c>
      <c r="D803" s="9" t="s">
        <v>1741</v>
      </c>
      <c r="E803" s="10" t="str">
        <f>HYPERLINK("https://twitter.com/INDIZbot/status/722017237654237185","722017237654237185")</f>
        <v>722017237654237185</v>
      </c>
      <c r="F803" s="11" t="s">
        <v>62</v>
      </c>
      <c r="G803" s="11">
        <v>1762</v>
      </c>
      <c r="H803" s="11">
        <v>481</v>
      </c>
      <c r="I803" s="11">
        <v>1</v>
      </c>
      <c r="J803" s="11">
        <v>0</v>
      </c>
      <c r="K803" s="11" t="s">
        <v>21</v>
      </c>
      <c r="L803" s="7">
        <v>42267.011921296296</v>
      </c>
      <c r="M803" s="12"/>
      <c r="N803" s="12" t="s">
        <v>63</v>
      </c>
      <c r="O803" s="10" t="str">
        <f t="shared" si="89"/>
        <v>View</v>
      </c>
      <c r="P803" s="11"/>
    </row>
    <row r="804" spans="1:16" ht="12.75" x14ac:dyDescent="0.35">
      <c r="A804" s="7">
        <v>42478.68913194444</v>
      </c>
      <c r="B804" s="8" t="str">
        <f>HYPERLINK("https://twitter.com/HELLRIEGEL","@HELLRIEGEL")</f>
        <v>@HELLRIEGEL</v>
      </c>
      <c r="C804" s="9" t="s">
        <v>1742</v>
      </c>
      <c r="D804" s="9" t="s">
        <v>1743</v>
      </c>
      <c r="E804" s="10" t="str">
        <f>HYPERLINK("https://twitter.com/HELLRIEGEL/status/722017418235756544","722017418235756544")</f>
        <v>722017418235756544</v>
      </c>
      <c r="F804" s="11" t="s">
        <v>59</v>
      </c>
      <c r="G804" s="11">
        <v>2017</v>
      </c>
      <c r="H804" s="11">
        <v>2021</v>
      </c>
      <c r="I804" s="11">
        <v>0</v>
      </c>
      <c r="J804" s="11">
        <v>0</v>
      </c>
      <c r="K804" s="11" t="s">
        <v>21</v>
      </c>
      <c r="L804" s="7">
        <v>39924.174768518518</v>
      </c>
      <c r="M804" s="12" t="s">
        <v>575</v>
      </c>
      <c r="N804" s="12" t="s">
        <v>1744</v>
      </c>
      <c r="O804" s="10" t="str">
        <f>HYPERLINK("https://pbs.twimg.com/profile_images/661207402629505024/Iay_TXwA_normal.jpg","View")</f>
        <v>View</v>
      </c>
      <c r="P804" s="11"/>
    </row>
    <row r="805" spans="1:16" ht="12.75" x14ac:dyDescent="0.35">
      <c r="A805" s="7">
        <v>42478.690995370373</v>
      </c>
      <c r="B805" s="8" t="str">
        <f>HYPERLINK("https://twitter.com/kommoptimierer","@kommoptimierer")</f>
        <v>@kommoptimierer</v>
      </c>
      <c r="C805" s="9" t="s">
        <v>270</v>
      </c>
      <c r="D805" s="9" t="s">
        <v>1745</v>
      </c>
      <c r="E805" s="10" t="str">
        <f>HYPERLINK("https://twitter.com/kommoptimierer/status/722018091618598912","722018091618598912")</f>
        <v>722018091618598912</v>
      </c>
      <c r="F805" s="11" t="s">
        <v>272</v>
      </c>
      <c r="G805" s="11">
        <v>1347</v>
      </c>
      <c r="H805" s="11">
        <v>1753</v>
      </c>
      <c r="I805" s="11">
        <v>0</v>
      </c>
      <c r="J805" s="11">
        <v>0</v>
      </c>
      <c r="K805" s="11" t="s">
        <v>21</v>
      </c>
      <c r="L805" s="7">
        <v>39986.860358796301</v>
      </c>
      <c r="M805" s="12" t="s">
        <v>273</v>
      </c>
      <c r="N805" s="12" t="s">
        <v>274</v>
      </c>
      <c r="O805" s="10" t="str">
        <f>HYPERLINK("https://pbs.twimg.com/profile_images/541146126158536704/IYardufS_normal.jpeg","View")</f>
        <v>View</v>
      </c>
      <c r="P805" s="11"/>
    </row>
    <row r="806" spans="1:16" ht="12.75" x14ac:dyDescent="0.35">
      <c r="A806" s="7">
        <v>42478.691099537042</v>
      </c>
      <c r="B806" s="8" t="str">
        <f>HYPERLINK("https://twitter.com/PW_InCub","@PW_InCub")</f>
        <v>@PW_InCub</v>
      </c>
      <c r="C806" s="9" t="s">
        <v>1746</v>
      </c>
      <c r="D806" s="9" t="s">
        <v>1747</v>
      </c>
      <c r="E806" s="10" t="str">
        <f>HYPERLINK("https://twitter.com/PW_InCub/status/722018131233935362","722018131233935362")</f>
        <v>722018131233935362</v>
      </c>
      <c r="F806" s="11" t="s">
        <v>39</v>
      </c>
      <c r="G806" s="11">
        <v>59</v>
      </c>
      <c r="H806" s="11">
        <v>38</v>
      </c>
      <c r="I806" s="11">
        <v>0</v>
      </c>
      <c r="J806" s="11">
        <v>2</v>
      </c>
      <c r="K806" s="11" t="s">
        <v>21</v>
      </c>
      <c r="L806" s="7">
        <v>42457.547430555554</v>
      </c>
      <c r="M806" s="12" t="s">
        <v>1748</v>
      </c>
      <c r="N806" s="12" t="s">
        <v>1749</v>
      </c>
      <c r="O806" s="10" t="str">
        <f>HYPERLINK("https://pbs.twimg.com/profile_images/714369025355202560/vNKUaCLA_normal.jpg","View")</f>
        <v>View</v>
      </c>
      <c r="P806" s="11"/>
    </row>
    <row r="807" spans="1:16" ht="12.75" x14ac:dyDescent="0.35">
      <c r="A807" s="7">
        <v>42478.703449074077</v>
      </c>
      <c r="B807" s="8" t="str">
        <f>HYPERLINK("https://twitter.com/MTuchelmann","@MTuchelmann")</f>
        <v>@MTuchelmann</v>
      </c>
      <c r="C807" s="9" t="s">
        <v>1050</v>
      </c>
      <c r="D807" s="9" t="s">
        <v>1595</v>
      </c>
      <c r="E807" s="10" t="str">
        <f>HYPERLINK("https://twitter.com/MTuchelmann/status/722022606111686656","722022606111686656")</f>
        <v>722022606111686656</v>
      </c>
      <c r="F807" s="11" t="s">
        <v>31</v>
      </c>
      <c r="G807" s="11">
        <v>13</v>
      </c>
      <c r="H807" s="11">
        <v>18</v>
      </c>
      <c r="I807" s="11">
        <v>3</v>
      </c>
      <c r="J807" s="11">
        <v>0</v>
      </c>
      <c r="K807" s="11" t="s">
        <v>21</v>
      </c>
      <c r="L807" s="7">
        <v>42402.582627314812</v>
      </c>
      <c r="M807" s="12"/>
      <c r="N807" s="12"/>
      <c r="O807" s="10" t="str">
        <f>HYPERLINK("https://pbs.twimg.com/profile_images/699591789964083200/ZinQaSi0_normal.jpg","View")</f>
        <v>View</v>
      </c>
      <c r="P807" s="11"/>
    </row>
    <row r="808" spans="1:16" ht="12.75" x14ac:dyDescent="0.35">
      <c r="A808" s="7">
        <v>42478.707303240742</v>
      </c>
      <c r="B808" s="8" t="str">
        <f>HYPERLINK("https://twitter.com/KubitzTassilo","@KubitzTassilo")</f>
        <v>@KubitzTassilo</v>
      </c>
      <c r="C808" s="9" t="s">
        <v>1750</v>
      </c>
      <c r="D808" s="9" t="s">
        <v>1728</v>
      </c>
      <c r="E808" s="10" t="str">
        <f>HYPERLINK("https://twitter.com/KubitzTassilo/status/722024002756210690","722024002756210690")</f>
        <v>722024002756210690</v>
      </c>
      <c r="F808" s="11" t="s">
        <v>20</v>
      </c>
      <c r="G808" s="11">
        <v>18</v>
      </c>
      <c r="H808" s="11">
        <v>16</v>
      </c>
      <c r="I808" s="11">
        <v>13</v>
      </c>
      <c r="J808" s="11">
        <v>0</v>
      </c>
      <c r="K808" s="11" t="s">
        <v>21</v>
      </c>
      <c r="L808" s="7">
        <v>42011.051342592589</v>
      </c>
      <c r="M808" s="12"/>
      <c r="N808" s="12"/>
      <c r="O808" s="10" t="str">
        <f>HYPERLINK("https://pbs.twimg.com/profile_images/552551275527938050/oM0Hdpyd_normal.jpeg","View")</f>
        <v>View</v>
      </c>
      <c r="P808" s="11"/>
    </row>
    <row r="809" spans="1:16" ht="12.75" x14ac:dyDescent="0.35">
      <c r="A809" s="7">
        <v>42478.707719907412</v>
      </c>
      <c r="B809" s="8" t="str">
        <f>HYPERLINK("https://twitter.com/MarioReinsch","@MarioReinsch")</f>
        <v>@MarioReinsch</v>
      </c>
      <c r="C809" s="9" t="s">
        <v>109</v>
      </c>
      <c r="D809" s="9" t="s">
        <v>1751</v>
      </c>
      <c r="E809" s="10" t="str">
        <f>HYPERLINK("https://twitter.com/MarioReinsch/status/722024152241217537","722024152241217537")</f>
        <v>722024152241217537</v>
      </c>
      <c r="F809" s="11" t="s">
        <v>25</v>
      </c>
      <c r="G809" s="11">
        <v>203</v>
      </c>
      <c r="H809" s="11">
        <v>455</v>
      </c>
      <c r="I809" s="11">
        <v>1</v>
      </c>
      <c r="J809" s="11">
        <v>1</v>
      </c>
      <c r="K809" s="11" t="s">
        <v>21</v>
      </c>
      <c r="L809" s="7">
        <v>41858.737534722226</v>
      </c>
      <c r="M809" s="12" t="s">
        <v>111</v>
      </c>
      <c r="N809" s="12" t="s">
        <v>112</v>
      </c>
      <c r="O809" s="10" t="str">
        <f>HYPERLINK("https://pbs.twimg.com/profile_images/560799766007664640/lsjqv0TW_normal.jpeg","View")</f>
        <v>View</v>
      </c>
      <c r="P809" s="11"/>
    </row>
    <row r="810" spans="1:16" ht="12.75" x14ac:dyDescent="0.35">
      <c r="A810" s="7">
        <v>42478.708449074074</v>
      </c>
      <c r="B810" s="8" t="str">
        <f>HYPERLINK("https://twitter.com/gpodagrosi","@gpodagrosi")</f>
        <v>@gpodagrosi</v>
      </c>
      <c r="C810" s="9" t="s">
        <v>346</v>
      </c>
      <c r="D810" s="9" t="s">
        <v>1752</v>
      </c>
      <c r="E810" s="10" t="str">
        <f>HYPERLINK("https://twitter.com/gpodagrosi/status/722024417027600384","722024417027600384")</f>
        <v>722024417027600384</v>
      </c>
      <c r="F810" s="11" t="s">
        <v>115</v>
      </c>
      <c r="G810" s="11">
        <v>2508</v>
      </c>
      <c r="H810" s="11">
        <v>1479</v>
      </c>
      <c r="I810" s="11">
        <v>1</v>
      </c>
      <c r="J810" s="11">
        <v>0</v>
      </c>
      <c r="K810" s="11" t="s">
        <v>21</v>
      </c>
      <c r="L810" s="7">
        <v>40649.951840277776</v>
      </c>
      <c r="M810" s="12" t="s">
        <v>347</v>
      </c>
      <c r="N810" s="12" t="s">
        <v>348</v>
      </c>
      <c r="O810" s="10" t="str">
        <f>HYPERLINK("https://pbs.twimg.com/profile_images/588981131996966912/55KBnYR7_normal.jpg","View")</f>
        <v>View</v>
      </c>
      <c r="P810" s="11"/>
    </row>
    <row r="811" spans="1:16" ht="12.75" x14ac:dyDescent="0.35">
      <c r="A811" s="7">
        <v>42478.712037037039</v>
      </c>
      <c r="B811" s="8" t="str">
        <f>HYPERLINK("https://twitter.com/prxagentur","@prxagentur")</f>
        <v>@prxagentur</v>
      </c>
      <c r="C811" s="9" t="s">
        <v>1753</v>
      </c>
      <c r="D811" s="9" t="s">
        <v>1754</v>
      </c>
      <c r="E811" s="10" t="str">
        <f>HYPERLINK("https://twitter.com/prxagentur/status/722025718155190272","722025718155190272")</f>
        <v>722025718155190272</v>
      </c>
      <c r="F811" s="11" t="s">
        <v>25</v>
      </c>
      <c r="G811" s="11">
        <v>196</v>
      </c>
      <c r="H811" s="11">
        <v>374</v>
      </c>
      <c r="I811" s="11">
        <v>2</v>
      </c>
      <c r="J811" s="11">
        <v>0</v>
      </c>
      <c r="K811" s="11" t="s">
        <v>21</v>
      </c>
      <c r="L811" s="7">
        <v>42128.001620370371</v>
      </c>
      <c r="M811" s="12"/>
      <c r="N811" s="12"/>
      <c r="O811" s="10" t="str">
        <f>HYPERLINK("https://pbs.twimg.com/profile_images/594934750122536960/nG4kmfDF_normal.jpg","View")</f>
        <v>View</v>
      </c>
      <c r="P811" s="11"/>
    </row>
    <row r="812" spans="1:16" ht="12.75" x14ac:dyDescent="0.35">
      <c r="A812" s="7">
        <v>42478.71565972222</v>
      </c>
      <c r="B812" s="8" t="str">
        <f>HYPERLINK("https://twitter.com/twassmann","@twassmann")</f>
        <v>@twassmann</v>
      </c>
      <c r="C812" s="9" t="s">
        <v>1755</v>
      </c>
      <c r="D812" s="9" t="s">
        <v>1756</v>
      </c>
      <c r="E812" s="10" t="str">
        <f>HYPERLINK("https://twitter.com/twassmann/status/722027032444608513","722027032444608513")</f>
        <v>722027032444608513</v>
      </c>
      <c r="F812" s="11" t="s">
        <v>31</v>
      </c>
      <c r="G812" s="11">
        <v>34</v>
      </c>
      <c r="H812" s="11">
        <v>98</v>
      </c>
      <c r="I812" s="11">
        <v>1</v>
      </c>
      <c r="J812" s="11">
        <v>0</v>
      </c>
      <c r="K812" s="11" t="s">
        <v>21</v>
      </c>
      <c r="L812" s="7">
        <v>40632.519548611112</v>
      </c>
      <c r="M812" s="12" t="s">
        <v>116</v>
      </c>
      <c r="N812" s="12" t="s">
        <v>1757</v>
      </c>
      <c r="O812" s="10" t="str">
        <f>HYPERLINK("https://pbs.twimg.com/profile_images/603542931752951808/8YqngE7j_normal.jpg","View")</f>
        <v>View</v>
      </c>
      <c r="P812" s="11"/>
    </row>
    <row r="813" spans="1:16" ht="12.75" x14ac:dyDescent="0.35">
      <c r="A813" s="7">
        <v>42478.716284722221</v>
      </c>
      <c r="B813" s="8" t="str">
        <f t="shared" ref="B813:B814" si="90">HYPERLINK("https://twitter.com/INDIZbot","@INDIZbot")</f>
        <v>@INDIZbot</v>
      </c>
      <c r="C813" s="9" t="s">
        <v>61</v>
      </c>
      <c r="D813" s="9" t="s">
        <v>1758</v>
      </c>
      <c r="E813" s="10" t="str">
        <f>HYPERLINK("https://twitter.com/INDIZbot/status/722027257494179840","722027257494179840")</f>
        <v>722027257494179840</v>
      </c>
      <c r="F813" s="11" t="s">
        <v>62</v>
      </c>
      <c r="G813" s="11">
        <v>1762</v>
      </c>
      <c r="H813" s="11">
        <v>481</v>
      </c>
      <c r="I813" s="11">
        <v>1</v>
      </c>
      <c r="J813" s="11">
        <v>0</v>
      </c>
      <c r="K813" s="11" t="s">
        <v>21</v>
      </c>
      <c r="L813" s="7">
        <v>42267.011921296296</v>
      </c>
      <c r="M813" s="12"/>
      <c r="N813" s="12" t="s">
        <v>63</v>
      </c>
      <c r="O813" s="10" t="str">
        <f t="shared" ref="O813:O814" si="91">HYPERLINK("https://pbs.twimg.com/profile_images/645716711723925506/t5G0qOS6_normal.jpg","View")</f>
        <v>View</v>
      </c>
      <c r="P813" s="11"/>
    </row>
    <row r="814" spans="1:16" ht="12.75" x14ac:dyDescent="0.35">
      <c r="A814" s="7">
        <v>42478.717152777783</v>
      </c>
      <c r="B814" s="8" t="str">
        <f t="shared" si="90"/>
        <v>@INDIZbot</v>
      </c>
      <c r="C814" s="9" t="s">
        <v>61</v>
      </c>
      <c r="D814" s="9" t="s">
        <v>1759</v>
      </c>
      <c r="E814" s="10" t="str">
        <f>HYPERLINK("https://twitter.com/INDIZbot/status/722027570636656641","722027570636656641")</f>
        <v>722027570636656641</v>
      </c>
      <c r="F814" s="11" t="s">
        <v>62</v>
      </c>
      <c r="G814" s="11">
        <v>1762</v>
      </c>
      <c r="H814" s="11">
        <v>481</v>
      </c>
      <c r="I814" s="11">
        <v>2</v>
      </c>
      <c r="J814" s="11">
        <v>0</v>
      </c>
      <c r="K814" s="11" t="s">
        <v>21</v>
      </c>
      <c r="L814" s="7">
        <v>42267.011921296296</v>
      </c>
      <c r="M814" s="12"/>
      <c r="N814" s="12" t="s">
        <v>63</v>
      </c>
      <c r="O814" s="10" t="str">
        <f t="shared" si="91"/>
        <v>View</v>
      </c>
      <c r="P814" s="11"/>
    </row>
    <row r="815" spans="1:16" ht="12.75" x14ac:dyDescent="0.35">
      <c r="A815" s="7">
        <v>42478.723437499997</v>
      </c>
      <c r="B815" s="8" t="str">
        <f>HYPERLINK("https://twitter.com/knauf_philipp","@knauf_philipp")</f>
        <v>@knauf_philipp</v>
      </c>
      <c r="C815" s="9" t="s">
        <v>1760</v>
      </c>
      <c r="D815" s="9" t="s">
        <v>1761</v>
      </c>
      <c r="E815" s="10" t="str">
        <f>HYPERLINK("https://twitter.com/knauf_philipp/status/722029849892798464","722029849892798464")</f>
        <v>722029849892798464</v>
      </c>
      <c r="F815" s="11" t="s">
        <v>25</v>
      </c>
      <c r="G815" s="11">
        <v>16</v>
      </c>
      <c r="H815" s="11">
        <v>45</v>
      </c>
      <c r="I815" s="11">
        <v>0</v>
      </c>
      <c r="J815" s="11">
        <v>1</v>
      </c>
      <c r="K815" s="11" t="s">
        <v>21</v>
      </c>
      <c r="L815" s="7">
        <v>42257.564039351855</v>
      </c>
      <c r="M815" s="12" t="s">
        <v>1762</v>
      </c>
      <c r="N815" s="12" t="s">
        <v>1763</v>
      </c>
      <c r="O815" s="10" t="str">
        <f>HYPERLINK("https://pbs.twimg.com/profile_images/709647002586497024/8PZ2WUY3_normal.jpg","View")</f>
        <v>View</v>
      </c>
      <c r="P815" s="11"/>
    </row>
    <row r="816" spans="1:16" ht="12.75" x14ac:dyDescent="0.35">
      <c r="A816" s="7">
        <v>42478.724351851852</v>
      </c>
      <c r="B816" s="8" t="str">
        <f>HYPERLINK("https://twitter.com/ZVEIorg","@ZVEIorg")</f>
        <v>@ZVEIorg</v>
      </c>
      <c r="C816" s="9" t="s">
        <v>390</v>
      </c>
      <c r="D816" s="9" t="s">
        <v>1764</v>
      </c>
      <c r="E816" s="10" t="str">
        <f>HYPERLINK("https://twitter.com/ZVEIorg/status/722030181993553920","722030181993553920")</f>
        <v>722030181993553920</v>
      </c>
      <c r="F816" s="11" t="s">
        <v>25</v>
      </c>
      <c r="G816" s="11">
        <v>2546</v>
      </c>
      <c r="H816" s="11">
        <v>581</v>
      </c>
      <c r="I816" s="11">
        <v>6</v>
      </c>
      <c r="J816" s="11">
        <v>10</v>
      </c>
      <c r="K816" s="11" t="s">
        <v>21</v>
      </c>
      <c r="L816" s="7">
        <v>41247.641875000001</v>
      </c>
      <c r="M816" s="12" t="s">
        <v>392</v>
      </c>
      <c r="N816" s="12" t="s">
        <v>393</v>
      </c>
      <c r="O816" s="10" t="str">
        <f>HYPERLINK("https://pbs.twimg.com/profile_images/479147477975588864/z94n3mRF_normal.jpeg","View")</f>
        <v>View</v>
      </c>
      <c r="P816" s="11"/>
    </row>
    <row r="817" spans="1:16" ht="12.75" x14ac:dyDescent="0.35">
      <c r="A817" s="7">
        <v>42478.72819444444</v>
      </c>
      <c r="B817" s="8" t="str">
        <f>HYPERLINK("https://twitter.com/WiegandsWarte","@WiegandsWarte")</f>
        <v>@WiegandsWarte</v>
      </c>
      <c r="C817" s="9" t="s">
        <v>1765</v>
      </c>
      <c r="D817" s="9" t="s">
        <v>1766</v>
      </c>
      <c r="E817" s="10" t="str">
        <f>HYPERLINK("https://twitter.com/WiegandsWarte/status/722031575467212800","722031575467212800")</f>
        <v>722031575467212800</v>
      </c>
      <c r="F817" s="11" t="s">
        <v>39</v>
      </c>
      <c r="G817" s="11">
        <v>98</v>
      </c>
      <c r="H817" s="11">
        <v>60</v>
      </c>
      <c r="I817" s="11">
        <v>0</v>
      </c>
      <c r="J817" s="11">
        <v>0</v>
      </c>
      <c r="K817" s="11" t="s">
        <v>21</v>
      </c>
      <c r="L817" s="7">
        <v>41379.672094907408</v>
      </c>
      <c r="M817" s="12"/>
      <c r="N817" s="12" t="s">
        <v>1767</v>
      </c>
      <c r="O817" s="10" t="str">
        <f>HYPERLINK("https://pbs.twimg.com/profile_images/722407231854141441/rQJmQtW__normal.jpg","View")</f>
        <v>View</v>
      </c>
      <c r="P817" s="11"/>
    </row>
    <row r="818" spans="1:16" ht="12.75" x14ac:dyDescent="0.35">
      <c r="A818" s="7">
        <v>42478.728634259256</v>
      </c>
      <c r="B818" s="8" t="str">
        <f>HYPERLINK("https://twitter.com/turenne1611","@turenne1611")</f>
        <v>@turenne1611</v>
      </c>
      <c r="C818" s="9" t="s">
        <v>1768</v>
      </c>
      <c r="D818" s="9" t="s">
        <v>1769</v>
      </c>
      <c r="E818" s="10" t="str">
        <f>HYPERLINK("https://twitter.com/turenne1611/status/722031733374337024","722031733374337024")</f>
        <v>722031733374337024</v>
      </c>
      <c r="F818" s="11" t="s">
        <v>25</v>
      </c>
      <c r="G818" s="11">
        <v>1031</v>
      </c>
      <c r="H818" s="11">
        <v>5001</v>
      </c>
      <c r="I818" s="11">
        <v>6</v>
      </c>
      <c r="J818" s="11">
        <v>0</v>
      </c>
      <c r="K818" s="11" t="s">
        <v>21</v>
      </c>
      <c r="L818" s="7">
        <v>41323.830127314817</v>
      </c>
      <c r="M818" s="12" t="s">
        <v>243</v>
      </c>
      <c r="N818" s="12" t="s">
        <v>1770</v>
      </c>
      <c r="O818" s="10" t="str">
        <f>HYPERLINK("https://pbs.twimg.com/profile_images/3272942436/c3c4e0a9a2b4666270086c4edabb99d2_normal.jpeg","View")</f>
        <v>View</v>
      </c>
      <c r="P818" s="11"/>
    </row>
    <row r="819" spans="1:16" ht="12.75" x14ac:dyDescent="0.35">
      <c r="A819" s="7">
        <v>42478.732361111106</v>
      </c>
      <c r="B819" s="8" t="str">
        <f>HYPERLINK("https://twitter.com/JulieJouvencel","@JulieJouvencel")</f>
        <v>@JulieJouvencel</v>
      </c>
      <c r="C819" s="9" t="s">
        <v>1771</v>
      </c>
      <c r="D819" s="9" t="s">
        <v>1115</v>
      </c>
      <c r="E819" s="10" t="str">
        <f>HYPERLINK("https://twitter.com/JulieJouvencel/status/722033084896583680","722033084896583680")</f>
        <v>722033084896583680</v>
      </c>
      <c r="F819" s="11" t="s">
        <v>25</v>
      </c>
      <c r="G819" s="11">
        <v>658</v>
      </c>
      <c r="H819" s="11">
        <v>966</v>
      </c>
      <c r="I819" s="11">
        <v>14</v>
      </c>
      <c r="J819" s="11">
        <v>0</v>
      </c>
      <c r="K819" s="11" t="s">
        <v>21</v>
      </c>
      <c r="L819" s="7">
        <v>39976.580729166664</v>
      </c>
      <c r="M819" s="12" t="s">
        <v>243</v>
      </c>
      <c r="N819" s="12" t="s">
        <v>1772</v>
      </c>
      <c r="O819" s="10" t="str">
        <f>HYPERLINK("https://pbs.twimg.com/profile_images/520123844770557952/fqnQCNeT_normal.jpeg","View")</f>
        <v>View</v>
      </c>
      <c r="P819" s="11"/>
    </row>
    <row r="820" spans="1:16" ht="12.75" x14ac:dyDescent="0.35">
      <c r="A820" s="7">
        <v>42478.742511574077</v>
      </c>
      <c r="B820" s="8" t="str">
        <f>HYPERLINK("https://twitter.com/Apandia","@Apandia")</f>
        <v>@Apandia</v>
      </c>
      <c r="C820" s="9" t="s">
        <v>245</v>
      </c>
      <c r="D820" s="9" t="s">
        <v>1773</v>
      </c>
      <c r="E820" s="10" t="str">
        <f>HYPERLINK("https://twitter.com/Apandia/status/722036762885910529","722036762885910529")</f>
        <v>722036762885910529</v>
      </c>
      <c r="F820" s="11" t="s">
        <v>115</v>
      </c>
      <c r="G820" s="11">
        <v>196</v>
      </c>
      <c r="H820" s="11">
        <v>384</v>
      </c>
      <c r="I820" s="11">
        <v>0</v>
      </c>
      <c r="J820" s="11">
        <v>0</v>
      </c>
      <c r="K820" s="11" t="s">
        <v>21</v>
      </c>
      <c r="L820" s="7">
        <v>39966.049884259257</v>
      </c>
      <c r="M820" s="12" t="s">
        <v>247</v>
      </c>
      <c r="N820" s="12" t="s">
        <v>248</v>
      </c>
      <c r="O820" s="10" t="str">
        <f>HYPERLINK("https://pbs.twimg.com/profile_images/685327213/Apandia_normal.gif","View")</f>
        <v>View</v>
      </c>
      <c r="P820" s="11"/>
    </row>
    <row r="821" spans="1:16" ht="12.75" x14ac:dyDescent="0.35">
      <c r="A821" s="7">
        <v>42478.745462962965</v>
      </c>
      <c r="B821" s="8" t="str">
        <f>HYPERLINK("https://twitter.com/prxpragma","@prxpragma")</f>
        <v>@prxpragma</v>
      </c>
      <c r="C821" s="9" t="s">
        <v>499</v>
      </c>
      <c r="D821" s="9" t="s">
        <v>1759</v>
      </c>
      <c r="E821" s="10" t="str">
        <f>HYPERLINK("https://twitter.com/prxpragma/status/722037830399053826","722037830399053826")</f>
        <v>722037830399053826</v>
      </c>
      <c r="F821" s="11" t="s">
        <v>25</v>
      </c>
      <c r="G821" s="11">
        <v>306</v>
      </c>
      <c r="H821" s="11">
        <v>562</v>
      </c>
      <c r="I821" s="11">
        <v>2</v>
      </c>
      <c r="J821" s="11">
        <v>0</v>
      </c>
      <c r="K821" s="11" t="s">
        <v>21</v>
      </c>
      <c r="L821" s="7">
        <v>42129.922442129631</v>
      </c>
      <c r="M821" s="12"/>
      <c r="N821" s="12"/>
      <c r="O821" s="10" t="str">
        <f>HYPERLINK("https://pbs.twimg.com/profile_images/595629691249233920/PnZxF5UO_normal.jpg","View")</f>
        <v>View</v>
      </c>
      <c r="P821" s="11"/>
    </row>
    <row r="822" spans="1:16" ht="12.75" x14ac:dyDescent="0.35">
      <c r="A822" s="7">
        <v>42478.753599537042</v>
      </c>
      <c r="B822" s="8" t="str">
        <f>HYPERLINK("https://twitter.com/MenoldBezler","@MenoldBezler")</f>
        <v>@MenoldBezler</v>
      </c>
      <c r="C822" s="9" t="s">
        <v>1774</v>
      </c>
      <c r="D822" s="9" t="s">
        <v>1775</v>
      </c>
      <c r="E822" s="10" t="str">
        <f>HYPERLINK("https://twitter.com/MenoldBezler/status/722040778634223617","722040778634223617")</f>
        <v>722040778634223617</v>
      </c>
      <c r="F822" s="11" t="s">
        <v>39</v>
      </c>
      <c r="G822" s="11">
        <v>34</v>
      </c>
      <c r="H822" s="11">
        <v>8</v>
      </c>
      <c r="I822" s="11">
        <v>1</v>
      </c>
      <c r="J822" s="11">
        <v>1</v>
      </c>
      <c r="K822" s="11" t="s">
        <v>21</v>
      </c>
      <c r="L822" s="7">
        <v>41878.746921296297</v>
      </c>
      <c r="M822" s="12" t="s">
        <v>157</v>
      </c>
      <c r="N822" s="12" t="s">
        <v>1776</v>
      </c>
      <c r="O822" s="10" t="str">
        <f>HYPERLINK("https://pbs.twimg.com/profile_images/504606990081863680/i2J4aVBb_normal.jpeg","View")</f>
        <v>View</v>
      </c>
      <c r="P822" s="11"/>
    </row>
    <row r="823" spans="1:16" ht="12.75" x14ac:dyDescent="0.35">
      <c r="A823" s="7">
        <v>42478.755277777775</v>
      </c>
      <c r="B823" s="8" t="str">
        <f>HYPERLINK("https://twitter.com/mediengerecht","@mediengerecht")</f>
        <v>@mediengerecht</v>
      </c>
      <c r="C823" s="9" t="s">
        <v>1777</v>
      </c>
      <c r="D823" s="9" t="s">
        <v>1778</v>
      </c>
      <c r="E823" s="10" t="str">
        <f>HYPERLINK("https://twitter.com/mediengerecht/status/722041387710066688","722041387710066688")</f>
        <v>722041387710066688</v>
      </c>
      <c r="F823" s="11" t="s">
        <v>268</v>
      </c>
      <c r="G823" s="11">
        <v>636</v>
      </c>
      <c r="H823" s="11">
        <v>461</v>
      </c>
      <c r="I823" s="11">
        <v>1</v>
      </c>
      <c r="J823" s="11">
        <v>0</v>
      </c>
      <c r="K823" s="11" t="s">
        <v>21</v>
      </c>
      <c r="L823" s="7">
        <v>39984.900891203702</v>
      </c>
      <c r="M823" s="12"/>
      <c r="N823" s="12" t="s">
        <v>1779</v>
      </c>
      <c r="O823" s="10" t="str">
        <f>HYPERLINK("https://pbs.twimg.com/profile_images/706494867204120576/F1LJZI55_normal.jpg","View")</f>
        <v>View</v>
      </c>
      <c r="P823" s="11"/>
    </row>
    <row r="824" spans="1:16" ht="12.75" x14ac:dyDescent="0.35">
      <c r="A824" s="7">
        <v>42478.759942129633</v>
      </c>
      <c r="B824" s="8" t="str">
        <f>HYPERLINK("https://twitter.com/H_IT_D","@H_IT_D")</f>
        <v>@H_IT_D</v>
      </c>
      <c r="C824" s="9" t="s">
        <v>159</v>
      </c>
      <c r="D824" s="9" t="s">
        <v>1780</v>
      </c>
      <c r="E824" s="10" t="str">
        <f>HYPERLINK("https://twitter.com/H_IT_D/status/722043076550590468","722043076550590468")</f>
        <v>722043076550590468</v>
      </c>
      <c r="F824" s="11" t="s">
        <v>161</v>
      </c>
      <c r="G824" s="11">
        <v>463</v>
      </c>
      <c r="H824" s="11">
        <v>467</v>
      </c>
      <c r="I824" s="11">
        <v>0</v>
      </c>
      <c r="J824" s="11">
        <v>0</v>
      </c>
      <c r="K824" s="11" t="s">
        <v>21</v>
      </c>
      <c r="L824" s="7">
        <v>40723.867673611108</v>
      </c>
      <c r="M824" s="12" t="s">
        <v>162</v>
      </c>
      <c r="N824" s="12" t="s">
        <v>163</v>
      </c>
      <c r="O824" s="10" t="str">
        <f>HYPERLINK("https://pbs.twimg.com/profile_images/662723326096224256/5V4KH9_O_normal.jpg","View")</f>
        <v>View</v>
      </c>
      <c r="P824" s="11"/>
    </row>
    <row r="825" spans="1:16" ht="12.75" x14ac:dyDescent="0.35">
      <c r="A825" s="7">
        <v>42478.760266203702</v>
      </c>
      <c r="B825" s="8" t="str">
        <f>HYPERLINK("https://twitter.com/JETZT_PRde","@JETZT_PRde")</f>
        <v>@JETZT_PRde</v>
      </c>
      <c r="C825" s="9" t="s">
        <v>1356</v>
      </c>
      <c r="D825" s="9" t="s">
        <v>1781</v>
      </c>
      <c r="E825" s="10" t="str">
        <f>HYPERLINK("https://twitter.com/JETZT_PRde/status/722043197451608064","722043197451608064")</f>
        <v>722043197451608064</v>
      </c>
      <c r="F825" s="11" t="s">
        <v>25</v>
      </c>
      <c r="G825" s="11">
        <v>1677</v>
      </c>
      <c r="H825" s="11">
        <v>748</v>
      </c>
      <c r="I825" s="11">
        <v>0</v>
      </c>
      <c r="J825" s="11">
        <v>0</v>
      </c>
      <c r="K825" s="11" t="s">
        <v>21</v>
      </c>
      <c r="L825" s="7">
        <v>40682.604201388887</v>
      </c>
      <c r="M825" s="12" t="s">
        <v>581</v>
      </c>
      <c r="N825" s="12" t="s">
        <v>1358</v>
      </c>
      <c r="O825" s="10" t="str">
        <f>HYPERLINK("https://pbs.twimg.com/profile_images/593011135428882432/BGMPkrwp_normal.jpg","View")</f>
        <v>View</v>
      </c>
      <c r="P825" s="11"/>
    </row>
    <row r="826" spans="1:16" ht="12.75" x14ac:dyDescent="0.35">
      <c r="A826" s="7">
        <v>42478.760509259257</v>
      </c>
      <c r="B826" s="8" t="str">
        <f>HYPERLINK("https://twitter.com/BoschPresse","@BoschPresse")</f>
        <v>@BoschPresse</v>
      </c>
      <c r="C826" s="9" t="s">
        <v>1782</v>
      </c>
      <c r="D826" s="9" t="s">
        <v>1783</v>
      </c>
      <c r="E826" s="10" t="str">
        <f>HYPERLINK("https://twitter.com/BoschPresse/status/722043282709213184","722043282709213184")</f>
        <v>722043282709213184</v>
      </c>
      <c r="F826" s="11" t="s">
        <v>39</v>
      </c>
      <c r="G826" s="11">
        <v>7560</v>
      </c>
      <c r="H826" s="11">
        <v>389</v>
      </c>
      <c r="I826" s="11">
        <v>1</v>
      </c>
      <c r="J826" s="11">
        <v>0</v>
      </c>
      <c r="K826" s="11" t="s">
        <v>21</v>
      </c>
      <c r="L826" s="7">
        <v>40991.629687499997</v>
      </c>
      <c r="M826" s="12" t="s">
        <v>162</v>
      </c>
      <c r="N826" s="12" t="s">
        <v>1784</v>
      </c>
      <c r="O826" s="10" t="str">
        <f>HYPERLINK("https://pbs.twimg.com/profile_images/2619086509/ld3z97zhhdbs2essw7s9_normal.jpeg","View")</f>
        <v>View</v>
      </c>
      <c r="P826" s="11"/>
    </row>
    <row r="827" spans="1:16" ht="12.75" x14ac:dyDescent="0.35">
      <c r="A827" s="7">
        <v>42478.765416666662</v>
      </c>
      <c r="B827" s="8" t="str">
        <f>HYPERLINK("https://twitter.com/sapcustdev","@sapcustdev")</f>
        <v>@sapcustdev</v>
      </c>
      <c r="C827" s="9" t="s">
        <v>1785</v>
      </c>
      <c r="D827" s="9" t="s">
        <v>1786</v>
      </c>
      <c r="E827" s="10" t="str">
        <f>HYPERLINK("https://twitter.com/sapcustdev/status/722045062801174528","722045062801174528")</f>
        <v>722045062801174528</v>
      </c>
      <c r="F827" s="11" t="s">
        <v>25</v>
      </c>
      <c r="G827" s="11">
        <v>571</v>
      </c>
      <c r="H827" s="11">
        <v>141</v>
      </c>
      <c r="I827" s="11">
        <v>1</v>
      </c>
      <c r="J827" s="11">
        <v>0</v>
      </c>
      <c r="K827" s="11" t="s">
        <v>21</v>
      </c>
      <c r="L827" s="7">
        <v>40298.954421296294</v>
      </c>
      <c r="M827" s="12" t="s">
        <v>1787</v>
      </c>
      <c r="N827" s="12" t="s">
        <v>1788</v>
      </c>
      <c r="O827" s="10" t="str">
        <f>HYPERLINK("https://pbs.twimg.com/profile_images/1908899611/SAP_TW_StandardLogo_022311_normal.jpg","View")</f>
        <v>View</v>
      </c>
      <c r="P827" s="11"/>
    </row>
    <row r="828" spans="1:16" ht="12.75" x14ac:dyDescent="0.35">
      <c r="A828" s="7">
        <v>42478.766493055555</v>
      </c>
      <c r="B828" s="8" t="str">
        <f>HYPERLINK("https://twitter.com/kion_group","@kion_group")</f>
        <v>@kion_group</v>
      </c>
      <c r="C828" s="9" t="s">
        <v>1789</v>
      </c>
      <c r="D828" s="9" t="s">
        <v>1790</v>
      </c>
      <c r="E828" s="10" t="str">
        <f>HYPERLINK("https://twitter.com/kion_group/status/722045453458665472","722045453458665472")</f>
        <v>722045453458665472</v>
      </c>
      <c r="F828" s="11" t="s">
        <v>25</v>
      </c>
      <c r="G828" s="11">
        <v>454</v>
      </c>
      <c r="H828" s="11">
        <v>282</v>
      </c>
      <c r="I828" s="11">
        <v>4</v>
      </c>
      <c r="J828" s="11">
        <v>0</v>
      </c>
      <c r="K828" s="11" t="s">
        <v>21</v>
      </c>
      <c r="L828" s="7">
        <v>41835.045775462961</v>
      </c>
      <c r="M828" s="12" t="s">
        <v>1791</v>
      </c>
      <c r="N828" s="12" t="s">
        <v>1792</v>
      </c>
      <c r="O828" s="10" t="str">
        <f>HYPERLINK("https://pbs.twimg.com/profile_images/502066779590385665/YElxw-eg_normal.jpeg","View")</f>
        <v>View</v>
      </c>
      <c r="P828" s="11"/>
    </row>
    <row r="829" spans="1:16" ht="12.75" x14ac:dyDescent="0.35">
      <c r="A829" s="7">
        <v>42478.768194444448</v>
      </c>
      <c r="B829" s="8" t="str">
        <f>HYPERLINK("https://twitter.com/MarianKoeller","@MarianKoeller")</f>
        <v>@MarianKoeller</v>
      </c>
      <c r="C829" s="9" t="s">
        <v>849</v>
      </c>
      <c r="D829" s="9" t="s">
        <v>1793</v>
      </c>
      <c r="E829" s="10" t="str">
        <f>HYPERLINK("https://twitter.com/MarianKoeller/status/722046070029750272","722046070029750272")</f>
        <v>722046070029750272</v>
      </c>
      <c r="F829" s="11" t="s">
        <v>25</v>
      </c>
      <c r="G829" s="11">
        <v>94</v>
      </c>
      <c r="H829" s="11">
        <v>115</v>
      </c>
      <c r="I829" s="11">
        <v>0</v>
      </c>
      <c r="J829" s="11">
        <v>0</v>
      </c>
      <c r="K829" s="11" t="s">
        <v>21</v>
      </c>
      <c r="L829" s="7">
        <v>42328.736504629633</v>
      </c>
      <c r="M829" s="12" t="s">
        <v>851</v>
      </c>
      <c r="N829" s="12" t="s">
        <v>852</v>
      </c>
      <c r="O829" s="10" t="str">
        <f>HYPERLINK("https://pbs.twimg.com/profile_images/701004613206433792/o4DJfA8-_normal.jpg","View")</f>
        <v>View</v>
      </c>
      <c r="P829" s="11"/>
    </row>
    <row r="830" spans="1:16" ht="12.75" x14ac:dyDescent="0.35">
      <c r="A830" s="7">
        <v>42478.771099537036</v>
      </c>
      <c r="B830" s="8" t="str">
        <f>HYPERLINK("https://twitter.com/verlinked","@verlinked")</f>
        <v>@verlinked</v>
      </c>
      <c r="C830" s="9" t="s">
        <v>263</v>
      </c>
      <c r="D830" s="9" t="s">
        <v>1794</v>
      </c>
      <c r="E830" s="10" t="str">
        <f>HYPERLINK("https://twitter.com/verlinked/status/722047122720165888","722047122720165888")</f>
        <v>722047122720165888</v>
      </c>
      <c r="F830" s="11" t="s">
        <v>115</v>
      </c>
      <c r="G830" s="11">
        <v>600</v>
      </c>
      <c r="H830" s="11">
        <v>1201</v>
      </c>
      <c r="I830" s="11">
        <v>0</v>
      </c>
      <c r="J830" s="11">
        <v>0</v>
      </c>
      <c r="K830" s="11" t="s">
        <v>21</v>
      </c>
      <c r="L830" s="7">
        <v>41463.077627314815</v>
      </c>
      <c r="M830" s="12" t="s">
        <v>265</v>
      </c>
      <c r="N830" s="12" t="s">
        <v>266</v>
      </c>
      <c r="O830" s="10" t="str">
        <f>HYPERLINK("https://pbs.twimg.com/profile_images/722385992343285760/ww8YLZ2q_normal.jpg","View")</f>
        <v>View</v>
      </c>
      <c r="P830" s="11"/>
    </row>
    <row r="831" spans="1:16" ht="12.75" x14ac:dyDescent="0.35">
      <c r="A831" s="7">
        <v>42478.775497685187</v>
      </c>
      <c r="B831" s="8" t="str">
        <f>HYPERLINK("https://twitter.com/swiertz","@swiertz")</f>
        <v>@swiertz</v>
      </c>
      <c r="C831" s="9" t="s">
        <v>1795</v>
      </c>
      <c r="D831" s="9" t="s">
        <v>1796</v>
      </c>
      <c r="E831" s="10" t="str">
        <f>HYPERLINK("https://twitter.com/swiertz/status/722048714500673536","722048714500673536")</f>
        <v>722048714500673536</v>
      </c>
      <c r="F831" s="11" t="s">
        <v>39</v>
      </c>
      <c r="G831" s="11">
        <v>734</v>
      </c>
      <c r="H831" s="11">
        <v>520</v>
      </c>
      <c r="I831" s="11">
        <v>0</v>
      </c>
      <c r="J831" s="11">
        <v>3</v>
      </c>
      <c r="K831" s="11" t="s">
        <v>21</v>
      </c>
      <c r="L831" s="7">
        <v>39698.082951388889</v>
      </c>
      <c r="M831" s="12" t="s">
        <v>1797</v>
      </c>
      <c r="N831" s="12" t="s">
        <v>1798</v>
      </c>
      <c r="O831" s="10" t="str">
        <f>HYPERLINK("https://pbs.twimg.com/profile_images/590220438992658432/PXX1Ovxe_normal.jpg","View")</f>
        <v>View</v>
      </c>
      <c r="P831" s="11"/>
    </row>
    <row r="832" spans="1:16" ht="12.75" x14ac:dyDescent="0.35">
      <c r="A832" s="7">
        <v>42478.776759259257</v>
      </c>
      <c r="B832" s="8" t="str">
        <f>HYPERLINK("https://twitter.com/Fraunhofer_IPA","@Fraunhofer_IPA")</f>
        <v>@Fraunhofer_IPA</v>
      </c>
      <c r="C832" s="9" t="s">
        <v>1799</v>
      </c>
      <c r="D832" s="9" t="s">
        <v>1800</v>
      </c>
      <c r="E832" s="10" t="str">
        <f>HYPERLINK("https://twitter.com/Fraunhofer_IPA/status/722049171038019585","722049171038019585")</f>
        <v>722049171038019585</v>
      </c>
      <c r="F832" s="11" t="s">
        <v>25</v>
      </c>
      <c r="G832" s="11">
        <v>1698</v>
      </c>
      <c r="H832" s="11">
        <v>99</v>
      </c>
      <c r="I832" s="11">
        <v>11</v>
      </c>
      <c r="J832" s="11">
        <v>3</v>
      </c>
      <c r="K832" s="11" t="s">
        <v>21</v>
      </c>
      <c r="L832" s="7">
        <v>40366.710729166669</v>
      </c>
      <c r="M832" s="12" t="s">
        <v>157</v>
      </c>
      <c r="N832" s="12" t="s">
        <v>1801</v>
      </c>
      <c r="O832" s="10" t="str">
        <f>HYPERLINK("https://pbs.twimg.com/profile_images/423438208873922560/3cq2Jpt-_normal.jpeg","View")</f>
        <v>View</v>
      </c>
      <c r="P832" s="11"/>
    </row>
    <row r="833" spans="1:16" ht="12.75" x14ac:dyDescent="0.35">
      <c r="A833" s="7">
        <v>42478.777326388888</v>
      </c>
      <c r="B833" s="8" t="str">
        <f>HYPERLINK("https://twitter.com/MTaege","@MTaege")</f>
        <v>@MTaege</v>
      </c>
      <c r="C833" s="9" t="s">
        <v>1802</v>
      </c>
      <c r="D833" s="9" t="s">
        <v>1803</v>
      </c>
      <c r="E833" s="10" t="str">
        <f>HYPERLINK("https://twitter.com/MTaege/status/722049376680570880","722049376680570880")</f>
        <v>722049376680570880</v>
      </c>
      <c r="F833" s="11" t="s">
        <v>20</v>
      </c>
      <c r="G833" s="11">
        <v>2447</v>
      </c>
      <c r="H833" s="11">
        <v>2825</v>
      </c>
      <c r="I833" s="11">
        <v>11</v>
      </c>
      <c r="J833" s="11">
        <v>0</v>
      </c>
      <c r="K833" s="11" t="s">
        <v>21</v>
      </c>
      <c r="L833" s="7">
        <v>40656.112870370373</v>
      </c>
      <c r="M833" s="12" t="s">
        <v>1804</v>
      </c>
      <c r="N833" s="12" t="s">
        <v>1805</v>
      </c>
      <c r="O833" s="10" t="str">
        <f>HYPERLINK("https://pbs.twimg.com/profile_images/3521856347/8c75ce2126a506515c396c10a62175a6_normal.jpeg","View")</f>
        <v>View</v>
      </c>
      <c r="P833" s="11"/>
    </row>
    <row r="834" spans="1:16" ht="12.75" x14ac:dyDescent="0.35">
      <c r="A834" s="7">
        <v>42478.778495370367</v>
      </c>
      <c r="B834" s="8" t="str">
        <f>HYPERLINK("https://twitter.com/cccsoftwaregmbh","@cccsoftwaregmbh")</f>
        <v>@cccsoftwaregmbh</v>
      </c>
      <c r="C834" s="9" t="s">
        <v>1806</v>
      </c>
      <c r="D834" s="9" t="s">
        <v>1807</v>
      </c>
      <c r="E834" s="10" t="str">
        <f>HYPERLINK("https://twitter.com/cccsoftwaregmbh/status/722049801190252544","722049801190252544")</f>
        <v>722049801190252544</v>
      </c>
      <c r="F834" s="10" t="s">
        <v>1808</v>
      </c>
      <c r="G834" s="11">
        <v>74</v>
      </c>
      <c r="H834" s="11">
        <v>153</v>
      </c>
      <c r="I834" s="11">
        <v>2</v>
      </c>
      <c r="J834" s="11">
        <v>2</v>
      </c>
      <c r="K834" s="11" t="s">
        <v>21</v>
      </c>
      <c r="L834" s="7">
        <v>42317.757268518515</v>
      </c>
      <c r="M834" s="12" t="s">
        <v>1809</v>
      </c>
      <c r="N834" s="12" t="s">
        <v>1810</v>
      </c>
      <c r="O834" s="10" t="str">
        <f>HYPERLINK("https://pbs.twimg.com/profile_images/664044971788509188/KRTH7qBq_normal.jpg","View")</f>
        <v>View</v>
      </c>
      <c r="P834" s="11"/>
    </row>
    <row r="835" spans="1:16" ht="12.75" x14ac:dyDescent="0.35">
      <c r="A835" s="7">
        <v>42478.780300925922</v>
      </c>
      <c r="B835" s="8" t="str">
        <f>HYPERLINK("https://twitter.com/Red_Schmidt","@Red_Schmidt")</f>
        <v>@Red_Schmidt</v>
      </c>
      <c r="C835" s="9" t="s">
        <v>1811</v>
      </c>
      <c r="D835" s="9" t="s">
        <v>1812</v>
      </c>
      <c r="E835" s="10" t="str">
        <f>HYPERLINK("https://twitter.com/Red_Schmidt/status/722050454503428096","722050454503428096")</f>
        <v>722050454503428096</v>
      </c>
      <c r="F835" s="11" t="s">
        <v>25</v>
      </c>
      <c r="G835" s="11">
        <v>10</v>
      </c>
      <c r="H835" s="11">
        <v>55</v>
      </c>
      <c r="I835" s="11">
        <v>0</v>
      </c>
      <c r="J835" s="11">
        <v>0</v>
      </c>
      <c r="K835" s="11" t="s">
        <v>21</v>
      </c>
      <c r="L835" s="7">
        <v>42461.630833333329</v>
      </c>
      <c r="M835" s="12" t="s">
        <v>1813</v>
      </c>
      <c r="N835" s="12" t="s">
        <v>1814</v>
      </c>
      <c r="O835" s="10" t="str">
        <f>HYPERLINK("https://pbs.twimg.com/profile_images/719496030753058818/CmYAO08k_normal.jpg","View")</f>
        <v>View</v>
      </c>
      <c r="P835" s="11"/>
    </row>
    <row r="836" spans="1:16" ht="12.75" x14ac:dyDescent="0.35">
      <c r="A836" s="7">
        <v>42478.781064814815</v>
      </c>
      <c r="B836" s="8" t="str">
        <f t="shared" ref="B836:B837" si="92">HYPERLINK("https://twitter.com/matthiaslechner","@matthiaslechner")</f>
        <v>@matthiaslechner</v>
      </c>
      <c r="C836" s="9" t="s">
        <v>1710</v>
      </c>
      <c r="D836" s="9" t="s">
        <v>1815</v>
      </c>
      <c r="E836" s="10" t="str">
        <f>HYPERLINK("https://twitter.com/matthiaslechner/status/722050731893661698","722050731893661698")</f>
        <v>722050731893661698</v>
      </c>
      <c r="F836" s="11" t="s">
        <v>1816</v>
      </c>
      <c r="G836" s="11">
        <v>1309</v>
      </c>
      <c r="H836" s="11">
        <v>2009</v>
      </c>
      <c r="I836" s="11">
        <v>1</v>
      </c>
      <c r="J836" s="11">
        <v>1</v>
      </c>
      <c r="K836" s="11" t="s">
        <v>21</v>
      </c>
      <c r="L836" s="7">
        <v>39308.689016203702</v>
      </c>
      <c r="M836" s="12" t="s">
        <v>1713</v>
      </c>
      <c r="N836" s="12" t="s">
        <v>1714</v>
      </c>
      <c r="O836" s="10" t="str">
        <f t="shared" ref="O836:O837" si="93">HYPERLINK("https://pbs.twimg.com/profile_images/1433733321/35984_458684286354_752236354_6842403_4519162_n-1_normal.jpg","View")</f>
        <v>View</v>
      </c>
      <c r="P836" s="11"/>
    </row>
    <row r="837" spans="1:16" ht="12.75" x14ac:dyDescent="0.35">
      <c r="A837" s="7">
        <v>42478.781469907408</v>
      </c>
      <c r="B837" s="8" t="str">
        <f t="shared" si="92"/>
        <v>@matthiaslechner</v>
      </c>
      <c r="C837" s="9" t="s">
        <v>1710</v>
      </c>
      <c r="D837" s="9" t="s">
        <v>1817</v>
      </c>
      <c r="E837" s="10" t="str">
        <f>HYPERLINK("https://twitter.com/matthiaslechner/status/722050878295793664","722050878295793664")</f>
        <v>722050878295793664</v>
      </c>
      <c r="F837" s="11" t="s">
        <v>1712</v>
      </c>
      <c r="G837" s="11">
        <v>1309</v>
      </c>
      <c r="H837" s="11">
        <v>2009</v>
      </c>
      <c r="I837" s="11">
        <v>0</v>
      </c>
      <c r="J837" s="11">
        <v>0</v>
      </c>
      <c r="K837" s="11" t="s">
        <v>21</v>
      </c>
      <c r="L837" s="7">
        <v>39308.689016203702</v>
      </c>
      <c r="M837" s="12" t="s">
        <v>1713</v>
      </c>
      <c r="N837" s="12" t="s">
        <v>1714</v>
      </c>
      <c r="O837" s="10" t="str">
        <f t="shared" si="93"/>
        <v>View</v>
      </c>
      <c r="P837" s="11"/>
    </row>
    <row r="838" spans="1:16" ht="12.75" x14ac:dyDescent="0.35">
      <c r="A838" s="7">
        <v>42478.782048611116</v>
      </c>
      <c r="B838" s="8" t="str">
        <f>HYPERLINK("https://twitter.com/TechnoMarketOV","@TechnoMarketOV")</f>
        <v>@TechnoMarketOV</v>
      </c>
      <c r="C838" s="9" t="s">
        <v>1818</v>
      </c>
      <c r="D838" s="9" t="s">
        <v>1819</v>
      </c>
      <c r="E838" s="10" t="str">
        <f>HYPERLINK("https://twitter.com/TechnoMarketOV/status/722051091379200000","722051091379200000")</f>
        <v>722051091379200000</v>
      </c>
      <c r="F838" s="10" t="s">
        <v>1820</v>
      </c>
      <c r="G838" s="11">
        <v>308</v>
      </c>
      <c r="H838" s="11">
        <v>380</v>
      </c>
      <c r="I838" s="11">
        <v>0</v>
      </c>
      <c r="J838" s="11">
        <v>1</v>
      </c>
      <c r="K838" s="11" t="s">
        <v>21</v>
      </c>
      <c r="L838" s="7">
        <v>41752.886631944442</v>
      </c>
      <c r="M838" s="12" t="s">
        <v>88</v>
      </c>
      <c r="N838" s="12" t="s">
        <v>1821</v>
      </c>
      <c r="O838" s="10" t="str">
        <f>HYPERLINK("https://pbs.twimg.com/profile_images/693000161459617792/4CZXbOGo_normal.jpg","View")</f>
        <v>View</v>
      </c>
      <c r="P838" s="11"/>
    </row>
    <row r="839" spans="1:16" ht="12.75" x14ac:dyDescent="0.35">
      <c r="A839" s="7">
        <v>42478.786724537036</v>
      </c>
      <c r="B839" s="8" t="str">
        <f>HYPERLINK("https://twitter.com/PapaVise","@PapaVise")</f>
        <v>@PapaVise</v>
      </c>
      <c r="C839" s="9" t="s">
        <v>1822</v>
      </c>
      <c r="D839" s="9" t="s">
        <v>1823</v>
      </c>
      <c r="E839" s="10" t="str">
        <f>HYPERLINK("https://twitter.com/PapaVise/status/722052782593859584","722052782593859584")</f>
        <v>722052782593859584</v>
      </c>
      <c r="F839" s="11" t="s">
        <v>25</v>
      </c>
      <c r="G839" s="11">
        <v>1146</v>
      </c>
      <c r="H839" s="11">
        <v>1183</v>
      </c>
      <c r="I839" s="11">
        <v>0</v>
      </c>
      <c r="J839" s="11">
        <v>1</v>
      </c>
      <c r="K839" s="11" t="s">
        <v>21</v>
      </c>
      <c r="L839" s="7">
        <v>41310.781030092592</v>
      </c>
      <c r="M839" s="12"/>
      <c r="N839" s="12" t="s">
        <v>1824</v>
      </c>
      <c r="O839" s="10" t="str">
        <f>HYPERLINK("https://pbs.twimg.com/profile_images/561137710287425536/htHMwCBr_normal.png","View")</f>
        <v>View</v>
      </c>
      <c r="P839" s="11"/>
    </row>
    <row r="840" spans="1:16" ht="12.75" x14ac:dyDescent="0.35">
      <c r="A840" s="7">
        <v>42478.787534722222</v>
      </c>
      <c r="B840" s="8" t="str">
        <f>HYPERLINK("https://twitter.com/NetClubj1","@NetClubj1")</f>
        <v>@NetClubj1</v>
      </c>
      <c r="C840" s="9" t="s">
        <v>1825</v>
      </c>
      <c r="D840" s="9" t="s">
        <v>1826</v>
      </c>
      <c r="E840" s="10" t="str">
        <f>HYPERLINK("https://twitter.com/NetClubj1/status/722053075930845184","722053075930845184")</f>
        <v>722053075930845184</v>
      </c>
      <c r="F840" s="11" t="s">
        <v>25</v>
      </c>
      <c r="G840" s="11">
        <v>762</v>
      </c>
      <c r="H840" s="11">
        <v>5001</v>
      </c>
      <c r="I840" s="11">
        <v>1</v>
      </c>
      <c r="J840" s="11">
        <v>0</v>
      </c>
      <c r="K840" s="11" t="s">
        <v>21</v>
      </c>
      <c r="L840" s="7">
        <v>41307.149317129632</v>
      </c>
      <c r="M840" s="12"/>
      <c r="N840" s="12" t="s">
        <v>1827</v>
      </c>
      <c r="O840" s="10" t="str">
        <f>HYPERLINK("https://pbs.twimg.com/profile_images/651849467046588418/Vn4rwmih_normal.png","View")</f>
        <v>View</v>
      </c>
      <c r="P840" s="11"/>
    </row>
    <row r="841" spans="1:16" ht="12.75" x14ac:dyDescent="0.35">
      <c r="A841" s="7">
        <v>42478.788194444445</v>
      </c>
      <c r="B841" s="8" t="str">
        <f>HYPERLINK("https://twitter.com/Konecranes_DE","@Konecranes_DE")</f>
        <v>@Konecranes_DE</v>
      </c>
      <c r="C841" s="9" t="s">
        <v>1828</v>
      </c>
      <c r="D841" s="9" t="s">
        <v>1829</v>
      </c>
      <c r="E841" s="10" t="str">
        <f>HYPERLINK("https://twitter.com/Konecranes_DE/status/722053318810431488","722053318810431488")</f>
        <v>722053318810431488</v>
      </c>
      <c r="F841" s="11" t="s">
        <v>1830</v>
      </c>
      <c r="G841" s="11">
        <v>894</v>
      </c>
      <c r="H841" s="11">
        <v>228</v>
      </c>
      <c r="I841" s="11">
        <v>2</v>
      </c>
      <c r="J841" s="11">
        <v>4</v>
      </c>
      <c r="K841" s="11" t="s">
        <v>21</v>
      </c>
      <c r="L841" s="7">
        <v>39882.804074074076</v>
      </c>
      <c r="M841" s="12" t="s">
        <v>121</v>
      </c>
      <c r="N841" s="12" t="s">
        <v>1831</v>
      </c>
      <c r="O841" s="10" t="str">
        <f>HYPERLINK("https://pbs.twimg.com/profile_images/438307550828560384/ayCoNB0D_normal.jpeg","View")</f>
        <v>View</v>
      </c>
      <c r="P841" s="11"/>
    </row>
    <row r="842" spans="1:16" ht="12.75" x14ac:dyDescent="0.35">
      <c r="A842" s="7">
        <v>42478.790335648147</v>
      </c>
      <c r="B842" s="8" t="str">
        <f>HYPERLINK("https://twitter.com/derPaddy","@derPaddy")</f>
        <v>@derPaddy</v>
      </c>
      <c r="C842" s="9" t="s">
        <v>1832</v>
      </c>
      <c r="D842" s="9" t="s">
        <v>1803</v>
      </c>
      <c r="E842" s="10" t="str">
        <f>HYPERLINK("https://twitter.com/derPaddy/status/722054093938810880","722054093938810880")</f>
        <v>722054093938810880</v>
      </c>
      <c r="F842" s="11" t="s">
        <v>25</v>
      </c>
      <c r="G842" s="11">
        <v>518</v>
      </c>
      <c r="H842" s="11">
        <v>77</v>
      </c>
      <c r="I842" s="11">
        <v>11</v>
      </c>
      <c r="J842" s="11">
        <v>0</v>
      </c>
      <c r="K842" s="11" t="s">
        <v>21</v>
      </c>
      <c r="L842" s="7">
        <v>39874.76053240741</v>
      </c>
      <c r="M842" s="12" t="s">
        <v>1833</v>
      </c>
      <c r="N842" s="12" t="s">
        <v>1834</v>
      </c>
      <c r="O842" s="10" t="str">
        <f>HYPERLINK("https://pbs.twimg.com/profile_images/692460254941024256/pFx1D2YZ_normal.png","View")</f>
        <v>View</v>
      </c>
      <c r="P842" s="11"/>
    </row>
    <row r="843" spans="1:16" ht="12.75" x14ac:dyDescent="0.35">
      <c r="A843" s="7">
        <v>42478.790798611109</v>
      </c>
      <c r="B843" s="8" t="str">
        <f>HYPERLINK("https://twitter.com/Yannick_IoT","@Yannick_IoT")</f>
        <v>@Yannick_IoT</v>
      </c>
      <c r="C843" s="9" t="s">
        <v>1835</v>
      </c>
      <c r="D843" s="9" t="s">
        <v>515</v>
      </c>
      <c r="E843" s="10" t="str">
        <f>HYPERLINK("https://twitter.com/Yannick_IoT/status/722054259928408064","722054259928408064")</f>
        <v>722054259928408064</v>
      </c>
      <c r="F843" s="11" t="s">
        <v>25</v>
      </c>
      <c r="G843" s="11">
        <v>58</v>
      </c>
      <c r="H843" s="11">
        <v>63</v>
      </c>
      <c r="I843" s="11">
        <v>11</v>
      </c>
      <c r="J843" s="11">
        <v>0</v>
      </c>
      <c r="K843" s="11" t="s">
        <v>21</v>
      </c>
      <c r="L843" s="7">
        <v>42248.77207175926</v>
      </c>
      <c r="M843" s="12"/>
      <c r="N843" s="12"/>
      <c r="O843" s="10" t="str">
        <f>HYPERLINK("https://pbs.twimg.com/profile_images/717344671668772864/nFw9mplH_normal.jpg","View")</f>
        <v>View</v>
      </c>
      <c r="P843" s="11"/>
    </row>
    <row r="844" spans="1:16" ht="12.75" x14ac:dyDescent="0.35">
      <c r="A844" s="7">
        <v>42478.795763888891</v>
      </c>
      <c r="B844" s="8" t="str">
        <f>HYPERLINK("https://twitter.com/pinetco","@pinetco")</f>
        <v>@pinetco</v>
      </c>
      <c r="C844" s="9" t="s">
        <v>1836</v>
      </c>
      <c r="D844" s="9" t="s">
        <v>1837</v>
      </c>
      <c r="E844" s="10" t="str">
        <f>HYPERLINK("https://twitter.com/pinetco/status/722056059423211520","722056059423211520")</f>
        <v>722056059423211520</v>
      </c>
      <c r="F844" s="11" t="s">
        <v>508</v>
      </c>
      <c r="G844" s="11">
        <v>53</v>
      </c>
      <c r="H844" s="11">
        <v>41</v>
      </c>
      <c r="I844" s="11">
        <v>2</v>
      </c>
      <c r="J844" s="11">
        <v>0</v>
      </c>
      <c r="K844" s="11" t="s">
        <v>21</v>
      </c>
      <c r="L844" s="7">
        <v>40839.952581018515</v>
      </c>
      <c r="M844" s="12" t="s">
        <v>1838</v>
      </c>
      <c r="N844" s="12" t="s">
        <v>1839</v>
      </c>
      <c r="O844" s="10" t="str">
        <f>HYPERLINK("https://pbs.twimg.com/profile_images/711927354118041601/TcQdN_kN_normal.jpg","View")</f>
        <v>View</v>
      </c>
      <c r="P844" s="11"/>
    </row>
    <row r="845" spans="1:16" ht="12.75" x14ac:dyDescent="0.35">
      <c r="A845" s="7">
        <v>42478.796157407407</v>
      </c>
      <c r="B845" s="8" t="str">
        <f>HYPERLINK("https://twitter.com/KaiKeppner","@KaiKeppner")</f>
        <v>@KaiKeppner</v>
      </c>
      <c r="C845" s="9" t="s">
        <v>1840</v>
      </c>
      <c r="D845" s="9" t="s">
        <v>1841</v>
      </c>
      <c r="E845" s="10" t="str">
        <f>HYPERLINK("https://twitter.com/KaiKeppner/status/722056200645439488","722056200645439488")</f>
        <v>722056200645439488</v>
      </c>
      <c r="F845" s="11" t="s">
        <v>25</v>
      </c>
      <c r="G845" s="11">
        <v>1011</v>
      </c>
      <c r="H845" s="11">
        <v>1268</v>
      </c>
      <c r="I845" s="11">
        <v>0</v>
      </c>
      <c r="J845" s="11">
        <v>0</v>
      </c>
      <c r="K845" s="11" t="s">
        <v>21</v>
      </c>
      <c r="L845" s="7">
        <v>41590.701886574076</v>
      </c>
      <c r="M845" s="12" t="s">
        <v>184</v>
      </c>
      <c r="N845" s="12" t="s">
        <v>1842</v>
      </c>
      <c r="O845" s="10" t="str">
        <f>HYPERLINK("https://pbs.twimg.com/profile_images/378800000730169702/55f82a9488f9b8b9ad44de17e41286d4_normal.jpeg","View")</f>
        <v>View</v>
      </c>
      <c r="P845" s="11"/>
    </row>
    <row r="846" spans="1:16" ht="12.75" x14ac:dyDescent="0.35">
      <c r="A846" s="7">
        <v>42478.801134259258</v>
      </c>
      <c r="B846" s="8" t="str">
        <f>HYPERLINK("https://twitter.com/genuanews","@genuanews")</f>
        <v>@genuanews</v>
      </c>
      <c r="C846" s="9" t="s">
        <v>1843</v>
      </c>
      <c r="D846" s="9" t="s">
        <v>1844</v>
      </c>
      <c r="E846" s="10" t="str">
        <f>HYPERLINK("https://twitter.com/genuanews/status/722058005211181056","722058005211181056")</f>
        <v>722058005211181056</v>
      </c>
      <c r="F846" s="11" t="s">
        <v>25</v>
      </c>
      <c r="G846" s="11">
        <v>425</v>
      </c>
      <c r="H846" s="11">
        <v>741</v>
      </c>
      <c r="I846" s="11">
        <v>0</v>
      </c>
      <c r="J846" s="11">
        <v>0</v>
      </c>
      <c r="K846" s="11" t="s">
        <v>21</v>
      </c>
      <c r="L846" s="7">
        <v>40732.798425925925</v>
      </c>
      <c r="M846" s="12" t="s">
        <v>92</v>
      </c>
      <c r="N846" s="12" t="s">
        <v>1845</v>
      </c>
      <c r="O846" s="10" t="str">
        <f>HYPERLINK("https://pbs.twimg.com/profile_images/2576159086/x3og0hhz2d60d9embrsg_normal.jpeg","View")</f>
        <v>View</v>
      </c>
      <c r="P846" s="11"/>
    </row>
    <row r="847" spans="1:16" ht="12.75" x14ac:dyDescent="0.35">
      <c r="A847" s="7">
        <v>42478.802256944444</v>
      </c>
      <c r="B847" s="8" t="str">
        <f t="shared" ref="B847:B848" si="94">HYPERLINK("https://twitter.com/BoschPresse","@BoschPresse")</f>
        <v>@BoschPresse</v>
      </c>
      <c r="C847" s="9" t="s">
        <v>1782</v>
      </c>
      <c r="D847" s="9" t="s">
        <v>1846</v>
      </c>
      <c r="E847" s="10" t="str">
        <f>HYPERLINK("https://twitter.com/BoschPresse/status/722058413061115905","722058413061115905")</f>
        <v>722058413061115905</v>
      </c>
      <c r="F847" s="11" t="s">
        <v>39</v>
      </c>
      <c r="G847" s="11">
        <v>7560</v>
      </c>
      <c r="H847" s="11">
        <v>389</v>
      </c>
      <c r="I847" s="11">
        <v>0</v>
      </c>
      <c r="J847" s="11">
        <v>1</v>
      </c>
      <c r="K847" s="11" t="s">
        <v>21</v>
      </c>
      <c r="L847" s="7">
        <v>40991.629687499997</v>
      </c>
      <c r="M847" s="12" t="s">
        <v>162</v>
      </c>
      <c r="N847" s="12" t="s">
        <v>1784</v>
      </c>
      <c r="O847" s="10" t="str">
        <f t="shared" ref="O847:O848" si="95">HYPERLINK("https://pbs.twimg.com/profile_images/2619086509/ld3z97zhhdbs2essw7s9_normal.jpeg","View")</f>
        <v>View</v>
      </c>
      <c r="P847" s="11"/>
    </row>
    <row r="848" spans="1:16" ht="12.75" x14ac:dyDescent="0.35">
      <c r="A848" s="7">
        <v>42478.802615740744</v>
      </c>
      <c r="B848" s="8" t="str">
        <f t="shared" si="94"/>
        <v>@BoschPresse</v>
      </c>
      <c r="C848" s="9" t="s">
        <v>1782</v>
      </c>
      <c r="D848" s="9" t="s">
        <v>1847</v>
      </c>
      <c r="E848" s="10" t="str">
        <f>HYPERLINK("https://twitter.com/BoschPresse/status/722058544158261249","722058544158261249")</f>
        <v>722058544158261249</v>
      </c>
      <c r="F848" s="11" t="s">
        <v>39</v>
      </c>
      <c r="G848" s="11">
        <v>7560</v>
      </c>
      <c r="H848" s="11">
        <v>389</v>
      </c>
      <c r="I848" s="11">
        <v>0</v>
      </c>
      <c r="J848" s="11">
        <v>0</v>
      </c>
      <c r="K848" s="11" t="s">
        <v>21</v>
      </c>
      <c r="L848" s="7">
        <v>40991.629687499997</v>
      </c>
      <c r="M848" s="12" t="s">
        <v>162</v>
      </c>
      <c r="N848" s="12" t="s">
        <v>1784</v>
      </c>
      <c r="O848" s="10" t="str">
        <f t="shared" si="95"/>
        <v>View</v>
      </c>
      <c r="P848" s="11"/>
    </row>
    <row r="849" spans="1:16" ht="12.75" x14ac:dyDescent="0.35">
      <c r="A849" s="7">
        <v>42478.803298611107</v>
      </c>
      <c r="B849" s="8" t="str">
        <f>HYPERLINK("https://twitter.com/WAGOKontakttech","@WAGOKontakttech")</f>
        <v>@WAGOKontakttech</v>
      </c>
      <c r="C849" s="9" t="s">
        <v>1848</v>
      </c>
      <c r="D849" s="9" t="s">
        <v>1849</v>
      </c>
      <c r="E849" s="10" t="str">
        <f>HYPERLINK("https://twitter.com/WAGOKontakttech/status/722058789663465472","722058789663465472")</f>
        <v>722058789663465472</v>
      </c>
      <c r="F849" s="11" t="s">
        <v>25</v>
      </c>
      <c r="G849" s="11">
        <v>697</v>
      </c>
      <c r="H849" s="11">
        <v>104</v>
      </c>
      <c r="I849" s="11">
        <v>1</v>
      </c>
      <c r="J849" s="11">
        <v>0</v>
      </c>
      <c r="K849" s="11" t="s">
        <v>21</v>
      </c>
      <c r="L849" s="7">
        <v>41099.65179398148</v>
      </c>
      <c r="M849" s="12" t="s">
        <v>1850</v>
      </c>
      <c r="N849" s="12" t="s">
        <v>1851</v>
      </c>
      <c r="O849" s="10" t="str">
        <f>HYPERLINK("https://pbs.twimg.com/profile_images/378800000820549188/4ecc5b6e4790c96e6b9fb3f0f0146f38_normal.jpeg","View")</f>
        <v>View</v>
      </c>
      <c r="P849" s="11"/>
    </row>
    <row r="850" spans="1:16" ht="12.75" x14ac:dyDescent="0.35">
      <c r="A850" s="7">
        <v>42478.804039351853</v>
      </c>
      <c r="B850" s="8" t="str">
        <f>HYPERLINK("https://twitter.com/prxagentur","@prxagentur")</f>
        <v>@prxagentur</v>
      </c>
      <c r="C850" s="9" t="s">
        <v>1753</v>
      </c>
      <c r="D850" s="9" t="s">
        <v>1594</v>
      </c>
      <c r="E850" s="10" t="str">
        <f>HYPERLINK("https://twitter.com/prxagentur/status/722059058694524928","722059058694524928")</f>
        <v>722059058694524928</v>
      </c>
      <c r="F850" s="11" t="s">
        <v>20</v>
      </c>
      <c r="G850" s="11">
        <v>196</v>
      </c>
      <c r="H850" s="11">
        <v>374</v>
      </c>
      <c r="I850" s="11">
        <v>7</v>
      </c>
      <c r="J850" s="11">
        <v>0</v>
      </c>
      <c r="K850" s="11" t="s">
        <v>21</v>
      </c>
      <c r="L850" s="7">
        <v>42128.001620370371</v>
      </c>
      <c r="M850" s="12"/>
      <c r="N850" s="12"/>
      <c r="O850" s="10" t="str">
        <f>HYPERLINK("https://pbs.twimg.com/profile_images/594934750122536960/nG4kmfDF_normal.jpg","View")</f>
        <v>View</v>
      </c>
      <c r="P850" s="11"/>
    </row>
    <row r="851" spans="1:16" ht="12.75" x14ac:dyDescent="0.35">
      <c r="A851" s="7">
        <v>42478.80673611111</v>
      </c>
      <c r="B851" s="8" t="str">
        <f>HYPERLINK("https://twitter.com/BoschPresse","@BoschPresse")</f>
        <v>@BoschPresse</v>
      </c>
      <c r="C851" s="9" t="s">
        <v>1782</v>
      </c>
      <c r="D851" s="9" t="s">
        <v>1852</v>
      </c>
      <c r="E851" s="10" t="str">
        <f>HYPERLINK("https://twitter.com/BoschPresse/status/722060034260213760","722060034260213760")</f>
        <v>722060034260213760</v>
      </c>
      <c r="F851" s="11" t="s">
        <v>25</v>
      </c>
      <c r="G851" s="11">
        <v>7560</v>
      </c>
      <c r="H851" s="11">
        <v>389</v>
      </c>
      <c r="I851" s="11">
        <v>6</v>
      </c>
      <c r="J851" s="11">
        <v>2</v>
      </c>
      <c r="K851" s="11" t="s">
        <v>21</v>
      </c>
      <c r="L851" s="7">
        <v>40991.629687499997</v>
      </c>
      <c r="M851" s="12" t="s">
        <v>162</v>
      </c>
      <c r="N851" s="12" t="s">
        <v>1784</v>
      </c>
      <c r="O851" s="10" t="str">
        <f>HYPERLINK("https://pbs.twimg.com/profile_images/2619086509/ld3z97zhhdbs2essw7s9_normal.jpeg","View")</f>
        <v>View</v>
      </c>
      <c r="P851" s="11"/>
    </row>
    <row r="852" spans="1:16" ht="12.75" x14ac:dyDescent="0.35">
      <c r="A852" s="7">
        <v>42478.807141203702</v>
      </c>
      <c r="B852" s="8" t="str">
        <f>HYPERLINK("https://twitter.com/INDIZbot","@INDIZbot")</f>
        <v>@INDIZbot</v>
      </c>
      <c r="C852" s="9" t="s">
        <v>61</v>
      </c>
      <c r="D852" s="9" t="s">
        <v>1853</v>
      </c>
      <c r="E852" s="10" t="str">
        <f>HYPERLINK("https://twitter.com/INDIZbot/status/722060183170584576","722060183170584576")</f>
        <v>722060183170584576</v>
      </c>
      <c r="F852" s="11" t="s">
        <v>62</v>
      </c>
      <c r="G852" s="11">
        <v>1762</v>
      </c>
      <c r="H852" s="11">
        <v>481</v>
      </c>
      <c r="I852" s="11">
        <v>1</v>
      </c>
      <c r="J852" s="11">
        <v>0</v>
      </c>
      <c r="K852" s="11" t="s">
        <v>21</v>
      </c>
      <c r="L852" s="7">
        <v>42267.011921296296</v>
      </c>
      <c r="M852" s="12"/>
      <c r="N852" s="12" t="s">
        <v>63</v>
      </c>
      <c r="O852" s="10" t="str">
        <f>HYPERLINK("https://pbs.twimg.com/profile_images/645716711723925506/t5G0qOS6_normal.jpg","View")</f>
        <v>View</v>
      </c>
      <c r="P852" s="11"/>
    </row>
    <row r="853" spans="1:16" ht="12.75" x14ac:dyDescent="0.35">
      <c r="A853" s="7">
        <v>42478.809791666667</v>
      </c>
      <c r="B853" s="8" t="str">
        <f>HYPERLINK("https://twitter.com/Apandia","@Apandia")</f>
        <v>@Apandia</v>
      </c>
      <c r="C853" s="9" t="s">
        <v>245</v>
      </c>
      <c r="D853" s="9" t="s">
        <v>1854</v>
      </c>
      <c r="E853" s="10" t="str">
        <f>HYPERLINK("https://twitter.com/Apandia/status/722061144609857536","722061144609857536")</f>
        <v>722061144609857536</v>
      </c>
      <c r="F853" s="11" t="s">
        <v>115</v>
      </c>
      <c r="G853" s="11">
        <v>196</v>
      </c>
      <c r="H853" s="11">
        <v>384</v>
      </c>
      <c r="I853" s="11">
        <v>0</v>
      </c>
      <c r="J853" s="11">
        <v>0</v>
      </c>
      <c r="K853" s="11" t="s">
        <v>21</v>
      </c>
      <c r="L853" s="7">
        <v>39966.049884259257</v>
      </c>
      <c r="M853" s="12" t="s">
        <v>247</v>
      </c>
      <c r="N853" s="12" t="s">
        <v>248</v>
      </c>
      <c r="O853" s="10" t="str">
        <f>HYPERLINK("https://pbs.twimg.com/profile_images/685327213/Apandia_normal.gif","View")</f>
        <v>View</v>
      </c>
      <c r="P853" s="11"/>
    </row>
    <row r="854" spans="1:16" ht="12.75" x14ac:dyDescent="0.35">
      <c r="A854" s="7">
        <v>42478.811226851853</v>
      </c>
      <c r="B854" s="8" t="str">
        <f>HYPERLINK("https://twitter.com/prxagentur","@prxagentur")</f>
        <v>@prxagentur</v>
      </c>
      <c r="C854" s="9" t="s">
        <v>1753</v>
      </c>
      <c r="D854" s="9" t="s">
        <v>1855</v>
      </c>
      <c r="E854" s="10" t="str">
        <f>HYPERLINK("https://twitter.com/prxagentur/status/722061665135640576","722061665135640576")</f>
        <v>722061665135640576</v>
      </c>
      <c r="F854" s="11" t="s">
        <v>20</v>
      </c>
      <c r="G854" s="11">
        <v>196</v>
      </c>
      <c r="H854" s="11">
        <v>374</v>
      </c>
      <c r="I854" s="11">
        <v>1</v>
      </c>
      <c r="J854" s="11">
        <v>1</v>
      </c>
      <c r="K854" s="11" t="s">
        <v>21</v>
      </c>
      <c r="L854" s="7">
        <v>42128.001620370371</v>
      </c>
      <c r="M854" s="12"/>
      <c r="N854" s="12"/>
      <c r="O854" s="10" t="str">
        <f>HYPERLINK("https://pbs.twimg.com/profile_images/594934750122536960/nG4kmfDF_normal.jpg","View")</f>
        <v>View</v>
      </c>
      <c r="P854" s="11"/>
    </row>
    <row r="855" spans="1:16" ht="12.75" x14ac:dyDescent="0.35">
      <c r="A855" s="7">
        <v>42478.811979166669</v>
      </c>
      <c r="B855" s="8" t="str">
        <f>HYPERLINK("https://twitter.com/innovationbawue","@innovationbawue")</f>
        <v>@innovationbawue</v>
      </c>
      <c r="C855" s="8" t="s">
        <v>1173</v>
      </c>
      <c r="D855" s="9" t="s">
        <v>1803</v>
      </c>
      <c r="E855" s="10" t="str">
        <f>HYPERLINK("https://twitter.com/innovationbawue/status/722061938184863745","722061938184863745")</f>
        <v>722061938184863745</v>
      </c>
      <c r="F855" s="11" t="s">
        <v>25</v>
      </c>
      <c r="G855" s="11">
        <v>210</v>
      </c>
      <c r="H855" s="11">
        <v>353</v>
      </c>
      <c r="I855" s="11">
        <v>11</v>
      </c>
      <c r="J855" s="11">
        <v>0</v>
      </c>
      <c r="K855" s="11" t="s">
        <v>21</v>
      </c>
      <c r="L855" s="7">
        <v>42380.713946759264</v>
      </c>
      <c r="M855" s="12" t="s">
        <v>985</v>
      </c>
      <c r="N855" s="12" t="s">
        <v>1175</v>
      </c>
      <c r="O855" s="10" t="str">
        <f>HYPERLINK("https://pbs.twimg.com/profile_images/719538951988592641/7lKnB2dG_normal.jpg","View")</f>
        <v>View</v>
      </c>
      <c r="P855" s="11"/>
    </row>
    <row r="856" spans="1:16" ht="12.75" x14ac:dyDescent="0.35">
      <c r="A856" s="7">
        <v>42478.814201388886</v>
      </c>
      <c r="B856" s="8" t="str">
        <f t="shared" ref="B856:B857" si="96">HYPERLINK("https://twitter.com/INDIZbot","@INDIZbot")</f>
        <v>@INDIZbot</v>
      </c>
      <c r="C856" s="9" t="s">
        <v>61</v>
      </c>
      <c r="D856" s="9" t="s">
        <v>1803</v>
      </c>
      <c r="E856" s="10" t="str">
        <f>HYPERLINK("https://twitter.com/INDIZbot/status/722062740714614784","722062740714614784")</f>
        <v>722062740714614784</v>
      </c>
      <c r="F856" s="11" t="s">
        <v>62</v>
      </c>
      <c r="G856" s="11">
        <v>1762</v>
      </c>
      <c r="H856" s="11">
        <v>481</v>
      </c>
      <c r="I856" s="11">
        <v>11</v>
      </c>
      <c r="J856" s="11">
        <v>0</v>
      </c>
      <c r="K856" s="11" t="s">
        <v>21</v>
      </c>
      <c r="L856" s="7">
        <v>42267.011921296296</v>
      </c>
      <c r="M856" s="12"/>
      <c r="N856" s="12" t="s">
        <v>63</v>
      </c>
      <c r="O856" s="10" t="str">
        <f t="shared" ref="O856:O857" si="97">HYPERLINK("https://pbs.twimg.com/profile_images/645716711723925506/t5G0qOS6_normal.jpg","View")</f>
        <v>View</v>
      </c>
      <c r="P856" s="11"/>
    </row>
    <row r="857" spans="1:16" ht="12.75" x14ac:dyDescent="0.35">
      <c r="A857" s="7">
        <v>42478.814525462964</v>
      </c>
      <c r="B857" s="8" t="str">
        <f t="shared" si="96"/>
        <v>@INDIZbot</v>
      </c>
      <c r="C857" s="9" t="s">
        <v>61</v>
      </c>
      <c r="D857" s="9" t="s">
        <v>1856</v>
      </c>
      <c r="E857" s="10" t="str">
        <f>HYPERLINK("https://twitter.com/INDIZbot/status/722062859438579713","722062859438579713")</f>
        <v>722062859438579713</v>
      </c>
      <c r="F857" s="11" t="s">
        <v>62</v>
      </c>
      <c r="G857" s="11">
        <v>1762</v>
      </c>
      <c r="H857" s="11">
        <v>481</v>
      </c>
      <c r="I857" s="11">
        <v>1</v>
      </c>
      <c r="J857" s="11">
        <v>0</v>
      </c>
      <c r="K857" s="11" t="s">
        <v>21</v>
      </c>
      <c r="L857" s="7">
        <v>42267.011921296296</v>
      </c>
      <c r="M857" s="12"/>
      <c r="N857" s="12" t="s">
        <v>63</v>
      </c>
      <c r="O857" s="10" t="str">
        <f t="shared" si="97"/>
        <v>View</v>
      </c>
      <c r="P857" s="11"/>
    </row>
    <row r="858" spans="1:16" ht="12.75" x14ac:dyDescent="0.35">
      <c r="A858" s="7">
        <v>42478.81521990741</v>
      </c>
      <c r="B858" s="8" t="str">
        <f>HYPERLINK("https://twitter.com/Bitkom_I40","@Bitkom_I40")</f>
        <v>@Bitkom_I40</v>
      </c>
      <c r="C858" s="9" t="s">
        <v>1857</v>
      </c>
      <c r="D858" s="9" t="s">
        <v>1858</v>
      </c>
      <c r="E858" s="10" t="str">
        <f>HYPERLINK("https://twitter.com/Bitkom_I40/status/722063109314228224","722063109314228224")</f>
        <v>722063109314228224</v>
      </c>
      <c r="F858" s="11" t="s">
        <v>1859</v>
      </c>
      <c r="G858" s="11">
        <v>754</v>
      </c>
      <c r="H858" s="11">
        <v>44</v>
      </c>
      <c r="I858" s="11">
        <v>6</v>
      </c>
      <c r="J858" s="11">
        <v>4</v>
      </c>
      <c r="K858" s="11" t="s">
        <v>21</v>
      </c>
      <c r="L858" s="7">
        <v>41613.773194444446</v>
      </c>
      <c r="M858" s="12" t="s">
        <v>218</v>
      </c>
      <c r="N858" s="12" t="s">
        <v>1860</v>
      </c>
      <c r="O858" s="10" t="str">
        <f>HYPERLINK("https://pbs.twimg.com/profile_images/723407487395713024/0hZv7R8S_normal.jpg","View")</f>
        <v>View</v>
      </c>
      <c r="P858" s="11"/>
    </row>
    <row r="859" spans="1:16" ht="12.75" x14ac:dyDescent="0.35">
      <c r="A859" s="7">
        <v>42478.816458333335</v>
      </c>
      <c r="B859" s="8" t="str">
        <f>HYPERLINK("https://twitter.com/kommoptimierer","@kommoptimierer")</f>
        <v>@kommoptimierer</v>
      </c>
      <c r="C859" s="9" t="s">
        <v>270</v>
      </c>
      <c r="D859" s="9" t="s">
        <v>505</v>
      </c>
      <c r="E859" s="10" t="str">
        <f>HYPERLINK("https://twitter.com/kommoptimierer/status/722063559560138752","722063559560138752")</f>
        <v>722063559560138752</v>
      </c>
      <c r="F859" s="11" t="s">
        <v>272</v>
      </c>
      <c r="G859" s="11">
        <v>1347</v>
      </c>
      <c r="H859" s="11">
        <v>1753</v>
      </c>
      <c r="I859" s="11">
        <v>0</v>
      </c>
      <c r="J859" s="11">
        <v>0</v>
      </c>
      <c r="K859" s="11" t="s">
        <v>21</v>
      </c>
      <c r="L859" s="7">
        <v>39986.860358796301</v>
      </c>
      <c r="M859" s="12" t="s">
        <v>273</v>
      </c>
      <c r="N859" s="12" t="s">
        <v>274</v>
      </c>
      <c r="O859" s="10" t="str">
        <f>HYPERLINK("https://pbs.twimg.com/profile_images/541146126158536704/IYardufS_normal.jpeg","View")</f>
        <v>View</v>
      </c>
      <c r="P859" s="11"/>
    </row>
    <row r="860" spans="1:16" ht="12.75" x14ac:dyDescent="0.35">
      <c r="A860" s="7">
        <v>42478.819560185184</v>
      </c>
      <c r="B860" s="8" t="str">
        <f>HYPERLINK("https://twitter.com/BoschPresse","@BoschPresse")</f>
        <v>@BoschPresse</v>
      </c>
      <c r="C860" s="9" t="s">
        <v>1782</v>
      </c>
      <c r="D860" s="9" t="s">
        <v>1861</v>
      </c>
      <c r="E860" s="10" t="str">
        <f>HYPERLINK("https://twitter.com/BoschPresse/status/722064683268718592","722064683268718592")</f>
        <v>722064683268718592</v>
      </c>
      <c r="F860" s="11" t="s">
        <v>39</v>
      </c>
      <c r="G860" s="11">
        <v>7560</v>
      </c>
      <c r="H860" s="11">
        <v>389</v>
      </c>
      <c r="I860" s="11">
        <v>0</v>
      </c>
      <c r="J860" s="11">
        <v>0</v>
      </c>
      <c r="K860" s="11" t="s">
        <v>21</v>
      </c>
      <c r="L860" s="7">
        <v>40991.629687499997</v>
      </c>
      <c r="M860" s="12" t="s">
        <v>162</v>
      </c>
      <c r="N860" s="12" t="s">
        <v>1784</v>
      </c>
      <c r="O860" s="10" t="str">
        <f>HYPERLINK("https://pbs.twimg.com/profile_images/2619086509/ld3z97zhhdbs2essw7s9_normal.jpeg","View")</f>
        <v>View</v>
      </c>
      <c r="P860" s="11"/>
    </row>
    <row r="861" spans="1:16" ht="12.75" x14ac:dyDescent="0.35">
      <c r="A861" s="7">
        <v>42478.822245370371</v>
      </c>
      <c r="B861" s="8" t="str">
        <f t="shared" ref="B861:B863" si="98">HYPERLINK("https://twitter.com/JETZT_PRde","@JETZT_PRde")</f>
        <v>@JETZT_PRde</v>
      </c>
      <c r="C861" s="9" t="s">
        <v>1356</v>
      </c>
      <c r="D861" s="9" t="s">
        <v>1862</v>
      </c>
      <c r="E861" s="10" t="str">
        <f>HYPERLINK("https://twitter.com/JETZT_PRde/status/722065658226339840","722065658226339840")</f>
        <v>722065658226339840</v>
      </c>
      <c r="F861" s="11" t="s">
        <v>25</v>
      </c>
      <c r="G861" s="11">
        <v>1677</v>
      </c>
      <c r="H861" s="11">
        <v>748</v>
      </c>
      <c r="I861" s="11">
        <v>1</v>
      </c>
      <c r="J861" s="11">
        <v>0</v>
      </c>
      <c r="K861" s="11" t="s">
        <v>21</v>
      </c>
      <c r="L861" s="7">
        <v>40682.604201388887</v>
      </c>
      <c r="M861" s="12" t="s">
        <v>581</v>
      </c>
      <c r="N861" s="12" t="s">
        <v>1358</v>
      </c>
      <c r="O861" s="10" t="str">
        <f t="shared" ref="O861:O863" si="99">HYPERLINK("https://pbs.twimg.com/profile_images/593011135428882432/BGMPkrwp_normal.jpg","View")</f>
        <v>View</v>
      </c>
      <c r="P861" s="11"/>
    </row>
    <row r="862" spans="1:16" ht="12.75" x14ac:dyDescent="0.35">
      <c r="A862" s="7">
        <v>42478.82508101852</v>
      </c>
      <c r="B862" s="8" t="str">
        <f t="shared" si="98"/>
        <v>@JETZT_PRde</v>
      </c>
      <c r="C862" s="9" t="s">
        <v>1356</v>
      </c>
      <c r="D862" s="9" t="s">
        <v>1863</v>
      </c>
      <c r="E862" s="10" t="str">
        <f>HYPERLINK("https://twitter.com/JETZT_PRde/status/722066685654654977","722066685654654977")</f>
        <v>722066685654654977</v>
      </c>
      <c r="F862" s="11" t="s">
        <v>25</v>
      </c>
      <c r="G862" s="11">
        <v>1677</v>
      </c>
      <c r="H862" s="11">
        <v>748</v>
      </c>
      <c r="I862" s="11">
        <v>1</v>
      </c>
      <c r="J862" s="11">
        <v>1</v>
      </c>
      <c r="K862" s="11" t="s">
        <v>21</v>
      </c>
      <c r="L862" s="7">
        <v>40682.604201388887</v>
      </c>
      <c r="M862" s="12" t="s">
        <v>581</v>
      </c>
      <c r="N862" s="12" t="s">
        <v>1358</v>
      </c>
      <c r="O862" s="10" t="str">
        <f t="shared" si="99"/>
        <v>View</v>
      </c>
      <c r="P862" s="11"/>
    </row>
    <row r="863" spans="1:16" ht="12.75" x14ac:dyDescent="0.35">
      <c r="A863" s="7">
        <v>42478.825937500005</v>
      </c>
      <c r="B863" s="8" t="str">
        <f t="shared" si="98"/>
        <v>@JETZT_PRde</v>
      </c>
      <c r="C863" s="9" t="s">
        <v>1356</v>
      </c>
      <c r="D863" s="9" t="s">
        <v>1864</v>
      </c>
      <c r="E863" s="10" t="str">
        <f>HYPERLINK("https://twitter.com/JETZT_PRde/status/722066993873055745","722066993873055745")</f>
        <v>722066993873055745</v>
      </c>
      <c r="F863" s="11" t="s">
        <v>25</v>
      </c>
      <c r="G863" s="11">
        <v>1677</v>
      </c>
      <c r="H863" s="11">
        <v>748</v>
      </c>
      <c r="I863" s="11">
        <v>1</v>
      </c>
      <c r="J863" s="11">
        <v>1</v>
      </c>
      <c r="K863" s="11" t="s">
        <v>21</v>
      </c>
      <c r="L863" s="7">
        <v>40682.604201388887</v>
      </c>
      <c r="M863" s="12" t="s">
        <v>581</v>
      </c>
      <c r="N863" s="12" t="s">
        <v>1358</v>
      </c>
      <c r="O863" s="10" t="str">
        <f t="shared" si="99"/>
        <v>View</v>
      </c>
      <c r="P863" s="11"/>
    </row>
    <row r="864" spans="1:16" ht="12.75" x14ac:dyDescent="0.35">
      <c r="A864" s="7">
        <v>42478.827546296292</v>
      </c>
      <c r="B864" s="8" t="str">
        <f t="shared" ref="B864:B865" si="100">HYPERLINK("https://twitter.com/INDIZbot","@INDIZbot")</f>
        <v>@INDIZbot</v>
      </c>
      <c r="C864" s="9" t="s">
        <v>61</v>
      </c>
      <c r="D864" s="9" t="s">
        <v>1865</v>
      </c>
      <c r="E864" s="10" t="str">
        <f>HYPERLINK("https://twitter.com/INDIZbot/status/722067579532091392","722067579532091392")</f>
        <v>722067579532091392</v>
      </c>
      <c r="F864" s="11" t="s">
        <v>62</v>
      </c>
      <c r="G864" s="11">
        <v>1762</v>
      </c>
      <c r="H864" s="11">
        <v>481</v>
      </c>
      <c r="I864" s="11">
        <v>1</v>
      </c>
      <c r="J864" s="11">
        <v>0</v>
      </c>
      <c r="K864" s="11" t="s">
        <v>21</v>
      </c>
      <c r="L864" s="7">
        <v>42267.011921296296</v>
      </c>
      <c r="M864" s="12"/>
      <c r="N864" s="12" t="s">
        <v>63</v>
      </c>
      <c r="O864" s="10" t="str">
        <f t="shared" ref="O864:O865" si="101">HYPERLINK("https://pbs.twimg.com/profile_images/645716711723925506/t5G0qOS6_normal.jpg","View")</f>
        <v>View</v>
      </c>
      <c r="P864" s="11"/>
    </row>
    <row r="865" spans="1:16" ht="12.75" x14ac:dyDescent="0.35">
      <c r="A865" s="7">
        <v>42478.827719907407</v>
      </c>
      <c r="B865" s="8" t="str">
        <f t="shared" si="100"/>
        <v>@INDIZbot</v>
      </c>
      <c r="C865" s="9" t="s">
        <v>61</v>
      </c>
      <c r="D865" s="9" t="s">
        <v>1866</v>
      </c>
      <c r="E865" s="10" t="str">
        <f>HYPERLINK("https://twitter.com/INDIZbot/status/722067640060141568","722067640060141568")</f>
        <v>722067640060141568</v>
      </c>
      <c r="F865" s="11" t="s">
        <v>62</v>
      </c>
      <c r="G865" s="11">
        <v>1762</v>
      </c>
      <c r="H865" s="11">
        <v>481</v>
      </c>
      <c r="I865" s="11">
        <v>1</v>
      </c>
      <c r="J865" s="11">
        <v>0</v>
      </c>
      <c r="K865" s="11" t="s">
        <v>21</v>
      </c>
      <c r="L865" s="7">
        <v>42267.011921296296</v>
      </c>
      <c r="M865" s="12"/>
      <c r="N865" s="12" t="s">
        <v>63</v>
      </c>
      <c r="O865" s="10" t="str">
        <f t="shared" si="101"/>
        <v>View</v>
      </c>
      <c r="P865" s="11"/>
    </row>
    <row r="866" spans="1:16" ht="12.75" x14ac:dyDescent="0.35">
      <c r="A866" s="7">
        <v>42478.827916666662</v>
      </c>
      <c r="B866" s="8" t="str">
        <f>HYPERLINK("https://twitter.com/JETZT_PRde","@JETZT_PRde")</f>
        <v>@JETZT_PRde</v>
      </c>
      <c r="C866" s="9" t="s">
        <v>1356</v>
      </c>
      <c r="D866" s="9" t="s">
        <v>1867</v>
      </c>
      <c r="E866" s="10" t="str">
        <f>HYPERLINK("https://twitter.com/JETZT_PRde/status/722067711157780480","722067711157780480")</f>
        <v>722067711157780480</v>
      </c>
      <c r="F866" s="11" t="s">
        <v>25</v>
      </c>
      <c r="G866" s="11">
        <v>1677</v>
      </c>
      <c r="H866" s="11">
        <v>748</v>
      </c>
      <c r="I866" s="11">
        <v>0</v>
      </c>
      <c r="J866" s="11">
        <v>1</v>
      </c>
      <c r="K866" s="11" t="s">
        <v>21</v>
      </c>
      <c r="L866" s="7">
        <v>40682.604201388887</v>
      </c>
      <c r="M866" s="12" t="s">
        <v>581</v>
      </c>
      <c r="N866" s="12" t="s">
        <v>1358</v>
      </c>
      <c r="O866" s="10" t="str">
        <f>HYPERLINK("https://pbs.twimg.com/profile_images/593011135428882432/BGMPkrwp_normal.jpg","View")</f>
        <v>View</v>
      </c>
      <c r="P866" s="11"/>
    </row>
    <row r="867" spans="1:16" ht="12.75" x14ac:dyDescent="0.35">
      <c r="A867" s="7">
        <v>42478.828055555554</v>
      </c>
      <c r="B867" s="8" t="str">
        <f>HYPERLINK("https://twitter.com/INDIZbot","@INDIZbot")</f>
        <v>@INDIZbot</v>
      </c>
      <c r="C867" s="9" t="s">
        <v>61</v>
      </c>
      <c r="D867" s="9" t="s">
        <v>1868</v>
      </c>
      <c r="E867" s="10" t="str">
        <f>HYPERLINK("https://twitter.com/INDIZbot/status/722067761304834049","722067761304834049")</f>
        <v>722067761304834049</v>
      </c>
      <c r="F867" s="11" t="s">
        <v>62</v>
      </c>
      <c r="G867" s="11">
        <v>1762</v>
      </c>
      <c r="H867" s="11">
        <v>481</v>
      </c>
      <c r="I867" s="11">
        <v>1</v>
      </c>
      <c r="J867" s="11">
        <v>0</v>
      </c>
      <c r="K867" s="11" t="s">
        <v>21</v>
      </c>
      <c r="L867" s="7">
        <v>42267.011921296296</v>
      </c>
      <c r="M867" s="12"/>
      <c r="N867" s="12" t="s">
        <v>63</v>
      </c>
      <c r="O867" s="10" t="str">
        <f>HYPERLINK("https://pbs.twimg.com/profile_images/645716711723925506/t5G0qOS6_normal.jpg","View")</f>
        <v>View</v>
      </c>
      <c r="P867" s="11"/>
    </row>
    <row r="868" spans="1:16" ht="12.75" x14ac:dyDescent="0.35">
      <c r="A868" s="7">
        <v>42478.828611111108</v>
      </c>
      <c r="B868" s="8" t="str">
        <f>HYPERLINK("https://twitter.com/JETZT_PRde","@JETZT_PRde")</f>
        <v>@JETZT_PRde</v>
      </c>
      <c r="C868" s="9" t="s">
        <v>1356</v>
      </c>
      <c r="D868" s="9" t="s">
        <v>1869</v>
      </c>
      <c r="E868" s="10" t="str">
        <f>HYPERLINK("https://twitter.com/JETZT_PRde/status/722067963520684032","722067963520684032")</f>
        <v>722067963520684032</v>
      </c>
      <c r="F868" s="11" t="s">
        <v>25</v>
      </c>
      <c r="G868" s="11">
        <v>1677</v>
      </c>
      <c r="H868" s="11">
        <v>748</v>
      </c>
      <c r="I868" s="11">
        <v>1</v>
      </c>
      <c r="J868" s="11">
        <v>2</v>
      </c>
      <c r="K868" s="11" t="s">
        <v>21</v>
      </c>
      <c r="L868" s="7">
        <v>40682.604201388887</v>
      </c>
      <c r="M868" s="12" t="s">
        <v>581</v>
      </c>
      <c r="N868" s="12" t="s">
        <v>1358</v>
      </c>
      <c r="O868" s="10" t="str">
        <f>HYPERLINK("https://pbs.twimg.com/profile_images/593011135428882432/BGMPkrwp_normal.jpg","View")</f>
        <v>View</v>
      </c>
      <c r="P868" s="11"/>
    </row>
    <row r="869" spans="1:16" ht="12.75" x14ac:dyDescent="0.35">
      <c r="A869" s="7">
        <v>42478.831770833334</v>
      </c>
      <c r="B869" s="8" t="str">
        <f>HYPERLINK("https://twitter.com/BerHerg","@BerHerg")</f>
        <v>@BerHerg</v>
      </c>
      <c r="C869" s="9" t="s">
        <v>1870</v>
      </c>
      <c r="D869" s="9" t="s">
        <v>1871</v>
      </c>
      <c r="E869" s="10" t="str">
        <f>HYPERLINK("https://twitter.com/BerHerg/status/722069109706514432","722069109706514432")</f>
        <v>722069109706514432</v>
      </c>
      <c r="F869" s="11" t="s">
        <v>25</v>
      </c>
      <c r="G869" s="11">
        <v>244</v>
      </c>
      <c r="H869" s="11">
        <v>82</v>
      </c>
      <c r="I869" s="11">
        <v>2</v>
      </c>
      <c r="J869" s="11">
        <v>0</v>
      </c>
      <c r="K869" s="11" t="s">
        <v>21</v>
      </c>
      <c r="L869" s="7">
        <v>40269.782847222225</v>
      </c>
      <c r="M869" s="12" t="s">
        <v>1872</v>
      </c>
      <c r="N869" s="12" t="s">
        <v>1873</v>
      </c>
      <c r="O869" s="10" t="str">
        <f>HYPERLINK("https://pbs.twimg.com/profile_images/1648827386/image_normal.jpg","View")</f>
        <v>View</v>
      </c>
      <c r="P869" s="11"/>
    </row>
    <row r="870" spans="1:16" ht="12.75" x14ac:dyDescent="0.35">
      <c r="A870" s="7">
        <v>42478.832013888888</v>
      </c>
      <c r="B870" s="8" t="str">
        <f>HYPERLINK("https://twitter.com/Bitkom","@Bitkom")</f>
        <v>@Bitkom</v>
      </c>
      <c r="C870" s="9" t="s">
        <v>216</v>
      </c>
      <c r="D870" s="9" t="s">
        <v>1874</v>
      </c>
      <c r="E870" s="10" t="str">
        <f>HYPERLINK("https://twitter.com/Bitkom/status/722069195173859328","722069195173859328")</f>
        <v>722069195173859328</v>
      </c>
      <c r="F870" s="11" t="s">
        <v>115</v>
      </c>
      <c r="G870" s="11">
        <v>21088</v>
      </c>
      <c r="H870" s="11">
        <v>3258</v>
      </c>
      <c r="I870" s="11">
        <v>6</v>
      </c>
      <c r="J870" s="11">
        <v>0</v>
      </c>
      <c r="K870" s="11" t="s">
        <v>21</v>
      </c>
      <c r="L870" s="7">
        <v>39757.913229166668</v>
      </c>
      <c r="M870" s="12" t="s">
        <v>218</v>
      </c>
      <c r="N870" s="12" t="s">
        <v>219</v>
      </c>
      <c r="O870" s="10" t="str">
        <f>HYPERLINK("https://pbs.twimg.com/profile_images/615797525040136192/CKF9-v_o_normal.jpg","View")</f>
        <v>View</v>
      </c>
      <c r="P870" s="11"/>
    </row>
    <row r="871" spans="1:16" ht="12.75" x14ac:dyDescent="0.35">
      <c r="A871" s="7">
        <v>42478.834236111114</v>
      </c>
      <c r="B871" s="8" t="str">
        <f>HYPERLINK("https://twitter.com/startupradioDE","@startupradioDE")</f>
        <v>@startupradioDE</v>
      </c>
      <c r="C871" s="8" t="s">
        <v>1875</v>
      </c>
      <c r="D871" s="9" t="s">
        <v>1876</v>
      </c>
      <c r="E871" s="10" t="str">
        <f>HYPERLINK("https://twitter.com/startupradioDE/status/722070002380247040","722070002380247040")</f>
        <v>722070002380247040</v>
      </c>
      <c r="F871" s="11" t="s">
        <v>39</v>
      </c>
      <c r="G871" s="11">
        <v>4799</v>
      </c>
      <c r="H871" s="11">
        <v>2161</v>
      </c>
      <c r="I871" s="11">
        <v>1</v>
      </c>
      <c r="J871" s="11">
        <v>0</v>
      </c>
      <c r="K871" s="11" t="s">
        <v>21</v>
      </c>
      <c r="L871" s="7">
        <v>41482.731631944444</v>
      </c>
      <c r="M871" s="12" t="s">
        <v>79</v>
      </c>
      <c r="N871" s="12" t="s">
        <v>1877</v>
      </c>
      <c r="O871" s="10" t="str">
        <f>HYPERLINK("https://pbs.twimg.com/profile_images/686519244415176705/LBgib3O7_normal.png","View")</f>
        <v>View</v>
      </c>
      <c r="P871" s="11"/>
    </row>
    <row r="872" spans="1:16" ht="12.75" x14ac:dyDescent="0.35">
      <c r="A872" s="7">
        <v>42478.834768518514</v>
      </c>
      <c r="B872" s="8" t="str">
        <f>HYPERLINK("https://twitter.com/DBPitch","@DBPitch")</f>
        <v>@DBPitch</v>
      </c>
      <c r="C872" s="9" t="s">
        <v>1878</v>
      </c>
      <c r="D872" s="9" t="s">
        <v>1879</v>
      </c>
      <c r="E872" s="10" t="str">
        <f>HYPERLINK("https://twitter.com/DBPitch/status/722070193086820352","722070193086820352")</f>
        <v>722070193086820352</v>
      </c>
      <c r="F872" s="11" t="s">
        <v>20</v>
      </c>
      <c r="G872" s="11">
        <v>410</v>
      </c>
      <c r="H872" s="11">
        <v>476</v>
      </c>
      <c r="I872" s="11">
        <v>1</v>
      </c>
      <c r="J872" s="11">
        <v>0</v>
      </c>
      <c r="K872" s="11" t="s">
        <v>21</v>
      </c>
      <c r="L872" s="7">
        <v>42144.628958333335</v>
      </c>
      <c r="M872" s="12" t="s">
        <v>227</v>
      </c>
      <c r="N872" s="12" t="s">
        <v>1880</v>
      </c>
      <c r="O872" s="10" t="str">
        <f>HYPERLINK("https://pbs.twimg.com/profile_images/610423333008576512/7Zk5ZYOd_normal.jpg","View")</f>
        <v>View</v>
      </c>
      <c r="P872" s="11"/>
    </row>
    <row r="873" spans="1:16" ht="12.75" x14ac:dyDescent="0.35">
      <c r="A873" s="7">
        <v>42478.837546296301</v>
      </c>
      <c r="B873" s="8" t="str">
        <f>HYPERLINK("https://twitter.com/MarianKoeller","@MarianKoeller")</f>
        <v>@MarianKoeller</v>
      </c>
      <c r="C873" s="9" t="s">
        <v>849</v>
      </c>
      <c r="D873" s="9" t="s">
        <v>1881</v>
      </c>
      <c r="E873" s="10" t="str">
        <f>HYPERLINK("https://twitter.com/MarianKoeller/status/722071203226238976","722071203226238976")</f>
        <v>722071203226238976</v>
      </c>
      <c r="F873" s="11" t="s">
        <v>25</v>
      </c>
      <c r="G873" s="11">
        <v>94</v>
      </c>
      <c r="H873" s="11">
        <v>115</v>
      </c>
      <c r="I873" s="11">
        <v>1</v>
      </c>
      <c r="J873" s="11">
        <v>0</v>
      </c>
      <c r="K873" s="11" t="s">
        <v>21</v>
      </c>
      <c r="L873" s="7">
        <v>42328.736504629633</v>
      </c>
      <c r="M873" s="12" t="s">
        <v>851</v>
      </c>
      <c r="N873" s="12" t="s">
        <v>852</v>
      </c>
      <c r="O873" s="10" t="str">
        <f>HYPERLINK("https://pbs.twimg.com/profile_images/701004613206433792/o4DJfA8-_normal.jpg","View")</f>
        <v>View</v>
      </c>
      <c r="P873" s="11"/>
    </row>
    <row r="874" spans="1:16" ht="12.75" x14ac:dyDescent="0.35">
      <c r="A874" s="7">
        <v>42478.841840277775</v>
      </c>
      <c r="B874" s="8" t="str">
        <f>HYPERLINK("https://twitter.com/BMBF_Bund","@BMBF_Bund")</f>
        <v>@BMBF_Bund</v>
      </c>
      <c r="C874" s="9" t="s">
        <v>1882</v>
      </c>
      <c r="D874" s="9" t="s">
        <v>1883</v>
      </c>
      <c r="E874" s="10" t="str">
        <f>HYPERLINK("https://twitter.com/BMBF_Bund/status/722072759015247872","722072759015247872")</f>
        <v>722072759015247872</v>
      </c>
      <c r="F874" s="11" t="s">
        <v>25</v>
      </c>
      <c r="G874" s="11">
        <v>9274</v>
      </c>
      <c r="H874" s="11">
        <v>186</v>
      </c>
      <c r="I874" s="11">
        <v>5</v>
      </c>
      <c r="J874" s="11">
        <v>7</v>
      </c>
      <c r="K874" s="11" t="s">
        <v>21</v>
      </c>
      <c r="L874" s="7">
        <v>42013.79115740741</v>
      </c>
      <c r="M874" s="12"/>
      <c r="N874" s="12" t="s">
        <v>1884</v>
      </c>
      <c r="O874" s="10" t="str">
        <f>HYPERLINK("https://pbs.twimg.com/profile_images/553544845340311554/4WJwvjGd_normal.png","View")</f>
        <v>View</v>
      </c>
      <c r="P874" s="11"/>
    </row>
    <row r="875" spans="1:16" ht="12.75" x14ac:dyDescent="0.35">
      <c r="A875" s="7">
        <v>42478.842037037037</v>
      </c>
      <c r="B875" s="8" t="str">
        <f>HYPERLINK("https://twitter.com/INDIZbot","@INDIZbot")</f>
        <v>@INDIZbot</v>
      </c>
      <c r="C875" s="9" t="s">
        <v>61</v>
      </c>
      <c r="D875" s="9" t="s">
        <v>1885</v>
      </c>
      <c r="E875" s="10" t="str">
        <f>HYPERLINK("https://twitter.com/INDIZbot/status/722072828288331776","722072828288331776")</f>
        <v>722072828288331776</v>
      </c>
      <c r="F875" s="11" t="s">
        <v>62</v>
      </c>
      <c r="G875" s="11">
        <v>1762</v>
      </c>
      <c r="H875" s="11">
        <v>481</v>
      </c>
      <c r="I875" s="11">
        <v>1</v>
      </c>
      <c r="J875" s="11">
        <v>0</v>
      </c>
      <c r="K875" s="11" t="s">
        <v>21</v>
      </c>
      <c r="L875" s="7">
        <v>42267.011921296296</v>
      </c>
      <c r="M875" s="12"/>
      <c r="N875" s="12" t="s">
        <v>63</v>
      </c>
      <c r="O875" s="10" t="str">
        <f>HYPERLINK("https://pbs.twimg.com/profile_images/645716711723925506/t5G0qOS6_normal.jpg","View")</f>
        <v>View</v>
      </c>
      <c r="P875" s="11"/>
    </row>
    <row r="876" spans="1:16" ht="12.75" x14ac:dyDescent="0.35">
      <c r="A876" s="7">
        <v>42478.843055555553</v>
      </c>
      <c r="B876" s="8" t="str">
        <f>HYPERLINK("https://twitter.com/inform_software","@inform_software")</f>
        <v>@inform_software</v>
      </c>
      <c r="C876" s="9" t="s">
        <v>1886</v>
      </c>
      <c r="D876" s="9" t="s">
        <v>1664</v>
      </c>
      <c r="E876" s="10" t="str">
        <f>HYPERLINK("https://twitter.com/inform_software/status/722073199551344640","722073199551344640")</f>
        <v>722073199551344640</v>
      </c>
      <c r="F876" s="11" t="s">
        <v>25</v>
      </c>
      <c r="G876" s="11">
        <v>587</v>
      </c>
      <c r="H876" s="11">
        <v>817</v>
      </c>
      <c r="I876" s="11">
        <v>3</v>
      </c>
      <c r="J876" s="11">
        <v>0</v>
      </c>
      <c r="K876" s="11" t="s">
        <v>21</v>
      </c>
      <c r="L876" s="7">
        <v>40989.781238425923</v>
      </c>
      <c r="M876" s="12" t="s">
        <v>184</v>
      </c>
      <c r="N876" s="12" t="s">
        <v>1887</v>
      </c>
      <c r="O876" s="10" t="str">
        <f>HYPERLINK("https://pbs.twimg.com/profile_images/458898668217585664/llSPBSxP_normal.jpeg","View")</f>
        <v>View</v>
      </c>
      <c r="P876" s="11"/>
    </row>
    <row r="877" spans="1:16" ht="12.75" x14ac:dyDescent="0.35">
      <c r="A877" s="7">
        <v>42478.843946759254</v>
      </c>
      <c r="B877" s="8" t="str">
        <f>HYPERLINK("https://twitter.com/LNI40","@LNI40")</f>
        <v>@LNI40</v>
      </c>
      <c r="C877" s="9" t="s">
        <v>1888</v>
      </c>
      <c r="D877" s="9" t="s">
        <v>391</v>
      </c>
      <c r="E877" s="10" t="str">
        <f>HYPERLINK("https://twitter.com/LNI40/status/722073521229283328","722073521229283328")</f>
        <v>722073521229283328</v>
      </c>
      <c r="F877" s="11" t="s">
        <v>25</v>
      </c>
      <c r="G877" s="11">
        <v>36</v>
      </c>
      <c r="H877" s="11">
        <v>229</v>
      </c>
      <c r="I877" s="11">
        <v>5</v>
      </c>
      <c r="J877" s="11">
        <v>0</v>
      </c>
      <c r="K877" s="11" t="s">
        <v>21</v>
      </c>
      <c r="L877" s="7">
        <v>42477.465578703705</v>
      </c>
      <c r="M877" s="12" t="s">
        <v>227</v>
      </c>
      <c r="N877" s="12" t="s">
        <v>1889</v>
      </c>
      <c r="O877" s="10" t="str">
        <f>HYPERLINK("https://pbs.twimg.com/profile_images/722098538604281856/CcBxk1_M_normal.jpg","View")</f>
        <v>View</v>
      </c>
      <c r="P877" s="11"/>
    </row>
    <row r="878" spans="1:16" ht="12.75" x14ac:dyDescent="0.35">
      <c r="A878" s="7">
        <v>42478.8440162037</v>
      </c>
      <c r="B878" s="8" t="str">
        <f>HYPERLINK("https://twitter.com/Michaelhams","@Michaelhams")</f>
        <v>@Michaelhams</v>
      </c>
      <c r="C878" s="9" t="s">
        <v>1890</v>
      </c>
      <c r="D878" s="9" t="s">
        <v>1891</v>
      </c>
      <c r="E878" s="10" t="str">
        <f>HYPERLINK("https://twitter.com/Michaelhams/status/722073546126659584","722073546126659584")</f>
        <v>722073546126659584</v>
      </c>
      <c r="F878" s="11" t="s">
        <v>31</v>
      </c>
      <c r="G878" s="11">
        <v>164</v>
      </c>
      <c r="H878" s="11">
        <v>390</v>
      </c>
      <c r="I878" s="11">
        <v>6</v>
      </c>
      <c r="J878" s="11">
        <v>0</v>
      </c>
      <c r="K878" s="11" t="s">
        <v>21</v>
      </c>
      <c r="L878" s="7">
        <v>40323.808368055557</v>
      </c>
      <c r="M878" s="12" t="s">
        <v>1892</v>
      </c>
      <c r="N878" s="12" t="s">
        <v>1893</v>
      </c>
      <c r="O878" s="10" t="str">
        <f>HYPERLINK("https://pbs.twimg.com/profile_images/529282600972451840/sDHsXvMh_normal.jpeg","View")</f>
        <v>View</v>
      </c>
      <c r="P878" s="11"/>
    </row>
    <row r="879" spans="1:16" ht="12.75" x14ac:dyDescent="0.35">
      <c r="A879" s="7">
        <v>42478.855312500003</v>
      </c>
      <c r="B879" s="8" t="str">
        <f>HYPERLINK("https://twitter.com/innovationbawue","@innovationbawue")</f>
        <v>@innovationbawue</v>
      </c>
      <c r="C879" s="8" t="s">
        <v>1173</v>
      </c>
      <c r="D879" s="9" t="s">
        <v>1894</v>
      </c>
      <c r="E879" s="10" t="str">
        <f>HYPERLINK("https://twitter.com/innovationbawue/status/722077640656580609","722077640656580609")</f>
        <v>722077640656580609</v>
      </c>
      <c r="F879" s="11" t="s">
        <v>59</v>
      </c>
      <c r="G879" s="11">
        <v>210</v>
      </c>
      <c r="H879" s="11">
        <v>353</v>
      </c>
      <c r="I879" s="11">
        <v>3</v>
      </c>
      <c r="J879" s="11">
        <v>1</v>
      </c>
      <c r="K879" s="11" t="s">
        <v>21</v>
      </c>
      <c r="L879" s="7">
        <v>42380.713946759264</v>
      </c>
      <c r="M879" s="12" t="s">
        <v>985</v>
      </c>
      <c r="N879" s="12" t="s">
        <v>1175</v>
      </c>
      <c r="O879" s="10" t="str">
        <f>HYPERLINK("https://pbs.twimg.com/profile_images/719538951988592641/7lKnB2dG_normal.jpg","View")</f>
        <v>View</v>
      </c>
      <c r="P879" s="11"/>
    </row>
    <row r="880" spans="1:16" ht="12.75" x14ac:dyDescent="0.35">
      <c r="A880" s="7">
        <v>42478.856562500005</v>
      </c>
      <c r="B880" s="8" t="str">
        <f>HYPERLINK("https://twitter.com/bengolder","@bengolder")</f>
        <v>@bengolder</v>
      </c>
      <c r="C880" s="9" t="s">
        <v>614</v>
      </c>
      <c r="D880" s="9" t="s">
        <v>1895</v>
      </c>
      <c r="E880" s="10" t="str">
        <f>HYPERLINK("https://twitter.com/bengolder/status/722078094232809473","722078094232809473")</f>
        <v>722078094232809473</v>
      </c>
      <c r="F880" s="11" t="s">
        <v>31</v>
      </c>
      <c r="G880" s="11">
        <v>590</v>
      </c>
      <c r="H880" s="11">
        <v>1539</v>
      </c>
      <c r="I880" s="11">
        <v>0</v>
      </c>
      <c r="J880" s="11">
        <v>1</v>
      </c>
      <c r="K880" s="11" t="s">
        <v>21</v>
      </c>
      <c r="L880" s="7">
        <v>40882.226898148147</v>
      </c>
      <c r="M880" s="12"/>
      <c r="N880" s="12" t="s">
        <v>616</v>
      </c>
      <c r="O880" s="10" t="str">
        <f>HYPERLINK("https://pbs.twimg.com/profile_images/719524881973571584/Qe9-Bm8r_normal.jpg","View")</f>
        <v>View</v>
      </c>
      <c r="P880" s="11"/>
    </row>
    <row r="881" spans="1:16" ht="12.75" x14ac:dyDescent="0.35">
      <c r="A881" s="7">
        <v>42478.864351851851</v>
      </c>
      <c r="B881" s="8" t="str">
        <f>HYPERLINK("https://twitter.com/GeRosenthal","@GeRosenthal")</f>
        <v>@GeRosenthal</v>
      </c>
      <c r="C881" s="9" t="s">
        <v>1896</v>
      </c>
      <c r="D881" s="9" t="s">
        <v>1897</v>
      </c>
      <c r="E881" s="10" t="str">
        <f>HYPERLINK("https://twitter.com/GeRosenthal/status/722080914684166144","722080914684166144")</f>
        <v>722080914684166144</v>
      </c>
      <c r="F881" s="11" t="s">
        <v>25</v>
      </c>
      <c r="G881" s="11">
        <v>49</v>
      </c>
      <c r="H881" s="11">
        <v>111</v>
      </c>
      <c r="I881" s="11">
        <v>1</v>
      </c>
      <c r="J881" s="11">
        <v>1</v>
      </c>
      <c r="K881" s="11" t="s">
        <v>21</v>
      </c>
      <c r="L881" s="7">
        <v>42412.690381944441</v>
      </c>
      <c r="M881" s="12" t="s">
        <v>1898</v>
      </c>
      <c r="N881" s="12" t="s">
        <v>1899</v>
      </c>
      <c r="O881" s="10" t="str">
        <f>HYPERLINK("https://pbs.twimg.com/profile_images/698101534865940480/LqPcDlzV_normal.jpg","View")</f>
        <v>View</v>
      </c>
      <c r="P881" s="11"/>
    </row>
    <row r="882" spans="1:16" ht="12.75" x14ac:dyDescent="0.35">
      <c r="A882" s="7">
        <v>42478.865810185191</v>
      </c>
      <c r="B882" s="8" t="str">
        <f>HYPERLINK("https://twitter.com/Gruendercoaches","@Gruendercoaches")</f>
        <v>@Gruendercoaches</v>
      </c>
      <c r="C882" s="9" t="s">
        <v>987</v>
      </c>
      <c r="D882" s="9" t="s">
        <v>1874</v>
      </c>
      <c r="E882" s="10" t="str">
        <f>HYPERLINK("https://twitter.com/Gruendercoaches/status/722081443007045633","722081443007045633")</f>
        <v>722081443007045633</v>
      </c>
      <c r="F882" s="11" t="s">
        <v>20</v>
      </c>
      <c r="G882" s="11">
        <v>4951</v>
      </c>
      <c r="H882" s="11">
        <v>1604</v>
      </c>
      <c r="I882" s="11">
        <v>6</v>
      </c>
      <c r="J882" s="11">
        <v>0</v>
      </c>
      <c r="K882" s="11" t="s">
        <v>21</v>
      </c>
      <c r="L882" s="7">
        <v>40865.780300925922</v>
      </c>
      <c r="M882" s="12" t="s">
        <v>218</v>
      </c>
      <c r="N882" s="12" t="s">
        <v>988</v>
      </c>
      <c r="O882" s="10" t="str">
        <f>HYPERLINK("https://pbs.twimg.com/profile_images/561208179355185153/11KDu7Gt_normal.png","View")</f>
        <v>View</v>
      </c>
      <c r="P882" s="11"/>
    </row>
    <row r="883" spans="1:16" ht="12.75" x14ac:dyDescent="0.35">
      <c r="A883" s="7">
        <v>42478.866689814815</v>
      </c>
      <c r="B883" s="8" t="str">
        <f>HYPERLINK("https://twitter.com/BoschGlobal","@BoschGlobal")</f>
        <v>@BoschGlobal</v>
      </c>
      <c r="C883" s="9" t="s">
        <v>1900</v>
      </c>
      <c r="D883" s="9" t="s">
        <v>1901</v>
      </c>
      <c r="E883" s="10" t="str">
        <f>HYPERLINK("https://twitter.com/BoschGlobal/status/722081764303310848","722081764303310848")</f>
        <v>722081764303310848</v>
      </c>
      <c r="F883" s="11" t="s">
        <v>115</v>
      </c>
      <c r="G883" s="11">
        <v>127616</v>
      </c>
      <c r="H883" s="11">
        <v>274</v>
      </c>
      <c r="I883" s="11">
        <v>18</v>
      </c>
      <c r="J883" s="11">
        <v>16</v>
      </c>
      <c r="K883" s="11" t="s">
        <v>21</v>
      </c>
      <c r="L883" s="7">
        <v>40500.720520833333</v>
      </c>
      <c r="M883" s="12" t="s">
        <v>162</v>
      </c>
      <c r="N883" s="12" t="s">
        <v>1902</v>
      </c>
      <c r="O883" s="10" t="str">
        <f>HYPERLINK("https://pbs.twimg.com/profile_images/1521890851/logo_normal.jpg","View")</f>
        <v>View</v>
      </c>
      <c r="P883" s="11"/>
    </row>
    <row r="884" spans="1:16" ht="12.75" x14ac:dyDescent="0.35">
      <c r="A884" s="7">
        <v>42478.867002314815</v>
      </c>
      <c r="B884" s="8" t="str">
        <f>HYPERLINK("https://twitter.com/haiyendang","@haiyendang")</f>
        <v>@haiyendang</v>
      </c>
      <c r="C884" s="9" t="s">
        <v>1903</v>
      </c>
      <c r="D884" s="9" t="s">
        <v>1904</v>
      </c>
      <c r="E884" s="10" t="str">
        <f>HYPERLINK("https://twitter.com/haiyendang/status/722081877134348289","722081877134348289")</f>
        <v>722081877134348289</v>
      </c>
      <c r="F884" s="11" t="s">
        <v>501</v>
      </c>
      <c r="G884" s="11">
        <v>724</v>
      </c>
      <c r="H884" s="11">
        <v>2583</v>
      </c>
      <c r="I884" s="11">
        <v>18</v>
      </c>
      <c r="J884" s="11">
        <v>0</v>
      </c>
      <c r="K884" s="11" t="s">
        <v>21</v>
      </c>
      <c r="L884" s="7">
        <v>40459.659328703703</v>
      </c>
      <c r="M884" s="12" t="s">
        <v>1905</v>
      </c>
      <c r="N884" s="12" t="s">
        <v>1906</v>
      </c>
      <c r="O884" s="10" t="str">
        <f>HYPERLINK("https://pbs.twimg.com/profile_images/645957961496399872/prwDlMPS_normal.jpg","View")</f>
        <v>View</v>
      </c>
      <c r="P884" s="11"/>
    </row>
    <row r="885" spans="1:16" ht="12.75" x14ac:dyDescent="0.35">
      <c r="A885" s="7">
        <v>42478.867488425924</v>
      </c>
      <c r="B885" s="8" t="str">
        <f>HYPERLINK("https://twitter.com/SmartAutomati0n","@SmartAutomati0n")</f>
        <v>@SmartAutomati0n</v>
      </c>
      <c r="C885" s="9" t="s">
        <v>1907</v>
      </c>
      <c r="D885" s="9" t="s">
        <v>1908</v>
      </c>
      <c r="E885" s="10" t="str">
        <f>HYPERLINK("https://twitter.com/SmartAutomati0n/status/722082051554279424","722082051554279424")</f>
        <v>722082051554279424</v>
      </c>
      <c r="F885" s="11" t="s">
        <v>1712</v>
      </c>
      <c r="G885" s="11">
        <v>6</v>
      </c>
      <c r="H885" s="11">
        <v>14</v>
      </c>
      <c r="I885" s="11">
        <v>1</v>
      </c>
      <c r="J885" s="11">
        <v>0</v>
      </c>
      <c r="K885" s="11" t="s">
        <v>21</v>
      </c>
      <c r="L885" s="7">
        <v>42037.777604166666</v>
      </c>
      <c r="M885" s="12"/>
      <c r="N885" s="12"/>
      <c r="O885" s="10" t="str">
        <f>HYPERLINK("https://pbs.twimg.com/profile_images/562236665897291777/ArzSiANk_normal.png","View")</f>
        <v>View</v>
      </c>
      <c r="P885" s="11"/>
    </row>
    <row r="886" spans="1:16" ht="12.75" x14ac:dyDescent="0.35">
      <c r="A886" s="7">
        <v>42478.867488425924</v>
      </c>
      <c r="B886" s="8" t="str">
        <f>HYPERLINK("https://twitter.com/lutzrach","@lutzrach")</f>
        <v>@lutzrach</v>
      </c>
      <c r="C886" s="9" t="s">
        <v>1909</v>
      </c>
      <c r="D886" s="9" t="s">
        <v>1904</v>
      </c>
      <c r="E886" s="10" t="str">
        <f>HYPERLINK("https://twitter.com/lutzrach/status/722082052938559492","722082052938559492")</f>
        <v>722082052938559492</v>
      </c>
      <c r="F886" s="11" t="s">
        <v>25</v>
      </c>
      <c r="G886" s="11">
        <v>196</v>
      </c>
      <c r="H886" s="11">
        <v>647</v>
      </c>
      <c r="I886" s="11">
        <v>18</v>
      </c>
      <c r="J886" s="11">
        <v>0</v>
      </c>
      <c r="K886" s="11" t="s">
        <v>21</v>
      </c>
      <c r="L886" s="7">
        <v>39924.669305555552</v>
      </c>
      <c r="M886" s="12" t="s">
        <v>1910</v>
      </c>
      <c r="N886" s="12" t="s">
        <v>1911</v>
      </c>
      <c r="O886" s="10" t="str">
        <f>HYPERLINK("https://pbs.twimg.com/profile_images/720402539955560448/s_pUNvlD_normal.jpg","View")</f>
        <v>View</v>
      </c>
      <c r="P886" s="11"/>
    </row>
    <row r="887" spans="1:16" ht="12.75" x14ac:dyDescent="0.35">
      <c r="A887" s="7">
        <v>42478.868854166663</v>
      </c>
      <c r="B887" s="8" t="str">
        <f t="shared" ref="B887:B889" si="102">HYPERLINK("https://twitter.com/INDIZbot","@INDIZbot")</f>
        <v>@INDIZbot</v>
      </c>
      <c r="C887" s="9" t="s">
        <v>61</v>
      </c>
      <c r="D887" s="9" t="s">
        <v>1912</v>
      </c>
      <c r="E887" s="10" t="str">
        <f>HYPERLINK("https://twitter.com/INDIZbot/status/722082545425326081","722082545425326081")</f>
        <v>722082545425326081</v>
      </c>
      <c r="F887" s="11" t="s">
        <v>62</v>
      </c>
      <c r="G887" s="11">
        <v>1762</v>
      </c>
      <c r="H887" s="11">
        <v>481</v>
      </c>
      <c r="I887" s="11">
        <v>1</v>
      </c>
      <c r="J887" s="11">
        <v>0</v>
      </c>
      <c r="K887" s="11" t="s">
        <v>21</v>
      </c>
      <c r="L887" s="7">
        <v>42267.011921296296</v>
      </c>
      <c r="M887" s="12"/>
      <c r="N887" s="12" t="s">
        <v>63</v>
      </c>
      <c r="O887" s="10" t="str">
        <f t="shared" ref="O887:O889" si="103">HYPERLINK("https://pbs.twimg.com/profile_images/645716711723925506/t5G0qOS6_normal.jpg","View")</f>
        <v>View</v>
      </c>
      <c r="P887" s="11"/>
    </row>
    <row r="888" spans="1:16" ht="12.75" x14ac:dyDescent="0.35">
      <c r="A888" s="7">
        <v>42478.869444444441</v>
      </c>
      <c r="B888" s="8" t="str">
        <f t="shared" si="102"/>
        <v>@INDIZbot</v>
      </c>
      <c r="C888" s="9" t="s">
        <v>61</v>
      </c>
      <c r="D888" s="9" t="s">
        <v>1874</v>
      </c>
      <c r="E888" s="10" t="str">
        <f>HYPERLINK("https://twitter.com/INDIZbot/status/722082758886060034","722082758886060034")</f>
        <v>722082758886060034</v>
      </c>
      <c r="F888" s="11" t="s">
        <v>62</v>
      </c>
      <c r="G888" s="11">
        <v>1762</v>
      </c>
      <c r="H888" s="11">
        <v>481</v>
      </c>
      <c r="I888" s="11">
        <v>6</v>
      </c>
      <c r="J888" s="11">
        <v>0</v>
      </c>
      <c r="K888" s="11" t="s">
        <v>21</v>
      </c>
      <c r="L888" s="7">
        <v>42267.011921296296</v>
      </c>
      <c r="M888" s="12"/>
      <c r="N888" s="12" t="s">
        <v>63</v>
      </c>
      <c r="O888" s="10" t="str">
        <f t="shared" si="103"/>
        <v>View</v>
      </c>
      <c r="P888" s="11"/>
    </row>
    <row r="889" spans="1:16" ht="12.75" x14ac:dyDescent="0.35">
      <c r="A889" s="7">
        <v>42478.870081018518</v>
      </c>
      <c r="B889" s="8" t="str">
        <f t="shared" si="102"/>
        <v>@INDIZbot</v>
      </c>
      <c r="C889" s="9" t="s">
        <v>61</v>
      </c>
      <c r="D889" s="9" t="s">
        <v>1913</v>
      </c>
      <c r="E889" s="10" t="str">
        <f>HYPERLINK("https://twitter.com/INDIZbot/status/722082990885584896","722082990885584896")</f>
        <v>722082990885584896</v>
      </c>
      <c r="F889" s="11" t="s">
        <v>62</v>
      </c>
      <c r="G889" s="11">
        <v>1762</v>
      </c>
      <c r="H889" s="11">
        <v>481</v>
      </c>
      <c r="I889" s="11">
        <v>1</v>
      </c>
      <c r="J889" s="11">
        <v>0</v>
      </c>
      <c r="K889" s="11" t="s">
        <v>21</v>
      </c>
      <c r="L889" s="7">
        <v>42267.011921296296</v>
      </c>
      <c r="M889" s="12"/>
      <c r="N889" s="12" t="s">
        <v>63</v>
      </c>
      <c r="O889" s="10" t="str">
        <f t="shared" si="103"/>
        <v>View</v>
      </c>
      <c r="P889" s="11"/>
    </row>
    <row r="890" spans="1:16" ht="12.75" x14ac:dyDescent="0.35">
      <c r="A890" s="7">
        <v>42478.874456018515</v>
      </c>
      <c r="B890" s="8" t="str">
        <f>HYPERLINK("https://twitter.com/LNI40","@LNI40")</f>
        <v>@LNI40</v>
      </c>
      <c r="C890" s="9" t="s">
        <v>1888</v>
      </c>
      <c r="D890" s="9" t="s">
        <v>1914</v>
      </c>
      <c r="E890" s="10" t="str">
        <f>HYPERLINK("https://twitter.com/LNI40/status/722084576521281536","722084576521281536")</f>
        <v>722084576521281536</v>
      </c>
      <c r="F890" s="11" t="s">
        <v>31</v>
      </c>
      <c r="G890" s="11">
        <v>36</v>
      </c>
      <c r="H890" s="11">
        <v>229</v>
      </c>
      <c r="I890" s="11">
        <v>5</v>
      </c>
      <c r="J890" s="11">
        <v>0</v>
      </c>
      <c r="K890" s="11" t="s">
        <v>21</v>
      </c>
      <c r="L890" s="7">
        <v>42477.465578703705</v>
      </c>
      <c r="M890" s="12" t="s">
        <v>227</v>
      </c>
      <c r="N890" s="12" t="s">
        <v>1889</v>
      </c>
      <c r="O890" s="10" t="str">
        <f>HYPERLINK("https://pbs.twimg.com/profile_images/722098538604281856/CcBxk1_M_normal.jpg","View")</f>
        <v>View</v>
      </c>
      <c r="P890" s="11"/>
    </row>
    <row r="891" spans="1:16" ht="12.75" x14ac:dyDescent="0.35">
      <c r="A891" s="7">
        <v>42478.876261574071</v>
      </c>
      <c r="B891" s="8" t="str">
        <f>HYPERLINK("https://twitter.com/VDMAonline","@VDMAonline")</f>
        <v>@VDMAonline</v>
      </c>
      <c r="C891" s="9" t="s">
        <v>191</v>
      </c>
      <c r="D891" s="9" t="s">
        <v>1769</v>
      </c>
      <c r="E891" s="10" t="str">
        <f>HYPERLINK("https://twitter.com/VDMAonline/status/722085232388751360","722085232388751360")</f>
        <v>722085232388751360</v>
      </c>
      <c r="F891" s="11" t="s">
        <v>31</v>
      </c>
      <c r="G891" s="11">
        <v>6793</v>
      </c>
      <c r="H891" s="11">
        <v>4</v>
      </c>
      <c r="I891" s="11">
        <v>6</v>
      </c>
      <c r="J891" s="11">
        <v>0</v>
      </c>
      <c r="K891" s="11" t="s">
        <v>21</v>
      </c>
      <c r="L891" s="7">
        <v>39932.616342592592</v>
      </c>
      <c r="M891" s="12" t="s">
        <v>49</v>
      </c>
      <c r="N891" s="12" t="s">
        <v>193</v>
      </c>
      <c r="O891" s="10" t="str">
        <f>HYPERLINK("https://pbs.twimg.com/profile_images/609375510158774272/P5glOk4b_normal.jpg","View")</f>
        <v>View</v>
      </c>
      <c r="P891" s="11"/>
    </row>
    <row r="892" spans="1:16" ht="12.75" x14ac:dyDescent="0.35">
      <c r="A892" s="7">
        <v>42478.876377314809</v>
      </c>
      <c r="B892" s="8" t="str">
        <f>HYPERLINK("https://twitter.com/INDIZbot","@INDIZbot")</f>
        <v>@INDIZbot</v>
      </c>
      <c r="C892" s="9" t="s">
        <v>61</v>
      </c>
      <c r="D892" s="9" t="s">
        <v>1914</v>
      </c>
      <c r="E892" s="10" t="str">
        <f>HYPERLINK("https://twitter.com/INDIZbot/status/722085272893136896","722085272893136896")</f>
        <v>722085272893136896</v>
      </c>
      <c r="F892" s="11" t="s">
        <v>62</v>
      </c>
      <c r="G892" s="11">
        <v>1762</v>
      </c>
      <c r="H892" s="11">
        <v>481</v>
      </c>
      <c r="I892" s="11">
        <v>5</v>
      </c>
      <c r="J892" s="11">
        <v>0</v>
      </c>
      <c r="K892" s="11" t="s">
        <v>21</v>
      </c>
      <c r="L892" s="7">
        <v>42267.011921296296</v>
      </c>
      <c r="M892" s="12"/>
      <c r="N892" s="12" t="s">
        <v>63</v>
      </c>
      <c r="O892" s="10" t="str">
        <f>HYPERLINK("https://pbs.twimg.com/profile_images/645716711723925506/t5G0qOS6_normal.jpg","View")</f>
        <v>View</v>
      </c>
      <c r="P892" s="11"/>
    </row>
    <row r="893" spans="1:16" ht="12.75" x14ac:dyDescent="0.35">
      <c r="A893" s="7">
        <v>42478.880243055552</v>
      </c>
      <c r="B893" s="8" t="str">
        <f>HYPERLINK("https://twitter.com/H_IT_D","@H_IT_D")</f>
        <v>@H_IT_D</v>
      </c>
      <c r="C893" s="9" t="s">
        <v>159</v>
      </c>
      <c r="D893" s="9" t="s">
        <v>1915</v>
      </c>
      <c r="E893" s="10" t="str">
        <f>HYPERLINK("https://twitter.com/H_IT_D/status/722086673090158592","722086673090158592")</f>
        <v>722086673090158592</v>
      </c>
      <c r="F893" s="11" t="s">
        <v>161</v>
      </c>
      <c r="G893" s="11">
        <v>463</v>
      </c>
      <c r="H893" s="11">
        <v>467</v>
      </c>
      <c r="I893" s="11">
        <v>1</v>
      </c>
      <c r="J893" s="11">
        <v>0</v>
      </c>
      <c r="K893" s="11" t="s">
        <v>21</v>
      </c>
      <c r="L893" s="7">
        <v>40723.867673611108</v>
      </c>
      <c r="M893" s="12" t="s">
        <v>162</v>
      </c>
      <c r="N893" s="12" t="s">
        <v>163</v>
      </c>
      <c r="O893" s="10" t="str">
        <f>HYPERLINK("https://pbs.twimg.com/profile_images/662723326096224256/5V4KH9_O_normal.jpg","View")</f>
        <v>View</v>
      </c>
      <c r="P893" s="11"/>
    </row>
    <row r="894" spans="1:16" ht="12.75" x14ac:dyDescent="0.35">
      <c r="A894" s="7">
        <v>42478.882951388892</v>
      </c>
      <c r="B894" s="8" t="str">
        <f>HYPERLINK("https://twitter.com/INDIZbot","@INDIZbot")</f>
        <v>@INDIZbot</v>
      </c>
      <c r="C894" s="9" t="s">
        <v>61</v>
      </c>
      <c r="D894" s="9" t="s">
        <v>1916</v>
      </c>
      <c r="E894" s="10" t="str">
        <f>HYPERLINK("https://twitter.com/INDIZbot/status/722087656604246016","722087656604246016")</f>
        <v>722087656604246016</v>
      </c>
      <c r="F894" s="11" t="s">
        <v>62</v>
      </c>
      <c r="G894" s="11">
        <v>1762</v>
      </c>
      <c r="H894" s="11">
        <v>481</v>
      </c>
      <c r="I894" s="11">
        <v>1</v>
      </c>
      <c r="J894" s="11">
        <v>0</v>
      </c>
      <c r="K894" s="11" t="s">
        <v>21</v>
      </c>
      <c r="L894" s="7">
        <v>42267.011921296296</v>
      </c>
      <c r="M894" s="12"/>
      <c r="N894" s="12" t="s">
        <v>63</v>
      </c>
      <c r="O894" s="10" t="str">
        <f>HYPERLINK("https://pbs.twimg.com/profile_images/645716711723925506/t5G0qOS6_normal.jpg","View")</f>
        <v>View</v>
      </c>
      <c r="P894" s="11"/>
    </row>
    <row r="895" spans="1:16" ht="12.75" x14ac:dyDescent="0.35">
      <c r="A895" s="7">
        <v>42478.893587962964</v>
      </c>
      <c r="B895" s="8" t="str">
        <f>HYPERLINK("https://twitter.com/Jautomatise","@Jautomatise")</f>
        <v>@Jautomatise</v>
      </c>
      <c r="C895" s="9" t="s">
        <v>1917</v>
      </c>
      <c r="D895" s="9" t="s">
        <v>1918</v>
      </c>
      <c r="E895" s="10" t="str">
        <f>HYPERLINK("https://twitter.com/Jautomatise/status/722091510121029632","722091510121029632")</f>
        <v>722091510121029632</v>
      </c>
      <c r="F895" s="11" t="s">
        <v>25</v>
      </c>
      <c r="G895" s="11">
        <v>167</v>
      </c>
      <c r="H895" s="11">
        <v>22</v>
      </c>
      <c r="I895" s="11">
        <v>0</v>
      </c>
      <c r="J895" s="11">
        <v>0</v>
      </c>
      <c r="K895" s="11" t="s">
        <v>21</v>
      </c>
      <c r="L895" s="7">
        <v>41039.831793981481</v>
      </c>
      <c r="M895" s="12"/>
      <c r="N895" s="12"/>
      <c r="O895" s="10" t="str">
        <f>HYPERLINK("https://pbs.twimg.com/profile_images/2206886263/jautomatise_logo_normal.png","View")</f>
        <v>View</v>
      </c>
      <c r="P895" s="11"/>
    </row>
    <row r="896" spans="1:16" ht="12.75" x14ac:dyDescent="0.35">
      <c r="A896" s="7">
        <v>42478.899236111116</v>
      </c>
      <c r="B896" s="8" t="str">
        <f>HYPERLINK("https://twitter.com/Siemens_SFS","@Siemens_SFS")</f>
        <v>@Siemens_SFS</v>
      </c>
      <c r="C896" s="9" t="s">
        <v>1919</v>
      </c>
      <c r="D896" s="9" t="s">
        <v>1920</v>
      </c>
      <c r="E896" s="10" t="str">
        <f>HYPERLINK("https://twitter.com/Siemens_SFS/status/722093558010888192","722093558010888192")</f>
        <v>722093558010888192</v>
      </c>
      <c r="F896" s="11" t="s">
        <v>25</v>
      </c>
      <c r="G896" s="11">
        <v>1685</v>
      </c>
      <c r="H896" s="11">
        <v>1049</v>
      </c>
      <c r="I896" s="11">
        <v>1</v>
      </c>
      <c r="J896" s="11">
        <v>0</v>
      </c>
      <c r="K896" s="11" t="s">
        <v>21</v>
      </c>
      <c r="L896" s="7">
        <v>41432.715752314813</v>
      </c>
      <c r="M896" s="12" t="s">
        <v>1148</v>
      </c>
      <c r="N896" s="12" t="s">
        <v>1921</v>
      </c>
      <c r="O896" s="10" t="str">
        <f>HYPERLINK("https://pbs.twimg.com/profile_images/464414275256070145/jE8OVTXo_normal.png","View")</f>
        <v>View</v>
      </c>
      <c r="P896" s="11"/>
    </row>
    <row r="897" spans="1:16" ht="12.75" x14ac:dyDescent="0.35">
      <c r="A897" s="7">
        <v>42478.899652777778</v>
      </c>
      <c r="B897" s="8" t="str">
        <f>HYPERLINK("https://twitter.com/Industry40","@Industry40")</f>
        <v>@Industry40</v>
      </c>
      <c r="C897" s="9" t="s">
        <v>1922</v>
      </c>
      <c r="D897" s="9" t="s">
        <v>1923</v>
      </c>
      <c r="E897" s="10" t="str">
        <f>HYPERLINK("https://twitter.com/Industry40/status/722093707386843136","722093707386843136")</f>
        <v>722093707386843136</v>
      </c>
      <c r="F897" s="11" t="s">
        <v>25</v>
      </c>
      <c r="G897" s="11">
        <v>2340</v>
      </c>
      <c r="H897" s="11">
        <v>333</v>
      </c>
      <c r="I897" s="11">
        <v>0</v>
      </c>
      <c r="J897" s="11">
        <v>0</v>
      </c>
      <c r="K897" s="11" t="s">
        <v>21</v>
      </c>
      <c r="L897" s="7">
        <v>41667.561759259261</v>
      </c>
      <c r="M897" s="12" t="s">
        <v>1924</v>
      </c>
      <c r="N897" s="12" t="s">
        <v>1925</v>
      </c>
      <c r="O897" s="10" t="str">
        <f>HYPERLINK("https://pbs.twimg.com/profile_images/613472305570824192/BKw639DG_normal.png","View")</f>
        <v>View</v>
      </c>
      <c r="P897" s="11"/>
    </row>
    <row r="898" spans="1:16" ht="12.75" x14ac:dyDescent="0.35">
      <c r="A898" s="7">
        <v>42478.905601851853</v>
      </c>
      <c r="B898" s="8" t="str">
        <f>HYPERLINK("https://twitter.com/DanielDomigall","@DanielDomigall")</f>
        <v>@DanielDomigall</v>
      </c>
      <c r="C898" s="9" t="s">
        <v>1926</v>
      </c>
      <c r="D898" s="9" t="s">
        <v>1871</v>
      </c>
      <c r="E898" s="10" t="str">
        <f>HYPERLINK("https://twitter.com/DanielDomigall/status/722095865318502400","722095865318502400")</f>
        <v>722095865318502400</v>
      </c>
      <c r="F898" s="11" t="s">
        <v>31</v>
      </c>
      <c r="G898" s="11">
        <v>4</v>
      </c>
      <c r="H898" s="11">
        <v>19</v>
      </c>
      <c r="I898" s="11">
        <v>2</v>
      </c>
      <c r="J898" s="11">
        <v>0</v>
      </c>
      <c r="K898" s="11" t="s">
        <v>21</v>
      </c>
      <c r="L898" s="7">
        <v>42379.660057870366</v>
      </c>
      <c r="M898" s="12" t="s">
        <v>1927</v>
      </c>
      <c r="N898" s="12"/>
      <c r="O898" s="10" t="str">
        <f>HYPERLINK("https://pbs.twimg.com/profile_images/686153219328872448/sWdOqu2g_normal.jpg","View")</f>
        <v>View</v>
      </c>
      <c r="P898" s="11"/>
    </row>
    <row r="899" spans="1:16" ht="12.75" x14ac:dyDescent="0.35">
      <c r="A899" s="7">
        <v>42478.9059837963</v>
      </c>
      <c r="B899" s="8" t="str">
        <f>HYPERLINK("https://twitter.com/mbesch","@mbesch")</f>
        <v>@mbesch</v>
      </c>
      <c r="C899" s="9" t="s">
        <v>1589</v>
      </c>
      <c r="D899" s="9" t="s">
        <v>1928</v>
      </c>
      <c r="E899" s="10" t="str">
        <f>HYPERLINK("https://twitter.com/mbesch/status/722096001012645889","722096001012645889")</f>
        <v>722096001012645889</v>
      </c>
      <c r="F899" s="11" t="s">
        <v>1929</v>
      </c>
      <c r="G899" s="11">
        <v>2531</v>
      </c>
      <c r="H899" s="11">
        <v>2518</v>
      </c>
      <c r="I899" s="11">
        <v>0</v>
      </c>
      <c r="J899" s="11">
        <v>0</v>
      </c>
      <c r="K899" s="11" t="s">
        <v>21</v>
      </c>
      <c r="L899" s="7">
        <v>39712.606064814812</v>
      </c>
      <c r="M899" s="12" t="s">
        <v>1591</v>
      </c>
      <c r="N899" s="12" t="s">
        <v>1592</v>
      </c>
      <c r="O899" s="10" t="str">
        <f>HYPERLINK("https://pbs.twimg.com/profile_images/378800000095428642/8ef0ce9ca980b41ef8db86c5e546114f_normal.jpeg","View")</f>
        <v>View</v>
      </c>
      <c r="P899" s="11"/>
    </row>
    <row r="900" spans="1:16" ht="12.75" x14ac:dyDescent="0.35">
      <c r="A900" s="7">
        <v>42478.909872685181</v>
      </c>
      <c r="B900" s="8" t="str">
        <f>HYPERLINK("https://twitter.com/LNI40","@LNI40")</f>
        <v>@LNI40</v>
      </c>
      <c r="C900" s="9" t="s">
        <v>1888</v>
      </c>
      <c r="D900" s="9" t="s">
        <v>1930</v>
      </c>
      <c r="E900" s="10" t="str">
        <f>HYPERLINK("https://twitter.com/LNI40/status/722097410168762368","722097410168762368")</f>
        <v>722097410168762368</v>
      </c>
      <c r="F900" s="11" t="s">
        <v>25</v>
      </c>
      <c r="G900" s="11">
        <v>36</v>
      </c>
      <c r="H900" s="11">
        <v>229</v>
      </c>
      <c r="I900" s="11">
        <v>2</v>
      </c>
      <c r="J900" s="11">
        <v>0</v>
      </c>
      <c r="K900" s="11" t="s">
        <v>21</v>
      </c>
      <c r="L900" s="7">
        <v>42477.465578703705</v>
      </c>
      <c r="M900" s="12" t="s">
        <v>227</v>
      </c>
      <c r="N900" s="12" t="s">
        <v>1889</v>
      </c>
      <c r="O900" s="10" t="str">
        <f>HYPERLINK("https://pbs.twimg.com/profile_images/722098538604281856/CcBxk1_M_normal.jpg","View")</f>
        <v>View</v>
      </c>
      <c r="P900" s="11"/>
    </row>
    <row r="901" spans="1:16" ht="12.75" x14ac:dyDescent="0.35">
      <c r="A901" s="7">
        <v>42478.910532407404</v>
      </c>
      <c r="B901" s="8" t="str">
        <f>HYPERLINK("https://twitter.com/INDIZbot","@INDIZbot")</f>
        <v>@INDIZbot</v>
      </c>
      <c r="C901" s="9" t="s">
        <v>61</v>
      </c>
      <c r="D901" s="9" t="s">
        <v>1931</v>
      </c>
      <c r="E901" s="10" t="str">
        <f>HYPERLINK("https://twitter.com/INDIZbot/status/722097651022458880","722097651022458880")</f>
        <v>722097651022458880</v>
      </c>
      <c r="F901" s="11" t="s">
        <v>62</v>
      </c>
      <c r="G901" s="11">
        <v>1762</v>
      </c>
      <c r="H901" s="11">
        <v>481</v>
      </c>
      <c r="I901" s="11">
        <v>2</v>
      </c>
      <c r="J901" s="11">
        <v>0</v>
      </c>
      <c r="K901" s="11" t="s">
        <v>21</v>
      </c>
      <c r="L901" s="7">
        <v>42267.011921296296</v>
      </c>
      <c r="M901" s="12"/>
      <c r="N901" s="12" t="s">
        <v>63</v>
      </c>
      <c r="O901" s="10" t="str">
        <f>HYPERLINK("https://pbs.twimg.com/profile_images/645716711723925506/t5G0qOS6_normal.jpg","View")</f>
        <v>View</v>
      </c>
      <c r="P901" s="11"/>
    </row>
    <row r="902" spans="1:16" ht="12.75" x14ac:dyDescent="0.35">
      <c r="A902" s="7">
        <v>42478.910787037035</v>
      </c>
      <c r="B902" s="8" t="str">
        <f>HYPERLINK("https://twitter.com/VR_Nachrichten","@VR_Nachrichten")</f>
        <v>@VR_Nachrichten</v>
      </c>
      <c r="C902" s="9" t="s">
        <v>1932</v>
      </c>
      <c r="D902" s="9" t="s">
        <v>1594</v>
      </c>
      <c r="E902" s="10" t="str">
        <f>HYPERLINK("https://twitter.com/VR_Nachrichten/status/722097744907792384","722097744907792384")</f>
        <v>722097744907792384</v>
      </c>
      <c r="F902" s="11" t="s">
        <v>20</v>
      </c>
      <c r="G902" s="11">
        <v>264</v>
      </c>
      <c r="H902" s="11">
        <v>110</v>
      </c>
      <c r="I902" s="11">
        <v>7</v>
      </c>
      <c r="J902" s="11">
        <v>0</v>
      </c>
      <c r="K902" s="11" t="s">
        <v>21</v>
      </c>
      <c r="L902" s="7">
        <v>41823.660057870373</v>
      </c>
      <c r="M902" s="12" t="s">
        <v>1933</v>
      </c>
      <c r="N902" s="12" t="s">
        <v>1934</v>
      </c>
      <c r="O902" s="10" t="str">
        <f>HYPERLINK("https://pbs.twimg.com/profile_images/647332458573099008/HN8uONVI_normal.jpg","View")</f>
        <v>View</v>
      </c>
      <c r="P902" s="11"/>
    </row>
    <row r="903" spans="1:16" ht="12.75" x14ac:dyDescent="0.35">
      <c r="A903" s="7">
        <v>42478.912048611106</v>
      </c>
      <c r="B903" s="8" t="str">
        <f>HYPERLINK("https://twitter.com/iamGuruprasadS","@iamGuruprasadS")</f>
        <v>@iamGuruprasadS</v>
      </c>
      <c r="C903" s="9" t="s">
        <v>1935</v>
      </c>
      <c r="D903" s="9" t="s">
        <v>1904</v>
      </c>
      <c r="E903" s="10" t="str">
        <f>HYPERLINK("https://twitter.com/iamGuruprasadS/status/722098201889804290","722098201889804290")</f>
        <v>722098201889804290</v>
      </c>
      <c r="F903" s="11" t="s">
        <v>20</v>
      </c>
      <c r="G903" s="11">
        <v>50</v>
      </c>
      <c r="H903" s="11">
        <v>97</v>
      </c>
      <c r="I903" s="11">
        <v>18</v>
      </c>
      <c r="J903" s="11">
        <v>0</v>
      </c>
      <c r="K903" s="11" t="s">
        <v>21</v>
      </c>
      <c r="L903" s="7">
        <v>41076.792245370372</v>
      </c>
      <c r="M903" s="12" t="s">
        <v>1936</v>
      </c>
      <c r="N903" s="12" t="s">
        <v>1937</v>
      </c>
      <c r="O903" s="10" t="str">
        <f>HYPERLINK("https://pbs.twimg.com/profile_images/633603281168695296/UhK5NdQY_normal.jpg","View")</f>
        <v>View</v>
      </c>
      <c r="P903" s="11"/>
    </row>
    <row r="904" spans="1:16" ht="12.75" x14ac:dyDescent="0.35">
      <c r="A904" s="7">
        <v>42478.913090277776</v>
      </c>
      <c r="B904" s="8" t="str">
        <f>HYPERLINK("https://twitter.com/openHPI","@openHPI")</f>
        <v>@openHPI</v>
      </c>
      <c r="C904" s="9" t="s">
        <v>1381</v>
      </c>
      <c r="D904" s="9" t="s">
        <v>1938</v>
      </c>
      <c r="E904" s="10" t="str">
        <f>HYPERLINK("https://twitter.com/openHPI/status/722098576109801472","722098576109801472")</f>
        <v>722098576109801472</v>
      </c>
      <c r="F904" s="11" t="s">
        <v>39</v>
      </c>
      <c r="G904" s="11">
        <v>1568</v>
      </c>
      <c r="H904" s="11">
        <v>57</v>
      </c>
      <c r="I904" s="11">
        <v>0</v>
      </c>
      <c r="J904" s="11">
        <v>0</v>
      </c>
      <c r="K904" s="11" t="s">
        <v>21</v>
      </c>
      <c r="L904" s="7">
        <v>41191.624803240738</v>
      </c>
      <c r="M904" s="12" t="s">
        <v>1383</v>
      </c>
      <c r="N904" s="12" t="s">
        <v>1384</v>
      </c>
      <c r="O904" s="10" t="str">
        <f>HYPERLINK("https://pbs.twimg.com/profile_images/378800000827898552/669f90369b095789252ae6f0649bc39a_normal.png","View")</f>
        <v>View</v>
      </c>
      <c r="P904" s="11"/>
    </row>
    <row r="905" spans="1:16" ht="12.75" x14ac:dyDescent="0.35">
      <c r="A905" s="7">
        <v>42478.921400462961</v>
      </c>
      <c r="B905" s="8" t="str">
        <f>HYPERLINK("https://twitter.com/Bitkom_aero","@Bitkom_aero")</f>
        <v>@Bitkom_aero</v>
      </c>
      <c r="C905" s="9" t="s">
        <v>1939</v>
      </c>
      <c r="D905" s="9" t="s">
        <v>1874</v>
      </c>
      <c r="E905" s="10" t="str">
        <f>HYPERLINK("https://twitter.com/Bitkom_aero/status/722101588349886464","722101588349886464")</f>
        <v>722101588349886464</v>
      </c>
      <c r="F905" s="11" t="s">
        <v>31</v>
      </c>
      <c r="G905" s="11">
        <v>2540</v>
      </c>
      <c r="H905" s="11">
        <v>4996</v>
      </c>
      <c r="I905" s="11">
        <v>6</v>
      </c>
      <c r="J905" s="11">
        <v>0</v>
      </c>
      <c r="K905" s="11" t="s">
        <v>21</v>
      </c>
      <c r="L905" s="7">
        <v>42419.568993055553</v>
      </c>
      <c r="M905" s="12"/>
      <c r="N905" s="12" t="s">
        <v>1940</v>
      </c>
      <c r="O905" s="10" t="str">
        <f>HYPERLINK("https://pbs.twimg.com/profile_images/700593402220392448/latFpFg9_normal.jpg","View")</f>
        <v>View</v>
      </c>
      <c r="P905" s="11"/>
    </row>
    <row r="906" spans="1:16" ht="12.75" x14ac:dyDescent="0.35">
      <c r="A906" s="7">
        <v>42478.925011574072</v>
      </c>
      <c r="B906" s="8" t="str">
        <f>HYPERLINK("https://twitter.com/M_Sauermann","@M_Sauermann")</f>
        <v>@M_Sauermann</v>
      </c>
      <c r="C906" s="9" t="s">
        <v>1941</v>
      </c>
      <c r="D906" s="9" t="s">
        <v>1942</v>
      </c>
      <c r="E906" s="10" t="str">
        <f>HYPERLINK("https://twitter.com/M_Sauermann/status/722102896943370241","722102896943370241")</f>
        <v>722102896943370241</v>
      </c>
      <c r="F906" s="11" t="s">
        <v>25</v>
      </c>
      <c r="G906" s="11">
        <v>253</v>
      </c>
      <c r="H906" s="11">
        <v>525</v>
      </c>
      <c r="I906" s="11">
        <v>0</v>
      </c>
      <c r="J906" s="11">
        <v>0</v>
      </c>
      <c r="K906" s="11" t="s">
        <v>21</v>
      </c>
      <c r="L906" s="7">
        <v>41160.792118055557</v>
      </c>
      <c r="M906" s="12" t="s">
        <v>1943</v>
      </c>
      <c r="N906" s="12" t="s">
        <v>1944</v>
      </c>
      <c r="O906" s="10" t="str">
        <f>HYPERLINK("https://pbs.twimg.com/profile_images/713325797600280577/RkFuAs4X_normal.jpg","View")</f>
        <v>View</v>
      </c>
      <c r="P906" s="11"/>
    </row>
    <row r="907" spans="1:16" ht="12.75" x14ac:dyDescent="0.35">
      <c r="A907" s="7">
        <v>42478.929189814815</v>
      </c>
      <c r="B907" s="8" t="str">
        <f>HYPERLINK("https://twitter.com/QuickFindsIn","@QuickFindsIn")</f>
        <v>@QuickFindsIn</v>
      </c>
      <c r="C907" s="9" t="s">
        <v>208</v>
      </c>
      <c r="D907" s="9" t="s">
        <v>710</v>
      </c>
      <c r="E907" s="10" t="str">
        <f>HYPERLINK("https://twitter.com/QuickFindsIn/status/722104410017370116","722104410017370116")</f>
        <v>722104410017370116</v>
      </c>
      <c r="F907" s="11" t="s">
        <v>210</v>
      </c>
      <c r="G907" s="11">
        <v>1895</v>
      </c>
      <c r="H907" s="11">
        <v>2758</v>
      </c>
      <c r="I907" s="11">
        <v>0</v>
      </c>
      <c r="J907" s="11">
        <v>0</v>
      </c>
      <c r="K907" s="11" t="s">
        <v>21</v>
      </c>
      <c r="L907" s="7">
        <v>42069.582048611112</v>
      </c>
      <c r="M907" s="12" t="s">
        <v>211</v>
      </c>
      <c r="N907" s="12" t="s">
        <v>212</v>
      </c>
      <c r="O907" s="10" t="str">
        <f>HYPERLINK("https://pbs.twimg.com/profile_images/591951396217327616/HbcCX2zX_normal.png","View")</f>
        <v>View</v>
      </c>
      <c r="P907" s="11"/>
    </row>
    <row r="908" spans="1:16" ht="12.75" x14ac:dyDescent="0.35">
      <c r="A908" s="7">
        <v>42478.937604166669</v>
      </c>
      <c r="B908" s="8" t="str">
        <f>HYPERLINK("https://twitter.com/jcb_tweet","@jcb_tweet")</f>
        <v>@jcb_tweet</v>
      </c>
      <c r="C908" s="9" t="s">
        <v>1945</v>
      </c>
      <c r="D908" s="9" t="s">
        <v>1946</v>
      </c>
      <c r="E908" s="10" t="str">
        <f>HYPERLINK("https://twitter.com/jcb_tweet/status/722107459268161537","722107459268161537")</f>
        <v>722107459268161537</v>
      </c>
      <c r="F908" s="11" t="s">
        <v>29</v>
      </c>
      <c r="G908" s="11">
        <v>1</v>
      </c>
      <c r="H908" s="11">
        <v>8</v>
      </c>
      <c r="I908" s="11">
        <v>0</v>
      </c>
      <c r="J908" s="11">
        <v>0</v>
      </c>
      <c r="K908" s="11" t="s">
        <v>21</v>
      </c>
      <c r="L908" s="7">
        <v>40829.009641203702</v>
      </c>
      <c r="M908" s="12"/>
      <c r="N908" s="12"/>
      <c r="O908" s="10" t="str">
        <f>HYPERLINK("https://abs.twimg.com/sticky/default_profile_images/default_profile_1_normal.png","View")</f>
        <v>View</v>
      </c>
      <c r="P908" s="11"/>
    </row>
    <row r="909" spans="1:16" ht="12.75" x14ac:dyDescent="0.35">
      <c r="A909" s="7">
        <v>42478.937696759254</v>
      </c>
      <c r="B909" s="8" t="str">
        <f>HYPERLINK("https://twitter.com/H_IT_D","@H_IT_D")</f>
        <v>@H_IT_D</v>
      </c>
      <c r="C909" s="9" t="s">
        <v>159</v>
      </c>
      <c r="D909" s="9" t="s">
        <v>1947</v>
      </c>
      <c r="E909" s="10" t="str">
        <f>HYPERLINK("https://twitter.com/H_IT_D/status/722107493178957824","722107493178957824")</f>
        <v>722107493178957824</v>
      </c>
      <c r="F909" s="11" t="s">
        <v>161</v>
      </c>
      <c r="G909" s="11">
        <v>463</v>
      </c>
      <c r="H909" s="11">
        <v>467</v>
      </c>
      <c r="I909" s="11">
        <v>0</v>
      </c>
      <c r="J909" s="11">
        <v>0</v>
      </c>
      <c r="K909" s="11" t="s">
        <v>21</v>
      </c>
      <c r="L909" s="7">
        <v>40723.867673611108</v>
      </c>
      <c r="M909" s="12" t="s">
        <v>162</v>
      </c>
      <c r="N909" s="12" t="s">
        <v>163</v>
      </c>
      <c r="O909" s="10" t="str">
        <f>HYPERLINK("https://pbs.twimg.com/profile_images/662723326096224256/5V4KH9_O_normal.jpg","View")</f>
        <v>View</v>
      </c>
      <c r="P909" s="11"/>
    </row>
    <row r="910" spans="1:16" ht="12.75" x14ac:dyDescent="0.35">
      <c r="A910" s="7">
        <v>42478.939375000002</v>
      </c>
      <c r="B910" s="8" t="str">
        <f>HYPERLINK("https://twitter.com/RahmanNow","@RahmanNow")</f>
        <v>@RahmanNow</v>
      </c>
      <c r="C910" s="9" t="s">
        <v>1948</v>
      </c>
      <c r="D910" s="9" t="s">
        <v>1949</v>
      </c>
      <c r="E910" s="10" t="str">
        <f>HYPERLINK("https://twitter.com/RahmanNow/status/722108104490491905","722108104490491905")</f>
        <v>722108104490491905</v>
      </c>
      <c r="F910" s="11" t="s">
        <v>31</v>
      </c>
      <c r="G910" s="11">
        <v>3648</v>
      </c>
      <c r="H910" s="11">
        <v>2673</v>
      </c>
      <c r="I910" s="11">
        <v>2</v>
      </c>
      <c r="J910" s="11">
        <v>6</v>
      </c>
      <c r="K910" s="11" t="s">
        <v>21</v>
      </c>
      <c r="L910" s="7">
        <v>41307.26935185185</v>
      </c>
      <c r="M910" s="12" t="s">
        <v>1950</v>
      </c>
      <c r="N910" s="12" t="s">
        <v>1951</v>
      </c>
      <c r="O910" s="10" t="str">
        <f>HYPERLINK("https://pbs.twimg.com/profile_images/706237713700298754/yOEMWn0A_normal.jpg","View")</f>
        <v>View</v>
      </c>
      <c r="P910" s="11"/>
    </row>
    <row r="911" spans="1:16" ht="12.75" x14ac:dyDescent="0.35">
      <c r="A911" s="7">
        <v>42478.951712962968</v>
      </c>
      <c r="B911" s="8" t="str">
        <f>HYPERLINK("https://twitter.com/bamitav","@bamitav")</f>
        <v>@bamitav</v>
      </c>
      <c r="C911" s="9" t="s">
        <v>341</v>
      </c>
      <c r="D911" s="9" t="s">
        <v>1952</v>
      </c>
      <c r="E911" s="10" t="str">
        <f>HYPERLINK("https://twitter.com/bamitav/status/722112573085093888","722112573085093888")</f>
        <v>722112573085093888</v>
      </c>
      <c r="F911" s="11" t="s">
        <v>20</v>
      </c>
      <c r="G911" s="11">
        <v>7341</v>
      </c>
      <c r="H911" s="11">
        <v>6333</v>
      </c>
      <c r="I911" s="11">
        <v>25</v>
      </c>
      <c r="J911" s="11">
        <v>9</v>
      </c>
      <c r="K911" s="11" t="s">
        <v>21</v>
      </c>
      <c r="L911" s="7">
        <v>40138.933622685188</v>
      </c>
      <c r="M911" s="12" t="s">
        <v>343</v>
      </c>
      <c r="N911" s="12" t="s">
        <v>344</v>
      </c>
      <c r="O911" s="10" t="str">
        <f>HYPERLINK("https://pbs.twimg.com/profile_images/672794348442877952/m6Is-Nrc_normal.jpg","View")</f>
        <v>View</v>
      </c>
      <c r="P911" s="11"/>
    </row>
    <row r="912" spans="1:16" ht="12.75" x14ac:dyDescent="0.35">
      <c r="A912" s="7">
        <v>42478.952592592592</v>
      </c>
      <c r="B912" s="8" t="str">
        <f>HYPERLINK("https://twitter.com/ThingsExpo","@ThingsExpo")</f>
        <v>@ThingsExpo</v>
      </c>
      <c r="C912" s="9" t="s">
        <v>1953</v>
      </c>
      <c r="D912" s="9" t="s">
        <v>1954</v>
      </c>
      <c r="E912" s="10" t="str">
        <f>HYPERLINK("https://twitter.com/ThingsExpo/status/722112891416158208","722112891416158208")</f>
        <v>722112891416158208</v>
      </c>
      <c r="F912" s="11" t="s">
        <v>31</v>
      </c>
      <c r="G912" s="11">
        <v>9017</v>
      </c>
      <c r="H912" s="11">
        <v>10</v>
      </c>
      <c r="I912" s="11">
        <v>25</v>
      </c>
      <c r="J912" s="11">
        <v>0</v>
      </c>
      <c r="K912" s="11" t="s">
        <v>21</v>
      </c>
      <c r="L912" s="7">
        <v>40271.33353009259</v>
      </c>
      <c r="M912" s="12" t="s">
        <v>1955</v>
      </c>
      <c r="N912" s="12" t="s">
        <v>1956</v>
      </c>
      <c r="O912" s="10" t="str">
        <f>HYPERLINK("https://pbs.twimg.com/profile_images/436501577856483328/tKBq2i9m_normal.jpeg","View")</f>
        <v>View</v>
      </c>
      <c r="P912" s="11"/>
    </row>
    <row r="913" spans="1:16" ht="12.75" x14ac:dyDescent="0.35">
      <c r="A913" s="7">
        <v>42478.952928240746</v>
      </c>
      <c r="B913" s="8" t="str">
        <f>HYPERLINK("https://twitter.com/observaitress","@observaitress")</f>
        <v>@observaitress</v>
      </c>
      <c r="C913" s="9" t="s">
        <v>1957</v>
      </c>
      <c r="D913" s="9" t="s">
        <v>1958</v>
      </c>
      <c r="E913" s="10" t="str">
        <f>HYPERLINK("https://twitter.com/observaitress/status/722113014342754305","722113014342754305")</f>
        <v>722113014342754305</v>
      </c>
      <c r="F913" s="11" t="s">
        <v>25</v>
      </c>
      <c r="G913" s="11">
        <v>658</v>
      </c>
      <c r="H913" s="11">
        <v>1009</v>
      </c>
      <c r="I913" s="11">
        <v>0</v>
      </c>
      <c r="J913" s="11">
        <v>1</v>
      </c>
      <c r="K913" s="11" t="s">
        <v>21</v>
      </c>
      <c r="L913" s="7">
        <v>40491.941157407404</v>
      </c>
      <c r="M913" s="12"/>
      <c r="N913" s="12" t="s">
        <v>1959</v>
      </c>
      <c r="O913" s="10" t="str">
        <f>HYPERLINK("https://pbs.twimg.com/profile_images/1173146264/Portrait-Vera-dkl-201010_DSC0132-Webklein_normal.jpg","View")</f>
        <v>View</v>
      </c>
      <c r="P913" s="11"/>
    </row>
    <row r="914" spans="1:16" ht="12.75" x14ac:dyDescent="0.35">
      <c r="A914" s="7">
        <v>42478.953611111108</v>
      </c>
      <c r="B914" s="8" t="str">
        <f>HYPERLINK("https://twitter.com/IoTJournal","@IoTJournal")</f>
        <v>@IoTJournal</v>
      </c>
      <c r="C914" s="9" t="s">
        <v>1960</v>
      </c>
      <c r="D914" s="9" t="s">
        <v>1954</v>
      </c>
      <c r="E914" s="10" t="str">
        <f>HYPERLINK("https://twitter.com/IoTJournal/status/722113260988841985","722113260988841985")</f>
        <v>722113260988841985</v>
      </c>
      <c r="F914" s="11" t="s">
        <v>31</v>
      </c>
      <c r="G914" s="11">
        <v>3201</v>
      </c>
      <c r="H914" s="11">
        <v>10</v>
      </c>
      <c r="I914" s="11">
        <v>25</v>
      </c>
      <c r="J914" s="11">
        <v>0</v>
      </c>
      <c r="K914" s="11" t="s">
        <v>21</v>
      </c>
      <c r="L914" s="7">
        <v>41647.084930555553</v>
      </c>
      <c r="M914" s="12" t="s">
        <v>1955</v>
      </c>
      <c r="N914" s="12" t="s">
        <v>1961</v>
      </c>
      <c r="O914" s="10" t="str">
        <f>HYPERLINK("https://pbs.twimg.com/profile_images/436501817481256960/-oSbocC2_normal.jpeg","View")</f>
        <v>View</v>
      </c>
      <c r="P914" s="11"/>
    </row>
    <row r="915" spans="1:16" ht="12.75" x14ac:dyDescent="0.35">
      <c r="A915" s="7">
        <v>42478.954224537039</v>
      </c>
      <c r="B915" s="8" t="str">
        <f>HYPERLINK("https://twitter.com/katekor11","@katekor11")</f>
        <v>@katekor11</v>
      </c>
      <c r="C915" s="9" t="s">
        <v>1962</v>
      </c>
      <c r="D915" s="9" t="s">
        <v>1963</v>
      </c>
      <c r="E915" s="10" t="str">
        <f>HYPERLINK("https://twitter.com/katekor11/status/722113484373286913","722113484373286913")</f>
        <v>722113484373286913</v>
      </c>
      <c r="F915" s="11" t="s">
        <v>447</v>
      </c>
      <c r="G915" s="11">
        <v>567</v>
      </c>
      <c r="H915" s="11">
        <v>134</v>
      </c>
      <c r="I915" s="11">
        <v>4</v>
      </c>
      <c r="J915" s="11">
        <v>4</v>
      </c>
      <c r="K915" s="11" t="s">
        <v>21</v>
      </c>
      <c r="L915" s="7">
        <v>40141.392557870371</v>
      </c>
      <c r="M915" s="12" t="s">
        <v>1964</v>
      </c>
      <c r="N915" s="12" t="s">
        <v>1965</v>
      </c>
      <c r="O915" s="10" t="str">
        <f>HYPERLINK("https://pbs.twimg.com/profile_images/683802334359613440/wmMcoXJ-_normal.png","View")</f>
        <v>View</v>
      </c>
      <c r="P915" s="11"/>
    </row>
    <row r="916" spans="1:16" ht="12.75" x14ac:dyDescent="0.35">
      <c r="A916" s="7">
        <v>42478.954594907409</v>
      </c>
      <c r="B916" s="8" t="str">
        <f>HYPERLINK("https://twitter.com/WebRTCSummit","@WebRTCSummit")</f>
        <v>@WebRTCSummit</v>
      </c>
      <c r="C916" s="9" t="s">
        <v>1966</v>
      </c>
      <c r="D916" s="9" t="s">
        <v>1954</v>
      </c>
      <c r="E916" s="10" t="str">
        <f>HYPERLINK("https://twitter.com/WebRTCSummit/status/722113617836032000","722113617836032000")</f>
        <v>722113617836032000</v>
      </c>
      <c r="F916" s="11" t="s">
        <v>31</v>
      </c>
      <c r="G916" s="11">
        <v>1020</v>
      </c>
      <c r="H916" s="11">
        <v>15</v>
      </c>
      <c r="I916" s="11">
        <v>25</v>
      </c>
      <c r="J916" s="11">
        <v>0</v>
      </c>
      <c r="K916" s="11" t="s">
        <v>21</v>
      </c>
      <c r="L916" s="7">
        <v>41526.75645833333</v>
      </c>
      <c r="M916" s="12" t="s">
        <v>1967</v>
      </c>
      <c r="N916" s="12" t="s">
        <v>1968</v>
      </c>
      <c r="O916" s="10" t="str">
        <f>HYPERLINK("https://pbs.twimg.com/profile_images/378800000435727167/4cf1a69d735b7ed9d39ef2b6f42f5f07_normal.jpeg","View")</f>
        <v>View</v>
      </c>
      <c r="P916" s="11"/>
    </row>
    <row r="917" spans="1:16" ht="12.75" x14ac:dyDescent="0.35">
      <c r="A917" s="7">
        <v>42478.95480324074</v>
      </c>
      <c r="B917" s="8" t="str">
        <f>HYPERLINK("https://twitter.com/mbesch","@mbesch")</f>
        <v>@mbesch</v>
      </c>
      <c r="C917" s="9" t="s">
        <v>1589</v>
      </c>
      <c r="D917" s="9" t="s">
        <v>1969</v>
      </c>
      <c r="E917" s="10" t="str">
        <f>HYPERLINK("https://twitter.com/mbesch/status/722113692062642180","722113692062642180")</f>
        <v>722113692062642180</v>
      </c>
      <c r="F917" s="11" t="s">
        <v>39</v>
      </c>
      <c r="G917" s="11">
        <v>2531</v>
      </c>
      <c r="H917" s="11">
        <v>2518</v>
      </c>
      <c r="I917" s="11">
        <v>0</v>
      </c>
      <c r="J917" s="11">
        <v>0</v>
      </c>
      <c r="K917" s="11" t="s">
        <v>21</v>
      </c>
      <c r="L917" s="7">
        <v>39712.606064814812</v>
      </c>
      <c r="M917" s="12" t="s">
        <v>1591</v>
      </c>
      <c r="N917" s="12" t="s">
        <v>1592</v>
      </c>
      <c r="O917" s="10" t="str">
        <f>HYPERLINK("https://pbs.twimg.com/profile_images/378800000095428642/8ef0ce9ca980b41ef8db86c5e546114f_normal.jpeg","View")</f>
        <v>View</v>
      </c>
      <c r="P917" s="11"/>
    </row>
    <row r="918" spans="1:16" ht="12.75" x14ac:dyDescent="0.35">
      <c r="A918" s="7">
        <v>42478.95480324074</v>
      </c>
      <c r="B918" s="8" t="str">
        <f>HYPERLINK("https://twitter.com/nextDBI","@nextDBI")</f>
        <v>@nextDBI</v>
      </c>
      <c r="C918" s="9" t="s">
        <v>1604</v>
      </c>
      <c r="D918" s="9" t="s">
        <v>1970</v>
      </c>
      <c r="E918" s="10" t="str">
        <f>HYPERLINK("https://twitter.com/nextDBI/status/722113692159066112","722113692159066112")</f>
        <v>722113692159066112</v>
      </c>
      <c r="F918" s="11" t="s">
        <v>39</v>
      </c>
      <c r="G918" s="11">
        <v>117</v>
      </c>
      <c r="H918" s="11">
        <v>236</v>
      </c>
      <c r="I918" s="11">
        <v>0</v>
      </c>
      <c r="J918" s="11">
        <v>0</v>
      </c>
      <c r="K918" s="11" t="s">
        <v>21</v>
      </c>
      <c r="L918" s="7">
        <v>41659.021435185183</v>
      </c>
      <c r="M918" s="12" t="s">
        <v>157</v>
      </c>
      <c r="N918" s="12" t="s">
        <v>1606</v>
      </c>
      <c r="O918" s="10" t="str">
        <f>HYPERLINK("https://pbs.twimg.com/profile_images/544485391860916225/UGg0IhKT_normal.png","View")</f>
        <v>View</v>
      </c>
      <c r="P918" s="11"/>
    </row>
    <row r="919" spans="1:16" ht="12.75" x14ac:dyDescent="0.35">
      <c r="A919" s="7">
        <v>42478.956666666665</v>
      </c>
      <c r="B919" s="8" t="str">
        <f>HYPERLINK("https://twitter.com/_DigitalNinja","@_DigitalNinja")</f>
        <v>@_DigitalNinja</v>
      </c>
      <c r="C919" s="9" t="s">
        <v>1971</v>
      </c>
      <c r="D919" s="9" t="s">
        <v>1954</v>
      </c>
      <c r="E919" s="10" t="str">
        <f>HYPERLINK("https://twitter.com/_DigitalNinja/status/722114369463537664","722114369463537664")</f>
        <v>722114369463537664</v>
      </c>
      <c r="F919" s="11" t="s">
        <v>31</v>
      </c>
      <c r="G919" s="11">
        <v>361</v>
      </c>
      <c r="H919" s="11">
        <v>635</v>
      </c>
      <c r="I919" s="11">
        <v>25</v>
      </c>
      <c r="J919" s="11">
        <v>0</v>
      </c>
      <c r="K919" s="11" t="s">
        <v>21</v>
      </c>
      <c r="L919" s="7">
        <v>42420.742708333331</v>
      </c>
      <c r="M919" s="12" t="s">
        <v>1972</v>
      </c>
      <c r="N919" s="12" t="s">
        <v>1973</v>
      </c>
      <c r="O919" s="10" t="str">
        <f>HYPERLINK("https://pbs.twimg.com/profile_images/706163879768776704/s2JFtdJh_normal.jpg","View")</f>
        <v>View</v>
      </c>
      <c r="P919" s="11"/>
    </row>
    <row r="920" spans="1:16" ht="12.75" x14ac:dyDescent="0.35">
      <c r="A920" s="7">
        <v>42478.960173611107</v>
      </c>
      <c r="B920" s="8" t="str">
        <f>HYPERLINK("https://twitter.com/CloudExpo","@CloudExpo")</f>
        <v>@CloudExpo</v>
      </c>
      <c r="C920" s="9" t="s">
        <v>1974</v>
      </c>
      <c r="D920" s="9" t="s">
        <v>1954</v>
      </c>
      <c r="E920" s="10" t="str">
        <f>HYPERLINK("https://twitter.com/CloudExpo/status/722115638261596160","722115638261596160")</f>
        <v>722115638261596160</v>
      </c>
      <c r="F920" s="11" t="s">
        <v>31</v>
      </c>
      <c r="G920" s="11">
        <v>67565</v>
      </c>
      <c r="H920" s="11">
        <v>90</v>
      </c>
      <c r="I920" s="11">
        <v>25</v>
      </c>
      <c r="J920" s="11">
        <v>0</v>
      </c>
      <c r="K920" s="11" t="s">
        <v>21</v>
      </c>
      <c r="L920" s="7">
        <v>39824.324560185181</v>
      </c>
      <c r="M920" s="12" t="s">
        <v>1955</v>
      </c>
      <c r="N920" s="12" t="s">
        <v>1961</v>
      </c>
      <c r="O920" s="10" t="str">
        <f>HYPERLINK("https://pbs.twimg.com/profile_images/660956110220734464/oR5zDedC_normal.jpg","View")</f>
        <v>View</v>
      </c>
      <c r="P920" s="11"/>
    </row>
    <row r="921" spans="1:16" ht="12.75" x14ac:dyDescent="0.35">
      <c r="A921" s="7">
        <v>42478.960393518515</v>
      </c>
      <c r="B921" s="8" t="str">
        <f>HYPERLINK("https://twitter.com/BigDataExpo","@BigDataExpo")</f>
        <v>@BigDataExpo</v>
      </c>
      <c r="C921" s="9" t="s">
        <v>1975</v>
      </c>
      <c r="D921" s="9" t="s">
        <v>1954</v>
      </c>
      <c r="E921" s="10" t="str">
        <f>HYPERLINK("https://twitter.com/BigDataExpo/status/722115721002684416","722115721002684416")</f>
        <v>722115721002684416</v>
      </c>
      <c r="F921" s="11" t="s">
        <v>31</v>
      </c>
      <c r="G921" s="11">
        <v>18546</v>
      </c>
      <c r="H921" s="11">
        <v>15</v>
      </c>
      <c r="I921" s="11">
        <v>25</v>
      </c>
      <c r="J921" s="11">
        <v>0</v>
      </c>
      <c r="K921" s="11" t="s">
        <v>21</v>
      </c>
      <c r="L921" s="7">
        <v>40856.753483796296</v>
      </c>
      <c r="M921" s="12" t="s">
        <v>1967</v>
      </c>
      <c r="N921" s="12" t="s">
        <v>1961</v>
      </c>
      <c r="O921" s="10" t="str">
        <f>HYPERLINK("https://pbs.twimg.com/profile_images/378800000469661221/e10187d0979a6e71b7861417f3801a91_normal.jpeg","View")</f>
        <v>View</v>
      </c>
      <c r="P921" s="11"/>
    </row>
    <row r="922" spans="1:16" ht="12.75" x14ac:dyDescent="0.35">
      <c r="A922" s="7">
        <v>42478.96199074074</v>
      </c>
      <c r="B922" s="8" t="str">
        <f>HYPERLINK("https://twitter.com/SYSCONmedia","@SYSCONmedia")</f>
        <v>@SYSCONmedia</v>
      </c>
      <c r="C922" s="9" t="s">
        <v>1976</v>
      </c>
      <c r="D922" s="9" t="s">
        <v>1954</v>
      </c>
      <c r="E922" s="10" t="str">
        <f>HYPERLINK("https://twitter.com/SYSCONmedia/status/722116297509761024","722116297509761024")</f>
        <v>722116297509761024</v>
      </c>
      <c r="F922" s="11" t="s">
        <v>31</v>
      </c>
      <c r="G922" s="11">
        <v>4907</v>
      </c>
      <c r="H922" s="11">
        <v>15</v>
      </c>
      <c r="I922" s="11">
        <v>25</v>
      </c>
      <c r="J922" s="11">
        <v>0</v>
      </c>
      <c r="K922" s="11" t="s">
        <v>21</v>
      </c>
      <c r="L922" s="7">
        <v>39932.724525462967</v>
      </c>
      <c r="M922" s="12" t="s">
        <v>1977</v>
      </c>
      <c r="N922" s="12" t="s">
        <v>1978</v>
      </c>
      <c r="O922" s="10" t="str">
        <f>HYPERLINK("https://pbs.twimg.com/profile_images/745331242/SYS-CON_Media_Logo_100_normal.png","View")</f>
        <v>View</v>
      </c>
      <c r="P922" s="11"/>
    </row>
    <row r="923" spans="1:16" ht="12.75" x14ac:dyDescent="0.35">
      <c r="A923" s="7">
        <v>42478.963773148149</v>
      </c>
      <c r="B923" s="8" t="str">
        <f>HYPERLINK("https://twitter.com/S_Koebernick","@S_Koebernick")</f>
        <v>@S_Koebernick</v>
      </c>
      <c r="C923" s="9" t="s">
        <v>568</v>
      </c>
      <c r="D923" s="9" t="s">
        <v>1979</v>
      </c>
      <c r="E923" s="10" t="str">
        <f>HYPERLINK("https://twitter.com/S_Koebernick/status/722116944099471360","722116944099471360")</f>
        <v>722116944099471360</v>
      </c>
      <c r="F923" s="11" t="s">
        <v>25</v>
      </c>
      <c r="G923" s="11">
        <v>106</v>
      </c>
      <c r="H923" s="11">
        <v>241</v>
      </c>
      <c r="I923" s="11">
        <v>1</v>
      </c>
      <c r="J923" s="11">
        <v>0</v>
      </c>
      <c r="K923" s="11" t="s">
        <v>21</v>
      </c>
      <c r="L923" s="7">
        <v>41040.836817129632</v>
      </c>
      <c r="M923" s="12"/>
      <c r="N923" s="12" t="s">
        <v>570</v>
      </c>
      <c r="O923" s="10" t="str">
        <f>HYPERLINK("https://pbs.twimg.com/profile_images/567384025568776192/u-T3fEX2_normal.jpeg","View")</f>
        <v>View</v>
      </c>
      <c r="P923" s="11"/>
    </row>
    <row r="924" spans="1:16" ht="12.75" x14ac:dyDescent="0.35">
      <c r="A924" s="7">
        <v>42478.966550925921</v>
      </c>
      <c r="B924" s="8" t="str">
        <f>HYPERLINK("https://twitter.com/INDIZbot","@INDIZbot")</f>
        <v>@INDIZbot</v>
      </c>
      <c r="C924" s="9" t="s">
        <v>61</v>
      </c>
      <c r="D924" s="9" t="s">
        <v>1980</v>
      </c>
      <c r="E924" s="10" t="str">
        <f>HYPERLINK("https://twitter.com/INDIZbot/status/722117951785168896","722117951785168896")</f>
        <v>722117951785168896</v>
      </c>
      <c r="F924" s="11" t="s">
        <v>62</v>
      </c>
      <c r="G924" s="11">
        <v>1762</v>
      </c>
      <c r="H924" s="11">
        <v>481</v>
      </c>
      <c r="I924" s="11">
        <v>1</v>
      </c>
      <c r="J924" s="11">
        <v>0</v>
      </c>
      <c r="K924" s="11" t="s">
        <v>21</v>
      </c>
      <c r="L924" s="7">
        <v>42267.011921296296</v>
      </c>
      <c r="M924" s="12"/>
      <c r="N924" s="12" t="s">
        <v>63</v>
      </c>
      <c r="O924" s="10" t="str">
        <f>HYPERLINK("https://pbs.twimg.com/profile_images/645716711723925506/t5G0qOS6_normal.jpg","View")</f>
        <v>View</v>
      </c>
      <c r="P924" s="11"/>
    </row>
    <row r="925" spans="1:16" ht="12.75" x14ac:dyDescent="0.35">
      <c r="A925" s="7">
        <v>42478.974155092597</v>
      </c>
      <c r="B925" s="8" t="str">
        <f>HYPERLINK("https://twitter.com/CloudJobFair","@CloudJobFair")</f>
        <v>@CloudJobFair</v>
      </c>
      <c r="C925" s="9" t="s">
        <v>1981</v>
      </c>
      <c r="D925" s="9" t="s">
        <v>1954</v>
      </c>
      <c r="E925" s="10" t="str">
        <f>HYPERLINK("https://twitter.com/CloudJobFair/status/722120706776018946","722120706776018946")</f>
        <v>722120706776018946</v>
      </c>
      <c r="F925" s="11" t="s">
        <v>31</v>
      </c>
      <c r="G925" s="11">
        <v>1008</v>
      </c>
      <c r="H925" s="11">
        <v>15</v>
      </c>
      <c r="I925" s="11">
        <v>25</v>
      </c>
      <c r="J925" s="11">
        <v>0</v>
      </c>
      <c r="K925" s="11" t="s">
        <v>21</v>
      </c>
      <c r="L925" s="7">
        <v>40337.810127314813</v>
      </c>
      <c r="M925" s="12" t="s">
        <v>1967</v>
      </c>
      <c r="N925" s="12" t="s">
        <v>1961</v>
      </c>
      <c r="O925" s="10" t="str">
        <f>HYPERLINK("https://pbs.twimg.com/profile_images/378800000464177829/21d2a3a1dc817ee9de1eab1a46418333_normal.jpeg","View")</f>
        <v>View</v>
      </c>
      <c r="P925" s="11"/>
    </row>
    <row r="926" spans="1:16" ht="12.75" x14ac:dyDescent="0.35">
      <c r="A926" s="7">
        <v>42478.976134259261</v>
      </c>
      <c r="B926" s="8" t="str">
        <f>HYPERLINK("https://twitter.com/CloudExpoWire","@CloudExpoWire")</f>
        <v>@CloudExpoWire</v>
      </c>
      <c r="C926" s="9" t="s">
        <v>1982</v>
      </c>
      <c r="D926" s="9" t="s">
        <v>1954</v>
      </c>
      <c r="E926" s="10" t="str">
        <f>HYPERLINK("https://twitter.com/CloudExpoWire/status/722121422303281152","722121422303281152")</f>
        <v>722121422303281152</v>
      </c>
      <c r="F926" s="11" t="s">
        <v>31</v>
      </c>
      <c r="G926" s="11">
        <v>1108</v>
      </c>
      <c r="H926" s="11">
        <v>10</v>
      </c>
      <c r="I926" s="11">
        <v>25</v>
      </c>
      <c r="J926" s="11">
        <v>0</v>
      </c>
      <c r="K926" s="11" t="s">
        <v>21</v>
      </c>
      <c r="L926" s="7">
        <v>40646.054768518516</v>
      </c>
      <c r="M926" s="12" t="s">
        <v>1967</v>
      </c>
      <c r="N926" s="12" t="s">
        <v>1961</v>
      </c>
      <c r="O926" s="10" t="str">
        <f>HYPERLINK("https://pbs.twimg.com/profile_images/378800000474033051/8bdbd8614e8eaba7d1bd90912ce6ef4d_normal.jpeg","View")</f>
        <v>View</v>
      </c>
      <c r="P926" s="11"/>
    </row>
    <row r="927" spans="1:16" ht="12.75" x14ac:dyDescent="0.35">
      <c r="A927" s="7">
        <v>42478.979409722218</v>
      </c>
      <c r="B927" s="8" t="str">
        <f>HYPERLINK("https://twitter.com/ThingsExpo","@ThingsExpo")</f>
        <v>@ThingsExpo</v>
      </c>
      <c r="C927" s="9" t="s">
        <v>1953</v>
      </c>
      <c r="D927" s="9" t="s">
        <v>1983</v>
      </c>
      <c r="E927" s="10" t="str">
        <f>HYPERLINK("https://twitter.com/ThingsExpo/status/722122611170373632","722122611170373632")</f>
        <v>722122611170373632</v>
      </c>
      <c r="F927" s="11" t="s">
        <v>31</v>
      </c>
      <c r="G927" s="11">
        <v>9017</v>
      </c>
      <c r="H927" s="11">
        <v>10</v>
      </c>
      <c r="I927" s="11">
        <v>4</v>
      </c>
      <c r="J927" s="11">
        <v>0</v>
      </c>
      <c r="K927" s="11" t="s">
        <v>21</v>
      </c>
      <c r="L927" s="7">
        <v>40271.33353009259</v>
      </c>
      <c r="M927" s="12" t="s">
        <v>1955</v>
      </c>
      <c r="N927" s="12" t="s">
        <v>1956</v>
      </c>
      <c r="O927" s="10" t="str">
        <f>HYPERLINK("https://pbs.twimg.com/profile_images/436501577856483328/tKBq2i9m_normal.jpeg","View")</f>
        <v>View</v>
      </c>
      <c r="P927" s="11"/>
    </row>
    <row r="928" spans="1:16" ht="12.75" x14ac:dyDescent="0.35">
      <c r="A928" s="7">
        <v>42478.980439814812</v>
      </c>
      <c r="B928" s="8" t="str">
        <f>HYPERLINK("https://twitter.com/IoTJournal","@IoTJournal")</f>
        <v>@IoTJournal</v>
      </c>
      <c r="C928" s="9" t="s">
        <v>1960</v>
      </c>
      <c r="D928" s="9" t="s">
        <v>1983</v>
      </c>
      <c r="E928" s="10" t="str">
        <f>HYPERLINK("https://twitter.com/IoTJournal/status/722122983297458176","722122983297458176")</f>
        <v>722122983297458176</v>
      </c>
      <c r="F928" s="11" t="s">
        <v>31</v>
      </c>
      <c r="G928" s="11">
        <v>3201</v>
      </c>
      <c r="H928" s="11">
        <v>10</v>
      </c>
      <c r="I928" s="11">
        <v>4</v>
      </c>
      <c r="J928" s="11">
        <v>0</v>
      </c>
      <c r="K928" s="11" t="s">
        <v>21</v>
      </c>
      <c r="L928" s="7">
        <v>41647.084930555553</v>
      </c>
      <c r="M928" s="12" t="s">
        <v>1955</v>
      </c>
      <c r="N928" s="12" t="s">
        <v>1961</v>
      </c>
      <c r="O928" s="10" t="str">
        <f>HYPERLINK("https://pbs.twimg.com/profile_images/436501817481256960/-oSbocC2_normal.jpeg","View")</f>
        <v>View</v>
      </c>
      <c r="P928" s="11"/>
    </row>
    <row r="929" spans="1:16" ht="12.75" x14ac:dyDescent="0.35">
      <c r="A929" s="7">
        <v>42478.981192129635</v>
      </c>
      <c r="B929" s="8" t="str">
        <f>HYPERLINK("https://twitter.com/WebRTCSummit","@WebRTCSummit")</f>
        <v>@WebRTCSummit</v>
      </c>
      <c r="C929" s="9" t="s">
        <v>1966</v>
      </c>
      <c r="D929" s="9" t="s">
        <v>1983</v>
      </c>
      <c r="E929" s="10" t="str">
        <f>HYPERLINK("https://twitter.com/WebRTCSummit/status/722123258661888001","722123258661888001")</f>
        <v>722123258661888001</v>
      </c>
      <c r="F929" s="11" t="s">
        <v>31</v>
      </c>
      <c r="G929" s="11">
        <v>1020</v>
      </c>
      <c r="H929" s="11">
        <v>15</v>
      </c>
      <c r="I929" s="11">
        <v>4</v>
      </c>
      <c r="J929" s="11">
        <v>0</v>
      </c>
      <c r="K929" s="11" t="s">
        <v>21</v>
      </c>
      <c r="L929" s="7">
        <v>41526.75645833333</v>
      </c>
      <c r="M929" s="12" t="s">
        <v>1967</v>
      </c>
      <c r="N929" s="12" t="s">
        <v>1968</v>
      </c>
      <c r="O929" s="10" t="str">
        <f>HYPERLINK("https://pbs.twimg.com/profile_images/378800000435727167/4cf1a69d735b7ed9d39ef2b6f42f5f07_normal.jpeg","View")</f>
        <v>View</v>
      </c>
      <c r="P929" s="11"/>
    </row>
    <row r="930" spans="1:16" ht="12.75" x14ac:dyDescent="0.35">
      <c r="A930" s="7">
        <v>42478.992743055554</v>
      </c>
      <c r="B930" s="8" t="str">
        <f>HYPERLINK("https://twitter.com/HaileyMcK","@HaileyMcK")</f>
        <v>@HaileyMcK</v>
      </c>
      <c r="C930" s="9" t="s">
        <v>1984</v>
      </c>
      <c r="D930" s="9" t="s">
        <v>1891</v>
      </c>
      <c r="E930" s="10" t="str">
        <f>HYPERLINK("https://twitter.com/HaileyMcK/status/722127444128346113","722127444128346113")</f>
        <v>722127444128346113</v>
      </c>
      <c r="F930" s="11" t="s">
        <v>25</v>
      </c>
      <c r="G930" s="11">
        <v>2122</v>
      </c>
      <c r="H930" s="11">
        <v>2110</v>
      </c>
      <c r="I930" s="11">
        <v>6</v>
      </c>
      <c r="J930" s="11">
        <v>0</v>
      </c>
      <c r="K930" s="11" t="s">
        <v>21</v>
      </c>
      <c r="L930" s="7">
        <v>39584.91642361111</v>
      </c>
      <c r="M930" s="12" t="s">
        <v>1985</v>
      </c>
      <c r="N930" s="12" t="s">
        <v>1986</v>
      </c>
      <c r="O930" s="10" t="str">
        <f>HYPERLINK("https://pbs.twimg.com/profile_images/276489012/delmas_hailey_01_normal.jpg","View")</f>
        <v>View</v>
      </c>
      <c r="P930" s="11"/>
    </row>
    <row r="931" spans="1:16" ht="12.75" x14ac:dyDescent="0.35">
      <c r="A931" s="7">
        <v>42478.994930555556</v>
      </c>
      <c r="B931" s="8" t="str">
        <f>HYPERLINK("https://twitter.com/H_IT_D","@H_IT_D")</f>
        <v>@H_IT_D</v>
      </c>
      <c r="C931" s="9" t="s">
        <v>159</v>
      </c>
      <c r="D931" s="9" t="s">
        <v>1987</v>
      </c>
      <c r="E931" s="10" t="str">
        <f>HYPERLINK("https://twitter.com/H_IT_D/status/722128233752170496","722128233752170496")</f>
        <v>722128233752170496</v>
      </c>
      <c r="F931" s="11" t="s">
        <v>161</v>
      </c>
      <c r="G931" s="11">
        <v>463</v>
      </c>
      <c r="H931" s="11">
        <v>467</v>
      </c>
      <c r="I931" s="11">
        <v>0</v>
      </c>
      <c r="J931" s="11">
        <v>0</v>
      </c>
      <c r="K931" s="11" t="s">
        <v>21</v>
      </c>
      <c r="L931" s="7">
        <v>40723.867673611108</v>
      </c>
      <c r="M931" s="12" t="s">
        <v>162</v>
      </c>
      <c r="N931" s="12" t="s">
        <v>163</v>
      </c>
      <c r="O931" s="10" t="str">
        <f>HYPERLINK("https://pbs.twimg.com/profile_images/662723326096224256/5V4KH9_O_normal.jpg","View")</f>
        <v>View</v>
      </c>
      <c r="P931" s="11"/>
    </row>
    <row r="932" spans="1:16" ht="12.75" x14ac:dyDescent="0.35">
      <c r="A932" s="7">
        <v>42478.996585648143</v>
      </c>
      <c r="B932" s="8" t="str">
        <f>HYPERLINK("https://twitter.com/AndyBaldauf","@AndyBaldauf")</f>
        <v>@AndyBaldauf</v>
      </c>
      <c r="C932" s="9" t="s">
        <v>1988</v>
      </c>
      <c r="D932" s="9" t="s">
        <v>1989</v>
      </c>
      <c r="E932" s="10" t="str">
        <f>HYPERLINK("https://twitter.com/AndyBaldauf/status/722128835009998848","722128835009998848")</f>
        <v>722128835009998848</v>
      </c>
      <c r="F932" s="11" t="s">
        <v>31</v>
      </c>
      <c r="G932" s="11">
        <v>442</v>
      </c>
      <c r="H932" s="11">
        <v>1013</v>
      </c>
      <c r="I932" s="11">
        <v>2</v>
      </c>
      <c r="J932" s="11">
        <v>2</v>
      </c>
      <c r="K932" s="11" t="s">
        <v>21</v>
      </c>
      <c r="L932" s="7">
        <v>40697.888159722221</v>
      </c>
      <c r="M932" s="12" t="s">
        <v>1990</v>
      </c>
      <c r="N932" s="12" t="s">
        <v>1991</v>
      </c>
      <c r="O932" s="10" t="str">
        <f>HYPERLINK("https://pbs.twimg.com/profile_images/573719685306388481/QCug9raA_normal.jpeg","View")</f>
        <v>View</v>
      </c>
      <c r="P932" s="11"/>
    </row>
    <row r="933" spans="1:16" ht="12.75" x14ac:dyDescent="0.35">
      <c r="A933" s="7">
        <v>42479.000057870369</v>
      </c>
      <c r="B933" s="8" t="str">
        <f>HYPERLINK("https://twitter.com/JoansHere","@JoansHere")</f>
        <v>@JoansHere</v>
      </c>
      <c r="C933" s="9" t="s">
        <v>1992</v>
      </c>
      <c r="D933" s="9" t="s">
        <v>1874</v>
      </c>
      <c r="E933" s="10" t="str">
        <f>HYPERLINK("https://twitter.com/JoansHere/status/722130093552836609","722130093552836609")</f>
        <v>722130093552836609</v>
      </c>
      <c r="F933" s="11" t="s">
        <v>20</v>
      </c>
      <c r="G933" s="11">
        <v>4862</v>
      </c>
      <c r="H933" s="11">
        <v>5059</v>
      </c>
      <c r="I933" s="11">
        <v>6</v>
      </c>
      <c r="J933" s="11">
        <v>0</v>
      </c>
      <c r="K933" s="11" t="s">
        <v>21</v>
      </c>
      <c r="L933" s="7">
        <v>41391.777499999997</v>
      </c>
      <c r="M933" s="12" t="s">
        <v>549</v>
      </c>
      <c r="N933" s="12" t="s">
        <v>1993</v>
      </c>
      <c r="O933" s="10" t="str">
        <f>HYPERLINK("https://pbs.twimg.com/profile_images/378800000307054657/c532f3e7737ff611b2249b2442e00894_normal.jpeg","View")</f>
        <v>View</v>
      </c>
      <c r="P933" s="11"/>
    </row>
    <row r="934" spans="1:16" ht="12.75" x14ac:dyDescent="0.35">
      <c r="A934" s="7">
        <v>42479.003576388888</v>
      </c>
      <c r="B934" s="8" t="str">
        <f>HYPERLINK("https://twitter.com/fjablonski","@fjablonski")</f>
        <v>@fjablonski</v>
      </c>
      <c r="C934" s="9" t="s">
        <v>1994</v>
      </c>
      <c r="D934" s="9" t="s">
        <v>1769</v>
      </c>
      <c r="E934" s="10" t="str">
        <f>HYPERLINK("https://twitter.com/fjablonski/status/722131369900523520","722131369900523520")</f>
        <v>722131369900523520</v>
      </c>
      <c r="F934" s="11" t="s">
        <v>31</v>
      </c>
      <c r="G934" s="11">
        <v>240</v>
      </c>
      <c r="H934" s="11">
        <v>337</v>
      </c>
      <c r="I934" s="11">
        <v>6</v>
      </c>
      <c r="J934" s="11">
        <v>0</v>
      </c>
      <c r="K934" s="11" t="s">
        <v>21</v>
      </c>
      <c r="L934" s="7">
        <v>39990.656435185185</v>
      </c>
      <c r="M934" s="12"/>
      <c r="N934" s="12"/>
      <c r="O934" s="10" t="str">
        <f>HYPERLINK("https://pbs.twimg.com/profile_images/528332865/fj_normal.jpg","View")</f>
        <v>View</v>
      </c>
      <c r="P934" s="11"/>
    </row>
    <row r="935" spans="1:16" ht="12.75" x14ac:dyDescent="0.35">
      <c r="A935" s="7">
        <v>42479.008032407408</v>
      </c>
      <c r="B935" s="8" t="str">
        <f>HYPERLINK("https://twitter.com/pfisterer_ralf","@pfisterer_ralf")</f>
        <v>@pfisterer_ralf</v>
      </c>
      <c r="C935" s="9" t="s">
        <v>1995</v>
      </c>
      <c r="D935" s="9" t="s">
        <v>1996</v>
      </c>
      <c r="E935" s="10" t="str">
        <f>HYPERLINK("https://twitter.com/pfisterer_ralf/status/722132984376258560","722132984376258560")</f>
        <v>722132984376258560</v>
      </c>
      <c r="F935" s="11" t="s">
        <v>1997</v>
      </c>
      <c r="G935" s="11">
        <v>12</v>
      </c>
      <c r="H935" s="11">
        <v>22</v>
      </c>
      <c r="I935" s="11">
        <v>1</v>
      </c>
      <c r="J935" s="11">
        <v>0</v>
      </c>
      <c r="K935" s="11" t="s">
        <v>21</v>
      </c>
      <c r="L935" s="7">
        <v>42383.044189814813</v>
      </c>
      <c r="M935" s="12"/>
      <c r="N935" s="12"/>
      <c r="O935" s="10" t="str">
        <f>HYPERLINK("https://pbs.twimg.com/profile_images/687624884244082688/eYnhv8nB_normal.jpg","View")</f>
        <v>View</v>
      </c>
      <c r="P935" s="11"/>
    </row>
    <row r="936" spans="1:16" ht="12.75" x14ac:dyDescent="0.35">
      <c r="A936" s="7">
        <v>42479.009039351848</v>
      </c>
      <c r="B936" s="8" t="str">
        <f t="shared" ref="B936:B943" si="104">HYPERLINK("https://twitter.com/LReehten","@LReehten")</f>
        <v>@LReehten</v>
      </c>
      <c r="C936" s="9" t="s">
        <v>1998</v>
      </c>
      <c r="D936" s="9" t="s">
        <v>1999</v>
      </c>
      <c r="E936" s="10" t="str">
        <f>HYPERLINK("https://twitter.com/LReehten/status/722133348546670593","722133348546670593")</f>
        <v>722133348546670593</v>
      </c>
      <c r="F936" s="11" t="s">
        <v>29</v>
      </c>
      <c r="G936" s="11">
        <v>2334</v>
      </c>
      <c r="H936" s="11">
        <v>2836</v>
      </c>
      <c r="I936" s="11">
        <v>0</v>
      </c>
      <c r="J936" s="11">
        <v>0</v>
      </c>
      <c r="K936" s="11" t="s">
        <v>21</v>
      </c>
      <c r="L936" s="7">
        <v>41618.817071759258</v>
      </c>
      <c r="M936" s="12"/>
      <c r="N936" s="12" t="s">
        <v>2000</v>
      </c>
      <c r="O936" s="10" t="str">
        <f t="shared" ref="O936:O943" si="105">HYPERLINK("https://pbs.twimg.com/profile_images/623849156159868928/BetFDR_i_normal.jpg","View")</f>
        <v>View</v>
      </c>
      <c r="P936" s="11"/>
    </row>
    <row r="937" spans="1:16" ht="12.75" x14ac:dyDescent="0.35">
      <c r="A937" s="7">
        <v>42479.009560185186</v>
      </c>
      <c r="B937" s="8" t="str">
        <f t="shared" si="104"/>
        <v>@LReehten</v>
      </c>
      <c r="C937" s="9" t="s">
        <v>1998</v>
      </c>
      <c r="D937" s="9" t="s">
        <v>2001</v>
      </c>
      <c r="E937" s="10" t="str">
        <f>HYPERLINK("https://twitter.com/LReehten/status/722133535415517184","722133535415517184")</f>
        <v>722133535415517184</v>
      </c>
      <c r="F937" s="11" t="s">
        <v>29</v>
      </c>
      <c r="G937" s="11">
        <v>2334</v>
      </c>
      <c r="H937" s="11">
        <v>2836</v>
      </c>
      <c r="I937" s="11">
        <v>0</v>
      </c>
      <c r="J937" s="11">
        <v>0</v>
      </c>
      <c r="K937" s="11" t="s">
        <v>21</v>
      </c>
      <c r="L937" s="7">
        <v>41618.817071759258</v>
      </c>
      <c r="M937" s="12"/>
      <c r="N937" s="12" t="s">
        <v>2000</v>
      </c>
      <c r="O937" s="10" t="str">
        <f t="shared" si="105"/>
        <v>View</v>
      </c>
      <c r="P937" s="11"/>
    </row>
    <row r="938" spans="1:16" ht="12.75" x14ac:dyDescent="0.35">
      <c r="A938" s="7">
        <v>42479.012094907404</v>
      </c>
      <c r="B938" s="8" t="str">
        <f t="shared" si="104"/>
        <v>@LReehten</v>
      </c>
      <c r="C938" s="9" t="s">
        <v>1998</v>
      </c>
      <c r="D938" s="9" t="s">
        <v>1931</v>
      </c>
      <c r="E938" s="10" t="str">
        <f>HYPERLINK("https://twitter.com/LReehten/status/722134455733874688","722134455733874688")</f>
        <v>722134455733874688</v>
      </c>
      <c r="F938" s="11" t="s">
        <v>29</v>
      </c>
      <c r="G938" s="11">
        <v>2334</v>
      </c>
      <c r="H938" s="11">
        <v>2836</v>
      </c>
      <c r="I938" s="11">
        <v>2</v>
      </c>
      <c r="J938" s="11">
        <v>0</v>
      </c>
      <c r="K938" s="11" t="s">
        <v>21</v>
      </c>
      <c r="L938" s="7">
        <v>41618.817071759258</v>
      </c>
      <c r="M938" s="12"/>
      <c r="N938" s="12" t="s">
        <v>2000</v>
      </c>
      <c r="O938" s="10" t="str">
        <f t="shared" si="105"/>
        <v>View</v>
      </c>
      <c r="P938" s="11"/>
    </row>
    <row r="939" spans="1:16" ht="12.75" x14ac:dyDescent="0.35">
      <c r="A939" s="7">
        <v>42479.012187500004</v>
      </c>
      <c r="B939" s="8" t="str">
        <f t="shared" si="104"/>
        <v>@LReehten</v>
      </c>
      <c r="C939" s="9" t="s">
        <v>1998</v>
      </c>
      <c r="D939" s="9" t="s">
        <v>2002</v>
      </c>
      <c r="E939" s="10" t="str">
        <f>HYPERLINK("https://twitter.com/LReehten/status/722134490076823552","722134490076823552")</f>
        <v>722134490076823552</v>
      </c>
      <c r="F939" s="11" t="s">
        <v>29</v>
      </c>
      <c r="G939" s="11">
        <v>2334</v>
      </c>
      <c r="H939" s="11">
        <v>2836</v>
      </c>
      <c r="I939" s="11">
        <v>1</v>
      </c>
      <c r="J939" s="11">
        <v>0</v>
      </c>
      <c r="K939" s="11" t="s">
        <v>21</v>
      </c>
      <c r="L939" s="7">
        <v>41618.817071759258</v>
      </c>
      <c r="M939" s="12"/>
      <c r="N939" s="12" t="s">
        <v>2000</v>
      </c>
      <c r="O939" s="10" t="str">
        <f t="shared" si="105"/>
        <v>View</v>
      </c>
      <c r="P939" s="11"/>
    </row>
    <row r="940" spans="1:16" ht="12.75" x14ac:dyDescent="0.35">
      <c r="A940" s="7">
        <v>42479.012326388889</v>
      </c>
      <c r="B940" s="8" t="str">
        <f t="shared" si="104"/>
        <v>@LReehten</v>
      </c>
      <c r="C940" s="9" t="s">
        <v>1998</v>
      </c>
      <c r="D940" s="9" t="s">
        <v>1288</v>
      </c>
      <c r="E940" s="10" t="str">
        <f>HYPERLINK("https://twitter.com/LReehten/status/722134540102316032","722134540102316032")</f>
        <v>722134540102316032</v>
      </c>
      <c r="F940" s="11" t="s">
        <v>29</v>
      </c>
      <c r="G940" s="11">
        <v>2334</v>
      </c>
      <c r="H940" s="11">
        <v>2836</v>
      </c>
      <c r="I940" s="11">
        <v>2</v>
      </c>
      <c r="J940" s="11">
        <v>0</v>
      </c>
      <c r="K940" s="11" t="s">
        <v>21</v>
      </c>
      <c r="L940" s="7">
        <v>41618.817071759258</v>
      </c>
      <c r="M940" s="12"/>
      <c r="N940" s="12" t="s">
        <v>2000</v>
      </c>
      <c r="O940" s="10" t="str">
        <f t="shared" si="105"/>
        <v>View</v>
      </c>
      <c r="P940" s="11"/>
    </row>
    <row r="941" spans="1:16" ht="12.75" x14ac:dyDescent="0.35">
      <c r="A941" s="7">
        <v>42479.012349537035</v>
      </c>
      <c r="B941" s="8" t="str">
        <f t="shared" si="104"/>
        <v>@LReehten</v>
      </c>
      <c r="C941" s="9" t="s">
        <v>1998</v>
      </c>
      <c r="D941" s="9" t="s">
        <v>2003</v>
      </c>
      <c r="E941" s="10" t="str">
        <f>HYPERLINK("https://twitter.com/LReehten/status/722134548767764480","722134548767764480")</f>
        <v>722134548767764480</v>
      </c>
      <c r="F941" s="11" t="s">
        <v>29</v>
      </c>
      <c r="G941" s="11">
        <v>2334</v>
      </c>
      <c r="H941" s="11">
        <v>2836</v>
      </c>
      <c r="I941" s="11">
        <v>1</v>
      </c>
      <c r="J941" s="11">
        <v>0</v>
      </c>
      <c r="K941" s="11" t="s">
        <v>21</v>
      </c>
      <c r="L941" s="7">
        <v>41618.817071759258</v>
      </c>
      <c r="M941" s="12"/>
      <c r="N941" s="12" t="s">
        <v>2000</v>
      </c>
      <c r="O941" s="10" t="str">
        <f t="shared" si="105"/>
        <v>View</v>
      </c>
      <c r="P941" s="11"/>
    </row>
    <row r="942" spans="1:16" ht="12.75" x14ac:dyDescent="0.35">
      <c r="A942" s="7">
        <v>42479.01284722222</v>
      </c>
      <c r="B942" s="8" t="str">
        <f t="shared" si="104"/>
        <v>@LReehten</v>
      </c>
      <c r="C942" s="9" t="s">
        <v>1998</v>
      </c>
      <c r="D942" s="9" t="s">
        <v>2004</v>
      </c>
      <c r="E942" s="10" t="str">
        <f>HYPERLINK("https://twitter.com/LReehten/status/722134728724377600","722134728724377600")</f>
        <v>722134728724377600</v>
      </c>
      <c r="F942" s="11" t="s">
        <v>29</v>
      </c>
      <c r="G942" s="11">
        <v>2334</v>
      </c>
      <c r="H942" s="11">
        <v>2836</v>
      </c>
      <c r="I942" s="11">
        <v>2</v>
      </c>
      <c r="J942" s="11">
        <v>0</v>
      </c>
      <c r="K942" s="11" t="s">
        <v>21</v>
      </c>
      <c r="L942" s="7">
        <v>41618.817071759258</v>
      </c>
      <c r="M942" s="12"/>
      <c r="N942" s="12" t="s">
        <v>2000</v>
      </c>
      <c r="O942" s="10" t="str">
        <f t="shared" si="105"/>
        <v>View</v>
      </c>
      <c r="P942" s="11"/>
    </row>
    <row r="943" spans="1:16" ht="12.75" x14ac:dyDescent="0.35">
      <c r="A943" s="7">
        <v>42479.01295138889</v>
      </c>
      <c r="B943" s="8" t="str">
        <f t="shared" si="104"/>
        <v>@LReehten</v>
      </c>
      <c r="C943" s="9" t="s">
        <v>1998</v>
      </c>
      <c r="D943" s="9" t="s">
        <v>2005</v>
      </c>
      <c r="E943" s="10" t="str">
        <f>HYPERLINK("https://twitter.com/LReehten/status/722134765583867906","722134765583867906")</f>
        <v>722134765583867906</v>
      </c>
      <c r="F943" s="11" t="s">
        <v>29</v>
      </c>
      <c r="G943" s="11">
        <v>2334</v>
      </c>
      <c r="H943" s="11">
        <v>2836</v>
      </c>
      <c r="I943" s="11">
        <v>1</v>
      </c>
      <c r="J943" s="11">
        <v>0</v>
      </c>
      <c r="K943" s="11" t="s">
        <v>21</v>
      </c>
      <c r="L943" s="7">
        <v>41618.817071759258</v>
      </c>
      <c r="M943" s="12"/>
      <c r="N943" s="12" t="s">
        <v>2000</v>
      </c>
      <c r="O943" s="10" t="str">
        <f t="shared" si="105"/>
        <v>View</v>
      </c>
      <c r="P943" s="11"/>
    </row>
    <row r="944" spans="1:16" ht="12.75" x14ac:dyDescent="0.35">
      <c r="A944" s="7">
        <v>42479.014247685191</v>
      </c>
      <c r="B944" s="8" t="str">
        <f>HYPERLINK("https://twitter.com/IT_Connection","@IT_Connection")</f>
        <v>@IT_Connection</v>
      </c>
      <c r="C944" s="9" t="s">
        <v>368</v>
      </c>
      <c r="D944" s="9" t="s">
        <v>2006</v>
      </c>
      <c r="E944" s="10" t="str">
        <f>HYPERLINK("https://twitter.com/IT_Connection/status/722135236197412868","722135236197412868")</f>
        <v>722135236197412868</v>
      </c>
      <c r="F944" s="11" t="s">
        <v>39</v>
      </c>
      <c r="G944" s="11">
        <v>10900</v>
      </c>
      <c r="H944" s="11">
        <v>10875</v>
      </c>
      <c r="I944" s="11">
        <v>0</v>
      </c>
      <c r="J944" s="11">
        <v>0</v>
      </c>
      <c r="K944" s="11" t="s">
        <v>21</v>
      </c>
      <c r="L944" s="7">
        <v>40411.751539351855</v>
      </c>
      <c r="M944" s="12" t="s">
        <v>369</v>
      </c>
      <c r="N944" s="12" t="s">
        <v>370</v>
      </c>
      <c r="O944" s="10" t="str">
        <f>HYPERLINK("https://pbs.twimg.com/profile_images/566986293888835584/_uYTcau__normal.png","View")</f>
        <v>View</v>
      </c>
      <c r="P944" s="11"/>
    </row>
    <row r="945" spans="1:16" ht="12.75" x14ac:dyDescent="0.35">
      <c r="A945" s="7">
        <v>42479.01494212963</v>
      </c>
      <c r="B945" s="8" t="str">
        <f>HYPERLINK("https://twitter.com/OJaeger","@OJaeger")</f>
        <v>@OJaeger</v>
      </c>
      <c r="C945" s="9" t="s">
        <v>1102</v>
      </c>
      <c r="D945" s="9" t="s">
        <v>2007</v>
      </c>
      <c r="E945" s="10" t="str">
        <f>HYPERLINK("https://twitter.com/OJaeger/status/722135486094012417","722135486094012417")</f>
        <v>722135486094012417</v>
      </c>
      <c r="F945" s="11" t="s">
        <v>1418</v>
      </c>
      <c r="G945" s="11">
        <v>1824</v>
      </c>
      <c r="H945" s="11">
        <v>2422</v>
      </c>
      <c r="I945" s="11">
        <v>0</v>
      </c>
      <c r="J945" s="11">
        <v>0</v>
      </c>
      <c r="K945" s="11" t="s">
        <v>21</v>
      </c>
      <c r="L945" s="7">
        <v>39906.567083333335</v>
      </c>
      <c r="M945" s="12" t="s">
        <v>121</v>
      </c>
      <c r="N945" s="12" t="s">
        <v>1104</v>
      </c>
      <c r="O945" s="10" t="str">
        <f>HYPERLINK("https://pbs.twimg.com/profile_images/510721015945498624/1UpjmZMi_normal.jpeg","View")</f>
        <v>View</v>
      </c>
      <c r="P945" s="11"/>
    </row>
    <row r="946" spans="1:16" ht="12.75" x14ac:dyDescent="0.35">
      <c r="A946" s="7">
        <v>42479.019942129627</v>
      </c>
      <c r="B946" s="8" t="str">
        <f>HYPERLINK("https://twitter.com/RalfSchadowski","@RalfSchadowski")</f>
        <v>@RalfSchadowski</v>
      </c>
      <c r="C946" s="9" t="s">
        <v>2008</v>
      </c>
      <c r="D946" s="9" t="s">
        <v>2009</v>
      </c>
      <c r="E946" s="10" t="str">
        <f>HYPERLINK("https://twitter.com/RalfSchadowski/status/722137300042399744","722137300042399744")</f>
        <v>722137300042399744</v>
      </c>
      <c r="F946" s="11" t="s">
        <v>31</v>
      </c>
      <c r="G946" s="11">
        <v>133</v>
      </c>
      <c r="H946" s="11">
        <v>229</v>
      </c>
      <c r="I946" s="11">
        <v>1</v>
      </c>
      <c r="J946" s="11">
        <v>0</v>
      </c>
      <c r="K946" s="11" t="s">
        <v>21</v>
      </c>
      <c r="L946" s="7">
        <v>40296.061712962961</v>
      </c>
      <c r="M946" s="12" t="s">
        <v>184</v>
      </c>
      <c r="N946" s="12" t="s">
        <v>2010</v>
      </c>
      <c r="O946" s="10" t="str">
        <f>HYPERLINK("https://pbs.twimg.com/profile_images/1248995236/auge_rot_normal.jpg","View")</f>
        <v>View</v>
      </c>
      <c r="P946" s="11"/>
    </row>
    <row r="947" spans="1:16" ht="12.75" x14ac:dyDescent="0.35">
      <c r="A947" s="7">
        <v>42479.022337962961</v>
      </c>
      <c r="B947" s="8" t="str">
        <f>HYPERLINK("https://twitter.com/Law_Bolthausen","@Law_Bolthausen")</f>
        <v>@Law_Bolthausen</v>
      </c>
      <c r="C947" s="9" t="s">
        <v>2011</v>
      </c>
      <c r="D947" s="9" t="s">
        <v>1728</v>
      </c>
      <c r="E947" s="10" t="str">
        <f>HYPERLINK("https://twitter.com/Law_Bolthausen/status/722138168506589184","722138168506589184")</f>
        <v>722138168506589184</v>
      </c>
      <c r="F947" s="11" t="s">
        <v>20</v>
      </c>
      <c r="G947" s="11">
        <v>15</v>
      </c>
      <c r="H947" s="11">
        <v>22</v>
      </c>
      <c r="I947" s="11">
        <v>13</v>
      </c>
      <c r="J947" s="11">
        <v>0</v>
      </c>
      <c r="K947" s="11" t="s">
        <v>21</v>
      </c>
      <c r="L947" s="7">
        <v>42443.84003472222</v>
      </c>
      <c r="M947" s="12" t="s">
        <v>440</v>
      </c>
      <c r="N947" s="12" t="s">
        <v>2012</v>
      </c>
      <c r="O947" s="10" t="str">
        <f>HYPERLINK("https://pbs.twimg.com/profile_images/709389204506198017/vgmyEiD5_normal.jpg","View")</f>
        <v>View</v>
      </c>
      <c r="P947" s="11"/>
    </row>
    <row r="948" spans="1:16" ht="12.75" x14ac:dyDescent="0.35">
      <c r="A948" s="7">
        <v>42479.024189814816</v>
      </c>
      <c r="B948" s="8" t="str">
        <f>HYPERLINK("https://twitter.com/bianalyticsinc","@bianalyticsinc")</f>
        <v>@bianalyticsinc</v>
      </c>
      <c r="C948" s="9" t="s">
        <v>2013</v>
      </c>
      <c r="D948" s="9" t="s">
        <v>1954</v>
      </c>
      <c r="E948" s="10" t="str">
        <f>HYPERLINK("https://twitter.com/bianalyticsinc/status/722138838211162112","722138838211162112")</f>
        <v>722138838211162112</v>
      </c>
      <c r="F948" s="11" t="s">
        <v>31</v>
      </c>
      <c r="G948" s="11">
        <v>56</v>
      </c>
      <c r="H948" s="11">
        <v>155</v>
      </c>
      <c r="I948" s="11">
        <v>25</v>
      </c>
      <c r="J948" s="11">
        <v>0</v>
      </c>
      <c r="K948" s="11" t="s">
        <v>21</v>
      </c>
      <c r="L948" s="7">
        <v>42209.018101851849</v>
      </c>
      <c r="M948" s="12"/>
      <c r="N948" s="12"/>
      <c r="O948" s="10" t="str">
        <f>HYPERLINK("https://pbs.twimg.com/profile_images/624300616815374340/M4oNknxc_normal.jpg","View")</f>
        <v>View</v>
      </c>
      <c r="P948" s="11"/>
    </row>
    <row r="949" spans="1:16" ht="12.75" x14ac:dyDescent="0.35">
      <c r="A949" s="7">
        <v>42479.02443287037</v>
      </c>
      <c r="B949" s="8" t="str">
        <f>HYPERLINK("https://twitter.com/tomov_eu","@tomov_eu")</f>
        <v>@tomov_eu</v>
      </c>
      <c r="C949" s="9" t="s">
        <v>1222</v>
      </c>
      <c r="D949" s="9" t="s">
        <v>2014</v>
      </c>
      <c r="E949" s="10" t="str">
        <f>HYPERLINK("https://twitter.com/tomov_eu/status/722138925297451008","722138925297451008")</f>
        <v>722138925297451008</v>
      </c>
      <c r="F949" s="11" t="s">
        <v>25</v>
      </c>
      <c r="G949" s="11">
        <v>83</v>
      </c>
      <c r="H949" s="11">
        <v>69</v>
      </c>
      <c r="I949" s="11">
        <v>0</v>
      </c>
      <c r="J949" s="11">
        <v>0</v>
      </c>
      <c r="K949" s="11" t="s">
        <v>21</v>
      </c>
      <c r="L949" s="7">
        <v>40551.577476851853</v>
      </c>
      <c r="M949" s="12" t="s">
        <v>385</v>
      </c>
      <c r="N949" s="12" t="s">
        <v>1224</v>
      </c>
      <c r="O949" s="10" t="str">
        <f>HYPERLINK("https://pbs.twimg.com/profile_images/557949283861663744/XRnqLo9K_normal.jpeg","View")</f>
        <v>View</v>
      </c>
      <c r="P949" s="11"/>
    </row>
    <row r="950" spans="1:16" ht="12.75" x14ac:dyDescent="0.35">
      <c r="A950" s="7">
        <v>42479.024837962963</v>
      </c>
      <c r="B950" s="8" t="str">
        <f>HYPERLINK("https://twitter.com/CapgeminiDE","@CapgeminiDE")</f>
        <v>@CapgeminiDE</v>
      </c>
      <c r="C950" s="9" t="s">
        <v>280</v>
      </c>
      <c r="D950" s="9" t="s">
        <v>2015</v>
      </c>
      <c r="E950" s="10" t="str">
        <f>HYPERLINK("https://twitter.com/CapgeminiDE/status/722139072400109568","722139072400109568")</f>
        <v>722139072400109568</v>
      </c>
      <c r="F950" s="11" t="s">
        <v>39</v>
      </c>
      <c r="G950" s="11">
        <v>1640</v>
      </c>
      <c r="H950" s="11">
        <v>509</v>
      </c>
      <c r="I950" s="11">
        <v>0</v>
      </c>
      <c r="J950" s="11">
        <v>1</v>
      </c>
      <c r="K950" s="11" t="s">
        <v>21</v>
      </c>
      <c r="L950" s="7">
        <v>40424.022048611107</v>
      </c>
      <c r="M950" s="12" t="s">
        <v>218</v>
      </c>
      <c r="N950" s="12" t="s">
        <v>282</v>
      </c>
      <c r="O950" s="10" t="str">
        <f>HYPERLINK("https://pbs.twimg.com/profile_images/666911961599315968/aP7ID_qm_normal.png","View")</f>
        <v>View</v>
      </c>
      <c r="P950" s="11"/>
    </row>
    <row r="951" spans="1:16" ht="12.75" x14ac:dyDescent="0.35">
      <c r="A951" s="7">
        <v>42479.036319444444</v>
      </c>
      <c r="B951" s="8" t="str">
        <f>HYPERLINK("https://twitter.com/ContainersExpo","@ContainersExpo")</f>
        <v>@ContainersExpo</v>
      </c>
      <c r="C951" s="9" t="s">
        <v>2016</v>
      </c>
      <c r="D951" s="9" t="s">
        <v>1954</v>
      </c>
      <c r="E951" s="10" t="str">
        <f>HYPERLINK("https://twitter.com/ContainersExpo/status/722143233573330944","722143233573330944")</f>
        <v>722143233573330944</v>
      </c>
      <c r="F951" s="11" t="s">
        <v>31</v>
      </c>
      <c r="G951" s="11">
        <v>2477</v>
      </c>
      <c r="H951" s="11">
        <v>15</v>
      </c>
      <c r="I951" s="11">
        <v>25</v>
      </c>
      <c r="J951" s="11">
        <v>0</v>
      </c>
      <c r="K951" s="11" t="s">
        <v>21</v>
      </c>
      <c r="L951" s="7">
        <v>39826.831296296295</v>
      </c>
      <c r="M951" s="12" t="s">
        <v>1967</v>
      </c>
      <c r="N951" s="12" t="s">
        <v>1961</v>
      </c>
      <c r="O951" s="10" t="str">
        <f>HYPERLINK("https://pbs.twimg.com/profile_images/603207435290050560/cAWnUmOg_normal.jpg","View")</f>
        <v>View</v>
      </c>
      <c r="P951" s="11"/>
    </row>
    <row r="952" spans="1:16" ht="12.75" x14ac:dyDescent="0.35">
      <c r="A952" s="7">
        <v>42479.039340277777</v>
      </c>
      <c r="B952" s="8" t="str">
        <f>HYPERLINK("https://twitter.com/Ulitzer","@Ulitzer")</f>
        <v>@Ulitzer</v>
      </c>
      <c r="C952" s="8" t="s">
        <v>2017</v>
      </c>
      <c r="D952" s="9" t="s">
        <v>1954</v>
      </c>
      <c r="E952" s="10" t="str">
        <f>HYPERLINK("https://twitter.com/Ulitzer/status/722144327275790337","722144327275790337")</f>
        <v>722144327275790337</v>
      </c>
      <c r="F952" s="11" t="s">
        <v>31</v>
      </c>
      <c r="G952" s="11">
        <v>2580</v>
      </c>
      <c r="H952" s="11">
        <v>20</v>
      </c>
      <c r="I952" s="11">
        <v>25</v>
      </c>
      <c r="J952" s="11">
        <v>0</v>
      </c>
      <c r="K952" s="11" t="s">
        <v>21</v>
      </c>
      <c r="L952" s="7">
        <v>39822.392326388886</v>
      </c>
      <c r="M952" s="12" t="s">
        <v>1977</v>
      </c>
      <c r="N952" s="12" t="s">
        <v>2018</v>
      </c>
      <c r="O952" s="10" t="str">
        <f>HYPERLINK("https://pbs.twimg.com/profile_images/378800000469844257/16808b9f0926f37cb7ba19664ad97cbe_normal.jpeg","View")</f>
        <v>View</v>
      </c>
      <c r="P952" s="11"/>
    </row>
    <row r="953" spans="1:16" ht="12.75" x14ac:dyDescent="0.35">
      <c r="A953" s="7">
        <v>42479.039398148147</v>
      </c>
      <c r="B953" s="8" t="str">
        <f>HYPERLINK("https://twitter.com/Tom_Frick","@Tom_Frick")</f>
        <v>@Tom_Frick</v>
      </c>
      <c r="C953" s="9" t="s">
        <v>2019</v>
      </c>
      <c r="D953" s="9" t="s">
        <v>2020</v>
      </c>
      <c r="E953" s="10" t="str">
        <f>HYPERLINK("https://twitter.com/Tom_Frick/status/722144351380455424","722144351380455424")</f>
        <v>722144351380455424</v>
      </c>
      <c r="F953" s="11" t="s">
        <v>20</v>
      </c>
      <c r="G953" s="11">
        <v>158</v>
      </c>
      <c r="H953" s="11">
        <v>560</v>
      </c>
      <c r="I953" s="11">
        <v>11</v>
      </c>
      <c r="J953" s="11">
        <v>0</v>
      </c>
      <c r="K953" s="11" t="s">
        <v>21</v>
      </c>
      <c r="L953" s="7">
        <v>41756.001921296294</v>
      </c>
      <c r="M953" s="12" t="s">
        <v>2021</v>
      </c>
      <c r="N953" s="12" t="s">
        <v>2022</v>
      </c>
      <c r="O953" s="10" t="str">
        <f>HYPERLINK("https://pbs.twimg.com/profile_images/648110809512603648/gBCH0Eip_normal.png","View")</f>
        <v>View</v>
      </c>
      <c r="P953" s="11"/>
    </row>
    <row r="954" spans="1:16" ht="12.75" x14ac:dyDescent="0.35">
      <c r="A954" s="7">
        <v>42479.041689814811</v>
      </c>
      <c r="B954" s="8" t="str">
        <f>HYPERLINK("https://twitter.com/kommoptimierer","@kommoptimierer")</f>
        <v>@kommoptimierer</v>
      </c>
      <c r="C954" s="9" t="s">
        <v>270</v>
      </c>
      <c r="D954" s="9" t="s">
        <v>684</v>
      </c>
      <c r="E954" s="10" t="str">
        <f>HYPERLINK("https://twitter.com/kommoptimierer/status/722145178975383553","722145178975383553")</f>
        <v>722145178975383553</v>
      </c>
      <c r="F954" s="11" t="s">
        <v>272</v>
      </c>
      <c r="G954" s="11">
        <v>1347</v>
      </c>
      <c r="H954" s="11">
        <v>1753</v>
      </c>
      <c r="I954" s="11">
        <v>1</v>
      </c>
      <c r="J954" s="11">
        <v>1</v>
      </c>
      <c r="K954" s="11" t="s">
        <v>21</v>
      </c>
      <c r="L954" s="7">
        <v>39986.860358796301</v>
      </c>
      <c r="M954" s="12" t="s">
        <v>273</v>
      </c>
      <c r="N954" s="12" t="s">
        <v>274</v>
      </c>
      <c r="O954" s="10" t="str">
        <f>HYPERLINK("https://pbs.twimg.com/profile_images/541146126158536704/IYardufS_normal.jpeg","View")</f>
        <v>View</v>
      </c>
      <c r="P954" s="11"/>
    </row>
    <row r="955" spans="1:16" ht="12.75" x14ac:dyDescent="0.35">
      <c r="A955" s="7">
        <v>42479.042233796295</v>
      </c>
      <c r="B955" s="8" t="str">
        <f>HYPERLINK("https://twitter.com/MicroservicesE","@MicroservicesE")</f>
        <v>@MicroservicesE</v>
      </c>
      <c r="C955" s="9" t="s">
        <v>2023</v>
      </c>
      <c r="D955" s="9" t="s">
        <v>1954</v>
      </c>
      <c r="E955" s="10" t="str">
        <f>HYPERLINK("https://twitter.com/MicroservicesE/status/722145379681218561","722145379681218561")</f>
        <v>722145379681218561</v>
      </c>
      <c r="F955" s="11" t="s">
        <v>31</v>
      </c>
      <c r="G955" s="11">
        <v>2294</v>
      </c>
      <c r="H955" s="11">
        <v>15</v>
      </c>
      <c r="I955" s="11">
        <v>25</v>
      </c>
      <c r="J955" s="11">
        <v>0</v>
      </c>
      <c r="K955" s="11" t="s">
        <v>21</v>
      </c>
      <c r="L955" s="7">
        <v>39825.937303240738</v>
      </c>
      <c r="M955" s="12" t="s">
        <v>1967</v>
      </c>
      <c r="N955" s="12" t="s">
        <v>1961</v>
      </c>
      <c r="O955" s="10" t="str">
        <f>HYPERLINK("https://pbs.twimg.com/profile_images/580014582703480832/ndjCCex-_normal.png","View")</f>
        <v>View</v>
      </c>
      <c r="P955" s="11"/>
    </row>
    <row r="956" spans="1:16" ht="12.75" x14ac:dyDescent="0.35">
      <c r="A956" s="7">
        <v>42479.045347222222</v>
      </c>
      <c r="B956" s="8" t="str">
        <f>HYPERLINK("https://twitter.com/SYSCONtv","@SYSCONtv")</f>
        <v>@SYSCONtv</v>
      </c>
      <c r="C956" s="9" t="s">
        <v>2024</v>
      </c>
      <c r="D956" s="9" t="s">
        <v>1954</v>
      </c>
      <c r="E956" s="10" t="str">
        <f>HYPERLINK("https://twitter.com/SYSCONtv/status/722146503842770944","722146503842770944")</f>
        <v>722146503842770944</v>
      </c>
      <c r="F956" s="11" t="s">
        <v>31</v>
      </c>
      <c r="G956" s="11">
        <v>535</v>
      </c>
      <c r="H956" s="11">
        <v>15</v>
      </c>
      <c r="I956" s="11">
        <v>25</v>
      </c>
      <c r="J956" s="11">
        <v>0</v>
      </c>
      <c r="K956" s="11" t="s">
        <v>21</v>
      </c>
      <c r="L956" s="7">
        <v>41261.023240740738</v>
      </c>
      <c r="M956" s="12"/>
      <c r="N956" s="12" t="s">
        <v>2025</v>
      </c>
      <c r="O956" s="10" t="str">
        <f>HYPERLINK("https://pbs.twimg.com/profile_images/378800000469654535/d6e6590d04309613d6212d9faa51241b_normal.jpeg","View")</f>
        <v>View</v>
      </c>
      <c r="P956" s="11"/>
    </row>
    <row r="957" spans="1:16" ht="12.75" x14ac:dyDescent="0.35">
      <c r="A957" s="7">
        <v>42479.04896990741</v>
      </c>
      <c r="B957" s="8" t="str">
        <f>HYPERLINK("https://twitter.com/dustcloud_io","@dustcloud_io")</f>
        <v>@dustcloud_io</v>
      </c>
      <c r="C957" s="9" t="s">
        <v>2026</v>
      </c>
      <c r="D957" s="9" t="s">
        <v>1954</v>
      </c>
      <c r="E957" s="10" t="str">
        <f>HYPERLINK("https://twitter.com/dustcloud_io/status/722147816655753216","722147816655753216")</f>
        <v>722147816655753216</v>
      </c>
      <c r="F957" s="10" t="s">
        <v>2027</v>
      </c>
      <c r="G957" s="11">
        <v>969</v>
      </c>
      <c r="H957" s="11">
        <v>976</v>
      </c>
      <c r="I957" s="11">
        <v>25</v>
      </c>
      <c r="J957" s="11">
        <v>0</v>
      </c>
      <c r="K957" s="11" t="s">
        <v>21</v>
      </c>
      <c r="L957" s="7">
        <v>42467.199814814812</v>
      </c>
      <c r="M957" s="12" t="s">
        <v>2028</v>
      </c>
      <c r="N957" s="12" t="s">
        <v>2029</v>
      </c>
      <c r="O957" s="10" t="str">
        <f>HYPERLINK("https://pbs.twimg.com/profile_images/717897797249462277/MeNRszY2_normal.jpg","View")</f>
        <v>View</v>
      </c>
      <c r="P957" s="11"/>
    </row>
    <row r="958" spans="1:16" ht="12.75" x14ac:dyDescent="0.35">
      <c r="A958" s="7">
        <v>42479.051296296297</v>
      </c>
      <c r="B958" s="8" t="str">
        <f t="shared" ref="B958:B959" si="106">HYPERLINK("https://twitter.com/mfritz_fhg","@mfritz_fhg")</f>
        <v>@mfritz_fhg</v>
      </c>
      <c r="C958" s="9" t="s">
        <v>676</v>
      </c>
      <c r="D958" s="9" t="s">
        <v>2004</v>
      </c>
      <c r="E958" s="10" t="str">
        <f>HYPERLINK("https://twitter.com/mfritz_fhg/status/722148662172905475","722148662172905475")</f>
        <v>722148662172905475</v>
      </c>
      <c r="F958" s="11" t="s">
        <v>866</v>
      </c>
      <c r="G958" s="11">
        <v>92</v>
      </c>
      <c r="H958" s="11">
        <v>224</v>
      </c>
      <c r="I958" s="11">
        <v>2</v>
      </c>
      <c r="J958" s="11">
        <v>0</v>
      </c>
      <c r="K958" s="11" t="s">
        <v>21</v>
      </c>
      <c r="L958" s="7">
        <v>42214.190844907411</v>
      </c>
      <c r="M958" s="12" t="s">
        <v>440</v>
      </c>
      <c r="N958" s="12" t="s">
        <v>678</v>
      </c>
      <c r="O958" s="10" t="str">
        <f t="shared" ref="O958:O959" si="107">HYPERLINK("https://pbs.twimg.com/profile_images/653481171414872064/-C8HD5Mf_normal.jpg","View")</f>
        <v>View</v>
      </c>
      <c r="P958" s="11"/>
    </row>
    <row r="959" spans="1:16" ht="12.75" x14ac:dyDescent="0.35">
      <c r="A959" s="7">
        <v>42479.053530092591</v>
      </c>
      <c r="B959" s="8" t="str">
        <f t="shared" si="106"/>
        <v>@mfritz_fhg</v>
      </c>
      <c r="C959" s="9" t="s">
        <v>676</v>
      </c>
      <c r="D959" s="9" t="s">
        <v>2030</v>
      </c>
      <c r="E959" s="10" t="str">
        <f>HYPERLINK("https://twitter.com/mfritz_fhg/status/722149470159417344","722149470159417344")</f>
        <v>722149470159417344</v>
      </c>
      <c r="F959" s="11" t="s">
        <v>603</v>
      </c>
      <c r="G959" s="11">
        <v>92</v>
      </c>
      <c r="H959" s="11">
        <v>224</v>
      </c>
      <c r="I959" s="11">
        <v>1</v>
      </c>
      <c r="J959" s="11">
        <v>0</v>
      </c>
      <c r="K959" s="11" t="s">
        <v>21</v>
      </c>
      <c r="L959" s="7">
        <v>42214.190844907411</v>
      </c>
      <c r="M959" s="12" t="s">
        <v>440</v>
      </c>
      <c r="N959" s="12" t="s">
        <v>678</v>
      </c>
      <c r="O959" s="10" t="str">
        <f t="shared" si="107"/>
        <v>View</v>
      </c>
      <c r="P959" s="11"/>
    </row>
    <row r="960" spans="1:16" ht="12.75" x14ac:dyDescent="0.35">
      <c r="A960" s="7">
        <v>42479.056354166663</v>
      </c>
      <c r="B960" s="8" t="str">
        <f t="shared" ref="B960:B962" si="108">HYPERLINK("https://twitter.com/INDIZbot","@INDIZbot")</f>
        <v>@INDIZbot</v>
      </c>
      <c r="C960" s="9" t="s">
        <v>61</v>
      </c>
      <c r="D960" s="9" t="s">
        <v>2031</v>
      </c>
      <c r="E960" s="10" t="str">
        <f>HYPERLINK("https://twitter.com/INDIZbot/status/722150493296963584","722150493296963584")</f>
        <v>722150493296963584</v>
      </c>
      <c r="F960" s="11" t="s">
        <v>62</v>
      </c>
      <c r="G960" s="11">
        <v>1762</v>
      </c>
      <c r="H960" s="11">
        <v>481</v>
      </c>
      <c r="I960" s="11">
        <v>1</v>
      </c>
      <c r="J960" s="11">
        <v>0</v>
      </c>
      <c r="K960" s="11" t="s">
        <v>21</v>
      </c>
      <c r="L960" s="7">
        <v>42267.011921296296</v>
      </c>
      <c r="M960" s="12"/>
      <c r="N960" s="12" t="s">
        <v>63</v>
      </c>
      <c r="O960" s="10" t="str">
        <f t="shared" ref="O960:O962" si="109">HYPERLINK("https://pbs.twimg.com/profile_images/645716711723925506/t5G0qOS6_normal.jpg","View")</f>
        <v>View</v>
      </c>
      <c r="P960" s="11"/>
    </row>
    <row r="961" spans="1:16" ht="12.75" x14ac:dyDescent="0.35">
      <c r="A961" s="7">
        <v>42479.057141203702</v>
      </c>
      <c r="B961" s="8" t="str">
        <f t="shared" si="108"/>
        <v>@INDIZbot</v>
      </c>
      <c r="C961" s="9" t="s">
        <v>61</v>
      </c>
      <c r="D961" s="9" t="s">
        <v>1448</v>
      </c>
      <c r="E961" s="10" t="str">
        <f>HYPERLINK("https://twitter.com/INDIZbot/status/722150780082462721","722150780082462721")</f>
        <v>722150780082462721</v>
      </c>
      <c r="F961" s="11" t="s">
        <v>62</v>
      </c>
      <c r="G961" s="11">
        <v>1762</v>
      </c>
      <c r="H961" s="11">
        <v>481</v>
      </c>
      <c r="I961" s="11">
        <v>1</v>
      </c>
      <c r="J961" s="11">
        <v>0</v>
      </c>
      <c r="K961" s="11" t="s">
        <v>21</v>
      </c>
      <c r="L961" s="7">
        <v>42267.011921296296</v>
      </c>
      <c r="M961" s="12"/>
      <c r="N961" s="12" t="s">
        <v>63</v>
      </c>
      <c r="O961" s="10" t="str">
        <f t="shared" si="109"/>
        <v>View</v>
      </c>
      <c r="P961" s="11"/>
    </row>
    <row r="962" spans="1:16" ht="12.75" x14ac:dyDescent="0.35">
      <c r="A962" s="7">
        <v>42479.057523148149</v>
      </c>
      <c r="B962" s="8" t="str">
        <f t="shared" si="108"/>
        <v>@INDIZbot</v>
      </c>
      <c r="C962" s="9" t="s">
        <v>61</v>
      </c>
      <c r="D962" s="9" t="s">
        <v>2020</v>
      </c>
      <c r="E962" s="10" t="str">
        <f>HYPERLINK("https://twitter.com/INDIZbot/status/722150916317671425","722150916317671425")</f>
        <v>722150916317671425</v>
      </c>
      <c r="F962" s="11" t="s">
        <v>62</v>
      </c>
      <c r="G962" s="11">
        <v>1762</v>
      </c>
      <c r="H962" s="11">
        <v>481</v>
      </c>
      <c r="I962" s="11">
        <v>11</v>
      </c>
      <c r="J962" s="11">
        <v>0</v>
      </c>
      <c r="K962" s="11" t="s">
        <v>21</v>
      </c>
      <c r="L962" s="7">
        <v>42267.011921296296</v>
      </c>
      <c r="M962" s="12"/>
      <c r="N962" s="12" t="s">
        <v>63</v>
      </c>
      <c r="O962" s="10" t="str">
        <f t="shared" si="109"/>
        <v>View</v>
      </c>
      <c r="P962" s="11"/>
    </row>
    <row r="963" spans="1:16" ht="12.75" x14ac:dyDescent="0.35">
      <c r="A963" s="7">
        <v>42479.065995370373</v>
      </c>
      <c r="B963" s="8" t="str">
        <f>HYPERLINK("https://twitter.com/kommoptimierer","@kommoptimierer")</f>
        <v>@kommoptimierer</v>
      </c>
      <c r="C963" s="9" t="s">
        <v>270</v>
      </c>
      <c r="D963" s="9" t="s">
        <v>691</v>
      </c>
      <c r="E963" s="10" t="str">
        <f>HYPERLINK("https://twitter.com/kommoptimierer/status/722153986850234369","722153986850234369")</f>
        <v>722153986850234369</v>
      </c>
      <c r="F963" s="11" t="s">
        <v>272</v>
      </c>
      <c r="G963" s="11">
        <v>1347</v>
      </c>
      <c r="H963" s="11">
        <v>1753</v>
      </c>
      <c r="I963" s="11">
        <v>1</v>
      </c>
      <c r="J963" s="11">
        <v>0</v>
      </c>
      <c r="K963" s="11" t="s">
        <v>21</v>
      </c>
      <c r="L963" s="7">
        <v>39986.860358796301</v>
      </c>
      <c r="M963" s="12" t="s">
        <v>273</v>
      </c>
      <c r="N963" s="12" t="s">
        <v>274</v>
      </c>
      <c r="O963" s="10" t="str">
        <f>HYPERLINK("https://pbs.twimg.com/profile_images/541146126158536704/IYardufS_normal.jpeg","View")</f>
        <v>View</v>
      </c>
      <c r="P963" s="11"/>
    </row>
    <row r="964" spans="1:16" ht="12.75" x14ac:dyDescent="0.35">
      <c r="A964" s="7">
        <v>42479.06731481482</v>
      </c>
      <c r="B964" s="8" t="str">
        <f>HYPERLINK("https://twitter.com/ARAitken","@ARAitken")</f>
        <v>@ARAitken</v>
      </c>
      <c r="C964" s="9" t="s">
        <v>2032</v>
      </c>
      <c r="D964" s="9" t="s">
        <v>1904</v>
      </c>
      <c r="E964" s="10" t="str">
        <f>HYPERLINK("https://twitter.com/ARAitken/status/722154466632429568","722154466632429568")</f>
        <v>722154466632429568</v>
      </c>
      <c r="F964" s="11" t="s">
        <v>25</v>
      </c>
      <c r="G964" s="11">
        <v>399</v>
      </c>
      <c r="H964" s="11">
        <v>432</v>
      </c>
      <c r="I964" s="11">
        <v>18</v>
      </c>
      <c r="J964" s="11">
        <v>0</v>
      </c>
      <c r="K964" s="11" t="s">
        <v>21</v>
      </c>
      <c r="L964" s="7">
        <v>40668.55667824074</v>
      </c>
      <c r="M964" s="12" t="s">
        <v>2033</v>
      </c>
      <c r="N964" s="12" t="s">
        <v>2034</v>
      </c>
      <c r="O964" s="10" t="str">
        <f>HYPERLINK("https://pbs.twimg.com/profile_images/650211443112050688/Q-KC340L_normal.jpg","View")</f>
        <v>View</v>
      </c>
      <c r="P964" s="11"/>
    </row>
    <row r="965" spans="1:16" ht="12.75" x14ac:dyDescent="0.35">
      <c r="A965" s="7">
        <v>42479.070740740739</v>
      </c>
      <c r="B965" s="8" t="str">
        <f>HYPERLINK("https://twitter.com/INDIZbot","@INDIZbot")</f>
        <v>@INDIZbot</v>
      </c>
      <c r="C965" s="9" t="s">
        <v>61</v>
      </c>
      <c r="D965" s="9" t="s">
        <v>2035</v>
      </c>
      <c r="E965" s="10" t="str">
        <f>HYPERLINK("https://twitter.com/INDIZbot/status/722155709501218816","722155709501218816")</f>
        <v>722155709501218816</v>
      </c>
      <c r="F965" s="11" t="s">
        <v>62</v>
      </c>
      <c r="G965" s="11">
        <v>1762</v>
      </c>
      <c r="H965" s="11">
        <v>481</v>
      </c>
      <c r="I965" s="11">
        <v>1</v>
      </c>
      <c r="J965" s="11">
        <v>0</v>
      </c>
      <c r="K965" s="11" t="s">
        <v>21</v>
      </c>
      <c r="L965" s="7">
        <v>42267.011921296296</v>
      </c>
      <c r="M965" s="12"/>
      <c r="N965" s="12" t="s">
        <v>63</v>
      </c>
      <c r="O965" s="10" t="str">
        <f>HYPERLINK("https://pbs.twimg.com/profile_images/645716711723925506/t5G0qOS6_normal.jpg","View")</f>
        <v>View</v>
      </c>
      <c r="P965" s="11"/>
    </row>
    <row r="966" spans="1:16" ht="12.75" x14ac:dyDescent="0.35">
      <c r="A966" s="7">
        <v>42479.086400462962</v>
      </c>
      <c r="B966" s="8" t="str">
        <f>HYPERLINK("https://twitter.com/thomas_leubner","@thomas_leubner")</f>
        <v>@thomas_leubner</v>
      </c>
      <c r="C966" s="9" t="s">
        <v>2036</v>
      </c>
      <c r="D966" s="9" t="s">
        <v>2037</v>
      </c>
      <c r="E966" s="10" t="str">
        <f>HYPERLINK("https://twitter.com/thomas_leubner/status/722161382020526081","722161382020526081")</f>
        <v>722161382020526081</v>
      </c>
      <c r="F966" s="11" t="s">
        <v>29</v>
      </c>
      <c r="G966" s="11">
        <v>68</v>
      </c>
      <c r="H966" s="11">
        <v>198</v>
      </c>
      <c r="I966" s="11">
        <v>0</v>
      </c>
      <c r="J966" s="11">
        <v>2</v>
      </c>
      <c r="K966" s="11" t="s">
        <v>21</v>
      </c>
      <c r="L966" s="7">
        <v>42431.784062499995</v>
      </c>
      <c r="M966" s="12"/>
      <c r="N966" s="12" t="s">
        <v>2038</v>
      </c>
      <c r="O966" s="10" t="str">
        <f>HYPERLINK("https://pbs.twimg.com/profile_images/722132463565291520/neQnM60p_normal.jpg","View")</f>
        <v>View</v>
      </c>
      <c r="P966" s="11"/>
    </row>
    <row r="967" spans="1:16" ht="12.75" x14ac:dyDescent="0.35">
      <c r="A967" s="7">
        <v>42479.098437499997</v>
      </c>
      <c r="B967" s="8" t="str">
        <f>HYPERLINK("https://twitter.com/tomschaepper","@tomschaepper")</f>
        <v>@tomschaepper</v>
      </c>
      <c r="C967" s="9" t="s">
        <v>2039</v>
      </c>
      <c r="D967" s="9" t="s">
        <v>2040</v>
      </c>
      <c r="E967" s="10" t="str">
        <f>HYPERLINK("https://twitter.com/tomschaepper/status/722165747213037568","722165747213037568")</f>
        <v>722165747213037568</v>
      </c>
      <c r="F967" s="11" t="s">
        <v>31</v>
      </c>
      <c r="G967" s="11">
        <v>1872</v>
      </c>
      <c r="H967" s="11">
        <v>1842</v>
      </c>
      <c r="I967" s="11">
        <v>2</v>
      </c>
      <c r="J967" s="11">
        <v>0</v>
      </c>
      <c r="K967" s="11" t="s">
        <v>21</v>
      </c>
      <c r="L967" s="7">
        <v>39852.581643518519</v>
      </c>
      <c r="M967" s="12" t="s">
        <v>2041</v>
      </c>
      <c r="N967" s="12" t="s">
        <v>2042</v>
      </c>
      <c r="O967" s="10" t="str">
        <f>HYPERLINK("https://pbs.twimg.com/profile_images/1496274904/tomschaepper_bild_01_normal.jpg","View")</f>
        <v>View</v>
      </c>
      <c r="P967" s="11"/>
    </row>
    <row r="968" spans="1:16" ht="12.75" x14ac:dyDescent="0.35">
      <c r="A968" s="7">
        <v>42479.111921296295</v>
      </c>
      <c r="B968" s="8" t="str">
        <f>HYPERLINK("https://twitter.com/id_wettbewerbe","@id_wettbewerbe")</f>
        <v>@id_wettbewerbe</v>
      </c>
      <c r="C968" s="9" t="s">
        <v>2043</v>
      </c>
      <c r="D968" s="9" t="s">
        <v>2044</v>
      </c>
      <c r="E968" s="10" t="str">
        <f>HYPERLINK("https://twitter.com/id_wettbewerbe/status/722170633568784384","722170633568784384")</f>
        <v>722170633568784384</v>
      </c>
      <c r="F968" s="11" t="s">
        <v>59</v>
      </c>
      <c r="G968" s="11">
        <v>353</v>
      </c>
      <c r="H968" s="11">
        <v>1485</v>
      </c>
      <c r="I968" s="11">
        <v>3</v>
      </c>
      <c r="J968" s="11">
        <v>0</v>
      </c>
      <c r="K968" s="11" t="s">
        <v>21</v>
      </c>
      <c r="L968" s="7">
        <v>41001.710590277777</v>
      </c>
      <c r="M968" s="12" t="s">
        <v>895</v>
      </c>
      <c r="N968" s="12" t="s">
        <v>2045</v>
      </c>
      <c r="O968" s="10" t="str">
        <f>HYPERLINK("https://pbs.twimg.com/profile_images/507504284364046336/ptuuw46i_normal.png","View")</f>
        <v>View</v>
      </c>
      <c r="P968" s="11"/>
    </row>
    <row r="969" spans="1:16" ht="12.75" x14ac:dyDescent="0.35">
      <c r="A969" s="7">
        <v>42479.112638888888</v>
      </c>
      <c r="B969" s="8" t="str">
        <f>HYPERLINK("https://twitter.com/INDIZbot","@INDIZbot")</f>
        <v>@INDIZbot</v>
      </c>
      <c r="C969" s="9" t="s">
        <v>61</v>
      </c>
      <c r="D969" s="9" t="s">
        <v>2040</v>
      </c>
      <c r="E969" s="10" t="str">
        <f>HYPERLINK("https://twitter.com/INDIZbot/status/722170890595778560","722170890595778560")</f>
        <v>722170890595778560</v>
      </c>
      <c r="F969" s="11" t="s">
        <v>62</v>
      </c>
      <c r="G969" s="11">
        <v>1762</v>
      </c>
      <c r="H969" s="11">
        <v>481</v>
      </c>
      <c r="I969" s="11">
        <v>2</v>
      </c>
      <c r="J969" s="11">
        <v>0</v>
      </c>
      <c r="K969" s="11" t="s">
        <v>21</v>
      </c>
      <c r="L969" s="7">
        <v>42267.011921296296</v>
      </c>
      <c r="M969" s="12"/>
      <c r="N969" s="12" t="s">
        <v>63</v>
      </c>
      <c r="O969" s="10" t="str">
        <f>HYPERLINK("https://pbs.twimg.com/profile_images/645716711723925506/t5G0qOS6_normal.jpg","View")</f>
        <v>View</v>
      </c>
      <c r="P969" s="11"/>
    </row>
    <row r="970" spans="1:16" ht="12.75" x14ac:dyDescent="0.35">
      <c r="A970" s="7">
        <v>42479.118344907409</v>
      </c>
      <c r="B970" s="8" t="str">
        <f>HYPERLINK("https://twitter.com/BigDataTweetBot","@BigDataTweetBot")</f>
        <v>@BigDataTweetBot</v>
      </c>
      <c r="C970" s="9" t="s">
        <v>1660</v>
      </c>
      <c r="D970" s="9" t="s">
        <v>2046</v>
      </c>
      <c r="E970" s="10" t="str">
        <f>HYPERLINK("https://twitter.com/BigDataTweetBot/status/722172959524274176","722172959524274176")</f>
        <v>722172959524274176</v>
      </c>
      <c r="F970" s="11" t="s">
        <v>1662</v>
      </c>
      <c r="G970" s="11">
        <v>11323</v>
      </c>
      <c r="H970" s="11">
        <v>240</v>
      </c>
      <c r="I970" s="11">
        <v>3</v>
      </c>
      <c r="J970" s="11">
        <v>0</v>
      </c>
      <c r="K970" s="11" t="s">
        <v>21</v>
      </c>
      <c r="L970" s="7">
        <v>42188.291898148149</v>
      </c>
      <c r="M970" s="12"/>
      <c r="N970" s="12" t="s">
        <v>1663</v>
      </c>
      <c r="O970" s="10" t="str">
        <f>HYPERLINK("https://pbs.twimg.com/profile_images/616793252524650496/bQbxJqmz_normal.jpg","View")</f>
        <v>View</v>
      </c>
      <c r="P970" s="11"/>
    </row>
    <row r="971" spans="1:16" ht="12.75" x14ac:dyDescent="0.35">
      <c r="A971" s="7">
        <v>42479.126099537039</v>
      </c>
      <c r="B971" s="8" t="str">
        <f>HYPERLINK("https://twitter.com/INDIZbot","@INDIZbot")</f>
        <v>@INDIZbot</v>
      </c>
      <c r="C971" s="9" t="s">
        <v>61</v>
      </c>
      <c r="D971" s="9" t="s">
        <v>2046</v>
      </c>
      <c r="E971" s="10" t="str">
        <f>HYPERLINK("https://twitter.com/INDIZbot/status/722175768432943104","722175768432943104")</f>
        <v>722175768432943104</v>
      </c>
      <c r="F971" s="11" t="s">
        <v>62</v>
      </c>
      <c r="G971" s="11">
        <v>1762</v>
      </c>
      <c r="H971" s="11">
        <v>481</v>
      </c>
      <c r="I971" s="11">
        <v>3</v>
      </c>
      <c r="J971" s="11">
        <v>0</v>
      </c>
      <c r="K971" s="11" t="s">
        <v>21</v>
      </c>
      <c r="L971" s="7">
        <v>42267.011921296296</v>
      </c>
      <c r="M971" s="12"/>
      <c r="N971" s="12" t="s">
        <v>63</v>
      </c>
      <c r="O971" s="10" t="str">
        <f>HYPERLINK("https://pbs.twimg.com/profile_images/645716711723925506/t5G0qOS6_normal.jpg","View")</f>
        <v>View</v>
      </c>
      <c r="P971" s="11"/>
    </row>
    <row r="972" spans="1:16" ht="12.75" x14ac:dyDescent="0.35">
      <c r="A972" s="7">
        <v>42479.128634259258</v>
      </c>
      <c r="B972" s="8" t="str">
        <f>HYPERLINK("https://twitter.com/TSchipanski","@TSchipanski")</f>
        <v>@TSchipanski</v>
      </c>
      <c r="C972" s="9" t="s">
        <v>2047</v>
      </c>
      <c r="D972" s="9" t="s">
        <v>1914</v>
      </c>
      <c r="E972" s="10" t="str">
        <f>HYPERLINK("https://twitter.com/TSchipanski/status/722176687002292224","722176687002292224")</f>
        <v>722176687002292224</v>
      </c>
      <c r="F972" s="11" t="s">
        <v>31</v>
      </c>
      <c r="G972" s="11">
        <v>1630</v>
      </c>
      <c r="H972" s="11">
        <v>86</v>
      </c>
      <c r="I972" s="11">
        <v>5</v>
      </c>
      <c r="J972" s="11">
        <v>0</v>
      </c>
      <c r="K972" s="11" t="s">
        <v>21</v>
      </c>
      <c r="L972" s="7">
        <v>39947.474421296298</v>
      </c>
      <c r="M972" s="12" t="s">
        <v>2048</v>
      </c>
      <c r="N972" s="12" t="s">
        <v>2049</v>
      </c>
      <c r="O972" s="10" t="str">
        <f>HYPERLINK("https://pbs.twimg.com/profile_images/378800000138318067/0c1d2464e1c9f3b721cbd7a483d5c6cf_normal.jpeg","View")</f>
        <v>View</v>
      </c>
      <c r="P972" s="11"/>
    </row>
    <row r="973" spans="1:16" ht="12.75" x14ac:dyDescent="0.35">
      <c r="A973" s="7">
        <v>42479.137881944444</v>
      </c>
      <c r="B973" s="8" t="str">
        <f>HYPERLINK("https://twitter.com/ClaudiaFeusi","@ClaudiaFeusi")</f>
        <v>@ClaudiaFeusi</v>
      </c>
      <c r="C973" s="9" t="s">
        <v>2050</v>
      </c>
      <c r="D973" s="9" t="s">
        <v>2046</v>
      </c>
      <c r="E973" s="10" t="str">
        <f>HYPERLINK("https://twitter.com/ClaudiaFeusi/status/722180040482549761","722180040482549761")</f>
        <v>722180040482549761</v>
      </c>
      <c r="F973" s="11" t="s">
        <v>31</v>
      </c>
      <c r="G973" s="11">
        <v>30</v>
      </c>
      <c r="H973" s="11">
        <v>66</v>
      </c>
      <c r="I973" s="11">
        <v>3</v>
      </c>
      <c r="J973" s="11">
        <v>0</v>
      </c>
      <c r="K973" s="11" t="s">
        <v>21</v>
      </c>
      <c r="L973" s="7">
        <v>40329.624108796299</v>
      </c>
      <c r="M973" s="12" t="s">
        <v>2051</v>
      </c>
      <c r="N973" s="12" t="s">
        <v>2052</v>
      </c>
      <c r="O973" s="10" t="str">
        <f>HYPERLINK("https://pbs.twimg.com/profile_images/647154695891496960/SRHGbk0s_normal.jpg","View")</f>
        <v>View</v>
      </c>
      <c r="P973" s="11"/>
    </row>
    <row r="974" spans="1:16" ht="12.75" x14ac:dyDescent="0.35">
      <c r="A974" s="7">
        <v>42479.15216435185</v>
      </c>
      <c r="B974" s="8" t="str">
        <f>HYPERLINK("https://twitter.com/DevOpsSummit","@DevOpsSummit")</f>
        <v>@DevOpsSummit</v>
      </c>
      <c r="C974" s="9" t="s">
        <v>2053</v>
      </c>
      <c r="D974" s="9" t="s">
        <v>1954</v>
      </c>
      <c r="E974" s="10" t="str">
        <f>HYPERLINK("https://twitter.com/DevOpsSummit/status/722185213363818496","722185213363818496")</f>
        <v>722185213363818496</v>
      </c>
      <c r="F974" s="11" t="s">
        <v>31</v>
      </c>
      <c r="G974" s="11">
        <v>6697</v>
      </c>
      <c r="H974" s="11">
        <v>10</v>
      </c>
      <c r="I974" s="11">
        <v>25</v>
      </c>
      <c r="J974" s="11">
        <v>0</v>
      </c>
      <c r="K974" s="11" t="s">
        <v>21</v>
      </c>
      <c r="L974" s="7">
        <v>39825.868657407409</v>
      </c>
      <c r="M974" s="12" t="s">
        <v>1955</v>
      </c>
      <c r="N974" s="12" t="s">
        <v>1961</v>
      </c>
      <c r="O974" s="10" t="str">
        <f>HYPERLINK("https://pbs.twimg.com/profile_images/423842728850759680/Up51DBGK_normal.jpeg","View")</f>
        <v>View</v>
      </c>
      <c r="P974" s="11"/>
    </row>
    <row r="975" spans="1:16" ht="12.75" x14ac:dyDescent="0.35">
      <c r="A975" s="7">
        <v>42479.155127314814</v>
      </c>
      <c r="B975" s="8" t="str">
        <f>HYPERLINK("https://twitter.com/Gina_Boettcher","@Gina_Boettcher")</f>
        <v>@Gina_Boettcher</v>
      </c>
      <c r="C975" s="9" t="s">
        <v>2054</v>
      </c>
      <c r="D975" s="9" t="s">
        <v>2055</v>
      </c>
      <c r="E975" s="10" t="str">
        <f>HYPERLINK("https://twitter.com/Gina_Boettcher/status/722186288145817600","722186288145817600")</f>
        <v>722186288145817600</v>
      </c>
      <c r="F975" s="11" t="s">
        <v>31</v>
      </c>
      <c r="G975" s="11">
        <v>53</v>
      </c>
      <c r="H975" s="11">
        <v>196</v>
      </c>
      <c r="I975" s="11">
        <v>13</v>
      </c>
      <c r="J975" s="11">
        <v>0</v>
      </c>
      <c r="K975" s="11" t="s">
        <v>21</v>
      </c>
      <c r="L975" s="7">
        <v>42017.221631944441</v>
      </c>
      <c r="M975" s="12" t="s">
        <v>116</v>
      </c>
      <c r="N975" s="12" t="s">
        <v>2056</v>
      </c>
      <c r="O975" s="10" t="str">
        <f>HYPERLINK("https://pbs.twimg.com/profile_images/697168375039074305/KKl-ci8l_normal.jpg","View")</f>
        <v>View</v>
      </c>
      <c r="P975" s="11"/>
    </row>
    <row r="976" spans="1:16" ht="12.75" x14ac:dyDescent="0.35">
      <c r="A976" s="7">
        <v>42479.155127314814</v>
      </c>
      <c r="B976" s="8" t="str">
        <f>HYPERLINK("https://twitter.com/SDDCexpo","@SDDCexpo")</f>
        <v>@SDDCexpo</v>
      </c>
      <c r="C976" s="9" t="s">
        <v>2057</v>
      </c>
      <c r="D976" s="9" t="s">
        <v>1954</v>
      </c>
      <c r="E976" s="10" t="str">
        <f>HYPERLINK("https://twitter.com/SDDCexpo/status/722186289685139456","722186289685139456")</f>
        <v>722186289685139456</v>
      </c>
      <c r="F976" s="11" t="s">
        <v>31</v>
      </c>
      <c r="G976" s="11">
        <v>1119</v>
      </c>
      <c r="H976" s="11">
        <v>15</v>
      </c>
      <c r="I976" s="11">
        <v>25</v>
      </c>
      <c r="J976" s="11">
        <v>0</v>
      </c>
      <c r="K976" s="11" t="s">
        <v>21</v>
      </c>
      <c r="L976" s="7">
        <v>41260.791018518517</v>
      </c>
      <c r="M976" s="12" t="s">
        <v>2058</v>
      </c>
      <c r="N976" s="12" t="s">
        <v>1961</v>
      </c>
      <c r="O976" s="10" t="str">
        <f>HYPERLINK("https://pbs.twimg.com/profile_images/423125615525756929/nhYR78F1_normal.jpeg","View")</f>
        <v>View</v>
      </c>
      <c r="P976" s="11"/>
    </row>
    <row r="977" spans="1:16" ht="12.75" x14ac:dyDescent="0.35">
      <c r="A977" s="7">
        <v>42479.158206018517</v>
      </c>
      <c r="B977" s="8" t="str">
        <f>HYPERLINK("https://twitter.com/Print3DExpo","@Print3DExpo")</f>
        <v>@Print3DExpo</v>
      </c>
      <c r="C977" s="9" t="s">
        <v>2059</v>
      </c>
      <c r="D977" s="9" t="s">
        <v>1954</v>
      </c>
      <c r="E977" s="10" t="str">
        <f>HYPERLINK("https://twitter.com/Print3DExpo/status/722187405470642176","722187405470642176")</f>
        <v>722187405470642176</v>
      </c>
      <c r="F977" s="11" t="s">
        <v>31</v>
      </c>
      <c r="G977" s="11">
        <v>459</v>
      </c>
      <c r="H977" s="11">
        <v>5</v>
      </c>
      <c r="I977" s="11">
        <v>25</v>
      </c>
      <c r="J977" s="11">
        <v>0</v>
      </c>
      <c r="K977" s="11" t="s">
        <v>21</v>
      </c>
      <c r="L977" s="7">
        <v>41513.099444444444</v>
      </c>
      <c r="M977" s="12" t="s">
        <v>2060</v>
      </c>
      <c r="N977" s="12" t="s">
        <v>1961</v>
      </c>
      <c r="O977" s="10" t="str">
        <f>HYPERLINK("https://pbs.twimg.com/profile_images/378800000366378275/706622f2f5b5cbe3a8a325383d19e56e_normal.jpeg","View")</f>
        <v>View</v>
      </c>
      <c r="P977" s="11"/>
    </row>
    <row r="978" spans="1:16" ht="12.75" x14ac:dyDescent="0.35">
      <c r="A978" s="7">
        <v>42479.158472222218</v>
      </c>
      <c r="B978" s="8" t="str">
        <f>HYPERLINK("https://twitter.com/LtCaezar","@LtCaezar")</f>
        <v>@LtCaezar</v>
      </c>
      <c r="C978" s="9" t="s">
        <v>2061</v>
      </c>
      <c r="D978" s="9" t="s">
        <v>1954</v>
      </c>
      <c r="E978" s="10" t="str">
        <f>HYPERLINK("https://twitter.com/LtCaezar/status/722187499183988736","722187499183988736")</f>
        <v>722187499183988736</v>
      </c>
      <c r="F978" s="11" t="s">
        <v>2062</v>
      </c>
      <c r="G978" s="11">
        <v>24203</v>
      </c>
      <c r="H978" s="11">
        <v>3759</v>
      </c>
      <c r="I978" s="11">
        <v>25</v>
      </c>
      <c r="J978" s="11">
        <v>0</v>
      </c>
      <c r="K978" s="11" t="s">
        <v>21</v>
      </c>
      <c r="L978" s="7">
        <v>41262.852962962963</v>
      </c>
      <c r="M978" s="12" t="s">
        <v>2063</v>
      </c>
      <c r="N978" s="12" t="s">
        <v>2064</v>
      </c>
      <c r="O978" s="10" t="str">
        <f>HYPERLINK("https://pbs.twimg.com/profile_images/719982759549100033/kTnZEOR__normal.jpg","View")</f>
        <v>View</v>
      </c>
      <c r="P978" s="11"/>
    </row>
    <row r="979" spans="1:16" ht="12.75" x14ac:dyDescent="0.35">
      <c r="A979" s="7">
        <v>42479.19259259259</v>
      </c>
      <c r="B979" s="8" t="str">
        <f>HYPERLINK("https://twitter.com/id_wettbewerbe","@id_wettbewerbe")</f>
        <v>@id_wettbewerbe</v>
      </c>
      <c r="C979" s="9" t="s">
        <v>2043</v>
      </c>
      <c r="D979" s="9" t="s">
        <v>2065</v>
      </c>
      <c r="E979" s="10" t="str">
        <f>HYPERLINK("https://twitter.com/id_wettbewerbe/status/722199866831736833","722199866831736833")</f>
        <v>722199866831736833</v>
      </c>
      <c r="F979" s="11" t="s">
        <v>222</v>
      </c>
      <c r="G979" s="11">
        <v>353</v>
      </c>
      <c r="H979" s="11">
        <v>1485</v>
      </c>
      <c r="I979" s="11">
        <v>2</v>
      </c>
      <c r="J979" s="11">
        <v>0</v>
      </c>
      <c r="K979" s="11" t="s">
        <v>21</v>
      </c>
      <c r="L979" s="7">
        <v>41001.710590277777</v>
      </c>
      <c r="M979" s="12" t="s">
        <v>895</v>
      </c>
      <c r="N979" s="12" t="s">
        <v>2045</v>
      </c>
      <c r="O979" s="10" t="str">
        <f>HYPERLINK("https://pbs.twimg.com/profile_images/507504284364046336/ptuuw46i_normal.png","View")</f>
        <v>View</v>
      </c>
      <c r="P979" s="11"/>
    </row>
    <row r="980" spans="1:16" ht="12.75" x14ac:dyDescent="0.35">
      <c r="A980" s="7">
        <v>42479.195</v>
      </c>
      <c r="B980" s="8" t="str">
        <f>HYPERLINK("https://twitter.com/BigDataTweetBot","@BigDataTweetBot")</f>
        <v>@BigDataTweetBot</v>
      </c>
      <c r="C980" s="9" t="s">
        <v>1660</v>
      </c>
      <c r="D980" s="9" t="s">
        <v>2066</v>
      </c>
      <c r="E980" s="10" t="str">
        <f>HYPERLINK("https://twitter.com/BigDataTweetBot/status/722200737342693376","722200737342693376")</f>
        <v>722200737342693376</v>
      </c>
      <c r="F980" s="11" t="s">
        <v>1662</v>
      </c>
      <c r="G980" s="11">
        <v>11323</v>
      </c>
      <c r="H980" s="11">
        <v>240</v>
      </c>
      <c r="I980" s="11">
        <v>2</v>
      </c>
      <c r="J980" s="11">
        <v>0</v>
      </c>
      <c r="K980" s="11" t="s">
        <v>21</v>
      </c>
      <c r="L980" s="7">
        <v>42188.291898148149</v>
      </c>
      <c r="M980" s="12"/>
      <c r="N980" s="12" t="s">
        <v>1663</v>
      </c>
      <c r="O980" s="10" t="str">
        <f>HYPERLINK("https://pbs.twimg.com/profile_images/616793252524650496/bQbxJqmz_normal.jpg","View")</f>
        <v>View</v>
      </c>
      <c r="P980" s="11"/>
    </row>
    <row r="981" spans="1:16" ht="12.75" x14ac:dyDescent="0.35">
      <c r="A981" s="7">
        <v>42479.195254629631</v>
      </c>
      <c r="B981" s="8" t="str">
        <f>HYPERLINK("https://twitter.com/INDIZbot","@INDIZbot")</f>
        <v>@INDIZbot</v>
      </c>
      <c r="C981" s="9" t="s">
        <v>61</v>
      </c>
      <c r="D981" s="9" t="s">
        <v>2066</v>
      </c>
      <c r="E981" s="10" t="str">
        <f>HYPERLINK("https://twitter.com/INDIZbot/status/722200830712143872","722200830712143872")</f>
        <v>722200830712143872</v>
      </c>
      <c r="F981" s="11" t="s">
        <v>62</v>
      </c>
      <c r="G981" s="11">
        <v>1762</v>
      </c>
      <c r="H981" s="11">
        <v>481</v>
      </c>
      <c r="I981" s="11">
        <v>2</v>
      </c>
      <c r="J981" s="11">
        <v>0</v>
      </c>
      <c r="K981" s="11" t="s">
        <v>21</v>
      </c>
      <c r="L981" s="7">
        <v>42267.011921296296</v>
      </c>
      <c r="M981" s="12"/>
      <c r="N981" s="12" t="s">
        <v>63</v>
      </c>
      <c r="O981" s="10" t="str">
        <f>HYPERLINK("https://pbs.twimg.com/profile_images/645716711723925506/t5G0qOS6_normal.jpg","View")</f>
        <v>View</v>
      </c>
      <c r="P981" s="11"/>
    </row>
    <row r="982" spans="1:16" ht="12.75" x14ac:dyDescent="0.35">
      <c r="A982" s="7">
        <v>42479.212523148148</v>
      </c>
      <c r="B982" s="8" t="str">
        <f>HYPERLINK("https://twitter.com/QuickFindsIn","@QuickFindsIn")</f>
        <v>@QuickFindsIn</v>
      </c>
      <c r="C982" s="9" t="s">
        <v>208</v>
      </c>
      <c r="D982" s="9" t="s">
        <v>504</v>
      </c>
      <c r="E982" s="10" t="str">
        <f>HYPERLINK("https://twitter.com/QuickFindsIn/status/722207086981984256","722207086981984256")</f>
        <v>722207086981984256</v>
      </c>
      <c r="F982" s="11" t="s">
        <v>210</v>
      </c>
      <c r="G982" s="11">
        <v>1895</v>
      </c>
      <c r="H982" s="11">
        <v>2758</v>
      </c>
      <c r="I982" s="11">
        <v>0</v>
      </c>
      <c r="J982" s="11">
        <v>0</v>
      </c>
      <c r="K982" s="11" t="s">
        <v>21</v>
      </c>
      <c r="L982" s="7">
        <v>42069.582048611112</v>
      </c>
      <c r="M982" s="12" t="s">
        <v>211</v>
      </c>
      <c r="N982" s="12" t="s">
        <v>212</v>
      </c>
      <c r="O982" s="10" t="str">
        <f>HYPERLINK("https://pbs.twimg.com/profile_images/591951396217327616/HbcCX2zX_normal.png","View")</f>
        <v>View</v>
      </c>
      <c r="P982" s="11"/>
    </row>
    <row r="983" spans="1:16" ht="12.75" x14ac:dyDescent="0.35">
      <c r="A983" s="7">
        <v>42479.248379629629</v>
      </c>
      <c r="B983" s="8" t="str">
        <f>HYPERLINK("https://twitter.com/MelanieVogel_","@MelanieVogel_")</f>
        <v>@MelanieVogel_</v>
      </c>
      <c r="C983" s="9" t="s">
        <v>2067</v>
      </c>
      <c r="D983" s="9" t="s">
        <v>2068</v>
      </c>
      <c r="E983" s="10" t="str">
        <f>HYPERLINK("https://twitter.com/MelanieVogel_/status/722220084324904960","722220084324904960")</f>
        <v>722220084324904960</v>
      </c>
      <c r="F983" s="11" t="s">
        <v>39</v>
      </c>
      <c r="G983" s="11">
        <v>833</v>
      </c>
      <c r="H983" s="11">
        <v>656</v>
      </c>
      <c r="I983" s="11">
        <v>2</v>
      </c>
      <c r="J983" s="11">
        <v>1</v>
      </c>
      <c r="K983" s="11" t="s">
        <v>21</v>
      </c>
      <c r="L983" s="7">
        <v>41428.938078703708</v>
      </c>
      <c r="M983" s="12" t="s">
        <v>2069</v>
      </c>
      <c r="N983" s="12" t="s">
        <v>2070</v>
      </c>
      <c r="O983" s="10" t="str">
        <f>HYPERLINK("https://pbs.twimg.com/profile_images/696007904596463617/Y_yX9fUv_normal.jpg","View")</f>
        <v>View</v>
      </c>
      <c r="P983" s="11"/>
    </row>
    <row r="984" spans="1:16" ht="12.75" x14ac:dyDescent="0.35">
      <c r="A984" s="7">
        <v>42479.250810185185</v>
      </c>
      <c r="B984" s="8" t="str">
        <f>HYPERLINK("https://twitter.com/INDIZbot","@INDIZbot")</f>
        <v>@INDIZbot</v>
      </c>
      <c r="C984" s="9" t="s">
        <v>61</v>
      </c>
      <c r="D984" s="9" t="s">
        <v>2071</v>
      </c>
      <c r="E984" s="10" t="str">
        <f>HYPERLINK("https://twitter.com/INDIZbot/status/722220964428279808","722220964428279808")</f>
        <v>722220964428279808</v>
      </c>
      <c r="F984" s="11" t="s">
        <v>62</v>
      </c>
      <c r="G984" s="11">
        <v>1762</v>
      </c>
      <c r="H984" s="11">
        <v>481</v>
      </c>
      <c r="I984" s="11">
        <v>2</v>
      </c>
      <c r="J984" s="11">
        <v>0</v>
      </c>
      <c r="K984" s="11" t="s">
        <v>21</v>
      </c>
      <c r="L984" s="7">
        <v>42267.011921296296</v>
      </c>
      <c r="M984" s="12"/>
      <c r="N984" s="12" t="s">
        <v>63</v>
      </c>
      <c r="O984" s="10" t="str">
        <f>HYPERLINK("https://pbs.twimg.com/profile_images/645716711723925506/t5G0qOS6_normal.jpg","View")</f>
        <v>View</v>
      </c>
      <c r="P984" s="11"/>
    </row>
    <row r="985" spans="1:16" ht="12.75" x14ac:dyDescent="0.35">
      <c r="A985" s="7">
        <v>42479.26599537037</v>
      </c>
      <c r="B985" s="8" t="str">
        <f>HYPERLINK("https://twitter.com/CKmatics","@CKmatics")</f>
        <v>@CKmatics</v>
      </c>
      <c r="C985" s="9" t="s">
        <v>2072</v>
      </c>
      <c r="D985" s="9" t="s">
        <v>2073</v>
      </c>
      <c r="E985" s="10" t="str">
        <f>HYPERLINK("https://twitter.com/CKmatics/status/722226464918097921","722226464918097921")</f>
        <v>722226464918097921</v>
      </c>
      <c r="F985" s="11" t="s">
        <v>20</v>
      </c>
      <c r="G985" s="11">
        <v>760</v>
      </c>
      <c r="H985" s="11">
        <v>2100</v>
      </c>
      <c r="I985" s="11">
        <v>1</v>
      </c>
      <c r="J985" s="11">
        <v>0</v>
      </c>
      <c r="K985" s="11" t="s">
        <v>21</v>
      </c>
      <c r="L985" s="7">
        <v>39917.66646990741</v>
      </c>
      <c r="M985" s="12" t="s">
        <v>2074</v>
      </c>
      <c r="N985" s="12" t="s">
        <v>2075</v>
      </c>
      <c r="O985" s="10" t="str">
        <f>HYPERLINK("https://pbs.twimg.com/profile_images/482488325/ck_twit_normal.jpg","View")</f>
        <v>View</v>
      </c>
      <c r="P985" s="11"/>
    </row>
    <row r="986" spans="1:16" ht="12.75" x14ac:dyDescent="0.35">
      <c r="A986" s="7">
        <v>42479.325810185182</v>
      </c>
      <c r="B986" s="8" t="str">
        <f>HYPERLINK("https://twitter.com/APGuha","@APGuha")</f>
        <v>@APGuha</v>
      </c>
      <c r="C986" s="9" t="s">
        <v>1543</v>
      </c>
      <c r="D986" s="9" t="s">
        <v>2076</v>
      </c>
      <c r="E986" s="10" t="str">
        <f>HYPERLINK("https://twitter.com/APGuha/status/722248142398205953","722248142398205953")</f>
        <v>722248142398205953</v>
      </c>
      <c r="F986" s="11" t="s">
        <v>31</v>
      </c>
      <c r="G986" s="11">
        <v>2640</v>
      </c>
      <c r="H986" s="11">
        <v>3141</v>
      </c>
      <c r="I986" s="11">
        <v>2</v>
      </c>
      <c r="J986" s="11">
        <v>2</v>
      </c>
      <c r="K986" s="11" t="s">
        <v>21</v>
      </c>
      <c r="L986" s="7">
        <v>41721.293391203704</v>
      </c>
      <c r="M986" s="12" t="s">
        <v>1545</v>
      </c>
      <c r="N986" s="12" t="s">
        <v>1546</v>
      </c>
      <c r="O986" s="10" t="str">
        <f>HYPERLINK("https://pbs.twimg.com/profile_images/480533400743182336/w7vvPFUY_normal.png","View")</f>
        <v>View</v>
      </c>
      <c r="P986" s="11"/>
    </row>
    <row r="987" spans="1:16" ht="12.75" x14ac:dyDescent="0.35">
      <c r="A987" s="7">
        <v>42479.327152777776</v>
      </c>
      <c r="B987" s="8" t="str">
        <f>HYPERLINK("https://twitter.com/BigDataTweetBot","@BigDataTweetBot")</f>
        <v>@BigDataTweetBot</v>
      </c>
      <c r="C987" s="9" t="s">
        <v>1660</v>
      </c>
      <c r="D987" s="9" t="s">
        <v>2077</v>
      </c>
      <c r="E987" s="10" t="str">
        <f>HYPERLINK("https://twitter.com/BigDataTweetBot/status/722248627708674048","722248627708674048")</f>
        <v>722248627708674048</v>
      </c>
      <c r="F987" s="11" t="s">
        <v>1662</v>
      </c>
      <c r="G987" s="11">
        <v>11323</v>
      </c>
      <c r="H987" s="11">
        <v>240</v>
      </c>
      <c r="I987" s="11">
        <v>2</v>
      </c>
      <c r="J987" s="11">
        <v>0</v>
      </c>
      <c r="K987" s="11" t="s">
        <v>21</v>
      </c>
      <c r="L987" s="7">
        <v>42188.291898148149</v>
      </c>
      <c r="M987" s="12"/>
      <c r="N987" s="12" t="s">
        <v>1663</v>
      </c>
      <c r="O987" s="10" t="str">
        <f>HYPERLINK("https://pbs.twimg.com/profile_images/616793252524650496/bQbxJqmz_normal.jpg","View")</f>
        <v>View</v>
      </c>
      <c r="P987" s="11"/>
    </row>
    <row r="988" spans="1:16" ht="12.75" x14ac:dyDescent="0.35">
      <c r="A988" s="7">
        <v>42479.347557870366</v>
      </c>
      <c r="B988" s="8" t="str">
        <f>HYPERLINK("https://twitter.com/NoSQLDigest","@NoSQLDigest")</f>
        <v>@NoSQLDigest</v>
      </c>
      <c r="C988" s="9" t="s">
        <v>2078</v>
      </c>
      <c r="D988" s="9" t="s">
        <v>2077</v>
      </c>
      <c r="E988" s="10" t="str">
        <f>HYPERLINK("https://twitter.com/NoSQLDigest/status/722256025412247552","722256025412247552")</f>
        <v>722256025412247552</v>
      </c>
      <c r="F988" s="11" t="s">
        <v>2079</v>
      </c>
      <c r="G988" s="11">
        <v>12451</v>
      </c>
      <c r="H988" s="11">
        <v>15</v>
      </c>
      <c r="I988" s="11">
        <v>2</v>
      </c>
      <c r="J988" s="11">
        <v>0</v>
      </c>
      <c r="K988" s="11" t="s">
        <v>21</v>
      </c>
      <c r="L988" s="7">
        <v>41854.94263888889</v>
      </c>
      <c r="M988" s="12"/>
      <c r="N988" s="12" t="s">
        <v>2080</v>
      </c>
      <c r="O988" s="10" t="str">
        <f>HYPERLINK("https://pbs.twimg.com/profile_images/499257180009529344/CSWhr7LZ_normal.jpeg","View")</f>
        <v>View</v>
      </c>
      <c r="P988" s="11"/>
    </row>
    <row r="989" spans="1:16" ht="12.75" x14ac:dyDescent="0.35">
      <c r="A989" s="7">
        <v>42479.358252314814</v>
      </c>
      <c r="B989" s="8" t="str">
        <f>HYPERLINK("https://twitter.com/JerDoug","@JerDoug")</f>
        <v>@JerDoug</v>
      </c>
      <c r="C989" s="9" t="s">
        <v>2081</v>
      </c>
      <c r="D989" s="9" t="s">
        <v>1954</v>
      </c>
      <c r="E989" s="10" t="str">
        <f>HYPERLINK("https://twitter.com/JerDoug/status/722259897836904449","722259897836904449")</f>
        <v>722259897836904449</v>
      </c>
      <c r="F989" s="11" t="s">
        <v>31</v>
      </c>
      <c r="G989" s="11">
        <v>1209</v>
      </c>
      <c r="H989" s="11">
        <v>2178</v>
      </c>
      <c r="I989" s="11">
        <v>25</v>
      </c>
      <c r="J989" s="11">
        <v>0</v>
      </c>
      <c r="K989" s="11" t="s">
        <v>21</v>
      </c>
      <c r="L989" s="7">
        <v>40367.198692129634</v>
      </c>
      <c r="M989" s="12" t="s">
        <v>2082</v>
      </c>
      <c r="N989" s="12" t="s">
        <v>2083</v>
      </c>
      <c r="O989" s="10" t="str">
        <f>HYPERLINK("https://pbs.twimg.com/profile_images/1611098841/110915-109_normal.jpg","View")</f>
        <v>View</v>
      </c>
      <c r="P989" s="11"/>
    </row>
    <row r="990" spans="1:16" ht="12.75" x14ac:dyDescent="0.35">
      <c r="A990" s="7">
        <v>42479.360196759255</v>
      </c>
      <c r="B990" s="8" t="str">
        <f>HYPERLINK("https://twitter.com/catapultpr","@catapultpr")</f>
        <v>@catapultpr</v>
      </c>
      <c r="C990" s="9" t="s">
        <v>2084</v>
      </c>
      <c r="D990" s="9" t="s">
        <v>1954</v>
      </c>
      <c r="E990" s="10" t="str">
        <f>HYPERLINK("https://twitter.com/catapultpr/status/722260605265022976","722260605265022976")</f>
        <v>722260605265022976</v>
      </c>
      <c r="F990" s="11" t="s">
        <v>31</v>
      </c>
      <c r="G990" s="11">
        <v>711</v>
      </c>
      <c r="H990" s="11">
        <v>812</v>
      </c>
      <c r="I990" s="11">
        <v>25</v>
      </c>
      <c r="J990" s="11">
        <v>0</v>
      </c>
      <c r="K990" s="11" t="s">
        <v>21</v>
      </c>
      <c r="L990" s="7">
        <v>39990.114259259259</v>
      </c>
      <c r="M990" s="12" t="s">
        <v>2085</v>
      </c>
      <c r="N990" s="12" t="s">
        <v>2086</v>
      </c>
      <c r="O990" s="10" t="str">
        <f>HYPERLINK("https://pbs.twimg.com/profile_images/1110110878/Spring_72dpi_normal.jpg","View")</f>
        <v>View</v>
      </c>
      <c r="P990" s="11"/>
    </row>
    <row r="991" spans="1:16" ht="12.75" x14ac:dyDescent="0.35">
      <c r="A991" s="7">
        <v>42479.360486111109</v>
      </c>
      <c r="B991" s="8" t="str">
        <f>HYPERLINK("https://twitter.com/davidgreeny1","@davidgreeny1")</f>
        <v>@davidgreeny1</v>
      </c>
      <c r="C991" s="9" t="s">
        <v>2087</v>
      </c>
      <c r="D991" s="9" t="s">
        <v>1954</v>
      </c>
      <c r="E991" s="10" t="str">
        <f>HYPERLINK("https://twitter.com/davidgreeny1/status/722260710051418114","722260710051418114")</f>
        <v>722260710051418114</v>
      </c>
      <c r="F991" s="11" t="s">
        <v>2088</v>
      </c>
      <c r="G991" s="11">
        <v>487</v>
      </c>
      <c r="H991" s="11">
        <v>1273</v>
      </c>
      <c r="I991" s="11">
        <v>25</v>
      </c>
      <c r="J991" s="11">
        <v>0</v>
      </c>
      <c r="K991" s="11" t="s">
        <v>21</v>
      </c>
      <c r="L991" s="7">
        <v>42437.638275462959</v>
      </c>
      <c r="M991" s="12" t="s">
        <v>2089</v>
      </c>
      <c r="N991" s="12"/>
      <c r="O991" s="10" t="str">
        <f>HYPERLINK("https://pbs.twimg.com/profile_images/707482808458027008/CckMhUz1_normal.jpg","View")</f>
        <v>View</v>
      </c>
      <c r="P991" s="11"/>
    </row>
    <row r="992" spans="1:16" ht="12.75" x14ac:dyDescent="0.35">
      <c r="A992" s="7">
        <v>42479.363437499997</v>
      </c>
      <c r="B992" s="8" t="str">
        <f>HYPERLINK("https://twitter.com/LokeshPayik","@LokeshPayik")</f>
        <v>@LokeshPayik</v>
      </c>
      <c r="C992" s="9" t="s">
        <v>2090</v>
      </c>
      <c r="D992" s="9" t="s">
        <v>1904</v>
      </c>
      <c r="E992" s="10" t="str">
        <f>HYPERLINK("https://twitter.com/LokeshPayik/status/722261777317138433","722261777317138433")</f>
        <v>722261777317138433</v>
      </c>
      <c r="F992" s="11" t="s">
        <v>31</v>
      </c>
      <c r="G992" s="11">
        <v>193</v>
      </c>
      <c r="H992" s="11">
        <v>101</v>
      </c>
      <c r="I992" s="11">
        <v>18</v>
      </c>
      <c r="J992" s="11">
        <v>0</v>
      </c>
      <c r="K992" s="11" t="s">
        <v>21</v>
      </c>
      <c r="L992" s="7">
        <v>41301.369328703702</v>
      </c>
      <c r="M992" s="12" t="s">
        <v>2091</v>
      </c>
      <c r="N992" s="12" t="s">
        <v>2092</v>
      </c>
      <c r="O992" s="10" t="str">
        <f>HYPERLINK("https://pbs.twimg.com/profile_images/3168132348/ba3f924eb90c4a69acf6ca9ae5594871_normal.jpeg","View")</f>
        <v>View</v>
      </c>
      <c r="P992" s="11"/>
    </row>
    <row r="993" spans="1:16" ht="12.75" x14ac:dyDescent="0.35">
      <c r="A993" s="7">
        <v>42479.363599537042</v>
      </c>
      <c r="B993" s="8" t="str">
        <f>HYPERLINK("https://twitter.com/S_Allen_IIoT","@S_Allen_IIoT")</f>
        <v>@S_Allen_IIoT</v>
      </c>
      <c r="C993" s="9" t="s">
        <v>2093</v>
      </c>
      <c r="D993" s="9" t="s">
        <v>1954</v>
      </c>
      <c r="E993" s="10" t="str">
        <f>HYPERLINK("https://twitter.com/S_Allen_IIoT/status/722261838704947200","722261838704947200")</f>
        <v>722261838704947200</v>
      </c>
      <c r="F993" s="11" t="s">
        <v>31</v>
      </c>
      <c r="G993" s="11">
        <v>88</v>
      </c>
      <c r="H993" s="11">
        <v>47</v>
      </c>
      <c r="I993" s="11">
        <v>25</v>
      </c>
      <c r="J993" s="11">
        <v>0</v>
      </c>
      <c r="K993" s="11" t="s">
        <v>21</v>
      </c>
      <c r="L993" s="7">
        <v>42381.91269675926</v>
      </c>
      <c r="M993" s="12" t="s">
        <v>2085</v>
      </c>
      <c r="N993" s="12" t="s">
        <v>2094</v>
      </c>
      <c r="O993" s="10" t="str">
        <f>HYPERLINK("https://pbs.twimg.com/profile_images/686962695573270528/8bCV99Yq_normal.jpg","View")</f>
        <v>View</v>
      </c>
      <c r="P993" s="11"/>
    </row>
    <row r="994" spans="1:16" ht="12.75" x14ac:dyDescent="0.35">
      <c r="A994" s="7">
        <v>42479.364756944444</v>
      </c>
      <c r="B994" s="8" t="str">
        <f>HYPERLINK("https://twitter.com/freewavetech","@freewavetech")</f>
        <v>@freewavetech</v>
      </c>
      <c r="C994" s="9" t="s">
        <v>2095</v>
      </c>
      <c r="D994" s="9" t="s">
        <v>1954</v>
      </c>
      <c r="E994" s="10" t="str">
        <f>HYPERLINK("https://twitter.com/freewavetech/status/722262257682415616","722262257682415616")</f>
        <v>722262257682415616</v>
      </c>
      <c r="F994" s="11" t="s">
        <v>31</v>
      </c>
      <c r="G994" s="11">
        <v>1743</v>
      </c>
      <c r="H994" s="11">
        <v>2056</v>
      </c>
      <c r="I994" s="11">
        <v>25</v>
      </c>
      <c r="J994" s="11">
        <v>0</v>
      </c>
      <c r="K994" s="11" t="s">
        <v>21</v>
      </c>
      <c r="L994" s="7">
        <v>40675.146018518521</v>
      </c>
      <c r="M994" s="12" t="s">
        <v>2085</v>
      </c>
      <c r="N994" s="12" t="s">
        <v>2096</v>
      </c>
      <c r="O994" s="10" t="str">
        <f>HYPERLINK("https://pbs.twimg.com/profile_images/2249619423/freewave_normal.png","View")</f>
        <v>View</v>
      </c>
      <c r="P994" s="11"/>
    </row>
    <row r="995" spans="1:16" ht="12.75" x14ac:dyDescent="0.35">
      <c r="A995" s="7">
        <v>42479.366724537038</v>
      </c>
      <c r="B995" s="8" t="str">
        <f>HYPERLINK("https://twitter.com/APGuha","@APGuha")</f>
        <v>@APGuha</v>
      </c>
      <c r="C995" s="9" t="s">
        <v>1543</v>
      </c>
      <c r="D995" s="9" t="s">
        <v>2097</v>
      </c>
      <c r="E995" s="10" t="str">
        <f>HYPERLINK("https://twitter.com/APGuha/status/722262968566571009","722262968566571009")</f>
        <v>722262968566571009</v>
      </c>
      <c r="F995" s="11" t="s">
        <v>29</v>
      </c>
      <c r="G995" s="11">
        <v>2640</v>
      </c>
      <c r="H995" s="11">
        <v>3141</v>
      </c>
      <c r="I995" s="11">
        <v>0</v>
      </c>
      <c r="J995" s="11">
        <v>2</v>
      </c>
      <c r="K995" s="11" t="s">
        <v>21</v>
      </c>
      <c r="L995" s="7">
        <v>41721.293391203704</v>
      </c>
      <c r="M995" s="12" t="s">
        <v>1545</v>
      </c>
      <c r="N995" s="12" t="s">
        <v>1546</v>
      </c>
      <c r="O995" s="10" t="str">
        <f>HYPERLINK("https://pbs.twimg.com/profile_images/480533400743182336/w7vvPFUY_normal.png","View")</f>
        <v>View</v>
      </c>
      <c r="P995" s="11"/>
    </row>
    <row r="996" spans="1:16" ht="12.75" x14ac:dyDescent="0.35">
      <c r="A996" s="7">
        <v>42479.39844907407</v>
      </c>
      <c r="B996" s="8" t="str">
        <f>HYPERLINK("https://twitter.com/Evolutivist","@Evolutivist")</f>
        <v>@Evolutivist</v>
      </c>
      <c r="C996" s="9" t="s">
        <v>1310</v>
      </c>
      <c r="D996" s="9" t="s">
        <v>2071</v>
      </c>
      <c r="E996" s="10" t="str">
        <f>HYPERLINK("https://twitter.com/Evolutivist/status/722274463908241409","722274463908241409")</f>
        <v>722274463908241409</v>
      </c>
      <c r="F996" s="11" t="s">
        <v>20</v>
      </c>
      <c r="G996" s="11">
        <v>205</v>
      </c>
      <c r="H996" s="11">
        <v>351</v>
      </c>
      <c r="I996" s="11">
        <v>2</v>
      </c>
      <c r="J996" s="11">
        <v>0</v>
      </c>
      <c r="K996" s="11" t="s">
        <v>21</v>
      </c>
      <c r="L996" s="7">
        <v>40926.661990740744</v>
      </c>
      <c r="M996" s="12" t="s">
        <v>1312</v>
      </c>
      <c r="N996" s="12" t="s">
        <v>1313</v>
      </c>
      <c r="O996" s="10" t="str">
        <f>HYPERLINK("https://pbs.twimg.com/profile_images/2162445220/wagnertwitter_normal.jpg","View")</f>
        <v>View</v>
      </c>
      <c r="P996" s="11"/>
    </row>
    <row r="997" spans="1:16" ht="12.75" x14ac:dyDescent="0.35">
      <c r="A997" s="7">
        <v>42479.401516203703</v>
      </c>
      <c r="B997" s="8" t="str">
        <f>HYPERLINK("https://twitter.com/DerKonstrukteu","@DerKonstrukteu")</f>
        <v>@DerKonstrukteu</v>
      </c>
      <c r="C997" s="9" t="s">
        <v>2098</v>
      </c>
      <c r="D997" s="9" t="s">
        <v>2099</v>
      </c>
      <c r="E997" s="10" t="str">
        <f>HYPERLINK("https://twitter.com/DerKonstrukteu/status/722275577961586688","722275577961586688")</f>
        <v>722275577961586688</v>
      </c>
      <c r="F997" s="11" t="s">
        <v>29</v>
      </c>
      <c r="G997" s="11">
        <v>1142</v>
      </c>
      <c r="H997" s="11">
        <v>610</v>
      </c>
      <c r="I997" s="11">
        <v>2</v>
      </c>
      <c r="J997" s="11">
        <v>5</v>
      </c>
      <c r="K997" s="11" t="s">
        <v>21</v>
      </c>
      <c r="L997" s="7">
        <v>41612.809548611112</v>
      </c>
      <c r="M997" s="12" t="s">
        <v>2100</v>
      </c>
      <c r="N997" s="12" t="s">
        <v>2101</v>
      </c>
      <c r="O997" s="10" t="str">
        <f>HYPERLINK("https://pbs.twimg.com/profile_images/448785978165968896/SQOcI8cJ_normal.png","View")</f>
        <v>View</v>
      </c>
      <c r="P997" s="11"/>
    </row>
    <row r="998" spans="1:16" ht="12.75" x14ac:dyDescent="0.35">
      <c r="A998" s="7">
        <v>42479.418645833328</v>
      </c>
      <c r="B998" s="8" t="str">
        <f>HYPERLINK("https://twitter.com/INDIZbot","@INDIZbot")</f>
        <v>@INDIZbot</v>
      </c>
      <c r="C998" s="9" t="s">
        <v>61</v>
      </c>
      <c r="D998" s="9" t="s">
        <v>2102</v>
      </c>
      <c r="E998" s="10" t="str">
        <f>HYPERLINK("https://twitter.com/INDIZbot/status/722281785397223424","722281785397223424")</f>
        <v>722281785397223424</v>
      </c>
      <c r="F998" s="11" t="s">
        <v>62</v>
      </c>
      <c r="G998" s="11">
        <v>1762</v>
      </c>
      <c r="H998" s="11">
        <v>481</v>
      </c>
      <c r="I998" s="11">
        <v>2</v>
      </c>
      <c r="J998" s="11">
        <v>0</v>
      </c>
      <c r="K998" s="11" t="s">
        <v>21</v>
      </c>
      <c r="L998" s="7">
        <v>42267.011921296296</v>
      </c>
      <c r="M998" s="12"/>
      <c r="N998" s="12" t="s">
        <v>63</v>
      </c>
      <c r="O998" s="10" t="str">
        <f>HYPERLINK("https://pbs.twimg.com/profile_images/645716711723925506/t5G0qOS6_normal.jpg","View")</f>
        <v>View</v>
      </c>
      <c r="P998" s="11"/>
    </row>
    <row r="999" spans="1:16" ht="12.75" x14ac:dyDescent="0.35">
      <c r="A999" s="7">
        <v>42479.428761574076</v>
      </c>
      <c r="B999" s="8" t="str">
        <f>HYPERLINK("https://twitter.com/ASPhotoProject","@ASPhotoProject")</f>
        <v>@ASPhotoProject</v>
      </c>
      <c r="C999" s="8" t="s">
        <v>2103</v>
      </c>
      <c r="D999" s="9" t="s">
        <v>2104</v>
      </c>
      <c r="E999" s="10" t="str">
        <f>HYPERLINK("https://twitter.com/ASPhotoProject/status/722285451663523840","722285451663523840")</f>
        <v>722285451663523840</v>
      </c>
      <c r="F999" s="11" t="s">
        <v>29</v>
      </c>
      <c r="G999" s="11">
        <v>152</v>
      </c>
      <c r="H999" s="11">
        <v>399</v>
      </c>
      <c r="I999" s="11">
        <v>0</v>
      </c>
      <c r="J999" s="11">
        <v>0</v>
      </c>
      <c r="K999" s="11" t="s">
        <v>21</v>
      </c>
      <c r="L999" s="7">
        <v>40340.57167824074</v>
      </c>
      <c r="M999" s="12" t="s">
        <v>2105</v>
      </c>
      <c r="N999" s="12" t="s">
        <v>2106</v>
      </c>
      <c r="O999" s="10" t="str">
        <f>HYPERLINK("https://pbs.twimg.com/profile_images/980081426/Twitter_Logo_AS_normal.jpg","View")</f>
        <v>View</v>
      </c>
      <c r="P999" s="11"/>
    </row>
    <row r="1000" spans="1:16" ht="12.75" x14ac:dyDescent="0.35">
      <c r="A1000" s="7">
        <v>42479.43751157407</v>
      </c>
      <c r="B1000" s="8" t="str">
        <f>HYPERLINK("https://twitter.com/pinetco","@pinetco")</f>
        <v>@pinetco</v>
      </c>
      <c r="C1000" s="9" t="s">
        <v>1836</v>
      </c>
      <c r="D1000" s="9" t="s">
        <v>2107</v>
      </c>
      <c r="E1000" s="10" t="str">
        <f>HYPERLINK("https://twitter.com/pinetco/status/722288623400415232","722288623400415232")</f>
        <v>722288623400415232</v>
      </c>
      <c r="F1000" s="11" t="s">
        <v>508</v>
      </c>
      <c r="G1000" s="11">
        <v>53</v>
      </c>
      <c r="H1000" s="11">
        <v>41</v>
      </c>
      <c r="I1000" s="11">
        <v>1</v>
      </c>
      <c r="J1000" s="11">
        <v>1</v>
      </c>
      <c r="K1000" s="11" t="s">
        <v>21</v>
      </c>
      <c r="L1000" s="7">
        <v>40839.952581018515</v>
      </c>
      <c r="M1000" s="12" t="s">
        <v>1838</v>
      </c>
      <c r="N1000" s="12" t="s">
        <v>1839</v>
      </c>
      <c r="O1000" s="10" t="str">
        <f>HYPERLINK("https://pbs.twimg.com/profile_images/711927354118041601/TcQdN_kN_normal.jpg","View")</f>
        <v>View</v>
      </c>
      <c r="P1000" s="11"/>
    </row>
    <row r="1001" spans="1:16" ht="12.75" x14ac:dyDescent="0.35">
      <c r="A1001" s="7">
        <v>42479.438969907409</v>
      </c>
      <c r="B1001" s="8" t="str">
        <f>HYPERLINK("https://twitter.com/INDIZbot","@INDIZbot")</f>
        <v>@INDIZbot</v>
      </c>
      <c r="C1001" s="9" t="s">
        <v>61</v>
      </c>
      <c r="D1001" s="9" t="s">
        <v>2108</v>
      </c>
      <c r="E1001" s="10" t="str">
        <f>HYPERLINK("https://twitter.com/INDIZbot/status/722289151136178176","722289151136178176")</f>
        <v>722289151136178176</v>
      </c>
      <c r="F1001" s="11" t="s">
        <v>62</v>
      </c>
      <c r="G1001" s="11">
        <v>1762</v>
      </c>
      <c r="H1001" s="11">
        <v>481</v>
      </c>
      <c r="I1001" s="11">
        <v>1</v>
      </c>
      <c r="J1001" s="11">
        <v>0</v>
      </c>
      <c r="K1001" s="11" t="s">
        <v>21</v>
      </c>
      <c r="L1001" s="7">
        <v>42267.011921296296</v>
      </c>
      <c r="M1001" s="12"/>
      <c r="N1001" s="12" t="s">
        <v>63</v>
      </c>
      <c r="O1001" s="10" t="str">
        <f>HYPERLINK("https://pbs.twimg.com/profile_images/645716711723925506/t5G0qOS6_normal.jpg","View")</f>
        <v>View</v>
      </c>
      <c r="P1001" s="11"/>
    </row>
    <row r="1002" spans="1:16" ht="12.75" x14ac:dyDescent="0.35">
      <c r="A1002" s="7">
        <v>42479.45039351852</v>
      </c>
      <c r="B1002" s="8" t="str">
        <f>HYPERLINK("https://twitter.com/H_IT_D","@H_IT_D")</f>
        <v>@H_IT_D</v>
      </c>
      <c r="C1002" s="9" t="s">
        <v>159</v>
      </c>
      <c r="D1002" s="9" t="s">
        <v>2109</v>
      </c>
      <c r="E1002" s="10" t="str">
        <f>HYPERLINK("https://twitter.com/H_IT_D/status/722293290037436416","722293290037436416")</f>
        <v>722293290037436416</v>
      </c>
      <c r="F1002" s="11" t="s">
        <v>161</v>
      </c>
      <c r="G1002" s="11">
        <v>463</v>
      </c>
      <c r="H1002" s="11">
        <v>467</v>
      </c>
      <c r="I1002" s="11">
        <v>0</v>
      </c>
      <c r="J1002" s="11">
        <v>0</v>
      </c>
      <c r="K1002" s="11" t="s">
        <v>21</v>
      </c>
      <c r="L1002" s="7">
        <v>40723.867673611108</v>
      </c>
      <c r="M1002" s="12" t="s">
        <v>162</v>
      </c>
      <c r="N1002" s="12" t="s">
        <v>163</v>
      </c>
      <c r="O1002" s="10" t="str">
        <f>HYPERLINK("https://pbs.twimg.com/profile_images/662723326096224256/5V4KH9_O_normal.jpg","View")</f>
        <v>View</v>
      </c>
      <c r="P1002" s="11"/>
    </row>
    <row r="1003" spans="1:16" ht="12.75" x14ac:dyDescent="0.35">
      <c r="A1003" s="7">
        <v>42479.479189814811</v>
      </c>
      <c r="B1003" s="8" t="str">
        <f>HYPERLINK("https://twitter.com/catkinEU","@catkinEU")</f>
        <v>@catkinEU</v>
      </c>
      <c r="C1003" s="9" t="s">
        <v>781</v>
      </c>
      <c r="D1003" s="9" t="s">
        <v>1728</v>
      </c>
      <c r="E1003" s="10" t="str">
        <f>HYPERLINK("https://twitter.com/catkinEU/status/722303725486923777","722303725486923777")</f>
        <v>722303725486923777</v>
      </c>
      <c r="F1003" s="11" t="s">
        <v>29</v>
      </c>
      <c r="G1003" s="11">
        <v>403</v>
      </c>
      <c r="H1003" s="11">
        <v>541</v>
      </c>
      <c r="I1003" s="11">
        <v>13</v>
      </c>
      <c r="J1003" s="11">
        <v>0</v>
      </c>
      <c r="K1003" s="11" t="s">
        <v>21</v>
      </c>
      <c r="L1003" s="7">
        <v>42153.955763888887</v>
      </c>
      <c r="M1003" s="12"/>
      <c r="N1003" s="12" t="s">
        <v>782</v>
      </c>
      <c r="O1003" s="10" t="str">
        <f>HYPERLINK("https://pbs.twimg.com/profile_images/604338428227010560/6jzSa8us_normal.png","View")</f>
        <v>View</v>
      </c>
      <c r="P1003" s="11"/>
    </row>
    <row r="1004" spans="1:16" ht="12.75" x14ac:dyDescent="0.35">
      <c r="A1004" s="7">
        <v>42479.47929398148</v>
      </c>
      <c r="B1004" s="8" t="str">
        <f>HYPERLINK("https://twitter.com/BIGJTHEO","@BIGJTHEO")</f>
        <v>@BIGJTHEO</v>
      </c>
      <c r="C1004" s="9" t="s">
        <v>1386</v>
      </c>
      <c r="D1004" s="9" t="s">
        <v>1595</v>
      </c>
      <c r="E1004" s="10" t="str">
        <f>HYPERLINK("https://twitter.com/BIGJTHEO/status/722303764787552256","722303764787552256")</f>
        <v>722303764787552256</v>
      </c>
      <c r="F1004" s="11" t="s">
        <v>31</v>
      </c>
      <c r="G1004" s="11">
        <v>19</v>
      </c>
      <c r="H1004" s="11">
        <v>35</v>
      </c>
      <c r="I1004" s="11">
        <v>3</v>
      </c>
      <c r="J1004" s="11">
        <v>0</v>
      </c>
      <c r="K1004" s="11" t="s">
        <v>21</v>
      </c>
      <c r="L1004" s="7">
        <v>42416.789502314816</v>
      </c>
      <c r="M1004" s="12"/>
      <c r="N1004" s="12"/>
      <c r="O1004" s="10" t="str">
        <f>HYPERLINK("https://pbs.twimg.com/profile_images/699587498058588160/bU3XuBo9_normal.jpg","View")</f>
        <v>View</v>
      </c>
      <c r="P1004" s="11"/>
    </row>
    <row r="1005" spans="1:16" ht="12.75" x14ac:dyDescent="0.35">
      <c r="A1005" s="7">
        <v>42479.479513888888</v>
      </c>
      <c r="B1005" s="8" t="str">
        <f>HYPERLINK("https://twitter.com/SchneiderElecDE","@SchneiderElecDE")</f>
        <v>@SchneiderElecDE</v>
      </c>
      <c r="C1005" s="9" t="s">
        <v>147</v>
      </c>
      <c r="D1005" s="9" t="s">
        <v>2110</v>
      </c>
      <c r="E1005" s="10" t="str">
        <f>HYPERLINK("https://twitter.com/SchneiderElecDE/status/722303843359420417","722303843359420417")</f>
        <v>722303843359420417</v>
      </c>
      <c r="F1005" s="11" t="s">
        <v>39</v>
      </c>
      <c r="G1005" s="11">
        <v>3011</v>
      </c>
      <c r="H1005" s="11">
        <v>3002</v>
      </c>
      <c r="I1005" s="11">
        <v>7</v>
      </c>
      <c r="J1005" s="11">
        <v>5</v>
      </c>
      <c r="K1005" s="11" t="s">
        <v>21</v>
      </c>
      <c r="L1005" s="7">
        <v>41289.838483796295</v>
      </c>
      <c r="M1005" s="12" t="s">
        <v>92</v>
      </c>
      <c r="N1005" s="12" t="s">
        <v>148</v>
      </c>
      <c r="O1005" s="10" t="str">
        <f>HYPERLINK("https://pbs.twimg.com/profile_images/3112599272/7446ab70cbab1cf15ac54e9b795d2849_normal.jpeg","View")</f>
        <v>View</v>
      </c>
      <c r="P1005" s="11"/>
    </row>
    <row r="1006" spans="1:16" ht="12.75" x14ac:dyDescent="0.35">
      <c r="A1006" s="7">
        <v>42479.479965277773</v>
      </c>
      <c r="B1006" s="8" t="str">
        <f t="shared" ref="B1006:B1007" si="110">HYPERLINK("https://twitter.com/INDIZbot","@INDIZbot")</f>
        <v>@INDIZbot</v>
      </c>
      <c r="C1006" s="9" t="s">
        <v>61</v>
      </c>
      <c r="D1006" s="9" t="s">
        <v>2111</v>
      </c>
      <c r="E1006" s="10" t="str">
        <f>HYPERLINK("https://twitter.com/INDIZbot/status/722304007742582785","722304007742582785")</f>
        <v>722304007742582785</v>
      </c>
      <c r="F1006" s="11" t="s">
        <v>62</v>
      </c>
      <c r="G1006" s="11">
        <v>1762</v>
      </c>
      <c r="H1006" s="11">
        <v>481</v>
      </c>
      <c r="I1006" s="11">
        <v>7</v>
      </c>
      <c r="J1006" s="11">
        <v>0</v>
      </c>
      <c r="K1006" s="11" t="s">
        <v>21</v>
      </c>
      <c r="L1006" s="7">
        <v>42267.011921296296</v>
      </c>
      <c r="M1006" s="12"/>
      <c r="N1006" s="12" t="s">
        <v>63</v>
      </c>
      <c r="O1006" s="10" t="str">
        <f t="shared" ref="O1006:O1007" si="111">HYPERLINK("https://pbs.twimg.com/profile_images/645716711723925506/t5G0qOS6_normal.jpg","View")</f>
        <v>View</v>
      </c>
      <c r="P1006" s="11"/>
    </row>
    <row r="1007" spans="1:16" ht="12.75" x14ac:dyDescent="0.35">
      <c r="A1007" s="7">
        <v>42479.480532407411</v>
      </c>
      <c r="B1007" s="8" t="str">
        <f t="shared" si="110"/>
        <v>@INDIZbot</v>
      </c>
      <c r="C1007" s="9" t="s">
        <v>61</v>
      </c>
      <c r="D1007" s="9" t="s">
        <v>1728</v>
      </c>
      <c r="E1007" s="10" t="str">
        <f>HYPERLINK("https://twitter.com/INDIZbot/status/722304211900362753","722304211900362753")</f>
        <v>722304211900362753</v>
      </c>
      <c r="F1007" s="11" t="s">
        <v>62</v>
      </c>
      <c r="G1007" s="11">
        <v>1762</v>
      </c>
      <c r="H1007" s="11">
        <v>481</v>
      </c>
      <c r="I1007" s="11">
        <v>13</v>
      </c>
      <c r="J1007" s="11">
        <v>0</v>
      </c>
      <c r="K1007" s="11" t="s">
        <v>21</v>
      </c>
      <c r="L1007" s="7">
        <v>42267.011921296296</v>
      </c>
      <c r="M1007" s="12"/>
      <c r="N1007" s="12" t="s">
        <v>63</v>
      </c>
      <c r="O1007" s="10" t="str">
        <f t="shared" si="111"/>
        <v>View</v>
      </c>
      <c r="P1007" s="11"/>
    </row>
    <row r="1008" spans="1:16" ht="12.75" x14ac:dyDescent="0.35">
      <c r="A1008" s="7">
        <v>42479.485451388886</v>
      </c>
      <c r="B1008" s="8" t="str">
        <f>HYPERLINK("https://twitter.com/bastihollmann","@bastihollmann")</f>
        <v>@bastihollmann</v>
      </c>
      <c r="C1008" s="9" t="s">
        <v>750</v>
      </c>
      <c r="D1008" s="9" t="s">
        <v>2112</v>
      </c>
      <c r="E1008" s="10" t="str">
        <f>HYPERLINK("https://twitter.com/bastihollmann/status/722305995079303168","722305995079303168")</f>
        <v>722305995079303168</v>
      </c>
      <c r="F1008" s="11" t="s">
        <v>31</v>
      </c>
      <c r="G1008" s="11">
        <v>283</v>
      </c>
      <c r="H1008" s="11">
        <v>175</v>
      </c>
      <c r="I1008" s="11">
        <v>2</v>
      </c>
      <c r="J1008" s="11">
        <v>2</v>
      </c>
      <c r="K1008" s="11" t="s">
        <v>21</v>
      </c>
      <c r="L1008" s="7">
        <v>40487.681481481479</v>
      </c>
      <c r="M1008" s="12" t="s">
        <v>752</v>
      </c>
      <c r="N1008" s="12" t="s">
        <v>753</v>
      </c>
      <c r="O1008" s="10" t="str">
        <f>HYPERLINK("https://pbs.twimg.com/profile_images/593054907936186369/zjxLhMTm_normal.jpg","View")</f>
        <v>View</v>
      </c>
      <c r="P1008" s="11"/>
    </row>
    <row r="1009" spans="1:16" ht="12.75" x14ac:dyDescent="0.35">
      <c r="A1009" s="7">
        <v>42479.488252314812</v>
      </c>
      <c r="B1009" s="8" t="str">
        <f>HYPERLINK("https://twitter.com/AHK_Oesterreich","@AHK_Oesterreich")</f>
        <v>@AHK_Oesterreich</v>
      </c>
      <c r="C1009" s="9" t="s">
        <v>2113</v>
      </c>
      <c r="D1009" s="9" t="s">
        <v>2114</v>
      </c>
      <c r="E1009" s="10" t="str">
        <f>HYPERLINK("https://twitter.com/AHK_Oesterreich/status/722307009803120640","722307009803120640")</f>
        <v>722307009803120640</v>
      </c>
      <c r="F1009" s="11" t="s">
        <v>25</v>
      </c>
      <c r="G1009" s="11">
        <v>606</v>
      </c>
      <c r="H1009" s="11">
        <v>116</v>
      </c>
      <c r="I1009" s="11">
        <v>1</v>
      </c>
      <c r="J1009" s="11">
        <v>3</v>
      </c>
      <c r="K1009" s="11" t="s">
        <v>21</v>
      </c>
      <c r="L1009" s="7">
        <v>41088.669212962966</v>
      </c>
      <c r="M1009" s="12" t="s">
        <v>406</v>
      </c>
      <c r="N1009" s="12" t="s">
        <v>2115</v>
      </c>
      <c r="O1009" s="10" t="str">
        <f>HYPERLINK("https://pbs.twimg.com/profile_images/714710040301666304/f92qxjPD_normal.jpg","View")</f>
        <v>View</v>
      </c>
      <c r="P1009" s="11"/>
    </row>
    <row r="1010" spans="1:16" ht="12.75" x14ac:dyDescent="0.35">
      <c r="A1010" s="7">
        <v>42479.489131944443</v>
      </c>
      <c r="B1010" s="8" t="str">
        <f t="shared" ref="B1010:B1011" si="112">HYPERLINK("https://twitter.com/Geschnattere","@Geschnattere")</f>
        <v>@Geschnattere</v>
      </c>
      <c r="C1010" s="9" t="s">
        <v>577</v>
      </c>
      <c r="D1010" s="9" t="s">
        <v>1728</v>
      </c>
      <c r="E1010" s="10" t="str">
        <f>HYPERLINK("https://twitter.com/Geschnattere/status/722307329912397824","722307329912397824")</f>
        <v>722307329912397824</v>
      </c>
      <c r="F1010" s="11" t="s">
        <v>578</v>
      </c>
      <c r="G1010" s="11">
        <v>192</v>
      </c>
      <c r="H1010" s="11">
        <v>360</v>
      </c>
      <c r="I1010" s="11">
        <v>13</v>
      </c>
      <c r="J1010" s="11">
        <v>0</v>
      </c>
      <c r="K1010" s="11" t="s">
        <v>21</v>
      </c>
      <c r="L1010" s="7">
        <v>42392.975821759261</v>
      </c>
      <c r="M1010" s="12"/>
      <c r="N1010" s="12"/>
      <c r="O1010" s="10" t="str">
        <f t="shared" ref="O1010:O1011" si="113">HYPERLINK("https://pbs.twimg.com/profile_images/690957065490161664/Nat2upS4_normal.jpg","View")</f>
        <v>View</v>
      </c>
      <c r="P1010" s="11"/>
    </row>
    <row r="1011" spans="1:16" ht="12.75" x14ac:dyDescent="0.35">
      <c r="A1011" s="7">
        <v>42479.489178240736</v>
      </c>
      <c r="B1011" s="8" t="str">
        <f t="shared" si="112"/>
        <v>@Geschnattere</v>
      </c>
      <c r="C1011" s="9" t="s">
        <v>577</v>
      </c>
      <c r="D1011" s="9" t="s">
        <v>2111</v>
      </c>
      <c r="E1011" s="10" t="str">
        <f>HYPERLINK("https://twitter.com/Geschnattere/status/722307346601484288","722307346601484288")</f>
        <v>722307346601484288</v>
      </c>
      <c r="F1011" s="11" t="s">
        <v>578</v>
      </c>
      <c r="G1011" s="11">
        <v>192</v>
      </c>
      <c r="H1011" s="11">
        <v>360</v>
      </c>
      <c r="I1011" s="11">
        <v>7</v>
      </c>
      <c r="J1011" s="11">
        <v>0</v>
      </c>
      <c r="K1011" s="11" t="s">
        <v>21</v>
      </c>
      <c r="L1011" s="7">
        <v>42392.975821759261</v>
      </c>
      <c r="M1011" s="12"/>
      <c r="N1011" s="12"/>
      <c r="O1011" s="10" t="str">
        <f t="shared" si="113"/>
        <v>View</v>
      </c>
      <c r="P1011" s="11"/>
    </row>
    <row r="1012" spans="1:16" ht="12.75" x14ac:dyDescent="0.35">
      <c r="A1012" s="7">
        <v>42479.489351851851</v>
      </c>
      <c r="B1012" s="8" t="str">
        <f>HYPERLINK("https://twitter.com/ChrisSpahnADP","@ChrisSpahnADP")</f>
        <v>@ChrisSpahnADP</v>
      </c>
      <c r="C1012" s="9" t="s">
        <v>77</v>
      </c>
      <c r="D1012" s="9" t="s">
        <v>2116</v>
      </c>
      <c r="E1012" s="10" t="str">
        <f>HYPERLINK("https://twitter.com/ChrisSpahnADP/status/722307406043160576","722307406043160576")</f>
        <v>722307406043160576</v>
      </c>
      <c r="F1012" s="11" t="s">
        <v>25</v>
      </c>
      <c r="G1012" s="11">
        <v>672</v>
      </c>
      <c r="H1012" s="11">
        <v>1219</v>
      </c>
      <c r="I1012" s="11">
        <v>0</v>
      </c>
      <c r="J1012" s="11">
        <v>0</v>
      </c>
      <c r="K1012" s="11" t="s">
        <v>21</v>
      </c>
      <c r="L1012" s="7">
        <v>42284.785925925928</v>
      </c>
      <c r="M1012" s="12" t="s">
        <v>79</v>
      </c>
      <c r="N1012" s="12" t="s">
        <v>80</v>
      </c>
      <c r="O1012" s="10" t="str">
        <f>HYPERLINK("https://pbs.twimg.com/profile_images/651750095508086786/7EobC7Vn_normal.jpg","View")</f>
        <v>View</v>
      </c>
      <c r="P1012" s="11"/>
    </row>
    <row r="1013" spans="1:16" ht="12.75" x14ac:dyDescent="0.35">
      <c r="A1013" s="7">
        <v>42479.491863425923</v>
      </c>
      <c r="B1013" s="8" t="str">
        <f>HYPERLINK("https://twitter.com/DIVSI_Info","@DIVSI_Info")</f>
        <v>@DIVSI_Info</v>
      </c>
      <c r="C1013" s="9" t="s">
        <v>2117</v>
      </c>
      <c r="D1013" s="9" t="s">
        <v>2118</v>
      </c>
      <c r="E1013" s="10" t="str">
        <f>HYPERLINK("https://twitter.com/DIVSI_Info/status/722308317092179969","722308317092179969")</f>
        <v>722308317092179969</v>
      </c>
      <c r="F1013" s="11" t="s">
        <v>115</v>
      </c>
      <c r="G1013" s="11">
        <v>1226</v>
      </c>
      <c r="H1013" s="11">
        <v>1153</v>
      </c>
      <c r="I1013" s="11">
        <v>3</v>
      </c>
      <c r="J1013" s="11">
        <v>1</v>
      </c>
      <c r="K1013" s="11" t="s">
        <v>21</v>
      </c>
      <c r="L1013" s="7">
        <v>41512.638333333336</v>
      </c>
      <c r="M1013" s="12" t="s">
        <v>549</v>
      </c>
      <c r="N1013" s="12" t="s">
        <v>2119</v>
      </c>
      <c r="O1013" s="10" t="str">
        <f>HYPERLINK("https://pbs.twimg.com/profile_images/460701310560399360/FDd1Jyfx_normal.png","View")</f>
        <v>View</v>
      </c>
      <c r="P1013" s="11"/>
    </row>
    <row r="1014" spans="1:16" ht="12.75" x14ac:dyDescent="0.35">
      <c r="A1014" s="7">
        <v>42479.492766203708</v>
      </c>
      <c r="B1014" s="8" t="str">
        <f>HYPERLINK("https://twitter.com/plmitbusiness","@plmitbusiness")</f>
        <v>@plmitbusiness</v>
      </c>
      <c r="C1014" s="9" t="s">
        <v>2120</v>
      </c>
      <c r="D1014" s="9" t="s">
        <v>2121</v>
      </c>
      <c r="E1014" s="10" t="str">
        <f>HYPERLINK("https://twitter.com/plmitbusiness/status/722308643056709632","722308643056709632")</f>
        <v>722308643056709632</v>
      </c>
      <c r="F1014" s="11" t="s">
        <v>25</v>
      </c>
      <c r="G1014" s="11">
        <v>432</v>
      </c>
      <c r="H1014" s="11">
        <v>691</v>
      </c>
      <c r="I1014" s="11">
        <v>1</v>
      </c>
      <c r="J1014" s="11">
        <v>0</v>
      </c>
      <c r="K1014" s="11" t="s">
        <v>21</v>
      </c>
      <c r="L1014" s="7">
        <v>40064.759085648147</v>
      </c>
      <c r="M1014" s="12" t="s">
        <v>907</v>
      </c>
      <c r="N1014" s="12" t="s">
        <v>2122</v>
      </c>
      <c r="O1014" s="10" t="str">
        <f>HYPERLINK("https://pbs.twimg.com/profile_images/542216146800234497/U-yDAvbZ_normal.png","View")</f>
        <v>View</v>
      </c>
      <c r="P1014" s="11"/>
    </row>
    <row r="1015" spans="1:16" ht="12.75" x14ac:dyDescent="0.35">
      <c r="A1015" s="7">
        <v>42479.493275462963</v>
      </c>
      <c r="B1015" s="8" t="str">
        <f>HYPERLINK("https://twitter.com/fran_priebe","@fran_priebe")</f>
        <v>@fran_priebe</v>
      </c>
      <c r="C1015" s="9" t="s">
        <v>2123</v>
      </c>
      <c r="D1015" s="9" t="s">
        <v>2124</v>
      </c>
      <c r="E1015" s="10" t="str">
        <f>HYPERLINK("https://twitter.com/fran_priebe/status/722308829287944192","722308829287944192")</f>
        <v>722308829287944192</v>
      </c>
      <c r="F1015" s="11" t="s">
        <v>39</v>
      </c>
      <c r="G1015" s="11">
        <v>226</v>
      </c>
      <c r="H1015" s="11">
        <v>359</v>
      </c>
      <c r="I1015" s="11">
        <v>0</v>
      </c>
      <c r="J1015" s="11">
        <v>0</v>
      </c>
      <c r="K1015" s="11" t="s">
        <v>21</v>
      </c>
      <c r="L1015" s="7">
        <v>42050.620601851857</v>
      </c>
      <c r="M1015" s="12" t="s">
        <v>1294</v>
      </c>
      <c r="N1015" s="12" t="s">
        <v>2125</v>
      </c>
      <c r="O1015" s="10" t="str">
        <f>HYPERLINK("https://pbs.twimg.com/profile_images/566892914551558144/I5gD850E_normal.jpeg","View")</f>
        <v>View</v>
      </c>
      <c r="P1015" s="11"/>
    </row>
    <row r="1016" spans="1:16" ht="12.75" x14ac:dyDescent="0.35">
      <c r="A1016" s="7">
        <v>42479.493854166663</v>
      </c>
      <c r="B1016" s="8" t="str">
        <f>HYPERLINK("https://twitter.com/INDIZbot","@INDIZbot")</f>
        <v>@INDIZbot</v>
      </c>
      <c r="C1016" s="9" t="s">
        <v>61</v>
      </c>
      <c r="D1016" s="9" t="s">
        <v>2126</v>
      </c>
      <c r="E1016" s="10" t="str">
        <f>HYPERLINK("https://twitter.com/INDIZbot/status/722309039594586112","722309039594586112")</f>
        <v>722309039594586112</v>
      </c>
      <c r="F1016" s="11" t="s">
        <v>62</v>
      </c>
      <c r="G1016" s="11">
        <v>1762</v>
      </c>
      <c r="H1016" s="11">
        <v>481</v>
      </c>
      <c r="I1016" s="11">
        <v>3</v>
      </c>
      <c r="J1016" s="11">
        <v>0</v>
      </c>
      <c r="K1016" s="11" t="s">
        <v>21</v>
      </c>
      <c r="L1016" s="7">
        <v>42267.011921296296</v>
      </c>
      <c r="M1016" s="12"/>
      <c r="N1016" s="12" t="s">
        <v>63</v>
      </c>
      <c r="O1016" s="10" t="str">
        <f>HYPERLINK("https://pbs.twimg.com/profile_images/645716711723925506/t5G0qOS6_normal.jpg","View")</f>
        <v>View</v>
      </c>
      <c r="P1016" s="11"/>
    </row>
    <row r="1017" spans="1:16" ht="12.75" x14ac:dyDescent="0.35">
      <c r="A1017" s="7">
        <v>42479.494224537033</v>
      </c>
      <c r="B1017" s="8" t="str">
        <f>HYPERLINK("https://twitter.com/EelcoKaper","@EelcoKaper")</f>
        <v>@EelcoKaper</v>
      </c>
      <c r="C1017" s="9" t="s">
        <v>2127</v>
      </c>
      <c r="D1017" s="9" t="s">
        <v>1983</v>
      </c>
      <c r="E1017" s="10" t="str">
        <f>HYPERLINK("https://twitter.com/EelcoKaper/status/722309175502618624","722309175502618624")</f>
        <v>722309175502618624</v>
      </c>
      <c r="F1017" s="11" t="s">
        <v>31</v>
      </c>
      <c r="G1017" s="11">
        <v>2100</v>
      </c>
      <c r="H1017" s="11">
        <v>2606</v>
      </c>
      <c r="I1017" s="11">
        <v>4</v>
      </c>
      <c r="J1017" s="11">
        <v>0</v>
      </c>
      <c r="K1017" s="11" t="s">
        <v>21</v>
      </c>
      <c r="L1017" s="7">
        <v>40466.596550925926</v>
      </c>
      <c r="M1017" s="12" t="s">
        <v>2128</v>
      </c>
      <c r="N1017" s="12" t="s">
        <v>2129</v>
      </c>
      <c r="O1017" s="10" t="str">
        <f>HYPERLINK("https://pbs.twimg.com/profile_images/3491231235/ed24978d3a8400c7023f6fc1c58c5349_normal.jpeg","View")</f>
        <v>View</v>
      </c>
      <c r="P1017" s="11"/>
    </row>
    <row r="1018" spans="1:16" ht="12.75" x14ac:dyDescent="0.35">
      <c r="A1018" s="7">
        <v>42479.495891203704</v>
      </c>
      <c r="B1018" s="8" t="str">
        <f>HYPERLINK("https://twitter.com/H_IT_D","@H_IT_D")</f>
        <v>@H_IT_D</v>
      </c>
      <c r="C1018" s="9" t="s">
        <v>159</v>
      </c>
      <c r="D1018" s="9" t="s">
        <v>2130</v>
      </c>
      <c r="E1018" s="10" t="str">
        <f>HYPERLINK("https://twitter.com/H_IT_D/status/722309777909387264","722309777909387264")</f>
        <v>722309777909387264</v>
      </c>
      <c r="F1018" s="11" t="s">
        <v>161</v>
      </c>
      <c r="G1018" s="11">
        <v>463</v>
      </c>
      <c r="H1018" s="11">
        <v>467</v>
      </c>
      <c r="I1018" s="11">
        <v>0</v>
      </c>
      <c r="J1018" s="11">
        <v>0</v>
      </c>
      <c r="K1018" s="11" t="s">
        <v>21</v>
      </c>
      <c r="L1018" s="7">
        <v>40723.867673611108</v>
      </c>
      <c r="M1018" s="12" t="s">
        <v>162</v>
      </c>
      <c r="N1018" s="12" t="s">
        <v>163</v>
      </c>
      <c r="O1018" s="10" t="str">
        <f>HYPERLINK("https://pbs.twimg.com/profile_images/662723326096224256/5V4KH9_O_normal.jpg","View")</f>
        <v>View</v>
      </c>
      <c r="P1018" s="11"/>
    </row>
    <row r="1019" spans="1:16" ht="12.75" x14ac:dyDescent="0.35">
      <c r="A1019" s="7">
        <v>42479.496111111112</v>
      </c>
      <c r="B1019" s="8" t="str">
        <f>HYPERLINK("https://twitter.com/BoschSI","@BoschSI")</f>
        <v>@BoschSI</v>
      </c>
      <c r="C1019" s="9" t="s">
        <v>2131</v>
      </c>
      <c r="D1019" s="9" t="s">
        <v>1891</v>
      </c>
      <c r="E1019" s="10" t="str">
        <f>HYPERLINK("https://twitter.com/BoschSI/status/722309857202872322","722309857202872322")</f>
        <v>722309857202872322</v>
      </c>
      <c r="F1019" s="11" t="s">
        <v>25</v>
      </c>
      <c r="G1019" s="11">
        <v>3696</v>
      </c>
      <c r="H1019" s="11">
        <v>399</v>
      </c>
      <c r="I1019" s="11">
        <v>6</v>
      </c>
      <c r="J1019" s="11">
        <v>0</v>
      </c>
      <c r="K1019" s="11" t="s">
        <v>21</v>
      </c>
      <c r="L1019" s="7">
        <v>40064.70511574074</v>
      </c>
      <c r="M1019" s="12" t="s">
        <v>218</v>
      </c>
      <c r="N1019" s="12" t="s">
        <v>2132</v>
      </c>
      <c r="O1019" s="10" t="str">
        <f>HYPERLINK("https://pbs.twimg.com/profile_images/423816397320241152/83rRQZmm_normal.jpeg","View")</f>
        <v>View</v>
      </c>
      <c r="P1019" s="11"/>
    </row>
    <row r="1020" spans="1:16" ht="12.75" x14ac:dyDescent="0.35">
      <c r="A1020" s="7">
        <v>42479.496134259258</v>
      </c>
      <c r="B1020" s="8" t="str">
        <f>HYPERLINK("https://twitter.com/BirgitNiesing","@BirgitNiesing")</f>
        <v>@BirgitNiesing</v>
      </c>
      <c r="C1020" s="9" t="s">
        <v>2133</v>
      </c>
      <c r="D1020" s="9" t="s">
        <v>1803</v>
      </c>
      <c r="E1020" s="10" t="str">
        <f>HYPERLINK("https://twitter.com/BirgitNiesing/status/722309866157686784","722309866157686784")</f>
        <v>722309866157686784</v>
      </c>
      <c r="F1020" s="11" t="s">
        <v>29</v>
      </c>
      <c r="G1020" s="11">
        <v>35</v>
      </c>
      <c r="H1020" s="11">
        <v>105</v>
      </c>
      <c r="I1020" s="11">
        <v>11</v>
      </c>
      <c r="J1020" s="11">
        <v>0</v>
      </c>
      <c r="K1020" s="11" t="s">
        <v>21</v>
      </c>
      <c r="L1020" s="7">
        <v>42253.915254629625</v>
      </c>
      <c r="M1020" s="12"/>
      <c r="N1020" s="12"/>
      <c r="O1020" s="10" t="str">
        <f>HYPERLINK("https://pbs.twimg.com/profile_images/698945495373344768/qKt1PGIF_normal.jpg","View")</f>
        <v>View</v>
      </c>
      <c r="P1020" s="11"/>
    </row>
    <row r="1021" spans="1:16" ht="12.75" x14ac:dyDescent="0.35">
      <c r="A1021" s="7">
        <v>42479.497488425928</v>
      </c>
      <c r="B1021" s="8" t="str">
        <f>HYPERLINK("https://twitter.com/ThorstenRamus","@ThorstenRamus")</f>
        <v>@ThorstenRamus</v>
      </c>
      <c r="C1021" s="9" t="s">
        <v>809</v>
      </c>
      <c r="D1021" s="9" t="s">
        <v>2134</v>
      </c>
      <c r="E1021" s="10" t="str">
        <f>HYPERLINK("https://twitter.com/ThorstenRamus/status/722310356689952768","722310356689952768")</f>
        <v>722310356689952768</v>
      </c>
      <c r="F1021" s="11" t="s">
        <v>20</v>
      </c>
      <c r="G1021" s="11">
        <v>869</v>
      </c>
      <c r="H1021" s="11">
        <v>632</v>
      </c>
      <c r="I1021" s="11">
        <v>2</v>
      </c>
      <c r="J1021" s="11">
        <v>0</v>
      </c>
      <c r="K1021" s="11" t="s">
        <v>21</v>
      </c>
      <c r="L1021" s="7">
        <v>41323.90556712963</v>
      </c>
      <c r="M1021" s="12" t="s">
        <v>810</v>
      </c>
      <c r="N1021" s="12" t="s">
        <v>811</v>
      </c>
      <c r="O1021" s="10" t="str">
        <f>HYPERLINK("https://pbs.twimg.com/profile_images/649160019590684676/25rXh6pN_normal.jpg","View")</f>
        <v>View</v>
      </c>
      <c r="P1021" s="11"/>
    </row>
    <row r="1022" spans="1:16" ht="12.75" x14ac:dyDescent="0.35">
      <c r="A1022" s="7">
        <v>42479.500150462962</v>
      </c>
      <c r="B1022" s="8" t="str">
        <f>HYPERLINK("https://twitter.com/BoschSI","@BoschSI")</f>
        <v>@BoschSI</v>
      </c>
      <c r="C1022" s="9" t="s">
        <v>2131</v>
      </c>
      <c r="D1022" s="9" t="s">
        <v>1904</v>
      </c>
      <c r="E1022" s="10" t="str">
        <f>HYPERLINK("https://twitter.com/BoschSI/status/722311320012472320","722311320012472320")</f>
        <v>722311320012472320</v>
      </c>
      <c r="F1022" s="11" t="s">
        <v>25</v>
      </c>
      <c r="G1022" s="11">
        <v>3696</v>
      </c>
      <c r="H1022" s="11">
        <v>399</v>
      </c>
      <c r="I1022" s="11">
        <v>18</v>
      </c>
      <c r="J1022" s="11">
        <v>0</v>
      </c>
      <c r="K1022" s="11" t="s">
        <v>21</v>
      </c>
      <c r="L1022" s="7">
        <v>40064.70511574074</v>
      </c>
      <c r="M1022" s="12" t="s">
        <v>218</v>
      </c>
      <c r="N1022" s="12" t="s">
        <v>2132</v>
      </c>
      <c r="O1022" s="10" t="str">
        <f>HYPERLINK("https://pbs.twimg.com/profile_images/423816397320241152/83rRQZmm_normal.jpeg","View")</f>
        <v>View</v>
      </c>
      <c r="P1022" s="11"/>
    </row>
    <row r="1023" spans="1:16" ht="12.75" x14ac:dyDescent="0.35">
      <c r="A1023" s="7">
        <v>42479.501701388886</v>
      </c>
      <c r="B1023" s="8" t="str">
        <f>HYPERLINK("https://twitter.com/Bennuehr","@Bennuehr")</f>
        <v>@Bennuehr</v>
      </c>
      <c r="C1023" s="9" t="s">
        <v>2135</v>
      </c>
      <c r="D1023" s="9" t="s">
        <v>1728</v>
      </c>
      <c r="E1023" s="10" t="str">
        <f>HYPERLINK("https://twitter.com/Bennuehr/status/722311883513077760","722311883513077760")</f>
        <v>722311883513077760</v>
      </c>
      <c r="F1023" s="11" t="s">
        <v>31</v>
      </c>
      <c r="G1023" s="11">
        <v>196</v>
      </c>
      <c r="H1023" s="11">
        <v>138</v>
      </c>
      <c r="I1023" s="11">
        <v>13</v>
      </c>
      <c r="J1023" s="11">
        <v>0</v>
      </c>
      <c r="K1023" s="11" t="s">
        <v>21</v>
      </c>
      <c r="L1023" s="7">
        <v>40743.47420138889</v>
      </c>
      <c r="M1023" s="12" t="s">
        <v>549</v>
      </c>
      <c r="N1023" s="12" t="s">
        <v>2136</v>
      </c>
      <c r="O1023" s="10" t="str">
        <f>HYPERLINK("https://pbs.twimg.com/profile_images/1450403428/_8IA1859b_normal.jpg","View")</f>
        <v>View</v>
      </c>
      <c r="P1023" s="11"/>
    </row>
    <row r="1024" spans="1:16" ht="12.75" x14ac:dyDescent="0.35">
      <c r="A1024" s="7">
        <v>42479.502858796295</v>
      </c>
      <c r="B1024" s="8" t="str">
        <f>HYPERLINK("https://twitter.com/StipoNad","@StipoNad")</f>
        <v>@StipoNad</v>
      </c>
      <c r="C1024" s="9" t="s">
        <v>125</v>
      </c>
      <c r="D1024" s="9" t="s">
        <v>1664</v>
      </c>
      <c r="E1024" s="10" t="str">
        <f>HYPERLINK("https://twitter.com/StipoNad/status/722312300863074305","722312300863074305")</f>
        <v>722312300863074305</v>
      </c>
      <c r="F1024" s="11" t="s">
        <v>25</v>
      </c>
      <c r="G1024" s="11">
        <v>119</v>
      </c>
      <c r="H1024" s="11">
        <v>152</v>
      </c>
      <c r="I1024" s="11">
        <v>3</v>
      </c>
      <c r="J1024" s="11">
        <v>0</v>
      </c>
      <c r="K1024" s="11" t="s">
        <v>21</v>
      </c>
      <c r="L1024" s="7">
        <v>41375.657060185185</v>
      </c>
      <c r="M1024" s="12" t="s">
        <v>127</v>
      </c>
      <c r="N1024" s="12" t="s">
        <v>128</v>
      </c>
      <c r="O1024" s="10" t="str">
        <f>HYPERLINK("https://pbs.twimg.com/profile_images/656779070798172160/TNRHncFi_normal.jpg","View")</f>
        <v>View</v>
      </c>
      <c r="P1024" s="11"/>
    </row>
    <row r="1025" spans="1:16" ht="12.75" x14ac:dyDescent="0.35">
      <c r="A1025" s="7">
        <v>42479.503622685181</v>
      </c>
      <c r="B1025" s="8" t="str">
        <f>HYPERLINK("https://twitter.com/ScopeOnline","@ScopeOnline")</f>
        <v>@ScopeOnline</v>
      </c>
      <c r="C1025" s="9" t="s">
        <v>905</v>
      </c>
      <c r="D1025" s="9" t="s">
        <v>2137</v>
      </c>
      <c r="E1025" s="10" t="str">
        <f>HYPERLINK("https://twitter.com/ScopeOnline/status/722312580627361792","722312580627361792")</f>
        <v>722312580627361792</v>
      </c>
      <c r="F1025" s="11" t="s">
        <v>25</v>
      </c>
      <c r="G1025" s="11">
        <v>1727</v>
      </c>
      <c r="H1025" s="11">
        <v>1483</v>
      </c>
      <c r="I1025" s="11">
        <v>1</v>
      </c>
      <c r="J1025" s="11">
        <v>0</v>
      </c>
      <c r="K1025" s="11" t="s">
        <v>21</v>
      </c>
      <c r="L1025" s="7">
        <v>40064.751226851848</v>
      </c>
      <c r="M1025" s="12" t="s">
        <v>907</v>
      </c>
      <c r="N1025" s="12" t="s">
        <v>908</v>
      </c>
      <c r="O1025" s="10" t="str">
        <f>HYPERLINK("https://pbs.twimg.com/profile_images/542205461139705857/rG0aBulP_normal.png","View")</f>
        <v>View</v>
      </c>
      <c r="P1025" s="11"/>
    </row>
    <row r="1026" spans="1:16" ht="12.75" x14ac:dyDescent="0.35">
      <c r="A1026" s="7">
        <v>42479.504178240742</v>
      </c>
      <c r="B1026" s="8" t="str">
        <f>HYPERLINK("https://twitter.com/QuickFindsIn","@QuickFindsIn")</f>
        <v>@QuickFindsIn</v>
      </c>
      <c r="C1026" s="9" t="s">
        <v>208</v>
      </c>
      <c r="D1026" s="9" t="s">
        <v>452</v>
      </c>
      <c r="E1026" s="10" t="str">
        <f>HYPERLINK("https://twitter.com/QuickFindsIn/status/722312782180290560","722312782180290560")</f>
        <v>722312782180290560</v>
      </c>
      <c r="F1026" s="11" t="s">
        <v>210</v>
      </c>
      <c r="G1026" s="11">
        <v>1895</v>
      </c>
      <c r="H1026" s="11">
        <v>2758</v>
      </c>
      <c r="I1026" s="11">
        <v>0</v>
      </c>
      <c r="J1026" s="11">
        <v>0</v>
      </c>
      <c r="K1026" s="11" t="s">
        <v>21</v>
      </c>
      <c r="L1026" s="7">
        <v>42069.582048611112</v>
      </c>
      <c r="M1026" s="12" t="s">
        <v>211</v>
      </c>
      <c r="N1026" s="12" t="s">
        <v>212</v>
      </c>
      <c r="O1026" s="10" t="str">
        <f>HYPERLINK("https://pbs.twimg.com/profile_images/591951396217327616/HbcCX2zX_normal.png","View")</f>
        <v>View</v>
      </c>
      <c r="P1026" s="11"/>
    </row>
    <row r="1027" spans="1:16" ht="12.75" x14ac:dyDescent="0.35">
      <c r="A1027" s="7">
        <v>42479.50618055556</v>
      </c>
      <c r="B1027" s="8" t="str">
        <f>HYPERLINK("https://twitter.com/ScopeOnline","@ScopeOnline")</f>
        <v>@ScopeOnline</v>
      </c>
      <c r="C1027" s="9" t="s">
        <v>905</v>
      </c>
      <c r="D1027" s="9" t="s">
        <v>1728</v>
      </c>
      <c r="E1027" s="10" t="str">
        <f>HYPERLINK("https://twitter.com/ScopeOnline/status/722313507459436544","722313507459436544")</f>
        <v>722313507459436544</v>
      </c>
      <c r="F1027" s="11" t="s">
        <v>25</v>
      </c>
      <c r="G1027" s="11">
        <v>1727</v>
      </c>
      <c r="H1027" s="11">
        <v>1483</v>
      </c>
      <c r="I1027" s="11">
        <v>13</v>
      </c>
      <c r="J1027" s="11">
        <v>0</v>
      </c>
      <c r="K1027" s="11" t="s">
        <v>21</v>
      </c>
      <c r="L1027" s="7">
        <v>40064.751226851848</v>
      </c>
      <c r="M1027" s="12" t="s">
        <v>907</v>
      </c>
      <c r="N1027" s="12" t="s">
        <v>908</v>
      </c>
      <c r="O1027" s="10" t="str">
        <f>HYPERLINK("https://pbs.twimg.com/profile_images/542205461139705857/rG0aBulP_normal.png","View")</f>
        <v>View</v>
      </c>
      <c r="P1027" s="11"/>
    </row>
    <row r="1028" spans="1:16" ht="12.75" x14ac:dyDescent="0.35">
      <c r="A1028" s="7">
        <v>42479.506782407407</v>
      </c>
      <c r="B1028" s="8" t="str">
        <f>HYPERLINK("https://twitter.com/WRS_GmbH","@WRS_GmbH")</f>
        <v>@WRS_GmbH</v>
      </c>
      <c r="C1028" s="9" t="s">
        <v>2138</v>
      </c>
      <c r="D1028" s="9" t="s">
        <v>2139</v>
      </c>
      <c r="E1028" s="10" t="str">
        <f>HYPERLINK("https://twitter.com/WRS_GmbH/status/722313722904059904","722313722904059904")</f>
        <v>722313722904059904</v>
      </c>
      <c r="F1028" s="11" t="s">
        <v>25</v>
      </c>
      <c r="G1028" s="11">
        <v>996</v>
      </c>
      <c r="H1028" s="11">
        <v>375</v>
      </c>
      <c r="I1028" s="11">
        <v>3</v>
      </c>
      <c r="J1028" s="11">
        <v>0</v>
      </c>
      <c r="K1028" s="11" t="s">
        <v>21</v>
      </c>
      <c r="L1028" s="7">
        <v>40562.814965277779</v>
      </c>
      <c r="M1028" s="12" t="s">
        <v>157</v>
      </c>
      <c r="N1028" s="12" t="s">
        <v>2140</v>
      </c>
      <c r="O1028" s="10" t="str">
        <f>HYPERLINK("https://pbs.twimg.com/profile_images/463222772026449920/5iGLiTR2_normal.jpeg","View")</f>
        <v>View</v>
      </c>
      <c r="P1028" s="11"/>
    </row>
    <row r="1029" spans="1:16" ht="12.75" x14ac:dyDescent="0.35">
      <c r="A1029" s="7">
        <v>42479.507986111115</v>
      </c>
      <c r="B1029" s="8" t="str">
        <f>HYPERLINK("https://twitter.com/INDIZbot","@INDIZbot")</f>
        <v>@INDIZbot</v>
      </c>
      <c r="C1029" s="9" t="s">
        <v>61</v>
      </c>
      <c r="D1029" s="9" t="s">
        <v>2139</v>
      </c>
      <c r="E1029" s="10" t="str">
        <f>HYPERLINK("https://twitter.com/INDIZbot/status/722314159719915520","722314159719915520")</f>
        <v>722314159719915520</v>
      </c>
      <c r="F1029" s="11" t="s">
        <v>62</v>
      </c>
      <c r="G1029" s="11">
        <v>1762</v>
      </c>
      <c r="H1029" s="11">
        <v>481</v>
      </c>
      <c r="I1029" s="11">
        <v>3</v>
      </c>
      <c r="J1029" s="11">
        <v>0</v>
      </c>
      <c r="K1029" s="11" t="s">
        <v>21</v>
      </c>
      <c r="L1029" s="7">
        <v>42267.011921296296</v>
      </c>
      <c r="M1029" s="12"/>
      <c r="N1029" s="12" t="s">
        <v>63</v>
      </c>
      <c r="O1029" s="10" t="str">
        <f>HYPERLINK("https://pbs.twimg.com/profile_images/645716711723925506/t5G0qOS6_normal.jpg","View")</f>
        <v>View</v>
      </c>
      <c r="P1029" s="11"/>
    </row>
    <row r="1030" spans="1:16" ht="12.75" x14ac:dyDescent="0.35">
      <c r="A1030" s="7">
        <v>42479.508055555554</v>
      </c>
      <c r="B1030" s="8" t="str">
        <f>HYPERLINK("https://twitter.com/foresight_lab","@foresight_lab")</f>
        <v>@foresight_lab</v>
      </c>
      <c r="C1030" s="9" t="s">
        <v>1735</v>
      </c>
      <c r="D1030" s="9" t="s">
        <v>2141</v>
      </c>
      <c r="E1030" s="10" t="str">
        <f>HYPERLINK("https://twitter.com/foresight_lab/status/722314185913344000","722314185913344000")</f>
        <v>722314185913344000</v>
      </c>
      <c r="F1030" s="11" t="s">
        <v>25</v>
      </c>
      <c r="G1030" s="11">
        <v>673</v>
      </c>
      <c r="H1030" s="11">
        <v>1023</v>
      </c>
      <c r="I1030" s="11">
        <v>0</v>
      </c>
      <c r="J1030" s="11">
        <v>0</v>
      </c>
      <c r="K1030" s="11" t="s">
        <v>21</v>
      </c>
      <c r="L1030" s="7">
        <v>42322.787974537037</v>
      </c>
      <c r="M1030" s="12" t="s">
        <v>581</v>
      </c>
      <c r="N1030" s="12" t="s">
        <v>1737</v>
      </c>
      <c r="O1030" s="10" t="str">
        <f>HYPERLINK("https://pbs.twimg.com/profile_images/665798535779065856/sbUN3m6Q_normal.jpg","View")</f>
        <v>View</v>
      </c>
      <c r="P1030" s="11"/>
    </row>
    <row r="1031" spans="1:16" ht="12.75" x14ac:dyDescent="0.35">
      <c r="A1031" s="7">
        <v>42479.508611111116</v>
      </c>
      <c r="B1031" s="8" t="str">
        <f t="shared" ref="B1031:B1032" si="114">HYPERLINK("https://twitter.com/LReehten","@LReehten")</f>
        <v>@LReehten</v>
      </c>
      <c r="C1031" s="9" t="s">
        <v>1998</v>
      </c>
      <c r="D1031" s="9" t="s">
        <v>1803</v>
      </c>
      <c r="E1031" s="10" t="str">
        <f>HYPERLINK("https://twitter.com/LReehten/status/722314387378282496","722314387378282496")</f>
        <v>722314387378282496</v>
      </c>
      <c r="F1031" s="11" t="s">
        <v>20</v>
      </c>
      <c r="G1031" s="11">
        <v>2334</v>
      </c>
      <c r="H1031" s="11">
        <v>2836</v>
      </c>
      <c r="I1031" s="11">
        <v>11</v>
      </c>
      <c r="J1031" s="11">
        <v>0</v>
      </c>
      <c r="K1031" s="11" t="s">
        <v>21</v>
      </c>
      <c r="L1031" s="7">
        <v>41618.817071759258</v>
      </c>
      <c r="M1031" s="12"/>
      <c r="N1031" s="12" t="s">
        <v>2000</v>
      </c>
      <c r="O1031" s="10" t="str">
        <f t="shared" ref="O1031:O1032" si="115">HYPERLINK("https://pbs.twimg.com/profile_images/623849156159868928/BetFDR_i_normal.jpg","View")</f>
        <v>View</v>
      </c>
      <c r="P1031" s="11"/>
    </row>
    <row r="1032" spans="1:16" ht="12.75" x14ac:dyDescent="0.35">
      <c r="A1032" s="7">
        <v>42479.508738425924</v>
      </c>
      <c r="B1032" s="8" t="str">
        <f t="shared" si="114"/>
        <v>@LReehten</v>
      </c>
      <c r="C1032" s="9" t="s">
        <v>1998</v>
      </c>
      <c r="D1032" s="9" t="s">
        <v>1904</v>
      </c>
      <c r="E1032" s="10" t="str">
        <f>HYPERLINK("https://twitter.com/LReehten/status/722314431590440960","722314431590440960")</f>
        <v>722314431590440960</v>
      </c>
      <c r="F1032" s="11" t="s">
        <v>20</v>
      </c>
      <c r="G1032" s="11">
        <v>2334</v>
      </c>
      <c r="H1032" s="11">
        <v>2836</v>
      </c>
      <c r="I1032" s="11">
        <v>18</v>
      </c>
      <c r="J1032" s="11">
        <v>0</v>
      </c>
      <c r="K1032" s="11" t="s">
        <v>21</v>
      </c>
      <c r="L1032" s="7">
        <v>41618.817071759258</v>
      </c>
      <c r="M1032" s="12"/>
      <c r="N1032" s="12" t="s">
        <v>2000</v>
      </c>
      <c r="O1032" s="10" t="str">
        <f t="shared" si="115"/>
        <v>View</v>
      </c>
      <c r="P1032" s="11"/>
    </row>
    <row r="1033" spans="1:16" ht="12.75" x14ac:dyDescent="0.35">
      <c r="A1033" s="7">
        <v>42479.508796296301</v>
      </c>
      <c r="B1033" s="8" t="str">
        <f>HYPERLINK("https://twitter.com/handling","@handling")</f>
        <v>@handling</v>
      </c>
      <c r="C1033" s="9" t="s">
        <v>1565</v>
      </c>
      <c r="D1033" s="9" t="s">
        <v>2126</v>
      </c>
      <c r="E1033" s="10" t="str">
        <f>HYPERLINK("https://twitter.com/handling/status/722314452901707776","722314452901707776")</f>
        <v>722314452901707776</v>
      </c>
      <c r="F1033" s="11" t="s">
        <v>25</v>
      </c>
      <c r="G1033" s="11">
        <v>1541</v>
      </c>
      <c r="H1033" s="11">
        <v>1027</v>
      </c>
      <c r="I1033" s="11">
        <v>3</v>
      </c>
      <c r="J1033" s="11">
        <v>0</v>
      </c>
      <c r="K1033" s="11" t="s">
        <v>21</v>
      </c>
      <c r="L1033" s="7">
        <v>39667.882245370369</v>
      </c>
      <c r="M1033" s="12" t="s">
        <v>1566</v>
      </c>
      <c r="N1033" s="12" t="s">
        <v>1567</v>
      </c>
      <c r="O1033" s="10" t="str">
        <f>HYPERLINK("https://pbs.twimg.com/profile_images/648776467464212480/zcXaLLGc_normal.png","View")</f>
        <v>View</v>
      </c>
      <c r="P1033" s="11"/>
    </row>
    <row r="1034" spans="1:16" ht="12.75" x14ac:dyDescent="0.35">
      <c r="A1034" s="7">
        <v>42479.508831018524</v>
      </c>
      <c r="B1034" s="8" t="str">
        <f t="shared" ref="B1034:B1035" si="116">HYPERLINK("https://twitter.com/steffi_kow","@steffi_kow")</f>
        <v>@steffi_kow</v>
      </c>
      <c r="C1034" s="9" t="s">
        <v>2142</v>
      </c>
      <c r="D1034" s="9" t="s">
        <v>1904</v>
      </c>
      <c r="E1034" s="10" t="str">
        <f>HYPERLINK("https://twitter.com/steffi_kow/status/722314465035874304","722314465035874304")</f>
        <v>722314465035874304</v>
      </c>
      <c r="F1034" s="11" t="s">
        <v>25</v>
      </c>
      <c r="G1034" s="11">
        <v>57</v>
      </c>
      <c r="H1034" s="11">
        <v>60</v>
      </c>
      <c r="I1034" s="11">
        <v>18</v>
      </c>
      <c r="J1034" s="11">
        <v>0</v>
      </c>
      <c r="K1034" s="11" t="s">
        <v>21</v>
      </c>
      <c r="L1034" s="7">
        <v>42474.780069444445</v>
      </c>
      <c r="M1034" s="12" t="s">
        <v>116</v>
      </c>
      <c r="N1034" s="12" t="s">
        <v>2143</v>
      </c>
      <c r="O1034" s="10" t="str">
        <f t="shared" ref="O1034:O1035" si="117">HYPERLINK("https://pbs.twimg.com/profile_images/720603320218488832/n2LIOR4Q_normal.jpg","View")</f>
        <v>View</v>
      </c>
      <c r="P1034" s="11"/>
    </row>
    <row r="1035" spans="1:16" ht="12.75" x14ac:dyDescent="0.35">
      <c r="A1035" s="7">
        <v>42479.50886574074</v>
      </c>
      <c r="B1035" s="8" t="str">
        <f t="shared" si="116"/>
        <v>@steffi_kow</v>
      </c>
      <c r="C1035" s="9" t="s">
        <v>2142</v>
      </c>
      <c r="D1035" s="9" t="s">
        <v>1891</v>
      </c>
      <c r="E1035" s="10" t="str">
        <f>HYPERLINK("https://twitter.com/steffi_kow/status/722314480122769408","722314480122769408")</f>
        <v>722314480122769408</v>
      </c>
      <c r="F1035" s="11" t="s">
        <v>25</v>
      </c>
      <c r="G1035" s="11">
        <v>57</v>
      </c>
      <c r="H1035" s="11">
        <v>60</v>
      </c>
      <c r="I1035" s="11">
        <v>6</v>
      </c>
      <c r="J1035" s="11">
        <v>0</v>
      </c>
      <c r="K1035" s="11" t="s">
        <v>21</v>
      </c>
      <c r="L1035" s="7">
        <v>42474.780069444445</v>
      </c>
      <c r="M1035" s="12" t="s">
        <v>116</v>
      </c>
      <c r="N1035" s="12" t="s">
        <v>2143</v>
      </c>
      <c r="O1035" s="10" t="str">
        <f t="shared" si="117"/>
        <v>View</v>
      </c>
      <c r="P1035" s="11"/>
    </row>
    <row r="1036" spans="1:16" ht="12.75" x14ac:dyDescent="0.35">
      <c r="A1036" s="7">
        <v>42479.508958333332</v>
      </c>
      <c r="B1036" s="8" t="str">
        <f t="shared" ref="B1036:B1044" si="118">HYPERLINK("https://twitter.com/LReehten","@LReehten")</f>
        <v>@LReehten</v>
      </c>
      <c r="C1036" s="9" t="s">
        <v>1998</v>
      </c>
      <c r="D1036" s="9" t="s">
        <v>2111</v>
      </c>
      <c r="E1036" s="10" t="str">
        <f>HYPERLINK("https://twitter.com/LReehten/status/722314512708276224","722314512708276224")</f>
        <v>722314512708276224</v>
      </c>
      <c r="F1036" s="11" t="s">
        <v>20</v>
      </c>
      <c r="G1036" s="11">
        <v>2334</v>
      </c>
      <c r="H1036" s="11">
        <v>2836</v>
      </c>
      <c r="I1036" s="11">
        <v>7</v>
      </c>
      <c r="J1036" s="11">
        <v>0</v>
      </c>
      <c r="K1036" s="11" t="s">
        <v>21</v>
      </c>
      <c r="L1036" s="7">
        <v>41618.817071759258</v>
      </c>
      <c r="M1036" s="12"/>
      <c r="N1036" s="12" t="s">
        <v>2000</v>
      </c>
      <c r="O1036" s="10" t="str">
        <f t="shared" ref="O1036:O1044" si="119">HYPERLINK("https://pbs.twimg.com/profile_images/623849156159868928/BetFDR_i_normal.jpg","View")</f>
        <v>View</v>
      </c>
      <c r="P1036" s="11"/>
    </row>
    <row r="1037" spans="1:16" ht="12.75" x14ac:dyDescent="0.35">
      <c r="A1037" s="7">
        <v>42479.509270833332</v>
      </c>
      <c r="B1037" s="8" t="str">
        <f t="shared" si="118"/>
        <v>@LReehten</v>
      </c>
      <c r="C1037" s="9" t="s">
        <v>1998</v>
      </c>
      <c r="D1037" s="9" t="s">
        <v>1914</v>
      </c>
      <c r="E1037" s="10" t="str">
        <f>HYPERLINK("https://twitter.com/LReehten/status/722314626587828224","722314626587828224")</f>
        <v>722314626587828224</v>
      </c>
      <c r="F1037" s="11" t="s">
        <v>20</v>
      </c>
      <c r="G1037" s="11">
        <v>2334</v>
      </c>
      <c r="H1037" s="11">
        <v>2836</v>
      </c>
      <c r="I1037" s="11">
        <v>5</v>
      </c>
      <c r="J1037" s="11">
        <v>0</v>
      </c>
      <c r="K1037" s="11" t="s">
        <v>21</v>
      </c>
      <c r="L1037" s="7">
        <v>41618.817071759258</v>
      </c>
      <c r="M1037" s="12"/>
      <c r="N1037" s="12" t="s">
        <v>2000</v>
      </c>
      <c r="O1037" s="10" t="str">
        <f t="shared" si="119"/>
        <v>View</v>
      </c>
      <c r="P1037" s="11"/>
    </row>
    <row r="1038" spans="1:16" ht="12.75" x14ac:dyDescent="0.35">
      <c r="A1038" s="7">
        <v>42479.509270833332</v>
      </c>
      <c r="B1038" s="8" t="str">
        <f t="shared" si="118"/>
        <v>@LReehten</v>
      </c>
      <c r="C1038" s="9" t="s">
        <v>1998</v>
      </c>
      <c r="D1038" s="9" t="s">
        <v>2102</v>
      </c>
      <c r="E1038" s="10" t="str">
        <f>HYPERLINK("https://twitter.com/LReehten/status/722314626587828225","722314626587828225")</f>
        <v>722314626587828225</v>
      </c>
      <c r="F1038" s="11" t="s">
        <v>20</v>
      </c>
      <c r="G1038" s="11">
        <v>2334</v>
      </c>
      <c r="H1038" s="11">
        <v>2836</v>
      </c>
      <c r="I1038" s="11">
        <v>2</v>
      </c>
      <c r="J1038" s="11">
        <v>0</v>
      </c>
      <c r="K1038" s="11" t="s">
        <v>21</v>
      </c>
      <c r="L1038" s="7">
        <v>41618.817071759258</v>
      </c>
      <c r="M1038" s="12"/>
      <c r="N1038" s="12" t="s">
        <v>2000</v>
      </c>
      <c r="O1038" s="10" t="str">
        <f t="shared" si="119"/>
        <v>View</v>
      </c>
      <c r="P1038" s="11"/>
    </row>
    <row r="1039" spans="1:16" ht="12.75" x14ac:dyDescent="0.35">
      <c r="A1039" s="7">
        <v>42479.509328703702</v>
      </c>
      <c r="B1039" s="8" t="str">
        <f t="shared" si="118"/>
        <v>@LReehten</v>
      </c>
      <c r="C1039" s="9" t="s">
        <v>1998</v>
      </c>
      <c r="D1039" s="9" t="s">
        <v>1874</v>
      </c>
      <c r="E1039" s="10" t="str">
        <f>HYPERLINK("https://twitter.com/LReehten/status/722314648918364160","722314648918364160")</f>
        <v>722314648918364160</v>
      </c>
      <c r="F1039" s="11" t="s">
        <v>20</v>
      </c>
      <c r="G1039" s="11">
        <v>2334</v>
      </c>
      <c r="H1039" s="11">
        <v>2836</v>
      </c>
      <c r="I1039" s="11">
        <v>6</v>
      </c>
      <c r="J1039" s="11">
        <v>0</v>
      </c>
      <c r="K1039" s="11" t="s">
        <v>21</v>
      </c>
      <c r="L1039" s="7">
        <v>41618.817071759258</v>
      </c>
      <c r="M1039" s="12"/>
      <c r="N1039" s="12" t="s">
        <v>2000</v>
      </c>
      <c r="O1039" s="10" t="str">
        <f t="shared" si="119"/>
        <v>View</v>
      </c>
      <c r="P1039" s="11"/>
    </row>
    <row r="1040" spans="1:16" ht="12.75" x14ac:dyDescent="0.35">
      <c r="A1040" s="7">
        <v>42479.509525462963</v>
      </c>
      <c r="B1040" s="8" t="str">
        <f t="shared" si="118"/>
        <v>@LReehten</v>
      </c>
      <c r="C1040" s="9" t="s">
        <v>1998</v>
      </c>
      <c r="D1040" s="9" t="s">
        <v>1728</v>
      </c>
      <c r="E1040" s="10" t="str">
        <f>HYPERLINK("https://twitter.com/LReehten/status/722314718946455552","722314718946455552")</f>
        <v>722314718946455552</v>
      </c>
      <c r="F1040" s="11" t="s">
        <v>20</v>
      </c>
      <c r="G1040" s="11">
        <v>2334</v>
      </c>
      <c r="H1040" s="11">
        <v>2836</v>
      </c>
      <c r="I1040" s="11">
        <v>13</v>
      </c>
      <c r="J1040" s="11">
        <v>0</v>
      </c>
      <c r="K1040" s="11" t="s">
        <v>21</v>
      </c>
      <c r="L1040" s="7">
        <v>41618.817071759258</v>
      </c>
      <c r="M1040" s="12"/>
      <c r="N1040" s="12" t="s">
        <v>2000</v>
      </c>
      <c r="O1040" s="10" t="str">
        <f t="shared" si="119"/>
        <v>View</v>
      </c>
      <c r="P1040" s="11"/>
    </row>
    <row r="1041" spans="1:16" ht="12.75" x14ac:dyDescent="0.35">
      <c r="A1041" s="7">
        <v>42479.50990740741</v>
      </c>
      <c r="B1041" s="8" t="str">
        <f t="shared" si="118"/>
        <v>@LReehten</v>
      </c>
      <c r="C1041" s="9" t="s">
        <v>1998</v>
      </c>
      <c r="D1041" s="9" t="s">
        <v>1603</v>
      </c>
      <c r="E1041" s="10" t="str">
        <f>HYPERLINK("https://twitter.com/LReehten/status/722314856834142208","722314856834142208")</f>
        <v>722314856834142208</v>
      </c>
      <c r="F1041" s="11" t="s">
        <v>20</v>
      </c>
      <c r="G1041" s="11">
        <v>2334</v>
      </c>
      <c r="H1041" s="11">
        <v>2836</v>
      </c>
      <c r="I1041" s="11">
        <v>3</v>
      </c>
      <c r="J1041" s="11">
        <v>0</v>
      </c>
      <c r="K1041" s="11" t="s">
        <v>21</v>
      </c>
      <c r="L1041" s="7">
        <v>41618.817071759258</v>
      </c>
      <c r="M1041" s="12"/>
      <c r="N1041" s="12" t="s">
        <v>2000</v>
      </c>
      <c r="O1041" s="10" t="str">
        <f t="shared" si="119"/>
        <v>View</v>
      </c>
      <c r="P1041" s="11"/>
    </row>
    <row r="1042" spans="1:16" ht="12.75" x14ac:dyDescent="0.35">
      <c r="A1042" s="7">
        <v>42479.509976851856</v>
      </c>
      <c r="B1042" s="8" t="str">
        <f t="shared" si="118"/>
        <v>@LReehten</v>
      </c>
      <c r="C1042" s="9" t="s">
        <v>1998</v>
      </c>
      <c r="D1042" s="9" t="s">
        <v>1594</v>
      </c>
      <c r="E1042" s="10" t="str">
        <f>HYPERLINK("https://twitter.com/LReehten/status/722314880045445120","722314880045445120")</f>
        <v>722314880045445120</v>
      </c>
      <c r="F1042" s="11" t="s">
        <v>20</v>
      </c>
      <c r="G1042" s="11">
        <v>2334</v>
      </c>
      <c r="H1042" s="11">
        <v>2836</v>
      </c>
      <c r="I1042" s="11">
        <v>7</v>
      </c>
      <c r="J1042" s="11">
        <v>0</v>
      </c>
      <c r="K1042" s="11" t="s">
        <v>21</v>
      </c>
      <c r="L1042" s="7">
        <v>41618.817071759258</v>
      </c>
      <c r="M1042" s="12"/>
      <c r="N1042" s="12" t="s">
        <v>2000</v>
      </c>
      <c r="O1042" s="10" t="str">
        <f t="shared" si="119"/>
        <v>View</v>
      </c>
      <c r="P1042" s="11"/>
    </row>
    <row r="1043" spans="1:16" ht="12.75" x14ac:dyDescent="0.35">
      <c r="A1043" s="7">
        <v>42479.510104166664</v>
      </c>
      <c r="B1043" s="8" t="str">
        <f t="shared" si="118"/>
        <v>@LReehten</v>
      </c>
      <c r="C1043" s="9" t="s">
        <v>1998</v>
      </c>
      <c r="D1043" s="9" t="s">
        <v>1303</v>
      </c>
      <c r="E1043" s="10" t="str">
        <f>HYPERLINK("https://twitter.com/LReehten/status/722314926639943680","722314926639943680")</f>
        <v>722314926639943680</v>
      </c>
      <c r="F1043" s="11" t="s">
        <v>20</v>
      </c>
      <c r="G1043" s="11">
        <v>2334</v>
      </c>
      <c r="H1043" s="11">
        <v>2836</v>
      </c>
      <c r="I1043" s="11">
        <v>4</v>
      </c>
      <c r="J1043" s="11">
        <v>0</v>
      </c>
      <c r="K1043" s="11" t="s">
        <v>21</v>
      </c>
      <c r="L1043" s="7">
        <v>41618.817071759258</v>
      </c>
      <c r="M1043" s="12"/>
      <c r="N1043" s="12" t="s">
        <v>2000</v>
      </c>
      <c r="O1043" s="10" t="str">
        <f t="shared" si="119"/>
        <v>View</v>
      </c>
      <c r="P1043" s="11"/>
    </row>
    <row r="1044" spans="1:16" ht="12.75" x14ac:dyDescent="0.35">
      <c r="A1044" s="7">
        <v>42479.510162037041</v>
      </c>
      <c r="B1044" s="8" t="str">
        <f t="shared" si="118"/>
        <v>@LReehten</v>
      </c>
      <c r="C1044" s="9" t="s">
        <v>1998</v>
      </c>
      <c r="D1044" s="9" t="s">
        <v>819</v>
      </c>
      <c r="E1044" s="10" t="str">
        <f>HYPERLINK("https://twitter.com/LReehten/status/722314948152528896","722314948152528896")</f>
        <v>722314948152528896</v>
      </c>
      <c r="F1044" s="11" t="s">
        <v>20</v>
      </c>
      <c r="G1044" s="11">
        <v>2334</v>
      </c>
      <c r="H1044" s="11">
        <v>2836</v>
      </c>
      <c r="I1044" s="11">
        <v>9</v>
      </c>
      <c r="J1044" s="11">
        <v>0</v>
      </c>
      <c r="K1044" s="11" t="s">
        <v>21</v>
      </c>
      <c r="L1044" s="7">
        <v>41618.817071759258</v>
      </c>
      <c r="M1044" s="12"/>
      <c r="N1044" s="12" t="s">
        <v>2000</v>
      </c>
      <c r="O1044" s="10" t="str">
        <f t="shared" si="119"/>
        <v>View</v>
      </c>
      <c r="P1044" s="11"/>
    </row>
    <row r="1045" spans="1:16" ht="12.75" x14ac:dyDescent="0.35">
      <c r="A1045" s="7">
        <v>42479.510555555556</v>
      </c>
      <c r="B1045" s="8" t="str">
        <f>HYPERLINK("https://twitter.com/nextDBI","@nextDBI")</f>
        <v>@nextDBI</v>
      </c>
      <c r="C1045" s="9" t="s">
        <v>1604</v>
      </c>
      <c r="D1045" s="9" t="s">
        <v>2144</v>
      </c>
      <c r="E1045" s="10" t="str">
        <f>HYPERLINK("https://twitter.com/nextDBI/status/722315090842791936","722315090842791936")</f>
        <v>722315090842791936</v>
      </c>
      <c r="F1045" s="11" t="s">
        <v>39</v>
      </c>
      <c r="G1045" s="11">
        <v>117</v>
      </c>
      <c r="H1045" s="11">
        <v>236</v>
      </c>
      <c r="I1045" s="11">
        <v>2</v>
      </c>
      <c r="J1045" s="11">
        <v>0</v>
      </c>
      <c r="K1045" s="11" t="s">
        <v>21</v>
      </c>
      <c r="L1045" s="7">
        <v>41659.021435185183</v>
      </c>
      <c r="M1045" s="12" t="s">
        <v>157</v>
      </c>
      <c r="N1045" s="12" t="s">
        <v>1606</v>
      </c>
      <c r="O1045" s="10" t="str">
        <f>HYPERLINK("https://pbs.twimg.com/profile_images/544485391860916225/UGg0IhKT_normal.png","View")</f>
        <v>View</v>
      </c>
      <c r="P1045" s="11"/>
    </row>
    <row r="1046" spans="1:16" ht="12.75" x14ac:dyDescent="0.35">
      <c r="A1046" s="7">
        <v>42479.511342592596</v>
      </c>
      <c r="B1046" s="8" t="str">
        <f>HYPERLINK("https://twitter.com/BTU_News","@BTU_News")</f>
        <v>@BTU_News</v>
      </c>
      <c r="C1046" s="9" t="s">
        <v>2145</v>
      </c>
      <c r="D1046" s="9" t="s">
        <v>1914</v>
      </c>
      <c r="E1046" s="10" t="str">
        <f>HYPERLINK("https://twitter.com/BTU_News/status/722315377896792065","722315377896792065")</f>
        <v>722315377896792065</v>
      </c>
      <c r="F1046" s="11" t="s">
        <v>25</v>
      </c>
      <c r="G1046" s="11">
        <v>542</v>
      </c>
      <c r="H1046" s="11">
        <v>1201</v>
      </c>
      <c r="I1046" s="11">
        <v>5</v>
      </c>
      <c r="J1046" s="11">
        <v>0</v>
      </c>
      <c r="K1046" s="11" t="s">
        <v>21</v>
      </c>
      <c r="L1046" s="7">
        <v>41897.650023148148</v>
      </c>
      <c r="M1046" s="12" t="s">
        <v>2146</v>
      </c>
      <c r="N1046" s="12" t="s">
        <v>2147</v>
      </c>
      <c r="O1046" s="10" t="str">
        <f>HYPERLINK("https://pbs.twimg.com/profile_images/515113341606309888/jm5A2fjM_normal.jpeg","View")</f>
        <v>View</v>
      </c>
      <c r="P1046" s="11"/>
    </row>
    <row r="1047" spans="1:16" ht="12.75" x14ac:dyDescent="0.35">
      <c r="A1047" s="7">
        <v>42479.512523148151</v>
      </c>
      <c r="B1047" s="8" t="str">
        <f>HYPERLINK("https://twitter.com/QuickFindsIn","@QuickFindsIn")</f>
        <v>@QuickFindsIn</v>
      </c>
      <c r="C1047" s="9" t="s">
        <v>208</v>
      </c>
      <c r="D1047" s="9" t="s">
        <v>504</v>
      </c>
      <c r="E1047" s="10" t="str">
        <f>HYPERLINK("https://twitter.com/QuickFindsIn/status/722315803991773184","722315803991773184")</f>
        <v>722315803991773184</v>
      </c>
      <c r="F1047" s="11" t="s">
        <v>210</v>
      </c>
      <c r="G1047" s="11">
        <v>1895</v>
      </c>
      <c r="H1047" s="11">
        <v>2758</v>
      </c>
      <c r="I1047" s="11">
        <v>0</v>
      </c>
      <c r="J1047" s="11">
        <v>0</v>
      </c>
      <c r="K1047" s="11" t="s">
        <v>21</v>
      </c>
      <c r="L1047" s="7">
        <v>42069.582048611112</v>
      </c>
      <c r="M1047" s="12" t="s">
        <v>211</v>
      </c>
      <c r="N1047" s="12" t="s">
        <v>212</v>
      </c>
      <c r="O1047" s="10" t="str">
        <f>HYPERLINK("https://pbs.twimg.com/profile_images/591951396217327616/HbcCX2zX_normal.png","View")</f>
        <v>View</v>
      </c>
      <c r="P1047" s="11"/>
    </row>
    <row r="1048" spans="1:16" ht="12.75" x14ac:dyDescent="0.35">
      <c r="A1048" s="7">
        <v>42479.514224537037</v>
      </c>
      <c r="B1048" s="8" t="str">
        <f>HYPERLINK("https://twitter.com/foresight_lab","@foresight_lab")</f>
        <v>@foresight_lab</v>
      </c>
      <c r="C1048" s="9" t="s">
        <v>1735</v>
      </c>
      <c r="D1048" s="9" t="s">
        <v>2148</v>
      </c>
      <c r="E1048" s="10" t="str">
        <f>HYPERLINK("https://twitter.com/foresight_lab/status/722316421003403264","722316421003403264")</f>
        <v>722316421003403264</v>
      </c>
      <c r="F1048" s="11" t="s">
        <v>25</v>
      </c>
      <c r="G1048" s="11">
        <v>673</v>
      </c>
      <c r="H1048" s="11">
        <v>1023</v>
      </c>
      <c r="I1048" s="11">
        <v>1</v>
      </c>
      <c r="J1048" s="11">
        <v>0</v>
      </c>
      <c r="K1048" s="11" t="s">
        <v>21</v>
      </c>
      <c r="L1048" s="7">
        <v>42322.787974537037</v>
      </c>
      <c r="M1048" s="12" t="s">
        <v>581</v>
      </c>
      <c r="N1048" s="12" t="s">
        <v>1737</v>
      </c>
      <c r="O1048" s="10" t="str">
        <f>HYPERLINK("https://pbs.twimg.com/profile_images/665798535779065856/sbUN3m6Q_normal.jpg","View")</f>
        <v>View</v>
      </c>
      <c r="P1048" s="11"/>
    </row>
    <row r="1049" spans="1:16" ht="12.75" x14ac:dyDescent="0.35">
      <c r="A1049" s="7">
        <v>42479.51425925926</v>
      </c>
      <c r="B1049" s="8" t="str">
        <f>HYPERLINK("https://twitter.com/idl_social","@idl_social")</f>
        <v>@idl_social</v>
      </c>
      <c r="C1049" s="9" t="s">
        <v>2149</v>
      </c>
      <c r="D1049" s="9" t="s">
        <v>819</v>
      </c>
      <c r="E1049" s="10" t="str">
        <f>HYPERLINK("https://twitter.com/idl_social/status/722316433674354692","722316433674354692")</f>
        <v>722316433674354692</v>
      </c>
      <c r="F1049" s="11" t="s">
        <v>31</v>
      </c>
      <c r="G1049" s="11">
        <v>429</v>
      </c>
      <c r="H1049" s="11">
        <v>2578</v>
      </c>
      <c r="I1049" s="11">
        <v>9</v>
      </c>
      <c r="J1049" s="11">
        <v>0</v>
      </c>
      <c r="K1049" s="11" t="s">
        <v>21</v>
      </c>
      <c r="L1049" s="7">
        <v>42404.944502314815</v>
      </c>
      <c r="M1049" s="12" t="s">
        <v>121</v>
      </c>
      <c r="N1049" s="12" t="s">
        <v>2150</v>
      </c>
      <c r="O1049" s="10" t="str">
        <f>HYPERLINK("https://pbs.twimg.com/profile_images/695294434603331584/2JIO58JT_normal.png","View")</f>
        <v>View</v>
      </c>
      <c r="P1049" s="11"/>
    </row>
    <row r="1050" spans="1:16" ht="12.75" x14ac:dyDescent="0.35">
      <c r="A1050" s="7">
        <v>42479.515069444446</v>
      </c>
      <c r="B1050" s="8" t="str">
        <f>HYPERLINK("https://twitter.com/PSIPENTA","@PSIPENTA")</f>
        <v>@PSIPENTA</v>
      </c>
      <c r="C1050" s="9" t="s">
        <v>497</v>
      </c>
      <c r="D1050" s="9" t="s">
        <v>1728</v>
      </c>
      <c r="E1050" s="10" t="str">
        <f>HYPERLINK("https://twitter.com/PSIPENTA/status/722316728504610816","722316728504610816")</f>
        <v>722316728504610816</v>
      </c>
      <c r="F1050" s="11" t="s">
        <v>25</v>
      </c>
      <c r="G1050" s="11">
        <v>551</v>
      </c>
      <c r="H1050" s="11">
        <v>542</v>
      </c>
      <c r="I1050" s="11">
        <v>13</v>
      </c>
      <c r="J1050" s="11">
        <v>0</v>
      </c>
      <c r="K1050" s="11" t="s">
        <v>21</v>
      </c>
      <c r="L1050" s="7">
        <v>40519.804988425924</v>
      </c>
      <c r="M1050" s="12"/>
      <c r="N1050" s="12" t="s">
        <v>498</v>
      </c>
      <c r="O1050" s="10" t="str">
        <f>HYPERLINK("https://pbs.twimg.com/profile_images/684325175849037824/2vFq058g_normal.jpg","View")</f>
        <v>View</v>
      </c>
      <c r="P1050" s="11"/>
    </row>
    <row r="1051" spans="1:16" ht="12.75" x14ac:dyDescent="0.35">
      <c r="A1051" s="7">
        <v>42479.515300925923</v>
      </c>
      <c r="B1051" s="8" t="str">
        <f>HYPERLINK("https://twitter.com/TanjaMB","@TanjaMB")</f>
        <v>@TanjaMB</v>
      </c>
      <c r="C1051" s="9" t="s">
        <v>2151</v>
      </c>
      <c r="D1051" s="9" t="s">
        <v>2152</v>
      </c>
      <c r="E1051" s="10" t="str">
        <f>HYPERLINK("https://twitter.com/TanjaMB/status/722316809907609600","722316809907609600")</f>
        <v>722316809907609600</v>
      </c>
      <c r="F1051" s="11" t="s">
        <v>25</v>
      </c>
      <c r="G1051" s="11">
        <v>348</v>
      </c>
      <c r="H1051" s="11">
        <v>612</v>
      </c>
      <c r="I1051" s="11">
        <v>0</v>
      </c>
      <c r="J1051" s="11">
        <v>0</v>
      </c>
      <c r="K1051" s="11" t="s">
        <v>21</v>
      </c>
      <c r="L1051" s="7">
        <v>40199.661585648151</v>
      </c>
      <c r="M1051" s="12" t="s">
        <v>2153</v>
      </c>
      <c r="N1051" s="12" t="s">
        <v>2154</v>
      </c>
      <c r="O1051" s="10" t="str">
        <f>HYPERLINK("https://pbs.twimg.com/profile_images/666343498925400064/e0BybeOH_normal.jpg","View")</f>
        <v>View</v>
      </c>
      <c r="P1051" s="11"/>
    </row>
    <row r="1052" spans="1:16" ht="12.75" x14ac:dyDescent="0.35">
      <c r="A1052" s="7">
        <v>42479.519548611112</v>
      </c>
      <c r="B1052" s="8" t="str">
        <f>HYPERLINK("https://twitter.com/wirtschaftsrat","@wirtschaftsrat")</f>
        <v>@wirtschaftsrat</v>
      </c>
      <c r="C1052" s="9" t="s">
        <v>2155</v>
      </c>
      <c r="D1052" s="9" t="s">
        <v>2156</v>
      </c>
      <c r="E1052" s="10" t="str">
        <f>HYPERLINK("https://twitter.com/wirtschaftsrat/status/722318351813500928","722318351813500928")</f>
        <v>722318351813500928</v>
      </c>
      <c r="F1052" s="11" t="s">
        <v>115</v>
      </c>
      <c r="G1052" s="11">
        <v>2584</v>
      </c>
      <c r="H1052" s="11">
        <v>1846</v>
      </c>
      <c r="I1052" s="11">
        <v>2</v>
      </c>
      <c r="J1052" s="11">
        <v>0</v>
      </c>
      <c r="K1052" s="11" t="s">
        <v>21</v>
      </c>
      <c r="L1052" s="7">
        <v>41785.612962962965</v>
      </c>
      <c r="M1052" s="12" t="s">
        <v>218</v>
      </c>
      <c r="N1052" s="12" t="s">
        <v>2157</v>
      </c>
      <c r="O1052" s="10" t="str">
        <f>HYPERLINK("https://pbs.twimg.com/profile_images/470855617062531072/WNORP1wO_normal.jpeg","View")</f>
        <v>View</v>
      </c>
      <c r="P1052" s="11"/>
    </row>
    <row r="1053" spans="1:16" ht="12.75" x14ac:dyDescent="0.35">
      <c r="A1053" s="7">
        <v>42479.522268518514</v>
      </c>
      <c r="B1053" s="8" t="str">
        <f>HYPERLINK("https://twitter.com/HeikeDiebler","@HeikeDiebler")</f>
        <v>@HeikeDiebler</v>
      </c>
      <c r="C1053" s="9" t="s">
        <v>2158</v>
      </c>
      <c r="D1053" s="9" t="s">
        <v>1837</v>
      </c>
      <c r="E1053" s="10" t="str">
        <f>HYPERLINK("https://twitter.com/HeikeDiebler/status/722319336921309184","722319336921309184")</f>
        <v>722319336921309184</v>
      </c>
      <c r="F1053" s="11" t="s">
        <v>20</v>
      </c>
      <c r="G1053" s="11">
        <v>80</v>
      </c>
      <c r="H1053" s="11">
        <v>190</v>
      </c>
      <c r="I1053" s="11">
        <v>2</v>
      </c>
      <c r="J1053" s="11">
        <v>0</v>
      </c>
      <c r="K1053" s="11" t="s">
        <v>21</v>
      </c>
      <c r="L1053" s="7">
        <v>42324.572210648148</v>
      </c>
      <c r="M1053" s="12" t="s">
        <v>1809</v>
      </c>
      <c r="N1053" s="12"/>
      <c r="O1053" s="10" t="str">
        <f>HYPERLINK("https://pbs.twimg.com/profile_images/680778003320823808/b26OKg1A_normal.jpg","View")</f>
        <v>View</v>
      </c>
      <c r="P1053" s="11"/>
    </row>
    <row r="1054" spans="1:16" ht="12.75" x14ac:dyDescent="0.35">
      <c r="A1054" s="7">
        <v>42479.522349537037</v>
      </c>
      <c r="B1054" s="8" t="str">
        <f>HYPERLINK("https://twitter.com/INDIZbot","@INDIZbot")</f>
        <v>@INDIZbot</v>
      </c>
      <c r="C1054" s="9" t="s">
        <v>61</v>
      </c>
      <c r="D1054" s="9" t="s">
        <v>2156</v>
      </c>
      <c r="E1054" s="10" t="str">
        <f>HYPERLINK("https://twitter.com/INDIZbot/status/722319364821790720","722319364821790720")</f>
        <v>722319364821790720</v>
      </c>
      <c r="F1054" s="11" t="s">
        <v>62</v>
      </c>
      <c r="G1054" s="11">
        <v>1762</v>
      </c>
      <c r="H1054" s="11">
        <v>481</v>
      </c>
      <c r="I1054" s="11">
        <v>2</v>
      </c>
      <c r="J1054" s="11">
        <v>0</v>
      </c>
      <c r="K1054" s="11" t="s">
        <v>21</v>
      </c>
      <c r="L1054" s="7">
        <v>42267.011921296296</v>
      </c>
      <c r="M1054" s="12"/>
      <c r="N1054" s="12" t="s">
        <v>63</v>
      </c>
      <c r="O1054" s="10" t="str">
        <f>HYPERLINK("https://pbs.twimg.com/profile_images/645716711723925506/t5G0qOS6_normal.jpg","View")</f>
        <v>View</v>
      </c>
      <c r="P1054" s="11"/>
    </row>
    <row r="1055" spans="1:16" ht="12.75" x14ac:dyDescent="0.35">
      <c r="A1055" s="7">
        <v>42479.523564814815</v>
      </c>
      <c r="B1055" s="8" t="str">
        <f>HYPERLINK("https://twitter.com/VDMAonline","@VDMAonline")</f>
        <v>@VDMAonline</v>
      </c>
      <c r="C1055" s="9" t="s">
        <v>191</v>
      </c>
      <c r="D1055" s="9" t="s">
        <v>2159</v>
      </c>
      <c r="E1055" s="10" t="str">
        <f>HYPERLINK("https://twitter.com/VDMAonline/status/722319805253054464","722319805253054464")</f>
        <v>722319805253054464</v>
      </c>
      <c r="F1055" s="11" t="s">
        <v>115</v>
      </c>
      <c r="G1055" s="11">
        <v>6793</v>
      </c>
      <c r="H1055" s="11">
        <v>4</v>
      </c>
      <c r="I1055" s="11">
        <v>7</v>
      </c>
      <c r="J1055" s="11">
        <v>7</v>
      </c>
      <c r="K1055" s="11" t="s">
        <v>21</v>
      </c>
      <c r="L1055" s="7">
        <v>39932.616342592592</v>
      </c>
      <c r="M1055" s="12" t="s">
        <v>49</v>
      </c>
      <c r="N1055" s="12" t="s">
        <v>193</v>
      </c>
      <c r="O1055" s="10" t="str">
        <f>HYPERLINK("https://pbs.twimg.com/profile_images/609375510158774272/P5glOk4b_normal.jpg","View")</f>
        <v>View</v>
      </c>
      <c r="P1055" s="11"/>
    </row>
    <row r="1056" spans="1:16" ht="12.75" x14ac:dyDescent="0.35">
      <c r="A1056" s="7">
        <v>42479.524108796293</v>
      </c>
      <c r="B1056" s="8" t="str">
        <f>HYPERLINK("https://twitter.com/recruitingtag","@recruitingtag")</f>
        <v>@recruitingtag</v>
      </c>
      <c r="C1056" s="8" t="s">
        <v>2160</v>
      </c>
      <c r="D1056" s="9" t="s">
        <v>2161</v>
      </c>
      <c r="E1056" s="10" t="str">
        <f>HYPERLINK("https://twitter.com/recruitingtag/status/722320002574086144","722320002574086144")</f>
        <v>722320002574086144</v>
      </c>
      <c r="F1056" s="11" t="s">
        <v>25</v>
      </c>
      <c r="G1056" s="11">
        <v>1416</v>
      </c>
      <c r="H1056" s="11">
        <v>892</v>
      </c>
      <c r="I1056" s="11">
        <v>0</v>
      </c>
      <c r="J1056" s="11">
        <v>1</v>
      </c>
      <c r="K1056" s="11" t="s">
        <v>21</v>
      </c>
      <c r="L1056" s="7">
        <v>40252.877766203703</v>
      </c>
      <c r="M1056" s="12" t="s">
        <v>2162</v>
      </c>
      <c r="N1056" s="12" t="s">
        <v>2163</v>
      </c>
      <c r="O1056" s="10" t="str">
        <f>HYPERLINK("https://pbs.twimg.com/profile_images/689456900824403968/JZsh7BBB_normal.jpg","View")</f>
        <v>View</v>
      </c>
      <c r="P1056" s="11"/>
    </row>
    <row r="1057" spans="1:16" ht="12.75" x14ac:dyDescent="0.35">
      <c r="A1057" s="7">
        <v>42479.525601851856</v>
      </c>
      <c r="B1057" s="8" t="str">
        <f>HYPERLINK("https://twitter.com/WassenhovenUG","@WassenhovenUG")</f>
        <v>@WassenhovenUG</v>
      </c>
      <c r="C1057" s="9" t="s">
        <v>2164</v>
      </c>
      <c r="D1057" s="9" t="s">
        <v>2111</v>
      </c>
      <c r="E1057" s="10" t="str">
        <f>HYPERLINK("https://twitter.com/WassenhovenUG/status/722320546105593856","722320546105593856")</f>
        <v>722320546105593856</v>
      </c>
      <c r="F1057" s="11" t="s">
        <v>29</v>
      </c>
      <c r="G1057" s="11">
        <v>1036</v>
      </c>
      <c r="H1057" s="11">
        <v>1907</v>
      </c>
      <c r="I1057" s="11">
        <v>7</v>
      </c>
      <c r="J1057" s="11">
        <v>0</v>
      </c>
      <c r="K1057" s="11" t="s">
        <v>21</v>
      </c>
      <c r="L1057" s="7">
        <v>40713.942199074074</v>
      </c>
      <c r="M1057" s="12" t="s">
        <v>2165</v>
      </c>
      <c r="N1057" s="12" t="s">
        <v>2166</v>
      </c>
      <c r="O1057" s="10" t="str">
        <f>HYPERLINK("https://pbs.twimg.com/profile_images/590945003289059328/J0FpdmyS_normal.png","View")</f>
        <v>View</v>
      </c>
      <c r="P1057" s="11"/>
    </row>
    <row r="1058" spans="1:16" ht="12.75" x14ac:dyDescent="0.35">
      <c r="A1058" s="7">
        <v>42479.526655092588</v>
      </c>
      <c r="B1058" s="8" t="str">
        <f>HYPERLINK("https://twitter.com/BoschMEMS","@BoschMEMS")</f>
        <v>@BoschMEMS</v>
      </c>
      <c r="C1058" s="9" t="s">
        <v>2167</v>
      </c>
      <c r="D1058" s="9" t="s">
        <v>1891</v>
      </c>
      <c r="E1058" s="10" t="str">
        <f>HYPERLINK("https://twitter.com/BoschMEMS/status/722320924054274048","722320924054274048")</f>
        <v>722320924054274048</v>
      </c>
      <c r="F1058" s="11" t="s">
        <v>39</v>
      </c>
      <c r="G1058" s="11">
        <v>1436</v>
      </c>
      <c r="H1058" s="11">
        <v>431</v>
      </c>
      <c r="I1058" s="11">
        <v>6</v>
      </c>
      <c r="J1058" s="11">
        <v>0</v>
      </c>
      <c r="K1058" s="11" t="s">
        <v>21</v>
      </c>
      <c r="L1058" s="7">
        <v>40921.7262962963</v>
      </c>
      <c r="M1058" s="12"/>
      <c r="N1058" s="12" t="s">
        <v>2168</v>
      </c>
      <c r="O1058" s="10" t="str">
        <f>HYPERLINK("https://pbs.twimg.com/profile_images/1751941421/TW_Profilbild_025_normal.jpg","View")</f>
        <v>View</v>
      </c>
      <c r="P1058" s="11"/>
    </row>
    <row r="1059" spans="1:16" ht="12.75" x14ac:dyDescent="0.35">
      <c r="A1059" s="7">
        <v>42479.527824074074</v>
      </c>
      <c r="B1059" s="8" t="str">
        <f>HYPERLINK("https://twitter.com/MartinBeims","@MartinBeims")</f>
        <v>@MartinBeims</v>
      </c>
      <c r="C1059" s="9" t="s">
        <v>2169</v>
      </c>
      <c r="D1059" s="9" t="s">
        <v>2170</v>
      </c>
      <c r="E1059" s="10" t="str">
        <f>HYPERLINK("https://twitter.com/MartinBeims/status/722321350560464896","722321350560464896")</f>
        <v>722321350560464896</v>
      </c>
      <c r="F1059" s="11" t="s">
        <v>31</v>
      </c>
      <c r="G1059" s="11">
        <v>252</v>
      </c>
      <c r="H1059" s="11">
        <v>598</v>
      </c>
      <c r="I1059" s="11">
        <v>3</v>
      </c>
      <c r="J1059" s="11">
        <v>2</v>
      </c>
      <c r="K1059" s="11" t="s">
        <v>21</v>
      </c>
      <c r="L1059" s="7">
        <v>42395.009664351848</v>
      </c>
      <c r="M1059" s="12" t="s">
        <v>2171</v>
      </c>
      <c r="N1059" s="12" t="s">
        <v>2172</v>
      </c>
      <c r="O1059" s="10" t="str">
        <f>HYPERLINK("https://pbs.twimg.com/profile_images/691697715944779776/WfLWqhS8_normal.jpg","View")</f>
        <v>View</v>
      </c>
      <c r="P1059" s="11"/>
    </row>
    <row r="1060" spans="1:16" ht="12.75" x14ac:dyDescent="0.35">
      <c r="A1060" s="7">
        <v>42479.52857638889</v>
      </c>
      <c r="B1060" s="8" t="str">
        <f>HYPERLINK("https://twitter.com/INDIZbot","@INDIZbot")</f>
        <v>@INDIZbot</v>
      </c>
      <c r="C1060" s="9" t="s">
        <v>61</v>
      </c>
      <c r="D1060" s="9" t="s">
        <v>2173</v>
      </c>
      <c r="E1060" s="10" t="str">
        <f>HYPERLINK("https://twitter.com/INDIZbot/status/722321620950458368","722321620950458368")</f>
        <v>722321620950458368</v>
      </c>
      <c r="F1060" s="11" t="s">
        <v>62</v>
      </c>
      <c r="G1060" s="11">
        <v>1762</v>
      </c>
      <c r="H1060" s="11">
        <v>481</v>
      </c>
      <c r="I1060" s="11">
        <v>3</v>
      </c>
      <c r="J1060" s="11">
        <v>0</v>
      </c>
      <c r="K1060" s="11" t="s">
        <v>21</v>
      </c>
      <c r="L1060" s="7">
        <v>42267.011921296296</v>
      </c>
      <c r="M1060" s="12"/>
      <c r="N1060" s="12" t="s">
        <v>63</v>
      </c>
      <c r="O1060" s="10" t="str">
        <f>HYPERLINK("https://pbs.twimg.com/profile_images/645716711723925506/t5G0qOS6_normal.jpg","View")</f>
        <v>View</v>
      </c>
      <c r="P1060" s="11"/>
    </row>
    <row r="1061" spans="1:16" ht="12.75" x14ac:dyDescent="0.35">
      <c r="A1061" s="7">
        <v>42479.528692129628</v>
      </c>
      <c r="B1061" s="8" t="str">
        <f>HYPERLINK("https://twitter.com/IPEV_Markus","@IPEV_Markus")</f>
        <v>@IPEV_Markus</v>
      </c>
      <c r="C1061" s="9" t="s">
        <v>2174</v>
      </c>
      <c r="D1061" s="9" t="s">
        <v>2175</v>
      </c>
      <c r="E1061" s="10" t="str">
        <f>HYPERLINK("https://twitter.com/IPEV_Markus/status/722321666127360000","722321666127360000")</f>
        <v>722321666127360000</v>
      </c>
      <c r="F1061" s="11" t="s">
        <v>31</v>
      </c>
      <c r="G1061" s="11">
        <v>245</v>
      </c>
      <c r="H1061" s="11">
        <v>687</v>
      </c>
      <c r="I1061" s="11">
        <v>1</v>
      </c>
      <c r="J1061" s="11">
        <v>0</v>
      </c>
      <c r="K1061" s="11" t="s">
        <v>21</v>
      </c>
      <c r="L1061" s="7">
        <v>40873.102025462962</v>
      </c>
      <c r="M1061" s="12" t="s">
        <v>2176</v>
      </c>
      <c r="N1061" s="12" t="s">
        <v>2177</v>
      </c>
      <c r="O1061" s="10" t="str">
        <f>HYPERLINK("https://pbs.twimg.com/profile_images/2498759633/s9nz1xid3srbfjgqlxq6_normal.jpeg","View")</f>
        <v>View</v>
      </c>
      <c r="P1061" s="11"/>
    </row>
    <row r="1062" spans="1:16" ht="12.75" x14ac:dyDescent="0.35">
      <c r="A1062" s="7">
        <v>42479.53024305556</v>
      </c>
      <c r="B1062" s="8" t="str">
        <f>HYPERLINK("https://twitter.com/AltenaTCS","@AltenaTCS")</f>
        <v>@AltenaTCS</v>
      </c>
      <c r="C1062" s="9" t="s">
        <v>2178</v>
      </c>
      <c r="D1062" s="9" t="s">
        <v>2179</v>
      </c>
      <c r="E1062" s="10" t="str">
        <f>HYPERLINK("https://twitter.com/AltenaTCS/status/722322226280865792","722322226280865792")</f>
        <v>722322226280865792</v>
      </c>
      <c r="F1062" s="11" t="s">
        <v>2180</v>
      </c>
      <c r="G1062" s="11">
        <v>49</v>
      </c>
      <c r="H1062" s="11">
        <v>143</v>
      </c>
      <c r="I1062" s="11">
        <v>0</v>
      </c>
      <c r="J1062" s="11">
        <v>0</v>
      </c>
      <c r="K1062" s="11" t="s">
        <v>21</v>
      </c>
      <c r="L1062" s="7">
        <v>41645.649027777778</v>
      </c>
      <c r="M1062" s="12" t="s">
        <v>2181</v>
      </c>
      <c r="N1062" s="12" t="s">
        <v>2182</v>
      </c>
      <c r="O1062" s="10" t="str">
        <f>HYPERLINK("https://pbs.twimg.com/profile_images/709648582048157696/BnZ5RzQA_normal.jpg","View")</f>
        <v>View</v>
      </c>
      <c r="P1062" s="11"/>
    </row>
    <row r="1063" spans="1:16" ht="12.75" x14ac:dyDescent="0.35">
      <c r="A1063" s="7">
        <v>42479.531412037039</v>
      </c>
      <c r="B1063" s="8" t="str">
        <f>HYPERLINK("https://twitter.com/mbesch","@mbesch")</f>
        <v>@mbesch</v>
      </c>
      <c r="C1063" s="9" t="s">
        <v>1589</v>
      </c>
      <c r="D1063" s="9" t="s">
        <v>2183</v>
      </c>
      <c r="E1063" s="10" t="str">
        <f>HYPERLINK("https://twitter.com/mbesch/status/722322651621027840","722322651621027840")</f>
        <v>722322651621027840</v>
      </c>
      <c r="F1063" s="11" t="s">
        <v>39</v>
      </c>
      <c r="G1063" s="11">
        <v>2531</v>
      </c>
      <c r="H1063" s="11">
        <v>2518</v>
      </c>
      <c r="I1063" s="11">
        <v>0</v>
      </c>
      <c r="J1063" s="11">
        <v>0</v>
      </c>
      <c r="K1063" s="11" t="s">
        <v>21</v>
      </c>
      <c r="L1063" s="7">
        <v>39712.606064814812</v>
      </c>
      <c r="M1063" s="12" t="s">
        <v>1591</v>
      </c>
      <c r="N1063" s="12" t="s">
        <v>1592</v>
      </c>
      <c r="O1063" s="10" t="str">
        <f>HYPERLINK("https://pbs.twimg.com/profile_images/378800000095428642/8ef0ce9ca980b41ef8db86c5e546114f_normal.jpeg","View")</f>
        <v>View</v>
      </c>
      <c r="P1063" s="11"/>
    </row>
    <row r="1064" spans="1:16" ht="12.75" x14ac:dyDescent="0.35">
      <c r="A1064" s="7">
        <v>42479.533784722225</v>
      </c>
      <c r="B1064" s="8" t="str">
        <f>HYPERLINK("https://twitter.com/Weidmueller","@Weidmueller")</f>
        <v>@Weidmueller</v>
      </c>
      <c r="C1064" s="9" t="s">
        <v>2184</v>
      </c>
      <c r="D1064" s="9" t="s">
        <v>2185</v>
      </c>
      <c r="E1064" s="10" t="str">
        <f>HYPERLINK("https://twitter.com/Weidmueller/status/722323508420849664","722323508420849664")</f>
        <v>722323508420849664</v>
      </c>
      <c r="F1064" s="11" t="s">
        <v>25</v>
      </c>
      <c r="G1064" s="11">
        <v>639</v>
      </c>
      <c r="H1064" s="11">
        <v>206</v>
      </c>
      <c r="I1064" s="11">
        <v>2</v>
      </c>
      <c r="J1064" s="11">
        <v>1</v>
      </c>
      <c r="K1064" s="11" t="s">
        <v>21</v>
      </c>
      <c r="L1064" s="7">
        <v>39912.710833333331</v>
      </c>
      <c r="M1064" s="12" t="s">
        <v>2186</v>
      </c>
      <c r="N1064" s="12" t="s">
        <v>2187</v>
      </c>
      <c r="O1064" s="10" t="str">
        <f>HYPERLINK("https://pbs.twimg.com/profile_images/486776995544444929/4cYg4t3a_normal.jpeg","View")</f>
        <v>View</v>
      </c>
      <c r="P1064" s="11"/>
    </row>
    <row r="1065" spans="1:16" ht="12.75" x14ac:dyDescent="0.35">
      <c r="A1065" s="7">
        <v>42479.535937499997</v>
      </c>
      <c r="B1065" s="8" t="str">
        <f>HYPERLINK("https://twitter.com/INDIZbot","@INDIZbot")</f>
        <v>@INDIZbot</v>
      </c>
      <c r="C1065" s="9" t="s">
        <v>61</v>
      </c>
      <c r="D1065" s="9" t="s">
        <v>2188</v>
      </c>
      <c r="E1065" s="10" t="str">
        <f>HYPERLINK("https://twitter.com/INDIZbot/status/722324290788597762","722324290788597762")</f>
        <v>722324290788597762</v>
      </c>
      <c r="F1065" s="11" t="s">
        <v>62</v>
      </c>
      <c r="G1065" s="11">
        <v>1762</v>
      </c>
      <c r="H1065" s="11">
        <v>481</v>
      </c>
      <c r="I1065" s="11">
        <v>2</v>
      </c>
      <c r="J1065" s="11">
        <v>0</v>
      </c>
      <c r="K1065" s="11" t="s">
        <v>21</v>
      </c>
      <c r="L1065" s="7">
        <v>42267.011921296296</v>
      </c>
      <c r="M1065" s="12"/>
      <c r="N1065" s="12" t="s">
        <v>63</v>
      </c>
      <c r="O1065" s="10" t="str">
        <f>HYPERLINK("https://pbs.twimg.com/profile_images/645716711723925506/t5G0qOS6_normal.jpg","View")</f>
        <v>View</v>
      </c>
      <c r="P1065" s="11"/>
    </row>
    <row r="1066" spans="1:16" ht="12.75" x14ac:dyDescent="0.35">
      <c r="A1066" s="7">
        <v>42479.538020833337</v>
      </c>
      <c r="B1066" s="8" t="str">
        <f>HYPERLINK("https://twitter.com/1ironbark1","@1ironbark1")</f>
        <v>@1ironbark1</v>
      </c>
      <c r="C1066" s="9" t="s">
        <v>2189</v>
      </c>
      <c r="D1066" s="9" t="s">
        <v>1891</v>
      </c>
      <c r="E1066" s="10" t="str">
        <f>HYPERLINK("https://twitter.com/1ironbark1/status/722325044311904256","722325044311904256")</f>
        <v>722325044311904256</v>
      </c>
      <c r="F1066" s="11" t="s">
        <v>29</v>
      </c>
      <c r="G1066" s="11">
        <v>520</v>
      </c>
      <c r="H1066" s="11">
        <v>722</v>
      </c>
      <c r="I1066" s="11">
        <v>6</v>
      </c>
      <c r="J1066" s="11">
        <v>0</v>
      </c>
      <c r="K1066" s="11" t="s">
        <v>21</v>
      </c>
      <c r="L1066" s="7">
        <v>40277.193113425928</v>
      </c>
      <c r="M1066" s="12" t="s">
        <v>2190</v>
      </c>
      <c r="N1066" s="12"/>
      <c r="O1066" s="10" t="str">
        <f>HYPERLINK("https://pbs.twimg.com/profile_images/1610234082/jwstwitter_normal.jpg","View")</f>
        <v>View</v>
      </c>
      <c r="P1066" s="11"/>
    </row>
    <row r="1067" spans="1:16" ht="12.75" x14ac:dyDescent="0.35">
      <c r="A1067" s="7">
        <v>42479.539687500001</v>
      </c>
      <c r="B1067" s="8" t="str">
        <f>HYPERLINK("https://twitter.com/JordanOlivero1","@JordanOlivero1")</f>
        <v>@JordanOlivero1</v>
      </c>
      <c r="C1067" s="9" t="s">
        <v>2191</v>
      </c>
      <c r="D1067" s="9" t="s">
        <v>2192</v>
      </c>
      <c r="E1067" s="10" t="str">
        <f>HYPERLINK("https://twitter.com/JordanOlivero1/status/722325650602860544","722325650602860544")</f>
        <v>722325650602860544</v>
      </c>
      <c r="F1067" s="11" t="s">
        <v>59</v>
      </c>
      <c r="G1067" s="11">
        <v>1012</v>
      </c>
      <c r="H1067" s="11">
        <v>951</v>
      </c>
      <c r="I1067" s="11">
        <v>1</v>
      </c>
      <c r="J1067" s="11">
        <v>1</v>
      </c>
      <c r="K1067" s="11" t="s">
        <v>21</v>
      </c>
      <c r="L1067" s="7">
        <v>41467.091562499998</v>
      </c>
      <c r="M1067" s="12" t="s">
        <v>2193</v>
      </c>
      <c r="N1067" s="12" t="s">
        <v>2194</v>
      </c>
      <c r="O1067" s="10" t="str">
        <f>HYPERLINK("https://pbs.twimg.com/profile_images/659192267836551169/bhhU-FPQ_normal.png","View")</f>
        <v>View</v>
      </c>
      <c r="P1067" s="11"/>
    </row>
    <row r="1068" spans="1:16" ht="12.75" x14ac:dyDescent="0.35">
      <c r="A1068" s="7">
        <v>42479.540104166663</v>
      </c>
      <c r="B1068" s="8" t="str">
        <f>HYPERLINK("https://twitter.com/BEMA_Consulting","@BEMA_Consulting")</f>
        <v>@BEMA_Consulting</v>
      </c>
      <c r="C1068" s="9" t="s">
        <v>2195</v>
      </c>
      <c r="D1068" s="9" t="s">
        <v>2196</v>
      </c>
      <c r="E1068" s="10" t="str">
        <f>HYPERLINK("https://twitter.com/BEMA_Consulting/status/722325800058531840","722325800058531840")</f>
        <v>722325800058531840</v>
      </c>
      <c r="F1068" s="11" t="s">
        <v>115</v>
      </c>
      <c r="G1068" s="11">
        <v>448</v>
      </c>
      <c r="H1068" s="11">
        <v>562</v>
      </c>
      <c r="I1068" s="11">
        <v>1</v>
      </c>
      <c r="J1068" s="11">
        <v>2</v>
      </c>
      <c r="K1068" s="11" t="s">
        <v>21</v>
      </c>
      <c r="L1068" s="7">
        <v>40204.666689814811</v>
      </c>
      <c r="M1068" s="12" t="s">
        <v>2197</v>
      </c>
      <c r="N1068" s="12" t="s">
        <v>2198</v>
      </c>
      <c r="O1068" s="10" t="str">
        <f>HYPERLINK("https://pbs.twimg.com/profile_images/608235303380393984/IuV1y-D2_normal.png","View")</f>
        <v>View</v>
      </c>
      <c r="P1068" s="11"/>
    </row>
    <row r="1069" spans="1:16" ht="12.75" x14ac:dyDescent="0.35">
      <c r="A1069" s="7">
        <v>42479.540995370371</v>
      </c>
      <c r="B1069" s="8" t="str">
        <f>HYPERLINK("https://twitter.com/MatthiasKietzma","@MatthiasKietzma")</f>
        <v>@MatthiasKietzma</v>
      </c>
      <c r="C1069" s="9" t="s">
        <v>2199</v>
      </c>
      <c r="D1069" s="9" t="s">
        <v>2200</v>
      </c>
      <c r="E1069" s="10" t="str">
        <f>HYPERLINK("https://twitter.com/MatthiasKietzma/status/722326120855650304","722326120855650304")</f>
        <v>722326120855650304</v>
      </c>
      <c r="F1069" s="11" t="s">
        <v>25</v>
      </c>
      <c r="G1069" s="11">
        <v>209</v>
      </c>
      <c r="H1069" s="11">
        <v>201</v>
      </c>
      <c r="I1069" s="11">
        <v>3</v>
      </c>
      <c r="J1069" s="11">
        <v>1</v>
      </c>
      <c r="K1069" s="11" t="s">
        <v>21</v>
      </c>
      <c r="L1069" s="7">
        <v>41240.654907407406</v>
      </c>
      <c r="M1069" s="12" t="s">
        <v>2201</v>
      </c>
      <c r="N1069" s="12" t="s">
        <v>2202</v>
      </c>
      <c r="O1069" s="10" t="str">
        <f>HYPERLINK("https://pbs.twimg.com/profile_images/662589363264626688/szOJwnKv_normal.jpg","View")</f>
        <v>View</v>
      </c>
      <c r="P1069" s="11"/>
    </row>
    <row r="1070" spans="1:16" ht="12.75" x14ac:dyDescent="0.35">
      <c r="A1070" s="7">
        <v>42479.541759259257</v>
      </c>
      <c r="B1070" s="8" t="str">
        <f>HYPERLINK("https://twitter.com/H_IT_D","@H_IT_D")</f>
        <v>@H_IT_D</v>
      </c>
      <c r="C1070" s="9" t="s">
        <v>159</v>
      </c>
      <c r="D1070" s="9" t="s">
        <v>2203</v>
      </c>
      <c r="E1070" s="10" t="str">
        <f>HYPERLINK("https://twitter.com/H_IT_D/status/722326401471225856","722326401471225856")</f>
        <v>722326401471225856</v>
      </c>
      <c r="F1070" s="11" t="s">
        <v>161</v>
      </c>
      <c r="G1070" s="11">
        <v>463</v>
      </c>
      <c r="H1070" s="11">
        <v>467</v>
      </c>
      <c r="I1070" s="11">
        <v>1</v>
      </c>
      <c r="J1070" s="11">
        <v>0</v>
      </c>
      <c r="K1070" s="11" t="s">
        <v>21</v>
      </c>
      <c r="L1070" s="7">
        <v>40723.867673611108</v>
      </c>
      <c r="M1070" s="12" t="s">
        <v>162</v>
      </c>
      <c r="N1070" s="12" t="s">
        <v>163</v>
      </c>
      <c r="O1070" s="10" t="str">
        <f>HYPERLINK("https://pbs.twimg.com/profile_images/662723326096224256/5V4KH9_O_normal.jpg","View")</f>
        <v>View</v>
      </c>
      <c r="P1070" s="11"/>
    </row>
    <row r="1071" spans="1:16" ht="12.75" x14ac:dyDescent="0.35">
      <c r="A1071" s="7">
        <v>42479.542141203703</v>
      </c>
      <c r="B1071" s="8" t="str">
        <f>HYPERLINK("https://twitter.com/IT_Connection","@IT_Connection")</f>
        <v>@IT_Connection</v>
      </c>
      <c r="C1071" s="9" t="s">
        <v>368</v>
      </c>
      <c r="D1071" s="9" t="s">
        <v>2111</v>
      </c>
      <c r="E1071" s="10" t="str">
        <f>HYPERLINK("https://twitter.com/IT_Connection/status/722326536075014144","722326536075014144")</f>
        <v>722326536075014144</v>
      </c>
      <c r="F1071" s="11" t="s">
        <v>29</v>
      </c>
      <c r="G1071" s="11">
        <v>10900</v>
      </c>
      <c r="H1071" s="11">
        <v>10875</v>
      </c>
      <c r="I1071" s="11">
        <v>7</v>
      </c>
      <c r="J1071" s="11">
        <v>0</v>
      </c>
      <c r="K1071" s="11" t="s">
        <v>21</v>
      </c>
      <c r="L1071" s="7">
        <v>40411.751539351855</v>
      </c>
      <c r="M1071" s="12" t="s">
        <v>369</v>
      </c>
      <c r="N1071" s="12" t="s">
        <v>370</v>
      </c>
      <c r="O1071" s="10" t="str">
        <f>HYPERLINK("https://pbs.twimg.com/profile_images/566986293888835584/_uYTcau__normal.png","View")</f>
        <v>View</v>
      </c>
      <c r="P1071" s="11"/>
    </row>
    <row r="1072" spans="1:16" ht="12.75" x14ac:dyDescent="0.35">
      <c r="A1072" s="7">
        <v>42479.542997685188</v>
      </c>
      <c r="B1072" s="8" t="str">
        <f>HYPERLINK("https://twitter.com/INDIZbot","@INDIZbot")</f>
        <v>@INDIZbot</v>
      </c>
      <c r="C1072" s="9" t="s">
        <v>61</v>
      </c>
      <c r="D1072" s="9" t="s">
        <v>2204</v>
      </c>
      <c r="E1072" s="10" t="str">
        <f>HYPERLINK("https://twitter.com/INDIZbot/status/722326849649512448","722326849649512448")</f>
        <v>722326849649512448</v>
      </c>
      <c r="F1072" s="11" t="s">
        <v>62</v>
      </c>
      <c r="G1072" s="11">
        <v>1762</v>
      </c>
      <c r="H1072" s="11">
        <v>481</v>
      </c>
      <c r="I1072" s="11">
        <v>1</v>
      </c>
      <c r="J1072" s="11">
        <v>0</v>
      </c>
      <c r="K1072" s="11" t="s">
        <v>21</v>
      </c>
      <c r="L1072" s="7">
        <v>42267.011921296296</v>
      </c>
      <c r="M1072" s="12"/>
      <c r="N1072" s="12" t="s">
        <v>63</v>
      </c>
      <c r="O1072" s="10" t="str">
        <f>HYPERLINK("https://pbs.twimg.com/profile_images/645716711723925506/t5G0qOS6_normal.jpg","View")</f>
        <v>View</v>
      </c>
      <c r="P1072" s="11"/>
    </row>
    <row r="1073" spans="1:16" ht="12.75" x14ac:dyDescent="0.35">
      <c r="A1073" s="7">
        <v>42479.543171296296</v>
      </c>
      <c r="B1073" s="8" t="str">
        <f>HYPERLINK("https://twitter.com/ke_NEXT","@ke_NEXT")</f>
        <v>@ke_NEXT</v>
      </c>
      <c r="C1073" s="9" t="s">
        <v>2205</v>
      </c>
      <c r="D1073" s="9" t="s">
        <v>2206</v>
      </c>
      <c r="E1073" s="10" t="str">
        <f>HYPERLINK("https://twitter.com/ke_NEXT/status/722326913239425025","722326913239425025")</f>
        <v>722326913239425025</v>
      </c>
      <c r="F1073" s="11" t="s">
        <v>115</v>
      </c>
      <c r="G1073" s="11">
        <v>657</v>
      </c>
      <c r="H1073" s="11">
        <v>284</v>
      </c>
      <c r="I1073" s="11">
        <v>0</v>
      </c>
      <c r="J1073" s="11">
        <v>0</v>
      </c>
      <c r="K1073" s="11" t="s">
        <v>21</v>
      </c>
      <c r="L1073" s="7">
        <v>41442.736574074072</v>
      </c>
      <c r="M1073" s="12" t="s">
        <v>2207</v>
      </c>
      <c r="N1073" s="12" t="s">
        <v>2208</v>
      </c>
      <c r="O1073" s="10" t="str">
        <f>HYPERLINK("https://pbs.twimg.com/profile_images/672314625904541696/nkjpjIHy_normal.png","View")</f>
        <v>View</v>
      </c>
      <c r="P1073" s="11"/>
    </row>
    <row r="1074" spans="1:16" ht="12.75" x14ac:dyDescent="0.35">
      <c r="A1074" s="7">
        <v>42479.543668981481</v>
      </c>
      <c r="B1074" s="8" t="str">
        <f>HYPERLINK("https://twitter.com/MarcLuegger","@MarcLuegger")</f>
        <v>@MarcLuegger</v>
      </c>
      <c r="C1074" s="9" t="s">
        <v>2209</v>
      </c>
      <c r="D1074" s="9" t="s">
        <v>1366</v>
      </c>
      <c r="E1074" s="10" t="str">
        <f>HYPERLINK("https://twitter.com/MarcLuegger/status/722327093372141569","722327093372141569")</f>
        <v>722327093372141569</v>
      </c>
      <c r="F1074" s="11" t="s">
        <v>25</v>
      </c>
      <c r="G1074" s="11">
        <v>267</v>
      </c>
      <c r="H1074" s="11">
        <v>138</v>
      </c>
      <c r="I1074" s="11">
        <v>4</v>
      </c>
      <c r="J1074" s="11">
        <v>0</v>
      </c>
      <c r="K1074" s="11" t="s">
        <v>21</v>
      </c>
      <c r="L1074" s="7">
        <v>40956.810208333336</v>
      </c>
      <c r="M1074" s="12" t="s">
        <v>2210</v>
      </c>
      <c r="N1074" s="12" t="s">
        <v>2211</v>
      </c>
      <c r="O1074" s="10" t="str">
        <f>HYPERLINK("https://pbs.twimg.com/profile_images/687576250932686848/1SQwNign_normal.jpg","View")</f>
        <v>View</v>
      </c>
      <c r="P1074" s="11"/>
    </row>
    <row r="1075" spans="1:16" ht="12.75" x14ac:dyDescent="0.35">
      <c r="A1075" s="7">
        <v>42479.544259259259</v>
      </c>
      <c r="B1075" s="8" t="str">
        <f>HYPERLINK("https://twitter.com/bcfhdw","@bcfhdw")</f>
        <v>@bcfhdw</v>
      </c>
      <c r="C1075" s="9" t="s">
        <v>2212</v>
      </c>
      <c r="D1075" s="9" t="s">
        <v>2111</v>
      </c>
      <c r="E1075" s="10" t="str">
        <f>HYPERLINK("https://twitter.com/bcfhdw/status/722327306056949760","722327306056949760")</f>
        <v>722327306056949760</v>
      </c>
      <c r="F1075" s="11" t="s">
        <v>2213</v>
      </c>
      <c r="G1075" s="11">
        <v>312</v>
      </c>
      <c r="H1075" s="11">
        <v>1097</v>
      </c>
      <c r="I1075" s="11">
        <v>7</v>
      </c>
      <c r="J1075" s="11">
        <v>0</v>
      </c>
      <c r="K1075" s="11" t="s">
        <v>21</v>
      </c>
      <c r="L1075" s="7">
        <v>40464.547939814816</v>
      </c>
      <c r="M1075" s="12" t="s">
        <v>2214</v>
      </c>
      <c r="N1075" s="12" t="s">
        <v>2215</v>
      </c>
      <c r="O1075" s="10" t="str">
        <f>HYPERLINK("https://pbs.twimg.com/profile_images/707473583296135170/yLZIZvjp_normal.jpg","View")</f>
        <v>View</v>
      </c>
      <c r="P1075" s="11"/>
    </row>
    <row r="1076" spans="1:16" ht="12.75" x14ac:dyDescent="0.35">
      <c r="A1076" s="7">
        <v>42479.544351851851</v>
      </c>
      <c r="B1076" s="8" t="str">
        <f>HYPERLINK("https://twitter.com/zwitscher66","@zwitscher66")</f>
        <v>@zwitscher66</v>
      </c>
      <c r="C1076" s="9" t="s">
        <v>2216</v>
      </c>
      <c r="D1076" s="9" t="s">
        <v>2173</v>
      </c>
      <c r="E1076" s="10" t="str">
        <f>HYPERLINK("https://twitter.com/zwitscher66/status/722327337346461696","722327337346461696")</f>
        <v>722327337346461696</v>
      </c>
      <c r="F1076" s="11" t="s">
        <v>31</v>
      </c>
      <c r="G1076" s="11">
        <v>257</v>
      </c>
      <c r="H1076" s="11">
        <v>326</v>
      </c>
      <c r="I1076" s="11">
        <v>3</v>
      </c>
      <c r="J1076" s="11">
        <v>0</v>
      </c>
      <c r="K1076" s="11" t="s">
        <v>21</v>
      </c>
      <c r="L1076" s="7">
        <v>41184.050405092596</v>
      </c>
      <c r="M1076" s="12" t="s">
        <v>2217</v>
      </c>
      <c r="N1076" s="12" t="s">
        <v>2218</v>
      </c>
      <c r="O1076" s="10" t="str">
        <f>HYPERLINK("https://pbs.twimg.com/profile_images/3365928668/0be3c948c467aa211bb97ca74eb11472_normal.jpeg","View")</f>
        <v>View</v>
      </c>
      <c r="P1076" s="11"/>
    </row>
    <row r="1077" spans="1:16" ht="12.75" x14ac:dyDescent="0.35">
      <c r="A1077" s="7">
        <v>42479.550879629634</v>
      </c>
      <c r="B1077" s="8" t="str">
        <f>HYPERLINK("https://twitter.com/Angela_Josephs","@Angela_Josephs")</f>
        <v>@Angela_Josephs</v>
      </c>
      <c r="C1077" s="9" t="s">
        <v>1612</v>
      </c>
      <c r="D1077" s="9" t="s">
        <v>2219</v>
      </c>
      <c r="E1077" s="10" t="str">
        <f>HYPERLINK("https://twitter.com/Angela_Josephs/status/722329704510959616","722329704510959616")</f>
        <v>722329704510959616</v>
      </c>
      <c r="F1077" s="11" t="s">
        <v>31</v>
      </c>
      <c r="G1077" s="11">
        <v>173</v>
      </c>
      <c r="H1077" s="11">
        <v>83</v>
      </c>
      <c r="I1077" s="11">
        <v>7</v>
      </c>
      <c r="J1077" s="11">
        <v>0</v>
      </c>
      <c r="K1077" s="11" t="s">
        <v>21</v>
      </c>
      <c r="L1077" s="7">
        <v>41954.653541666667</v>
      </c>
      <c r="M1077" s="12" t="s">
        <v>1273</v>
      </c>
      <c r="N1077" s="12" t="s">
        <v>1614</v>
      </c>
      <c r="O1077" s="10" t="str">
        <f>HYPERLINK("https://pbs.twimg.com/profile_images/649572788148285440/Sxl5vTa3_normal.jpg","View")</f>
        <v>View</v>
      </c>
      <c r="P1077" s="11"/>
    </row>
    <row r="1078" spans="1:16" ht="12.75" x14ac:dyDescent="0.35">
      <c r="A1078" s="7">
        <v>42479.55196759259</v>
      </c>
      <c r="B1078" s="8" t="str">
        <f t="shared" ref="B1078:B1079" si="120">HYPERLINK("https://twitter.com/bamitav","@bamitav")</f>
        <v>@bamitav</v>
      </c>
      <c r="C1078" s="9" t="s">
        <v>341</v>
      </c>
      <c r="D1078" s="9" t="s">
        <v>2220</v>
      </c>
      <c r="E1078" s="10" t="str">
        <f>HYPERLINK("https://twitter.com/bamitav/status/722330098712625152","722330098712625152")</f>
        <v>722330098712625152</v>
      </c>
      <c r="F1078" s="11" t="s">
        <v>25</v>
      </c>
      <c r="G1078" s="11">
        <v>7341</v>
      </c>
      <c r="H1078" s="11">
        <v>6333</v>
      </c>
      <c r="I1078" s="11">
        <v>0</v>
      </c>
      <c r="J1078" s="11">
        <v>0</v>
      </c>
      <c r="K1078" s="11" t="s">
        <v>21</v>
      </c>
      <c r="L1078" s="7">
        <v>40138.933622685188</v>
      </c>
      <c r="M1078" s="12" t="s">
        <v>343</v>
      </c>
      <c r="N1078" s="12" t="s">
        <v>344</v>
      </c>
      <c r="O1078" s="10" t="str">
        <f t="shared" ref="O1078:O1079" si="121">HYPERLINK("https://pbs.twimg.com/profile_images/672794348442877952/m6Is-Nrc_normal.jpg","View")</f>
        <v>View</v>
      </c>
      <c r="P1078" s="11"/>
    </row>
    <row r="1079" spans="1:16" ht="12.75" x14ac:dyDescent="0.35">
      <c r="A1079" s="7">
        <v>42479.552233796298</v>
      </c>
      <c r="B1079" s="8" t="str">
        <f t="shared" si="120"/>
        <v>@bamitav</v>
      </c>
      <c r="C1079" s="9" t="s">
        <v>341</v>
      </c>
      <c r="D1079" s="9" t="s">
        <v>2221</v>
      </c>
      <c r="E1079" s="10" t="str">
        <f>HYPERLINK("https://twitter.com/bamitav/status/722330193730387973","722330193730387973")</f>
        <v>722330193730387973</v>
      </c>
      <c r="F1079" s="11" t="s">
        <v>25</v>
      </c>
      <c r="G1079" s="11">
        <v>7341</v>
      </c>
      <c r="H1079" s="11">
        <v>6333</v>
      </c>
      <c r="I1079" s="11">
        <v>0</v>
      </c>
      <c r="J1079" s="11">
        <v>1</v>
      </c>
      <c r="K1079" s="11" t="s">
        <v>21</v>
      </c>
      <c r="L1079" s="7">
        <v>40138.933622685188</v>
      </c>
      <c r="M1079" s="12" t="s">
        <v>343</v>
      </c>
      <c r="N1079" s="12" t="s">
        <v>344</v>
      </c>
      <c r="O1079" s="10" t="str">
        <f t="shared" si="121"/>
        <v>View</v>
      </c>
      <c r="P1079" s="11"/>
    </row>
    <row r="1080" spans="1:16" ht="12.75" x14ac:dyDescent="0.35">
      <c r="A1080" s="7">
        <v>42479.556006944447</v>
      </c>
      <c r="B1080" s="8" t="str">
        <f>HYPERLINK("https://twitter.com/SebZilch","@SebZilch")</f>
        <v>@SebZilch</v>
      </c>
      <c r="C1080" s="9" t="s">
        <v>2222</v>
      </c>
      <c r="D1080" s="9" t="s">
        <v>2223</v>
      </c>
      <c r="E1080" s="10" t="str">
        <f>HYPERLINK("https://twitter.com/SebZilch/status/722331564873527296","722331564873527296")</f>
        <v>722331564873527296</v>
      </c>
      <c r="F1080" s="11" t="s">
        <v>31</v>
      </c>
      <c r="G1080" s="11">
        <v>47</v>
      </c>
      <c r="H1080" s="11">
        <v>99</v>
      </c>
      <c r="I1080" s="11">
        <v>2</v>
      </c>
      <c r="J1080" s="11">
        <v>0</v>
      </c>
      <c r="K1080" s="11" t="s">
        <v>21</v>
      </c>
      <c r="L1080" s="7">
        <v>42030.72184027778</v>
      </c>
      <c r="M1080" s="12" t="s">
        <v>116</v>
      </c>
      <c r="N1080" s="12" t="s">
        <v>2224</v>
      </c>
      <c r="O1080" s="10" t="str">
        <f>HYPERLINK("https://pbs.twimg.com/profile_images/559680089638838272/Z1jALFTj_normal.jpeg","View")</f>
        <v>View</v>
      </c>
      <c r="P1080" s="11"/>
    </row>
    <row r="1081" spans="1:16" ht="12.75" x14ac:dyDescent="0.35">
      <c r="A1081" s="7">
        <v>42479.55636574074</v>
      </c>
      <c r="B1081" s="8" t="str">
        <f>HYPERLINK("https://twitter.com/INDIZbot","@INDIZbot")</f>
        <v>@INDIZbot</v>
      </c>
      <c r="C1081" s="9" t="s">
        <v>61</v>
      </c>
      <c r="D1081" s="9" t="s">
        <v>2225</v>
      </c>
      <c r="E1081" s="10" t="str">
        <f>HYPERLINK("https://twitter.com/INDIZbot/status/722331692518752256","722331692518752256")</f>
        <v>722331692518752256</v>
      </c>
      <c r="F1081" s="11" t="s">
        <v>62</v>
      </c>
      <c r="G1081" s="11">
        <v>1762</v>
      </c>
      <c r="H1081" s="11">
        <v>481</v>
      </c>
      <c r="I1081" s="11">
        <v>2</v>
      </c>
      <c r="J1081" s="11">
        <v>0</v>
      </c>
      <c r="K1081" s="11" t="s">
        <v>21</v>
      </c>
      <c r="L1081" s="7">
        <v>42267.011921296296</v>
      </c>
      <c r="M1081" s="12"/>
      <c r="N1081" s="12" t="s">
        <v>63</v>
      </c>
      <c r="O1081" s="10" t="str">
        <f>HYPERLINK("https://pbs.twimg.com/profile_images/645716711723925506/t5G0qOS6_normal.jpg","View")</f>
        <v>View</v>
      </c>
      <c r="P1081" s="11"/>
    </row>
    <row r="1082" spans="1:16" ht="12.75" x14ac:dyDescent="0.35">
      <c r="A1082" s="7">
        <v>42479.556481481486</v>
      </c>
      <c r="B1082" s="8" t="str">
        <f>HYPERLINK("https://twitter.com/Fraunhofer","@Fraunhofer")</f>
        <v>@Fraunhofer</v>
      </c>
      <c r="C1082" s="9" t="s">
        <v>2226</v>
      </c>
      <c r="D1082" s="9" t="s">
        <v>1803</v>
      </c>
      <c r="E1082" s="10" t="str">
        <f>HYPERLINK("https://twitter.com/Fraunhofer/status/722331734826684416","722331734826684416")</f>
        <v>722331734826684416</v>
      </c>
      <c r="F1082" s="11" t="s">
        <v>25</v>
      </c>
      <c r="G1082" s="11">
        <v>12799</v>
      </c>
      <c r="H1082" s="11">
        <v>870</v>
      </c>
      <c r="I1082" s="11">
        <v>11</v>
      </c>
      <c r="J1082" s="11">
        <v>0</v>
      </c>
      <c r="K1082" s="11" t="s">
        <v>21</v>
      </c>
      <c r="L1082" s="7">
        <v>39849.690486111111</v>
      </c>
      <c r="M1082" s="12" t="s">
        <v>689</v>
      </c>
      <c r="N1082" s="12" t="s">
        <v>2227</v>
      </c>
      <c r="O1082" s="10" t="str">
        <f>HYPERLINK("https://pbs.twimg.com/profile_images/578538983602417665/OKEpeUFp_normal.png","View")</f>
        <v>View</v>
      </c>
      <c r="P1082" s="11"/>
    </row>
    <row r="1083" spans="1:16" ht="12.75" x14ac:dyDescent="0.35">
      <c r="A1083" s="7">
        <v>42479.55668981481</v>
      </c>
      <c r="B1083" s="8" t="str">
        <f>HYPERLINK("https://twitter.com/Lars_Lauber","@Lars_Lauber")</f>
        <v>@Lars_Lauber</v>
      </c>
      <c r="C1083" s="9" t="s">
        <v>2228</v>
      </c>
      <c r="D1083" s="9" t="s">
        <v>1728</v>
      </c>
      <c r="E1083" s="10" t="str">
        <f>HYPERLINK("https://twitter.com/Lars_Lauber/status/722331811179835392","722331811179835392")</f>
        <v>722331811179835392</v>
      </c>
      <c r="F1083" s="11" t="s">
        <v>25</v>
      </c>
      <c r="G1083" s="11">
        <v>332</v>
      </c>
      <c r="H1083" s="11">
        <v>395</v>
      </c>
      <c r="I1083" s="11">
        <v>13</v>
      </c>
      <c r="J1083" s="11">
        <v>0</v>
      </c>
      <c r="K1083" s="11" t="s">
        <v>21</v>
      </c>
      <c r="L1083" s="7">
        <v>42284.538263888884</v>
      </c>
      <c r="M1083" s="12" t="s">
        <v>2229</v>
      </c>
      <c r="N1083" s="12" t="s">
        <v>2230</v>
      </c>
      <c r="O1083" s="10" t="str">
        <f>HYPERLINK("https://pbs.twimg.com/profile_images/651660160600010752/YYTKwl-M_normal.jpg","View")</f>
        <v>View</v>
      </c>
      <c r="P1083" s="11"/>
    </row>
    <row r="1084" spans="1:16" ht="12.75" x14ac:dyDescent="0.35">
      <c r="A1084" s="7">
        <v>42479.558287037042</v>
      </c>
      <c r="B1084" s="8" t="str">
        <f>HYPERLINK("https://twitter.com/platinn_CH","@platinn_CH")</f>
        <v>@platinn_CH</v>
      </c>
      <c r="C1084" s="9" t="s">
        <v>2231</v>
      </c>
      <c r="D1084" s="9" t="s">
        <v>2232</v>
      </c>
      <c r="E1084" s="10" t="str">
        <f>HYPERLINK("https://twitter.com/platinn_CH/status/722332390857785344","722332390857785344")</f>
        <v>722332390857785344</v>
      </c>
      <c r="F1084" s="11" t="s">
        <v>25</v>
      </c>
      <c r="G1084" s="11">
        <v>518</v>
      </c>
      <c r="H1084" s="11">
        <v>657</v>
      </c>
      <c r="I1084" s="11">
        <v>0</v>
      </c>
      <c r="J1084" s="11">
        <v>0</v>
      </c>
      <c r="K1084" s="11" t="s">
        <v>21</v>
      </c>
      <c r="L1084" s="7">
        <v>41864.794282407405</v>
      </c>
      <c r="M1084" s="12" t="s">
        <v>2233</v>
      </c>
      <c r="N1084" s="12" t="s">
        <v>2234</v>
      </c>
      <c r="O1084" s="10" t="str">
        <f>HYPERLINK("https://pbs.twimg.com/profile_images/499558614848122880/w6ZsfOlK_normal.jpeg","View")</f>
        <v>View</v>
      </c>
      <c r="P1084" s="11"/>
    </row>
    <row r="1085" spans="1:16" ht="12.75" x14ac:dyDescent="0.35">
      <c r="A1085" s="7">
        <v>42479.568761574075</v>
      </c>
      <c r="B1085" s="8" t="str">
        <f>HYPERLINK("https://twitter.com/stahlmarkt","@stahlmarkt")</f>
        <v>@stahlmarkt</v>
      </c>
      <c r="C1085" s="9" t="s">
        <v>2235</v>
      </c>
      <c r="D1085" s="9" t="s">
        <v>2236</v>
      </c>
      <c r="E1085" s="10" t="str">
        <f>HYPERLINK("https://twitter.com/stahlmarkt/status/722336186019246081","722336186019246081")</f>
        <v>722336186019246081</v>
      </c>
      <c r="F1085" s="11" t="s">
        <v>1712</v>
      </c>
      <c r="G1085" s="11">
        <v>911</v>
      </c>
      <c r="H1085" s="11">
        <v>335</v>
      </c>
      <c r="I1085" s="11">
        <v>0</v>
      </c>
      <c r="J1085" s="11">
        <v>0</v>
      </c>
      <c r="K1085" s="11" t="s">
        <v>21</v>
      </c>
      <c r="L1085" s="7">
        <v>40021.810219907406</v>
      </c>
      <c r="M1085" s="12" t="s">
        <v>846</v>
      </c>
      <c r="N1085" s="12" t="s">
        <v>2237</v>
      </c>
      <c r="O1085" s="10" t="str">
        <f>HYPERLINK("https://pbs.twimg.com/profile_images/378800000761227538/d62f65a39ac91b4b970b5ea25a1976d8_normal.jpeg","View")</f>
        <v>View</v>
      </c>
      <c r="P1085" s="11"/>
    </row>
    <row r="1086" spans="1:16" ht="12.75" x14ac:dyDescent="0.35">
      <c r="A1086" s="7">
        <v>42479.5699537037</v>
      </c>
      <c r="B1086" s="8" t="str">
        <f>HYPERLINK("https://twitter.com/FraunhoferAISEC","@FraunhoferAISEC")</f>
        <v>@FraunhoferAISEC</v>
      </c>
      <c r="C1086" s="9" t="s">
        <v>2238</v>
      </c>
      <c r="D1086" s="9" t="s">
        <v>2239</v>
      </c>
      <c r="E1086" s="10" t="str">
        <f>HYPERLINK("https://twitter.com/FraunhoferAISEC/status/722336616526835712","722336616526835712")</f>
        <v>722336616526835712</v>
      </c>
      <c r="F1086" s="11" t="s">
        <v>115</v>
      </c>
      <c r="G1086" s="11">
        <v>1508</v>
      </c>
      <c r="H1086" s="11">
        <v>697</v>
      </c>
      <c r="I1086" s="11">
        <v>1</v>
      </c>
      <c r="J1086" s="11">
        <v>0</v>
      </c>
      <c r="K1086" s="11" t="s">
        <v>21</v>
      </c>
      <c r="L1086" s="7">
        <v>40826.762314814812</v>
      </c>
      <c r="M1086" s="12" t="s">
        <v>2240</v>
      </c>
      <c r="N1086" s="12" t="s">
        <v>2241</v>
      </c>
      <c r="O1086" s="10" t="str">
        <f>HYPERLINK("https://pbs.twimg.com/profile_images/703205863415111680/mU-s11Ah_normal.jpg","View")</f>
        <v>View</v>
      </c>
      <c r="P1086" s="11"/>
    </row>
    <row r="1087" spans="1:16" ht="12.75" x14ac:dyDescent="0.35">
      <c r="A1087" s="7">
        <v>42479.57203703704</v>
      </c>
      <c r="B1087" s="8" t="str">
        <f>HYPERLINK("https://twitter.com/kommunikationsm","@kommunikationsm")</f>
        <v>@kommunikationsm</v>
      </c>
      <c r="C1087" s="9" t="s">
        <v>2242</v>
      </c>
      <c r="D1087" s="9" t="s">
        <v>2225</v>
      </c>
      <c r="E1087" s="10" t="str">
        <f>HYPERLINK("https://twitter.com/kommunikationsm/status/722337370889154560","722337370889154560")</f>
        <v>722337370889154560</v>
      </c>
      <c r="F1087" s="11" t="s">
        <v>31</v>
      </c>
      <c r="G1087" s="11">
        <v>1826</v>
      </c>
      <c r="H1087" s="11">
        <v>2304</v>
      </c>
      <c r="I1087" s="11">
        <v>2</v>
      </c>
      <c r="J1087" s="11">
        <v>0</v>
      </c>
      <c r="K1087" s="11" t="s">
        <v>21</v>
      </c>
      <c r="L1087" s="7">
        <v>39843.910439814819</v>
      </c>
      <c r="M1087" s="12" t="s">
        <v>121</v>
      </c>
      <c r="N1087" s="12" t="s">
        <v>2243</v>
      </c>
      <c r="O1087" s="10" t="str">
        <f>HYPERLINK("https://pbs.twimg.com/profile_images/619614759370014720/AS__iYuZ_normal.jpg","View")</f>
        <v>View</v>
      </c>
      <c r="P1087" s="11"/>
    </row>
    <row r="1088" spans="1:16" ht="12.75" x14ac:dyDescent="0.35">
      <c r="A1088" s="7">
        <v>42479.574282407411</v>
      </c>
      <c r="B1088" s="8" t="str">
        <f>HYPERLINK("https://twitter.com/CONSILIOGmbH","@CONSILIOGmbH")</f>
        <v>@CONSILIOGmbH</v>
      </c>
      <c r="C1088" s="9" t="s">
        <v>2244</v>
      </c>
      <c r="D1088" s="9" t="s">
        <v>2245</v>
      </c>
      <c r="E1088" s="10" t="str">
        <f>HYPERLINK("https://twitter.com/CONSILIOGmbH/status/722338184210857984","722338184210857984")</f>
        <v>722338184210857984</v>
      </c>
      <c r="F1088" s="11" t="s">
        <v>25</v>
      </c>
      <c r="G1088" s="11">
        <v>35</v>
      </c>
      <c r="H1088" s="11">
        <v>78</v>
      </c>
      <c r="I1088" s="11">
        <v>0</v>
      </c>
      <c r="J1088" s="11">
        <v>0</v>
      </c>
      <c r="K1088" s="11" t="s">
        <v>21</v>
      </c>
      <c r="L1088" s="7">
        <v>42293.505289351851</v>
      </c>
      <c r="M1088" s="12" t="s">
        <v>2246</v>
      </c>
      <c r="N1088" s="12" t="s">
        <v>2247</v>
      </c>
      <c r="O1088" s="10" t="str">
        <f>HYPERLINK("https://pbs.twimg.com/profile_images/654909811105091584/8u0g3Ueu_normal.png","View")</f>
        <v>View</v>
      </c>
      <c r="P1088" s="11"/>
    </row>
    <row r="1089" spans="1:16" ht="12.75" x14ac:dyDescent="0.35">
      <c r="A1089" s="7">
        <v>42479.57949074074</v>
      </c>
      <c r="B1089" s="8" t="str">
        <f>HYPERLINK("https://twitter.com/aretasGmbH","@aretasGmbH")</f>
        <v>@aretasGmbH</v>
      </c>
      <c r="C1089" s="9" t="s">
        <v>2248</v>
      </c>
      <c r="D1089" s="9" t="s">
        <v>2173</v>
      </c>
      <c r="E1089" s="10" t="str">
        <f>HYPERLINK("https://twitter.com/aretasGmbH/status/722340073673486336","722340073673486336")</f>
        <v>722340073673486336</v>
      </c>
      <c r="F1089" s="11" t="s">
        <v>31</v>
      </c>
      <c r="G1089" s="11">
        <v>198</v>
      </c>
      <c r="H1089" s="11">
        <v>417</v>
      </c>
      <c r="I1089" s="11">
        <v>3</v>
      </c>
      <c r="J1089" s="11">
        <v>0</v>
      </c>
      <c r="K1089" s="11" t="s">
        <v>21</v>
      </c>
      <c r="L1089" s="7">
        <v>40561.641226851854</v>
      </c>
      <c r="M1089" s="12" t="s">
        <v>2249</v>
      </c>
      <c r="N1089" s="12" t="s">
        <v>2250</v>
      </c>
      <c r="O1089" s="10" t="str">
        <f>HYPERLINK("https://pbs.twimg.com/profile_images/516911536900542464/CNMiu3f9_normal.jpeg","View")</f>
        <v>View</v>
      </c>
      <c r="P1089" s="11"/>
    </row>
    <row r="1090" spans="1:16" ht="12.75" x14ac:dyDescent="0.35">
      <c r="A1090" s="7">
        <v>42479.581979166665</v>
      </c>
      <c r="B1090" s="8" t="str">
        <f>HYPERLINK("https://twitter.com/IDKOMPASS","@IDKOMPASS")</f>
        <v>@IDKOMPASS</v>
      </c>
      <c r="C1090" s="9" t="s">
        <v>2251</v>
      </c>
      <c r="D1090" s="9" t="s">
        <v>2252</v>
      </c>
      <c r="E1090" s="10" t="str">
        <f>HYPERLINK("https://twitter.com/IDKOMPASS/status/722340973771030529","722340973771030529")</f>
        <v>722340973771030529</v>
      </c>
      <c r="F1090" s="11" t="s">
        <v>115</v>
      </c>
      <c r="G1090" s="11">
        <v>266</v>
      </c>
      <c r="H1090" s="11">
        <v>97</v>
      </c>
      <c r="I1090" s="11">
        <v>0</v>
      </c>
      <c r="J1090" s="11">
        <v>0</v>
      </c>
      <c r="K1090" s="11" t="s">
        <v>21</v>
      </c>
      <c r="L1090" s="7">
        <v>42052.908912037034</v>
      </c>
      <c r="M1090" s="12" t="s">
        <v>92</v>
      </c>
      <c r="N1090" s="12" t="s">
        <v>2253</v>
      </c>
      <c r="O1090" s="10" t="str">
        <f>HYPERLINK("https://pbs.twimg.com/profile_images/574932942327144450/RsjsUSUd_normal.jpeg","View")</f>
        <v>View</v>
      </c>
      <c r="P1090" s="11"/>
    </row>
    <row r="1091" spans="1:16" ht="12.75" x14ac:dyDescent="0.35">
      <c r="A1091" s="7">
        <v>42479.582361111112</v>
      </c>
      <c r="B1091" s="8" t="str">
        <f>HYPERLINK("https://twitter.com/SHC_GmbH","@SHC_GmbH")</f>
        <v>@SHC_GmbH</v>
      </c>
      <c r="C1091" s="9" t="s">
        <v>105</v>
      </c>
      <c r="D1091" s="9" t="s">
        <v>2254</v>
      </c>
      <c r="E1091" s="10" t="str">
        <f>HYPERLINK("https://twitter.com/SHC_GmbH/status/722341112497770496","722341112497770496")</f>
        <v>722341112497770496</v>
      </c>
      <c r="F1091" s="11" t="s">
        <v>39</v>
      </c>
      <c r="G1091" s="11">
        <v>427</v>
      </c>
      <c r="H1091" s="11">
        <v>598</v>
      </c>
      <c r="I1091" s="11">
        <v>0</v>
      </c>
      <c r="J1091" s="11">
        <v>0</v>
      </c>
      <c r="K1091" s="11" t="s">
        <v>21</v>
      </c>
      <c r="L1091" s="7">
        <v>41423.549513888887</v>
      </c>
      <c r="M1091" s="12" t="s">
        <v>107</v>
      </c>
      <c r="N1091" s="12" t="s">
        <v>108</v>
      </c>
      <c r="O1091" s="10" t="str">
        <f>HYPERLINK("https://pbs.twimg.com/profile_images/3726440228/9ba49ccb938cf571b195e3e83a4e1327_normal.jpeg","View")</f>
        <v>View</v>
      </c>
      <c r="P1091" s="11"/>
    </row>
    <row r="1092" spans="1:16" ht="12.75" x14ac:dyDescent="0.35">
      <c r="A1092" s="7">
        <v>42479.584791666668</v>
      </c>
      <c r="B1092" s="8" t="str">
        <f>HYPERLINK("https://twitter.com/H_IT_D","@H_IT_D")</f>
        <v>@H_IT_D</v>
      </c>
      <c r="C1092" s="9" t="s">
        <v>159</v>
      </c>
      <c r="D1092" s="9" t="s">
        <v>2255</v>
      </c>
      <c r="E1092" s="10" t="str">
        <f>HYPERLINK("https://twitter.com/H_IT_D/status/722341993037205504","722341993037205504")</f>
        <v>722341993037205504</v>
      </c>
      <c r="F1092" s="11" t="s">
        <v>161</v>
      </c>
      <c r="G1092" s="11">
        <v>463</v>
      </c>
      <c r="H1092" s="11">
        <v>467</v>
      </c>
      <c r="I1092" s="11">
        <v>0</v>
      </c>
      <c r="J1092" s="11">
        <v>0</v>
      </c>
      <c r="K1092" s="11" t="s">
        <v>21</v>
      </c>
      <c r="L1092" s="7">
        <v>40723.867673611108</v>
      </c>
      <c r="M1092" s="12" t="s">
        <v>162</v>
      </c>
      <c r="N1092" s="12" t="s">
        <v>163</v>
      </c>
      <c r="O1092" s="10" t="str">
        <f>HYPERLINK("https://pbs.twimg.com/profile_images/662723326096224256/5V4KH9_O_normal.jpg","View")</f>
        <v>View</v>
      </c>
      <c r="P1092" s="11"/>
    </row>
    <row r="1093" spans="1:16" ht="12.75" x14ac:dyDescent="0.35">
      <c r="A1093" s="7">
        <v>42479.590081018519</v>
      </c>
      <c r="B1093" s="8" t="str">
        <f>HYPERLINK("https://twitter.com/PortalAlemania","@PortalAlemania")</f>
        <v>@PortalAlemania</v>
      </c>
      <c r="C1093" s="9" t="s">
        <v>2256</v>
      </c>
      <c r="D1093" s="9" t="s">
        <v>2257</v>
      </c>
      <c r="E1093" s="10" t="str">
        <f>HYPERLINK("https://twitter.com/PortalAlemania/status/722343910987718656","722343910987718656")</f>
        <v>722343910987718656</v>
      </c>
      <c r="F1093" s="11" t="s">
        <v>25</v>
      </c>
      <c r="G1093" s="11">
        <v>5453</v>
      </c>
      <c r="H1093" s="11">
        <v>5998</v>
      </c>
      <c r="I1093" s="11">
        <v>2</v>
      </c>
      <c r="J1093" s="11">
        <v>0</v>
      </c>
      <c r="K1093" s="11" t="s">
        <v>21</v>
      </c>
      <c r="L1093" s="7">
        <v>41306.767233796294</v>
      </c>
      <c r="M1093" s="12" t="s">
        <v>2258</v>
      </c>
      <c r="N1093" s="12" t="s">
        <v>2259</v>
      </c>
      <c r="O1093" s="10" t="str">
        <f>HYPERLINK("https://pbs.twimg.com/profile_images/667101652479029249/acksmKgE_normal.png","View")</f>
        <v>View</v>
      </c>
      <c r="P1093" s="11"/>
    </row>
    <row r="1094" spans="1:16" ht="12.75" x14ac:dyDescent="0.35">
      <c r="A1094" s="7">
        <v>42479.593587962961</v>
      </c>
      <c r="B1094" s="8" t="str">
        <f>HYPERLINK("https://twitter.com/MarioReinsch","@MarioReinsch")</f>
        <v>@MarioReinsch</v>
      </c>
      <c r="C1094" s="9" t="s">
        <v>109</v>
      </c>
      <c r="D1094" s="9" t="s">
        <v>2260</v>
      </c>
      <c r="E1094" s="10" t="str">
        <f>HYPERLINK("https://twitter.com/MarioReinsch/status/722345181131968512","722345181131968512")</f>
        <v>722345181131968512</v>
      </c>
      <c r="F1094" s="11" t="s">
        <v>25</v>
      </c>
      <c r="G1094" s="11">
        <v>203</v>
      </c>
      <c r="H1094" s="11">
        <v>455</v>
      </c>
      <c r="I1094" s="11">
        <v>0</v>
      </c>
      <c r="J1094" s="11">
        <v>0</v>
      </c>
      <c r="K1094" s="11" t="s">
        <v>21</v>
      </c>
      <c r="L1094" s="7">
        <v>41858.737534722226</v>
      </c>
      <c r="M1094" s="12" t="s">
        <v>111</v>
      </c>
      <c r="N1094" s="12" t="s">
        <v>112</v>
      </c>
      <c r="O1094" s="10" t="str">
        <f>HYPERLINK("https://pbs.twimg.com/profile_images/560799766007664640/lsjqv0TW_normal.jpeg","View")</f>
        <v>View</v>
      </c>
      <c r="P1094" s="11"/>
    </row>
    <row r="1095" spans="1:16" ht="12.75" x14ac:dyDescent="0.35">
      <c r="A1095" s="7">
        <v>42479.595914351856</v>
      </c>
      <c r="B1095" s="8" t="str">
        <f>HYPERLINK("https://twitter.com/catkinEU","@catkinEU")</f>
        <v>@catkinEU</v>
      </c>
      <c r="C1095" s="9" t="s">
        <v>781</v>
      </c>
      <c r="D1095" s="9" t="s">
        <v>2261</v>
      </c>
      <c r="E1095" s="10" t="str">
        <f>HYPERLINK("https://twitter.com/catkinEU/status/722346023058735104","722346023058735104")</f>
        <v>722346023058735104</v>
      </c>
      <c r="F1095" s="11" t="s">
        <v>115</v>
      </c>
      <c r="G1095" s="11">
        <v>403</v>
      </c>
      <c r="H1095" s="11">
        <v>541</v>
      </c>
      <c r="I1095" s="11">
        <v>0</v>
      </c>
      <c r="J1095" s="11">
        <v>0</v>
      </c>
      <c r="K1095" s="11" t="s">
        <v>21</v>
      </c>
      <c r="L1095" s="7">
        <v>42153.955763888887</v>
      </c>
      <c r="M1095" s="12"/>
      <c r="N1095" s="12" t="s">
        <v>782</v>
      </c>
      <c r="O1095" s="10" t="str">
        <f>HYPERLINK("https://pbs.twimg.com/profile_images/604338428227010560/6jzSa8us_normal.png","View")</f>
        <v>View</v>
      </c>
      <c r="P1095" s="11"/>
    </row>
    <row r="1096" spans="1:16" ht="12.75" x14ac:dyDescent="0.35">
      <c r="A1096" s="7">
        <v>42479.596620370372</v>
      </c>
      <c r="B1096" s="8" t="str">
        <f>HYPERLINK("https://twitter.com/MarioReinsch","@MarioReinsch")</f>
        <v>@MarioReinsch</v>
      </c>
      <c r="C1096" s="9" t="s">
        <v>109</v>
      </c>
      <c r="D1096" s="9" t="s">
        <v>2262</v>
      </c>
      <c r="E1096" s="10" t="str">
        <f>HYPERLINK("https://twitter.com/MarioReinsch/status/722346282250080256","722346282250080256")</f>
        <v>722346282250080256</v>
      </c>
      <c r="F1096" s="11" t="s">
        <v>25</v>
      </c>
      <c r="G1096" s="11">
        <v>203</v>
      </c>
      <c r="H1096" s="11">
        <v>455</v>
      </c>
      <c r="I1096" s="11">
        <v>4</v>
      </c>
      <c r="J1096" s="11">
        <v>0</v>
      </c>
      <c r="K1096" s="11" t="s">
        <v>21</v>
      </c>
      <c r="L1096" s="7">
        <v>41858.737534722226</v>
      </c>
      <c r="M1096" s="12" t="s">
        <v>111</v>
      </c>
      <c r="N1096" s="12" t="s">
        <v>112</v>
      </c>
      <c r="O1096" s="10" t="str">
        <f>HYPERLINK("https://pbs.twimg.com/profile_images/560799766007664640/lsjqv0TW_normal.jpeg","View")</f>
        <v>View</v>
      </c>
      <c r="P1096" s="11"/>
    </row>
    <row r="1097" spans="1:16" ht="12.75" x14ac:dyDescent="0.35">
      <c r="A1097" s="7">
        <v>42479.596875000003</v>
      </c>
      <c r="B1097" s="8" t="str">
        <f>HYPERLINK("https://twitter.com/Der_Betriebslei","@Der_Betriebslei")</f>
        <v>@Der_Betriebslei</v>
      </c>
      <c r="C1097" s="9" t="s">
        <v>2263</v>
      </c>
      <c r="D1097" s="9" t="s">
        <v>2264</v>
      </c>
      <c r="E1097" s="10" t="str">
        <f>HYPERLINK("https://twitter.com/Der_Betriebslei/status/722346371802640384","722346371802640384")</f>
        <v>722346371802640384</v>
      </c>
      <c r="F1097" s="11" t="s">
        <v>29</v>
      </c>
      <c r="G1097" s="11">
        <v>583</v>
      </c>
      <c r="H1097" s="11">
        <v>658</v>
      </c>
      <c r="I1097" s="11">
        <v>2</v>
      </c>
      <c r="J1097" s="11">
        <v>0</v>
      </c>
      <c r="K1097" s="11" t="s">
        <v>21</v>
      </c>
      <c r="L1097" s="7">
        <v>41598.836886574078</v>
      </c>
      <c r="M1097" s="12" t="s">
        <v>2100</v>
      </c>
      <c r="N1097" s="12" t="s">
        <v>2265</v>
      </c>
      <c r="O1097" s="10" t="str">
        <f>HYPERLINK("https://pbs.twimg.com/profile_images/448785058711601152/lLXOAUVA_normal.png","View")</f>
        <v>View</v>
      </c>
      <c r="P1097" s="11"/>
    </row>
    <row r="1098" spans="1:16" ht="12.75" x14ac:dyDescent="0.35">
      <c r="A1098" s="7">
        <v>42479.600486111114</v>
      </c>
      <c r="B1098" s="8" t="str">
        <f>HYPERLINK("https://twitter.com/thomas_leubner","@thomas_leubner")</f>
        <v>@thomas_leubner</v>
      </c>
      <c r="C1098" s="9" t="s">
        <v>2036</v>
      </c>
      <c r="D1098" s="9" t="s">
        <v>2266</v>
      </c>
      <c r="E1098" s="10" t="str">
        <f>HYPERLINK("https://twitter.com/thomas_leubner/status/722347680148688896","722347680148688896")</f>
        <v>722347680148688896</v>
      </c>
      <c r="F1098" s="11" t="s">
        <v>31</v>
      </c>
      <c r="G1098" s="11">
        <v>68</v>
      </c>
      <c r="H1098" s="11">
        <v>198</v>
      </c>
      <c r="I1098" s="11">
        <v>1</v>
      </c>
      <c r="J1098" s="11">
        <v>3</v>
      </c>
      <c r="K1098" s="11" t="s">
        <v>21</v>
      </c>
      <c r="L1098" s="7">
        <v>42431.784062499995</v>
      </c>
      <c r="M1098" s="12"/>
      <c r="N1098" s="12" t="s">
        <v>2038</v>
      </c>
      <c r="O1098" s="10" t="str">
        <f>HYPERLINK("https://pbs.twimg.com/profile_images/722132463565291520/neQnM60p_normal.jpg","View")</f>
        <v>View</v>
      </c>
      <c r="P1098" s="11"/>
    </row>
    <row r="1099" spans="1:16" ht="12.75" x14ac:dyDescent="0.35">
      <c r="A1099" s="7">
        <v>42479.600671296299</v>
      </c>
      <c r="B1099" s="8" t="str">
        <f>HYPERLINK("https://twitter.com/mbaukarriere","@mbaukarriere")</f>
        <v>@mbaukarriere</v>
      </c>
      <c r="C1099" s="9" t="s">
        <v>57</v>
      </c>
      <c r="D1099" s="9" t="s">
        <v>2267</v>
      </c>
      <c r="E1099" s="10" t="str">
        <f>HYPERLINK("https://twitter.com/mbaukarriere/status/722347750428381184","722347750428381184")</f>
        <v>722347750428381184</v>
      </c>
      <c r="F1099" s="11" t="s">
        <v>29</v>
      </c>
      <c r="G1099" s="11">
        <v>519</v>
      </c>
      <c r="H1099" s="11">
        <v>2730</v>
      </c>
      <c r="I1099" s="11">
        <v>0</v>
      </c>
      <c r="J1099" s="11">
        <v>0</v>
      </c>
      <c r="K1099" s="11" t="s">
        <v>21</v>
      </c>
      <c r="L1099" s="7">
        <v>42390.680983796294</v>
      </c>
      <c r="M1099" s="12"/>
      <c r="N1099" s="12" t="s">
        <v>60</v>
      </c>
      <c r="O1099" s="10" t="str">
        <f>HYPERLINK("https://pbs.twimg.com/profile_images/690125049806884864/ET63bOiY_normal.jpg","View")</f>
        <v>View</v>
      </c>
      <c r="P1099" s="11"/>
    </row>
    <row r="1100" spans="1:16" ht="12.75" x14ac:dyDescent="0.35">
      <c r="A1100" s="7">
        <v>42479.601967592593</v>
      </c>
      <c r="B1100" s="8" t="str">
        <f>HYPERLINK("https://twitter.com/MindCommerce","@MindCommerce")</f>
        <v>@MindCommerce</v>
      </c>
      <c r="C1100" s="9" t="s">
        <v>1242</v>
      </c>
      <c r="D1100" s="9" t="s">
        <v>2268</v>
      </c>
      <c r="E1100" s="10" t="str">
        <f>HYPERLINK("https://twitter.com/MindCommerce/status/722348216293974016","722348216293974016")</f>
        <v>722348216293974016</v>
      </c>
      <c r="F1100" s="11" t="s">
        <v>437</v>
      </c>
      <c r="G1100" s="11">
        <v>1189</v>
      </c>
      <c r="H1100" s="11">
        <v>427</v>
      </c>
      <c r="I1100" s="11">
        <v>4</v>
      </c>
      <c r="J1100" s="11">
        <v>0</v>
      </c>
      <c r="K1100" s="11" t="s">
        <v>21</v>
      </c>
      <c r="L1100" s="7">
        <v>40577.150787037041</v>
      </c>
      <c r="M1100" s="12"/>
      <c r="N1100" s="12" t="s">
        <v>1244</v>
      </c>
      <c r="O1100" s="10" t="str">
        <f>HYPERLINK("https://pbs.twimg.com/profile_images/548030384030507008/utABqhj9_normal.png","View")</f>
        <v>View</v>
      </c>
      <c r="P1100" s="11"/>
    </row>
    <row r="1101" spans="1:16" ht="12.75" x14ac:dyDescent="0.35">
      <c r="A1101" s="7">
        <v>42479.604490740741</v>
      </c>
      <c r="B1101" s="8" t="str">
        <f>HYPERLINK("https://twitter.com/kommoptimierer","@kommoptimierer")</f>
        <v>@kommoptimierer</v>
      </c>
      <c r="C1101" s="9" t="s">
        <v>270</v>
      </c>
      <c r="D1101" s="9" t="s">
        <v>271</v>
      </c>
      <c r="E1101" s="10" t="str">
        <f>HYPERLINK("https://twitter.com/kommoptimierer/status/722349131713417216","722349131713417216")</f>
        <v>722349131713417216</v>
      </c>
      <c r="F1101" s="11" t="s">
        <v>272</v>
      </c>
      <c r="G1101" s="11">
        <v>1347</v>
      </c>
      <c r="H1101" s="11">
        <v>1753</v>
      </c>
      <c r="I1101" s="11">
        <v>1</v>
      </c>
      <c r="J1101" s="11">
        <v>0</v>
      </c>
      <c r="K1101" s="11" t="s">
        <v>21</v>
      </c>
      <c r="L1101" s="7">
        <v>39986.860358796301</v>
      </c>
      <c r="M1101" s="12" t="s">
        <v>273</v>
      </c>
      <c r="N1101" s="12" t="s">
        <v>274</v>
      </c>
      <c r="O1101" s="10" t="str">
        <f>HYPERLINK("https://pbs.twimg.com/profile_images/541146126158536704/IYardufS_normal.jpeg","View")</f>
        <v>View</v>
      </c>
      <c r="P1101" s="11"/>
    </row>
    <row r="1102" spans="1:16" ht="12.75" x14ac:dyDescent="0.35">
      <c r="A1102" s="7">
        <v>42479.604976851857</v>
      </c>
      <c r="B1102" s="8" t="str">
        <f>HYPERLINK("https://twitter.com/INDIZbot","@INDIZbot")</f>
        <v>@INDIZbot</v>
      </c>
      <c r="C1102" s="9" t="s">
        <v>61</v>
      </c>
      <c r="D1102" s="9" t="s">
        <v>275</v>
      </c>
      <c r="E1102" s="10" t="str">
        <f>HYPERLINK("https://twitter.com/INDIZbot/status/722349306825543681","722349306825543681")</f>
        <v>722349306825543681</v>
      </c>
      <c r="F1102" s="11" t="s">
        <v>62</v>
      </c>
      <c r="G1102" s="11">
        <v>1762</v>
      </c>
      <c r="H1102" s="11">
        <v>481</v>
      </c>
      <c r="I1102" s="11">
        <v>1</v>
      </c>
      <c r="J1102" s="11">
        <v>0</v>
      </c>
      <c r="K1102" s="11" t="s">
        <v>21</v>
      </c>
      <c r="L1102" s="7">
        <v>42267.011921296296</v>
      </c>
      <c r="M1102" s="12"/>
      <c r="N1102" s="12" t="s">
        <v>63</v>
      </c>
      <c r="O1102" s="10" t="str">
        <f>HYPERLINK("https://pbs.twimg.com/profile_images/645716711723925506/t5G0qOS6_normal.jpg","View")</f>
        <v>View</v>
      </c>
      <c r="P1102" s="11"/>
    </row>
    <row r="1103" spans="1:16" ht="12.75" x14ac:dyDescent="0.35">
      <c r="A1103" s="7">
        <v>42479.605150462958</v>
      </c>
      <c r="B1103" s="8" t="str">
        <f>HYPERLINK("https://twitter.com/MarianKoeller","@MarianKoeller")</f>
        <v>@MarianKoeller</v>
      </c>
      <c r="C1103" s="9" t="s">
        <v>849</v>
      </c>
      <c r="D1103" s="9" t="s">
        <v>2269</v>
      </c>
      <c r="E1103" s="10" t="str">
        <f>HYPERLINK("https://twitter.com/MarianKoeller/status/722349373116559360","722349373116559360")</f>
        <v>722349373116559360</v>
      </c>
      <c r="F1103" s="11" t="s">
        <v>25</v>
      </c>
      <c r="G1103" s="11">
        <v>94</v>
      </c>
      <c r="H1103" s="11">
        <v>115</v>
      </c>
      <c r="I1103" s="11">
        <v>0</v>
      </c>
      <c r="J1103" s="11">
        <v>0</v>
      </c>
      <c r="K1103" s="11" t="s">
        <v>21</v>
      </c>
      <c r="L1103" s="7">
        <v>42328.736504629633</v>
      </c>
      <c r="M1103" s="12" t="s">
        <v>851</v>
      </c>
      <c r="N1103" s="12" t="s">
        <v>852</v>
      </c>
      <c r="O1103" s="10" t="str">
        <f>HYPERLINK("https://pbs.twimg.com/profile_images/701004613206433792/o4DJfA8-_normal.jpg","View")</f>
        <v>View</v>
      </c>
      <c r="P1103" s="11"/>
    </row>
    <row r="1104" spans="1:16" ht="12.75" x14ac:dyDescent="0.35">
      <c r="A1104" s="7">
        <v>42479.605173611111</v>
      </c>
      <c r="B1104" s="8" t="str">
        <f>HYPERLINK("https://twitter.com/WibuSystems","@WibuSystems")</f>
        <v>@WibuSystems</v>
      </c>
      <c r="C1104" s="9" t="s">
        <v>1690</v>
      </c>
      <c r="D1104" s="9" t="s">
        <v>2270</v>
      </c>
      <c r="E1104" s="10" t="str">
        <f>HYPERLINK("https://twitter.com/WibuSystems/status/722349382083997697","722349382083997697")</f>
        <v>722349382083997697</v>
      </c>
      <c r="F1104" s="11" t="s">
        <v>39</v>
      </c>
      <c r="G1104" s="11">
        <v>459</v>
      </c>
      <c r="H1104" s="11">
        <v>836</v>
      </c>
      <c r="I1104" s="11">
        <v>0</v>
      </c>
      <c r="J1104" s="11">
        <v>0</v>
      </c>
      <c r="K1104" s="11" t="s">
        <v>21</v>
      </c>
      <c r="L1104" s="7">
        <v>40302.50681712963</v>
      </c>
      <c r="M1104" s="12" t="s">
        <v>468</v>
      </c>
      <c r="N1104" s="12" t="s">
        <v>1692</v>
      </c>
      <c r="O1104" s="10" t="str">
        <f>HYPERLINK("https://pbs.twimg.com/profile_images/458888137326882816/oGjpHLOK_normal.png","View")</f>
        <v>View</v>
      </c>
      <c r="P1104" s="11"/>
    </row>
    <row r="1105" spans="1:16" ht="12.75" x14ac:dyDescent="0.35">
      <c r="A1105" s="7">
        <v>42479.605393518519</v>
      </c>
      <c r="B1105" s="8" t="str">
        <f>HYPERLINK("https://twitter.com/AxoomDe","@AxoomDe")</f>
        <v>@AxoomDe</v>
      </c>
      <c r="C1105" s="9" t="s">
        <v>2271</v>
      </c>
      <c r="D1105" s="9" t="s">
        <v>2272</v>
      </c>
      <c r="E1105" s="10" t="str">
        <f>HYPERLINK("https://twitter.com/AxoomDe/status/722349458789412864","722349458789412864")</f>
        <v>722349458789412864</v>
      </c>
      <c r="F1105" s="11" t="s">
        <v>25</v>
      </c>
      <c r="G1105" s="11">
        <v>58</v>
      </c>
      <c r="H1105" s="11">
        <v>35</v>
      </c>
      <c r="I1105" s="11">
        <v>0</v>
      </c>
      <c r="J1105" s="11">
        <v>1</v>
      </c>
      <c r="K1105" s="11" t="s">
        <v>21</v>
      </c>
      <c r="L1105" s="7">
        <v>42289.554907407408</v>
      </c>
      <c r="M1105" s="12" t="s">
        <v>2273</v>
      </c>
      <c r="N1105" s="12" t="s">
        <v>2274</v>
      </c>
      <c r="O1105" s="10" t="str">
        <f>HYPERLINK("https://pbs.twimg.com/profile_images/654975252703911936/lfZEytpZ_normal.png","View")</f>
        <v>View</v>
      </c>
      <c r="P1105" s="11"/>
    </row>
    <row r="1106" spans="1:16" ht="12.75" x14ac:dyDescent="0.35">
      <c r="A1106" s="7">
        <v>42479.605787037042</v>
      </c>
      <c r="B1106" s="8" t="str">
        <f>HYPERLINK("https://twitter.com/INDIZbot","@INDIZbot")</f>
        <v>@INDIZbot</v>
      </c>
      <c r="C1106" s="9" t="s">
        <v>61</v>
      </c>
      <c r="D1106" s="9" t="s">
        <v>2268</v>
      </c>
      <c r="E1106" s="10" t="str">
        <f>HYPERLINK("https://twitter.com/INDIZbot/status/722349603484471297","722349603484471297")</f>
        <v>722349603484471297</v>
      </c>
      <c r="F1106" s="11" t="s">
        <v>62</v>
      </c>
      <c r="G1106" s="11">
        <v>1762</v>
      </c>
      <c r="H1106" s="11">
        <v>481</v>
      </c>
      <c r="I1106" s="11">
        <v>4</v>
      </c>
      <c r="J1106" s="11">
        <v>0</v>
      </c>
      <c r="K1106" s="11" t="s">
        <v>21</v>
      </c>
      <c r="L1106" s="7">
        <v>42267.011921296296</v>
      </c>
      <c r="M1106" s="12"/>
      <c r="N1106" s="12" t="s">
        <v>63</v>
      </c>
      <c r="O1106" s="10" t="str">
        <f>HYPERLINK("https://pbs.twimg.com/profile_images/645716711723925506/t5G0qOS6_normal.jpg","View")</f>
        <v>View</v>
      </c>
      <c r="P1106" s="11"/>
    </row>
    <row r="1107" spans="1:16" ht="12.75" x14ac:dyDescent="0.35">
      <c r="A1107" s="7">
        <v>42479.606550925921</v>
      </c>
      <c r="B1107" s="8" t="str">
        <f>HYPERLINK("https://twitter.com/DCAI4online","@DCAI4online")</f>
        <v>@DCAI4online</v>
      </c>
      <c r="C1107" s="9" t="s">
        <v>2275</v>
      </c>
      <c r="D1107" s="9" t="s">
        <v>1803</v>
      </c>
      <c r="E1107" s="10" t="str">
        <f>HYPERLINK("https://twitter.com/DCAI4online/status/722349880681828352","722349880681828352")</f>
        <v>722349880681828352</v>
      </c>
      <c r="F1107" s="11" t="s">
        <v>25</v>
      </c>
      <c r="G1107" s="11">
        <v>236</v>
      </c>
      <c r="H1107" s="11">
        <v>203</v>
      </c>
      <c r="I1107" s="11">
        <v>11</v>
      </c>
      <c r="J1107" s="11">
        <v>0</v>
      </c>
      <c r="K1107" s="11" t="s">
        <v>21</v>
      </c>
      <c r="L1107" s="7">
        <v>42333.634699074071</v>
      </c>
      <c r="M1107" s="12" t="s">
        <v>581</v>
      </c>
      <c r="N1107" s="12" t="s">
        <v>2276</v>
      </c>
      <c r="O1107" s="10" t="str">
        <f>HYPERLINK("https://pbs.twimg.com/profile_images/669471279158796288/iXgOCW46_normal.jpg","View")</f>
        <v>View</v>
      </c>
      <c r="P1107" s="11"/>
    </row>
    <row r="1108" spans="1:16" ht="12.75" x14ac:dyDescent="0.35">
      <c r="A1108" s="7">
        <v>42479.608888888892</v>
      </c>
      <c r="B1108" s="8" t="str">
        <f>HYPERLINK("https://twitter.com/Autonomik40","@Autonomik40")</f>
        <v>@Autonomik40</v>
      </c>
      <c r="C1108" s="9" t="s">
        <v>2277</v>
      </c>
      <c r="D1108" s="9" t="s">
        <v>2278</v>
      </c>
      <c r="E1108" s="10" t="str">
        <f>HYPERLINK("https://twitter.com/Autonomik40/status/722350725985124352","722350725985124352")</f>
        <v>722350725985124352</v>
      </c>
      <c r="F1108" s="11" t="s">
        <v>25</v>
      </c>
      <c r="G1108" s="11">
        <v>35</v>
      </c>
      <c r="H1108" s="11">
        <v>21</v>
      </c>
      <c r="I1108" s="11">
        <v>0</v>
      </c>
      <c r="J1108" s="11">
        <v>0</v>
      </c>
      <c r="K1108" s="11" t="s">
        <v>21</v>
      </c>
      <c r="L1108" s="7">
        <v>42380.631979166668</v>
      </c>
      <c r="M1108" s="12" t="s">
        <v>121</v>
      </c>
      <c r="N1108" s="12" t="s">
        <v>2279</v>
      </c>
      <c r="O1108" s="10" t="str">
        <f>HYPERLINK("https://pbs.twimg.com/profile_images/686484658196975616/JPwWUmFV_normal.jpg","View")</f>
        <v>View</v>
      </c>
      <c r="P1108" s="11"/>
    </row>
    <row r="1109" spans="1:16" ht="12.75" x14ac:dyDescent="0.35">
      <c r="A1109" s="7">
        <v>42479.611087962963</v>
      </c>
      <c r="B1109" s="8" t="str">
        <f>HYPERLINK("https://twitter.com/akquinet","@akquinet")</f>
        <v>@akquinet</v>
      </c>
      <c r="C1109" s="9" t="s">
        <v>510</v>
      </c>
      <c r="D1109" s="9" t="s">
        <v>2280</v>
      </c>
      <c r="E1109" s="10" t="str">
        <f>HYPERLINK("https://twitter.com/akquinet/status/722351523343241216","722351523343241216")</f>
        <v>722351523343241216</v>
      </c>
      <c r="F1109" s="11" t="s">
        <v>25</v>
      </c>
      <c r="G1109" s="11">
        <v>220</v>
      </c>
      <c r="H1109" s="11">
        <v>129</v>
      </c>
      <c r="I1109" s="11">
        <v>1</v>
      </c>
      <c r="J1109" s="11">
        <v>2</v>
      </c>
      <c r="K1109" s="11" t="s">
        <v>21</v>
      </c>
      <c r="L1109" s="7">
        <v>40057.550069444442</v>
      </c>
      <c r="M1109" s="12" t="s">
        <v>512</v>
      </c>
      <c r="N1109" s="12" t="s">
        <v>513</v>
      </c>
      <c r="O1109" s="10" t="str">
        <f>HYPERLINK("https://pbs.twimg.com/profile_images/509252372774653952/cl1TCi-g_normal.png","View")</f>
        <v>View</v>
      </c>
      <c r="P1109" s="11"/>
    </row>
    <row r="1110" spans="1:16" ht="12.75" x14ac:dyDescent="0.35">
      <c r="A1110" s="7">
        <v>42479.612534722226</v>
      </c>
      <c r="B1110" s="8" t="str">
        <f>HYPERLINK("https://twitter.com/Der_Betriebslei","@Der_Betriebslei")</f>
        <v>@Der_Betriebslei</v>
      </c>
      <c r="C1110" s="9" t="s">
        <v>2263</v>
      </c>
      <c r="D1110" s="9" t="s">
        <v>2281</v>
      </c>
      <c r="E1110" s="10" t="str">
        <f>HYPERLINK("https://twitter.com/Der_Betriebslei/status/722352047299932160","722352047299932160")</f>
        <v>722352047299932160</v>
      </c>
      <c r="F1110" s="11" t="s">
        <v>29</v>
      </c>
      <c r="G1110" s="11">
        <v>583</v>
      </c>
      <c r="H1110" s="11">
        <v>658</v>
      </c>
      <c r="I1110" s="11">
        <v>0</v>
      </c>
      <c r="J1110" s="11">
        <v>0</v>
      </c>
      <c r="K1110" s="11" t="s">
        <v>21</v>
      </c>
      <c r="L1110" s="7">
        <v>41598.836886574078</v>
      </c>
      <c r="M1110" s="12" t="s">
        <v>2100</v>
      </c>
      <c r="N1110" s="12" t="s">
        <v>2265</v>
      </c>
      <c r="O1110" s="10" t="str">
        <f>HYPERLINK("https://pbs.twimg.com/profile_images/448785058711601152/lLXOAUVA_normal.png","View")</f>
        <v>View</v>
      </c>
      <c r="P1110" s="11"/>
    </row>
    <row r="1111" spans="1:16" ht="12.75" x14ac:dyDescent="0.35">
      <c r="A1111" s="7">
        <v>42479.613506944443</v>
      </c>
      <c r="B1111" s="8" t="str">
        <f>HYPERLINK("https://twitter.com/Frank_Reinelt","@Frank_Reinelt")</f>
        <v>@Frank_Reinelt</v>
      </c>
      <c r="C1111" s="9" t="s">
        <v>963</v>
      </c>
      <c r="D1111" s="9" t="s">
        <v>2282</v>
      </c>
      <c r="E1111" s="10" t="str">
        <f>HYPERLINK("https://twitter.com/Frank_Reinelt/status/722352400183517184","722352400183517184")</f>
        <v>722352400183517184</v>
      </c>
      <c r="F1111" s="11" t="s">
        <v>31</v>
      </c>
      <c r="G1111" s="11">
        <v>86</v>
      </c>
      <c r="H1111" s="11">
        <v>61</v>
      </c>
      <c r="I1111" s="11">
        <v>1</v>
      </c>
      <c r="J1111" s="11">
        <v>0</v>
      </c>
      <c r="K1111" s="11" t="s">
        <v>21</v>
      </c>
      <c r="L1111" s="7">
        <v>42272.607060185182</v>
      </c>
      <c r="M1111" s="12" t="s">
        <v>559</v>
      </c>
      <c r="N1111" s="12" t="s">
        <v>965</v>
      </c>
      <c r="O1111" s="10" t="str">
        <f>HYPERLINK("https://pbs.twimg.com/profile_images/669853588152283137/mqKB9aP__normal.jpg","View")</f>
        <v>View</v>
      </c>
      <c r="P1111" s="11"/>
    </row>
    <row r="1112" spans="1:16" ht="12.75" x14ac:dyDescent="0.35">
      <c r="A1112" s="7">
        <v>42479.614502314813</v>
      </c>
      <c r="B1112" s="8" t="str">
        <f t="shared" ref="B1112:B1113" si="122">HYPERLINK("https://twitter.com/MarianKoeller","@MarianKoeller")</f>
        <v>@MarianKoeller</v>
      </c>
      <c r="C1112" s="9" t="s">
        <v>849</v>
      </c>
      <c r="D1112" s="9" t="s">
        <v>2283</v>
      </c>
      <c r="E1112" s="10" t="str">
        <f>HYPERLINK("https://twitter.com/MarianKoeller/status/722352762210619392","722352762210619392")</f>
        <v>722352762210619392</v>
      </c>
      <c r="F1112" s="11" t="s">
        <v>25</v>
      </c>
      <c r="G1112" s="11">
        <v>94</v>
      </c>
      <c r="H1112" s="11">
        <v>115</v>
      </c>
      <c r="I1112" s="11">
        <v>0</v>
      </c>
      <c r="J1112" s="11">
        <v>0</v>
      </c>
      <c r="K1112" s="11" t="s">
        <v>21</v>
      </c>
      <c r="L1112" s="7">
        <v>42328.736504629633</v>
      </c>
      <c r="M1112" s="12" t="s">
        <v>851</v>
      </c>
      <c r="N1112" s="12" t="s">
        <v>852</v>
      </c>
      <c r="O1112" s="10" t="str">
        <f t="shared" ref="O1112:O1113" si="123">HYPERLINK("https://pbs.twimg.com/profile_images/701004613206433792/o4DJfA8-_normal.jpg","View")</f>
        <v>View</v>
      </c>
      <c r="P1112" s="11"/>
    </row>
    <row r="1113" spans="1:16" ht="12.75" x14ac:dyDescent="0.35">
      <c r="A1113" s="7">
        <v>42479.61482638889</v>
      </c>
      <c r="B1113" s="8" t="str">
        <f t="shared" si="122"/>
        <v>@MarianKoeller</v>
      </c>
      <c r="C1113" s="9" t="s">
        <v>849</v>
      </c>
      <c r="D1113" s="9" t="s">
        <v>2284</v>
      </c>
      <c r="E1113" s="10" t="str">
        <f>HYPERLINK("https://twitter.com/MarianKoeller/status/722352876455124992","722352876455124992")</f>
        <v>722352876455124992</v>
      </c>
      <c r="F1113" s="11" t="s">
        <v>25</v>
      </c>
      <c r="G1113" s="11">
        <v>94</v>
      </c>
      <c r="H1113" s="11">
        <v>115</v>
      </c>
      <c r="I1113" s="11">
        <v>1</v>
      </c>
      <c r="J1113" s="11">
        <v>0</v>
      </c>
      <c r="K1113" s="11" t="s">
        <v>21</v>
      </c>
      <c r="L1113" s="7">
        <v>42328.736504629633</v>
      </c>
      <c r="M1113" s="12" t="s">
        <v>851</v>
      </c>
      <c r="N1113" s="12" t="s">
        <v>852</v>
      </c>
      <c r="O1113" s="10" t="str">
        <f t="shared" si="123"/>
        <v>View</v>
      </c>
      <c r="P1113" s="11"/>
    </row>
    <row r="1114" spans="1:16" ht="12.75" x14ac:dyDescent="0.35">
      <c r="A1114" s="7">
        <v>42479.61509259259</v>
      </c>
      <c r="B1114" s="8" t="str">
        <f>HYPERLINK("https://twitter.com/atominik","@atominik")</f>
        <v>@atominik</v>
      </c>
      <c r="C1114" s="9" t="s">
        <v>2285</v>
      </c>
      <c r="D1114" s="9" t="s">
        <v>1803</v>
      </c>
      <c r="E1114" s="10" t="str">
        <f>HYPERLINK("https://twitter.com/atominik/status/722352972823425024","722352972823425024")</f>
        <v>722352972823425024</v>
      </c>
      <c r="F1114" s="11" t="s">
        <v>1491</v>
      </c>
      <c r="G1114" s="11">
        <v>59</v>
      </c>
      <c r="H1114" s="11">
        <v>207</v>
      </c>
      <c r="I1114" s="11">
        <v>11</v>
      </c>
      <c r="J1114" s="11">
        <v>0</v>
      </c>
      <c r="K1114" s="11" t="s">
        <v>21</v>
      </c>
      <c r="L1114" s="7">
        <v>41468.934976851851</v>
      </c>
      <c r="M1114" s="12" t="s">
        <v>2286</v>
      </c>
      <c r="N1114" s="12" t="s">
        <v>2287</v>
      </c>
      <c r="O1114" s="10" t="str">
        <f>HYPERLINK("https://pbs.twimg.com/profile_images/378800000133533856/3dec414a449cac01f226f8b62b76ddfa_normal.png","View")</f>
        <v>View</v>
      </c>
      <c r="P1114" s="11"/>
    </row>
    <row r="1115" spans="1:16" ht="12.75" x14ac:dyDescent="0.35">
      <c r="A1115" s="7">
        <v>42479.615682870368</v>
      </c>
      <c r="B1115" s="8" t="str">
        <f>HYPERLINK("https://twitter.com/DerKonstrukteu","@DerKonstrukteu")</f>
        <v>@DerKonstrukteu</v>
      </c>
      <c r="C1115" s="9" t="s">
        <v>2098</v>
      </c>
      <c r="D1115" s="9" t="s">
        <v>2288</v>
      </c>
      <c r="E1115" s="10" t="str">
        <f>HYPERLINK("https://twitter.com/DerKonstrukteu/status/722353188666503168","722353188666503168")</f>
        <v>722353188666503168</v>
      </c>
      <c r="F1115" s="11" t="s">
        <v>29</v>
      </c>
      <c r="G1115" s="11">
        <v>1142</v>
      </c>
      <c r="H1115" s="11">
        <v>610</v>
      </c>
      <c r="I1115" s="11">
        <v>3</v>
      </c>
      <c r="J1115" s="11">
        <v>2</v>
      </c>
      <c r="K1115" s="11" t="s">
        <v>21</v>
      </c>
      <c r="L1115" s="7">
        <v>41612.809548611112</v>
      </c>
      <c r="M1115" s="12" t="s">
        <v>2100</v>
      </c>
      <c r="N1115" s="12" t="s">
        <v>2101</v>
      </c>
      <c r="O1115" s="10" t="str">
        <f>HYPERLINK("https://pbs.twimg.com/profile_images/448785978165968896/SQOcI8cJ_normal.png","View")</f>
        <v>View</v>
      </c>
      <c r="P1115" s="11"/>
    </row>
    <row r="1116" spans="1:16" ht="12.75" x14ac:dyDescent="0.35">
      <c r="A1116" s="7">
        <v>42479.61582175926</v>
      </c>
      <c r="B1116" s="8" t="str">
        <f>HYPERLINK("https://twitter.com/foresight_lab","@foresight_lab")</f>
        <v>@foresight_lab</v>
      </c>
      <c r="C1116" s="9" t="s">
        <v>1735</v>
      </c>
      <c r="D1116" s="9" t="s">
        <v>2289</v>
      </c>
      <c r="E1116" s="10" t="str">
        <f>HYPERLINK("https://twitter.com/foresight_lab/status/722353238251593728","722353238251593728")</f>
        <v>722353238251593728</v>
      </c>
      <c r="F1116" s="11" t="s">
        <v>25</v>
      </c>
      <c r="G1116" s="11">
        <v>673</v>
      </c>
      <c r="H1116" s="11">
        <v>1023</v>
      </c>
      <c r="I1116" s="11">
        <v>5</v>
      </c>
      <c r="J1116" s="11">
        <v>3</v>
      </c>
      <c r="K1116" s="11" t="s">
        <v>21</v>
      </c>
      <c r="L1116" s="7">
        <v>42322.787974537037</v>
      </c>
      <c r="M1116" s="12" t="s">
        <v>581</v>
      </c>
      <c r="N1116" s="12" t="s">
        <v>1737</v>
      </c>
      <c r="O1116" s="10" t="str">
        <f>HYPERLINK("https://pbs.twimg.com/profile_images/665798535779065856/sbUN3m6Q_normal.jpg","View")</f>
        <v>View</v>
      </c>
      <c r="P1116" s="11"/>
    </row>
    <row r="1117" spans="1:16" ht="12.75" x14ac:dyDescent="0.35">
      <c r="A1117" s="7">
        <v>42479.619085648148</v>
      </c>
      <c r="B1117" s="8" t="str">
        <f>HYPERLINK("https://twitter.com/CarloPiltz","@CarloPiltz")</f>
        <v>@CarloPiltz</v>
      </c>
      <c r="C1117" s="9" t="s">
        <v>2290</v>
      </c>
      <c r="D1117" s="9" t="s">
        <v>2291</v>
      </c>
      <c r="E1117" s="10" t="str">
        <f>HYPERLINK("https://twitter.com/CarloPiltz/status/722354420860788736","722354420860788736")</f>
        <v>722354420860788736</v>
      </c>
      <c r="F1117" s="11" t="s">
        <v>25</v>
      </c>
      <c r="G1117" s="11">
        <v>2380</v>
      </c>
      <c r="H1117" s="11">
        <v>256</v>
      </c>
      <c r="I1117" s="11">
        <v>1</v>
      </c>
      <c r="J1117" s="11">
        <v>2</v>
      </c>
      <c r="K1117" s="11" t="s">
        <v>21</v>
      </c>
      <c r="L1117" s="7">
        <v>41314.140138888892</v>
      </c>
      <c r="M1117" s="12" t="s">
        <v>218</v>
      </c>
      <c r="N1117" s="12" t="s">
        <v>2292</v>
      </c>
      <c r="O1117" s="10" t="str">
        <f>HYPERLINK("https://pbs.twimg.com/profile_images/3226296920/d40b6c4b5828d58c93f77d0e966b13be_normal.jpeg","View")</f>
        <v>View</v>
      </c>
      <c r="P1117" s="11"/>
    </row>
    <row r="1118" spans="1:16" ht="12.75" x14ac:dyDescent="0.35">
      <c r="A1118" s="7">
        <v>42479.619513888887</v>
      </c>
      <c r="B1118" s="8" t="str">
        <f>HYPERLINK("https://twitter.com/smarterindustry","@smarterindustry")</f>
        <v>@smarterindustry</v>
      </c>
      <c r="C1118" s="9" t="s">
        <v>2293</v>
      </c>
      <c r="D1118" s="9" t="s">
        <v>2294</v>
      </c>
      <c r="E1118" s="10" t="str">
        <f>HYPERLINK("https://twitter.com/smarterindustry/status/722354577404768256","722354577404768256")</f>
        <v>722354577404768256</v>
      </c>
      <c r="F1118" s="10" t="s">
        <v>723</v>
      </c>
      <c r="G1118" s="11">
        <v>3924</v>
      </c>
      <c r="H1118" s="11">
        <v>3921</v>
      </c>
      <c r="I1118" s="11">
        <v>1</v>
      </c>
      <c r="J1118" s="11">
        <v>0</v>
      </c>
      <c r="K1118" s="11" t="s">
        <v>21</v>
      </c>
      <c r="L1118" s="7">
        <v>40192.302650462967</v>
      </c>
      <c r="M1118" s="12" t="s">
        <v>443</v>
      </c>
      <c r="N1118" s="12" t="s">
        <v>2295</v>
      </c>
      <c r="O1118" s="10" t="str">
        <f>HYPERLINK("https://pbs.twimg.com/profile_images/443867283254149121/pKo3gK6f_normal.jpeg","View")</f>
        <v>View</v>
      </c>
      <c r="P1118" s="11"/>
    </row>
    <row r="1119" spans="1:16" ht="12.75" x14ac:dyDescent="0.35">
      <c r="A1119" s="7">
        <v>42479.619560185187</v>
      </c>
      <c r="B1119" s="8" t="str">
        <f t="shared" ref="B1119:B1120" si="124">HYPERLINK("https://twitter.com/INDIZbot","@INDIZbot")</f>
        <v>@INDIZbot</v>
      </c>
      <c r="C1119" s="9" t="s">
        <v>61</v>
      </c>
      <c r="D1119" s="9" t="s">
        <v>2296</v>
      </c>
      <c r="E1119" s="10" t="str">
        <f>HYPERLINK("https://twitter.com/INDIZbot/status/722354593926131713","722354593926131713")</f>
        <v>722354593926131713</v>
      </c>
      <c r="F1119" s="11" t="s">
        <v>62</v>
      </c>
      <c r="G1119" s="11">
        <v>1762</v>
      </c>
      <c r="H1119" s="11">
        <v>481</v>
      </c>
      <c r="I1119" s="11">
        <v>5</v>
      </c>
      <c r="J1119" s="11">
        <v>0</v>
      </c>
      <c r="K1119" s="11" t="s">
        <v>21</v>
      </c>
      <c r="L1119" s="7">
        <v>42267.011921296296</v>
      </c>
      <c r="M1119" s="12"/>
      <c r="N1119" s="12" t="s">
        <v>63</v>
      </c>
      <c r="O1119" s="10" t="str">
        <f t="shared" ref="O1119:O1120" si="125">HYPERLINK("https://pbs.twimg.com/profile_images/645716711723925506/t5G0qOS6_normal.jpg","View")</f>
        <v>View</v>
      </c>
      <c r="P1119" s="11"/>
    </row>
    <row r="1120" spans="1:16" ht="12.75" x14ac:dyDescent="0.35">
      <c r="A1120" s="7">
        <v>42479.61991898148</v>
      </c>
      <c r="B1120" s="8" t="str">
        <f t="shared" si="124"/>
        <v>@INDIZbot</v>
      </c>
      <c r="C1120" s="9" t="s">
        <v>61</v>
      </c>
      <c r="D1120" s="9" t="s">
        <v>2297</v>
      </c>
      <c r="E1120" s="10" t="str">
        <f>HYPERLINK("https://twitter.com/INDIZbot/status/722354725375578112","722354725375578112")</f>
        <v>722354725375578112</v>
      </c>
      <c r="F1120" s="11" t="s">
        <v>62</v>
      </c>
      <c r="G1120" s="11">
        <v>1762</v>
      </c>
      <c r="H1120" s="11">
        <v>481</v>
      </c>
      <c r="I1120" s="11">
        <v>3</v>
      </c>
      <c r="J1120" s="11">
        <v>0</v>
      </c>
      <c r="K1120" s="11" t="s">
        <v>21</v>
      </c>
      <c r="L1120" s="7">
        <v>42267.011921296296</v>
      </c>
      <c r="M1120" s="12"/>
      <c r="N1120" s="12" t="s">
        <v>63</v>
      </c>
      <c r="O1120" s="10" t="str">
        <f t="shared" si="125"/>
        <v>View</v>
      </c>
      <c r="P1120" s="11"/>
    </row>
    <row r="1121" spans="1:16" ht="12.75" x14ac:dyDescent="0.35">
      <c r="A1121" s="7">
        <v>42479.620856481481</v>
      </c>
      <c r="B1121" s="8" t="str">
        <f>HYPERLINK("https://twitter.com/Frank_Reinelt","@Frank_Reinelt")</f>
        <v>@Frank_Reinelt</v>
      </c>
      <c r="C1121" s="9" t="s">
        <v>963</v>
      </c>
      <c r="D1121" s="9" t="s">
        <v>2296</v>
      </c>
      <c r="E1121" s="10" t="str">
        <f>HYPERLINK("https://twitter.com/Frank_Reinelt/status/722355062534774784","722355062534774784")</f>
        <v>722355062534774784</v>
      </c>
      <c r="F1121" s="11" t="s">
        <v>31</v>
      </c>
      <c r="G1121" s="11">
        <v>86</v>
      </c>
      <c r="H1121" s="11">
        <v>61</v>
      </c>
      <c r="I1121" s="11">
        <v>5</v>
      </c>
      <c r="J1121" s="11">
        <v>0</v>
      </c>
      <c r="K1121" s="11" t="s">
        <v>21</v>
      </c>
      <c r="L1121" s="7">
        <v>42272.607060185182</v>
      </c>
      <c r="M1121" s="12" t="s">
        <v>559</v>
      </c>
      <c r="N1121" s="12" t="s">
        <v>965</v>
      </c>
      <c r="O1121" s="10" t="str">
        <f>HYPERLINK("https://pbs.twimg.com/profile_images/669853588152283137/mqKB9aP__normal.jpg","View")</f>
        <v>View</v>
      </c>
      <c r="P1121" s="11"/>
    </row>
    <row r="1122" spans="1:16" ht="12.75" x14ac:dyDescent="0.35">
      <c r="A1122" s="7">
        <v>42479.621041666665</v>
      </c>
      <c r="B1122" s="8" t="str">
        <f>HYPERLINK("https://twitter.com/Der_Betriebslei","@Der_Betriebslei")</f>
        <v>@Der_Betriebslei</v>
      </c>
      <c r="C1122" s="9" t="s">
        <v>2263</v>
      </c>
      <c r="D1122" s="9" t="s">
        <v>2298</v>
      </c>
      <c r="E1122" s="10" t="str">
        <f>HYPERLINK("https://twitter.com/Der_Betriebslei/status/722355132348919808","722355132348919808")</f>
        <v>722355132348919808</v>
      </c>
      <c r="F1122" s="11" t="s">
        <v>29</v>
      </c>
      <c r="G1122" s="11">
        <v>583</v>
      </c>
      <c r="H1122" s="11">
        <v>658</v>
      </c>
      <c r="I1122" s="11">
        <v>0</v>
      </c>
      <c r="J1122" s="11">
        <v>1</v>
      </c>
      <c r="K1122" s="11" t="s">
        <v>21</v>
      </c>
      <c r="L1122" s="7">
        <v>41598.836886574078</v>
      </c>
      <c r="M1122" s="12" t="s">
        <v>2100</v>
      </c>
      <c r="N1122" s="12" t="s">
        <v>2265</v>
      </c>
      <c r="O1122" s="10" t="str">
        <f>HYPERLINK("https://pbs.twimg.com/profile_images/448785058711601152/lLXOAUVA_normal.png","View")</f>
        <v>View</v>
      </c>
      <c r="P1122" s="11"/>
    </row>
    <row r="1123" spans="1:16" ht="12.75" x14ac:dyDescent="0.35">
      <c r="A1123" s="7">
        <v>42479.621076388888</v>
      </c>
      <c r="B1123" s="8" t="str">
        <f>HYPERLINK("https://twitter.com/wa_beck","@wa_beck")</f>
        <v>@wa_beck</v>
      </c>
      <c r="C1123" s="9" t="s">
        <v>2299</v>
      </c>
      <c r="D1123" s="9" t="s">
        <v>2297</v>
      </c>
      <c r="E1123" s="10" t="str">
        <f>HYPERLINK("https://twitter.com/wa_beck/status/722355144726331392","722355144726331392")</f>
        <v>722355144726331392</v>
      </c>
      <c r="F1123" s="11" t="s">
        <v>25</v>
      </c>
      <c r="G1123" s="11">
        <v>491</v>
      </c>
      <c r="H1123" s="11">
        <v>332</v>
      </c>
      <c r="I1123" s="11">
        <v>3</v>
      </c>
      <c r="J1123" s="11">
        <v>0</v>
      </c>
      <c r="K1123" s="11" t="s">
        <v>21</v>
      </c>
      <c r="L1123" s="7">
        <v>40120.633668981478</v>
      </c>
      <c r="M1123" s="12" t="s">
        <v>2300</v>
      </c>
      <c r="N1123" s="12" t="s">
        <v>2301</v>
      </c>
      <c r="O1123" s="10" t="str">
        <f>HYPERLINK("https://pbs.twimg.com/profile_images/591576946808643585/cidKFrJM_normal.jpg","View")</f>
        <v>View</v>
      </c>
      <c r="P1123" s="11"/>
    </row>
    <row r="1124" spans="1:16" ht="12.75" x14ac:dyDescent="0.35">
      <c r="A1124" s="7">
        <v>42479.621527777781</v>
      </c>
      <c r="B1124" s="8" t="str">
        <f>HYPERLINK("https://twitter.com/liisabarclay","@liisabarclay")</f>
        <v>@liisabarclay</v>
      </c>
      <c r="C1124" s="9" t="s">
        <v>2302</v>
      </c>
      <c r="D1124" s="9" t="s">
        <v>2303</v>
      </c>
      <c r="E1124" s="10" t="str">
        <f>HYPERLINK("https://twitter.com/liisabarclay/status/722355305032626176","722355305032626176")</f>
        <v>722355305032626176</v>
      </c>
      <c r="F1124" s="11" t="s">
        <v>31</v>
      </c>
      <c r="G1124" s="11">
        <v>222</v>
      </c>
      <c r="H1124" s="11">
        <v>221</v>
      </c>
      <c r="I1124" s="11">
        <v>1</v>
      </c>
      <c r="J1124" s="11">
        <v>0</v>
      </c>
      <c r="K1124" s="11" t="s">
        <v>21</v>
      </c>
      <c r="L1124" s="7">
        <v>40814.994988425926</v>
      </c>
      <c r="M1124" s="12" t="s">
        <v>2304</v>
      </c>
      <c r="N1124" s="12" t="s">
        <v>2305</v>
      </c>
      <c r="O1124" s="10" t="str">
        <f>HYPERLINK("https://pbs.twimg.com/profile_images/2373619897/vpoosbb96iqn99oni2dp_normal.jpeg","View")</f>
        <v>View</v>
      </c>
      <c r="P1124" s="11"/>
    </row>
    <row r="1125" spans="1:16" ht="12.75" x14ac:dyDescent="0.35">
      <c r="A1125" s="7">
        <v>42479.622673611113</v>
      </c>
      <c r="B1125" s="8" t="str">
        <f>HYPERLINK("https://twitter.com/zwitscher66","@zwitscher66")</f>
        <v>@zwitscher66</v>
      </c>
      <c r="C1125" s="9" t="s">
        <v>2216</v>
      </c>
      <c r="D1125" s="9" t="s">
        <v>2306</v>
      </c>
      <c r="E1125" s="10" t="str">
        <f>HYPERLINK("https://twitter.com/zwitscher66/status/722355724072914944","722355724072914944")</f>
        <v>722355724072914944</v>
      </c>
      <c r="F1125" s="11" t="s">
        <v>31</v>
      </c>
      <c r="G1125" s="11">
        <v>257</v>
      </c>
      <c r="H1125" s="11">
        <v>326</v>
      </c>
      <c r="I1125" s="11">
        <v>1</v>
      </c>
      <c r="J1125" s="11">
        <v>0</v>
      </c>
      <c r="K1125" s="11" t="s">
        <v>21</v>
      </c>
      <c r="L1125" s="7">
        <v>41184.050405092596</v>
      </c>
      <c r="M1125" s="12" t="s">
        <v>2217</v>
      </c>
      <c r="N1125" s="12" t="s">
        <v>2218</v>
      </c>
      <c r="O1125" s="10" t="str">
        <f>HYPERLINK("https://pbs.twimg.com/profile_images/3365928668/0be3c948c467aa211bb97ca74eb11472_normal.jpeg","View")</f>
        <v>View</v>
      </c>
      <c r="P1125" s="11"/>
    </row>
    <row r="1126" spans="1:16" ht="12.75" x14ac:dyDescent="0.35">
      <c r="A1126" s="7">
        <v>42479.623749999999</v>
      </c>
      <c r="B1126" s="8" t="str">
        <f>HYPERLINK("https://twitter.com/Der_Betriebslei","@Der_Betriebslei")</f>
        <v>@Der_Betriebslei</v>
      </c>
      <c r="C1126" s="9" t="s">
        <v>2263</v>
      </c>
      <c r="D1126" s="9" t="s">
        <v>2307</v>
      </c>
      <c r="E1126" s="10" t="str">
        <f>HYPERLINK("https://twitter.com/Der_Betriebslei/status/722356110636761088","722356110636761088")</f>
        <v>722356110636761088</v>
      </c>
      <c r="F1126" s="11" t="s">
        <v>29</v>
      </c>
      <c r="G1126" s="11">
        <v>583</v>
      </c>
      <c r="H1126" s="11">
        <v>658</v>
      </c>
      <c r="I1126" s="11">
        <v>0</v>
      </c>
      <c r="J1126" s="11">
        <v>1</v>
      </c>
      <c r="K1126" s="11" t="s">
        <v>21</v>
      </c>
      <c r="L1126" s="7">
        <v>41598.836886574078</v>
      </c>
      <c r="M1126" s="12" t="s">
        <v>2100</v>
      </c>
      <c r="N1126" s="12" t="s">
        <v>2265</v>
      </c>
      <c r="O1126" s="10" t="str">
        <f>HYPERLINK("https://pbs.twimg.com/profile_images/448785058711601152/lLXOAUVA_normal.png","View")</f>
        <v>View</v>
      </c>
      <c r="P1126" s="11"/>
    </row>
    <row r="1127" spans="1:16" ht="12.75" x14ac:dyDescent="0.35">
      <c r="A1127" s="7">
        <v>42479.6246412037</v>
      </c>
      <c r="B1127" s="8" t="str">
        <f>HYPERLINK("https://twitter.com/mbaukarriere","@mbaukarriere")</f>
        <v>@mbaukarriere</v>
      </c>
      <c r="C1127" s="9" t="s">
        <v>57</v>
      </c>
      <c r="D1127" s="9" t="s">
        <v>2308</v>
      </c>
      <c r="E1127" s="10" t="str">
        <f>HYPERLINK("https://twitter.com/mbaukarriere/status/722356432973258752","722356432973258752")</f>
        <v>722356432973258752</v>
      </c>
      <c r="F1127" s="11" t="s">
        <v>29</v>
      </c>
      <c r="G1127" s="11">
        <v>519</v>
      </c>
      <c r="H1127" s="11">
        <v>2730</v>
      </c>
      <c r="I1127" s="11">
        <v>1</v>
      </c>
      <c r="J1127" s="11">
        <v>0</v>
      </c>
      <c r="K1127" s="11" t="s">
        <v>21</v>
      </c>
      <c r="L1127" s="7">
        <v>42390.680983796294</v>
      </c>
      <c r="M1127" s="12"/>
      <c r="N1127" s="12" t="s">
        <v>60</v>
      </c>
      <c r="O1127" s="10" t="str">
        <f>HYPERLINK("https://pbs.twimg.com/profile_images/690125049806884864/ET63bOiY_normal.jpg","View")</f>
        <v>View</v>
      </c>
      <c r="P1127" s="11"/>
    </row>
    <row r="1128" spans="1:16" ht="12.75" x14ac:dyDescent="0.35">
      <c r="A1128" s="7">
        <v>42479.626539351855</v>
      </c>
      <c r="B1128" s="8" t="str">
        <f>HYPERLINK("https://twitter.com/INDIZbot","@INDIZbot")</f>
        <v>@INDIZbot</v>
      </c>
      <c r="C1128" s="9" t="s">
        <v>61</v>
      </c>
      <c r="D1128" s="9" t="s">
        <v>2309</v>
      </c>
      <c r="E1128" s="10" t="str">
        <f>HYPERLINK("https://twitter.com/INDIZbot/status/722357124936900608","722357124936900608")</f>
        <v>722357124936900608</v>
      </c>
      <c r="F1128" s="11" t="s">
        <v>62</v>
      </c>
      <c r="G1128" s="11">
        <v>1762</v>
      </c>
      <c r="H1128" s="11">
        <v>481</v>
      </c>
      <c r="I1128" s="11">
        <v>1</v>
      </c>
      <c r="J1128" s="11">
        <v>0</v>
      </c>
      <c r="K1128" s="11" t="s">
        <v>21</v>
      </c>
      <c r="L1128" s="7">
        <v>42267.011921296296</v>
      </c>
      <c r="M1128" s="12"/>
      <c r="N1128" s="12" t="s">
        <v>63</v>
      </c>
      <c r="O1128" s="10" t="str">
        <f>HYPERLINK("https://pbs.twimg.com/profile_images/645716711723925506/t5G0qOS6_normal.jpg","View")</f>
        <v>View</v>
      </c>
      <c r="P1128" s="11"/>
    </row>
    <row r="1129" spans="1:16" ht="12.75" x14ac:dyDescent="0.35">
      <c r="A1129" s="7">
        <v>42479.626932870371</v>
      </c>
      <c r="B1129" s="8" t="str">
        <f>HYPERLINK("https://twitter.com/H_IT_D","@H_IT_D")</f>
        <v>@H_IT_D</v>
      </c>
      <c r="C1129" s="9" t="s">
        <v>159</v>
      </c>
      <c r="D1129" s="9" t="s">
        <v>2310</v>
      </c>
      <c r="E1129" s="10" t="str">
        <f>HYPERLINK("https://twitter.com/H_IT_D/status/722357263961235456","722357263961235456")</f>
        <v>722357263961235456</v>
      </c>
      <c r="F1129" s="11" t="s">
        <v>161</v>
      </c>
      <c r="G1129" s="11">
        <v>463</v>
      </c>
      <c r="H1129" s="11">
        <v>467</v>
      </c>
      <c r="I1129" s="11">
        <v>0</v>
      </c>
      <c r="J1129" s="11">
        <v>0</v>
      </c>
      <c r="K1129" s="11" t="s">
        <v>21</v>
      </c>
      <c r="L1129" s="7">
        <v>40723.867673611108</v>
      </c>
      <c r="M1129" s="12" t="s">
        <v>162</v>
      </c>
      <c r="N1129" s="12" t="s">
        <v>163</v>
      </c>
      <c r="O1129" s="10" t="str">
        <f>HYPERLINK("https://pbs.twimg.com/profile_images/662723326096224256/5V4KH9_O_normal.jpg","View")</f>
        <v>View</v>
      </c>
      <c r="P1129" s="11"/>
    </row>
    <row r="1130" spans="1:16" ht="12.75" x14ac:dyDescent="0.35">
      <c r="A1130" s="7">
        <v>42479.62771990741</v>
      </c>
      <c r="B1130" s="8" t="str">
        <f>HYPERLINK("https://twitter.com/OP_Magazin","@OP_Magazin")</f>
        <v>@OP_Magazin</v>
      </c>
      <c r="C1130" s="9" t="s">
        <v>2311</v>
      </c>
      <c r="D1130" s="9" t="s">
        <v>2297</v>
      </c>
      <c r="E1130" s="10" t="str">
        <f>HYPERLINK("https://twitter.com/OP_Magazin/status/722357550264512512","722357550264512512")</f>
        <v>722357550264512512</v>
      </c>
      <c r="F1130" s="11" t="s">
        <v>25</v>
      </c>
      <c r="G1130" s="11">
        <v>291</v>
      </c>
      <c r="H1130" s="11">
        <v>778</v>
      </c>
      <c r="I1130" s="11">
        <v>3</v>
      </c>
      <c r="J1130" s="11">
        <v>0</v>
      </c>
      <c r="K1130" s="11" t="s">
        <v>21</v>
      </c>
      <c r="L1130" s="7">
        <v>41612.853506944448</v>
      </c>
      <c r="M1130" s="12" t="s">
        <v>2312</v>
      </c>
      <c r="N1130" s="12" t="s">
        <v>2313</v>
      </c>
      <c r="O1130" s="10" t="str">
        <f>HYPERLINK("https://pbs.twimg.com/profile_images/689824323767500800/bE2B56AT_normal.png","View")</f>
        <v>View</v>
      </c>
      <c r="P1130" s="11"/>
    </row>
    <row r="1131" spans="1:16" ht="12.75" x14ac:dyDescent="0.35">
      <c r="A1131" s="7">
        <v>42479.62835648148</v>
      </c>
      <c r="B1131" s="8" t="str">
        <f>HYPERLINK("https://twitter.com/GOettingerEU","@GOettingerEU")</f>
        <v>@GOettingerEU</v>
      </c>
      <c r="C1131" s="9" t="s">
        <v>2314</v>
      </c>
      <c r="D1131" s="9" t="s">
        <v>2315</v>
      </c>
      <c r="E1131" s="10" t="str">
        <f>HYPERLINK("https://twitter.com/GOettingerEU/status/722357782545088512","722357782545088512")</f>
        <v>722357782545088512</v>
      </c>
      <c r="F1131" s="11" t="s">
        <v>31</v>
      </c>
      <c r="G1131" s="11">
        <v>37347</v>
      </c>
      <c r="H1131" s="11">
        <v>1048</v>
      </c>
      <c r="I1131" s="11">
        <v>14</v>
      </c>
      <c r="J1131" s="11">
        <v>5</v>
      </c>
      <c r="K1131" s="11" t="s">
        <v>21</v>
      </c>
      <c r="L1131" s="7">
        <v>41191.789942129632</v>
      </c>
      <c r="M1131" s="12"/>
      <c r="N1131" s="12" t="s">
        <v>2316</v>
      </c>
      <c r="O1131" s="10" t="str">
        <f>HYPERLINK("https://pbs.twimg.com/profile_images/2698310449/0da9a659e7a30abe7633746b7ada9ef7_normal.jpeg","View")</f>
        <v>View</v>
      </c>
      <c r="P1131" s="11"/>
    </row>
    <row r="1132" spans="1:16" ht="12.75" x14ac:dyDescent="0.35">
      <c r="A1132" s="7">
        <v>42479.628553240742</v>
      </c>
      <c r="B1132" s="8" t="str">
        <f>HYPERLINK("https://twitter.com/ROKAutomationAT","@ROKAutomationAT")</f>
        <v>@ROKAutomationAT</v>
      </c>
      <c r="C1132" s="9" t="s">
        <v>416</v>
      </c>
      <c r="D1132" s="9" t="s">
        <v>2317</v>
      </c>
      <c r="E1132" s="10" t="str">
        <f>HYPERLINK("https://twitter.com/ROKAutomationAT/status/722357852979863552","722357852979863552")</f>
        <v>722357852979863552</v>
      </c>
      <c r="F1132" s="11" t="s">
        <v>418</v>
      </c>
      <c r="G1132" s="11">
        <v>1727</v>
      </c>
      <c r="H1132" s="11">
        <v>1481</v>
      </c>
      <c r="I1132" s="11">
        <v>0</v>
      </c>
      <c r="J1132" s="11">
        <v>0</v>
      </c>
      <c r="K1132" s="11" t="s">
        <v>21</v>
      </c>
      <c r="L1132" s="7">
        <v>41003.844143518516</v>
      </c>
      <c r="M1132" s="12" t="s">
        <v>947</v>
      </c>
      <c r="N1132" s="12" t="s">
        <v>2318</v>
      </c>
      <c r="O1132" s="10" t="str">
        <f>HYPERLINK("https://pbs.twimg.com/profile_images/494911375034945537/txB_J-VC_normal.jpeg","View")</f>
        <v>View</v>
      </c>
      <c r="P1132" s="11"/>
    </row>
    <row r="1133" spans="1:16" ht="12.75" x14ac:dyDescent="0.35">
      <c r="A1133" s="7">
        <v>42479.628553240742</v>
      </c>
      <c r="B1133" s="8" t="str">
        <f>HYPERLINK("https://twitter.com/ROKAutomationDE","@ROKAutomationDE")</f>
        <v>@ROKAutomationDE</v>
      </c>
      <c r="C1133" s="9" t="s">
        <v>416</v>
      </c>
      <c r="D1133" s="9" t="s">
        <v>2319</v>
      </c>
      <c r="E1133" s="10" t="str">
        <f>HYPERLINK("https://twitter.com/ROKAutomationDE/status/722357854615633920","722357854615633920")</f>
        <v>722357854615633920</v>
      </c>
      <c r="F1133" s="11" t="s">
        <v>418</v>
      </c>
      <c r="G1133" s="11">
        <v>1728</v>
      </c>
      <c r="H1133" s="11">
        <v>831</v>
      </c>
      <c r="I1133" s="11">
        <v>0</v>
      </c>
      <c r="J1133" s="11">
        <v>0</v>
      </c>
      <c r="K1133" s="11" t="s">
        <v>21</v>
      </c>
      <c r="L1133" s="7">
        <v>40785.656261574077</v>
      </c>
      <c r="M1133" s="12" t="s">
        <v>581</v>
      </c>
      <c r="N1133" s="12" t="s">
        <v>2320</v>
      </c>
      <c r="O1133" s="10" t="str">
        <f>HYPERLINK("https://pbs.twimg.com/profile_images/495214827963297793/ZW7qWnoK_normal.jpeg","View")</f>
        <v>View</v>
      </c>
      <c r="P1133" s="11"/>
    </row>
    <row r="1134" spans="1:16" ht="12.75" x14ac:dyDescent="0.35">
      <c r="A1134" s="7">
        <v>42479.628564814819</v>
      </c>
      <c r="B1134" s="8" t="str">
        <f>HYPERLINK("https://twitter.com/ROKAutoCHDE","@ROKAutoCHDE")</f>
        <v>@ROKAutoCHDE</v>
      </c>
      <c r="C1134" s="9" t="s">
        <v>416</v>
      </c>
      <c r="D1134" s="9" t="s">
        <v>2321</v>
      </c>
      <c r="E1134" s="10" t="str">
        <f>HYPERLINK("https://twitter.com/ROKAutoCHDE/status/722357856482144256","722357856482144256")</f>
        <v>722357856482144256</v>
      </c>
      <c r="F1134" s="11" t="s">
        <v>418</v>
      </c>
      <c r="G1134" s="11">
        <v>1142</v>
      </c>
      <c r="H1134" s="11">
        <v>621</v>
      </c>
      <c r="I1134" s="11">
        <v>0</v>
      </c>
      <c r="J1134" s="11">
        <v>0</v>
      </c>
      <c r="K1134" s="11" t="s">
        <v>21</v>
      </c>
      <c r="L1134" s="7">
        <v>41004.694085648152</v>
      </c>
      <c r="M1134" s="12" t="s">
        <v>478</v>
      </c>
      <c r="N1134" s="12" t="s">
        <v>2322</v>
      </c>
      <c r="O1134" s="10" t="str">
        <f>HYPERLINK("https://pbs.twimg.com/profile_images/498942077325963264/l5q550Kh_normal.jpeg","View")</f>
        <v>View</v>
      </c>
      <c r="P1134" s="11"/>
    </row>
    <row r="1135" spans="1:16" ht="12.75" x14ac:dyDescent="0.35">
      <c r="A1135" s="7">
        <v>42479.62877314815</v>
      </c>
      <c r="B1135" s="8" t="str">
        <f>HYPERLINK("https://twitter.com/MarianKoeller","@MarianKoeller")</f>
        <v>@MarianKoeller</v>
      </c>
      <c r="C1135" s="9" t="s">
        <v>849</v>
      </c>
      <c r="D1135" s="9" t="s">
        <v>2323</v>
      </c>
      <c r="E1135" s="10" t="str">
        <f>HYPERLINK("https://twitter.com/MarianKoeller/status/722357932420177920","722357932420177920")</f>
        <v>722357932420177920</v>
      </c>
      <c r="F1135" s="11" t="s">
        <v>25</v>
      </c>
      <c r="G1135" s="11">
        <v>94</v>
      </c>
      <c r="H1135" s="11">
        <v>115</v>
      </c>
      <c r="I1135" s="11">
        <v>0</v>
      </c>
      <c r="J1135" s="11">
        <v>0</v>
      </c>
      <c r="K1135" s="11" t="s">
        <v>21</v>
      </c>
      <c r="L1135" s="7">
        <v>42328.736504629633</v>
      </c>
      <c r="M1135" s="12" t="s">
        <v>851</v>
      </c>
      <c r="N1135" s="12" t="s">
        <v>852</v>
      </c>
      <c r="O1135" s="10" t="str">
        <f>HYPERLINK("https://pbs.twimg.com/profile_images/701004613206433792/o4DJfA8-_normal.jpg","View")</f>
        <v>View</v>
      </c>
      <c r="P1135" s="11"/>
    </row>
    <row r="1136" spans="1:16" ht="12.75" x14ac:dyDescent="0.35">
      <c r="A1136" s="7">
        <v>42479.629351851851</v>
      </c>
      <c r="B1136" s="8" t="str">
        <f>HYPERLINK("https://twitter.com/duponpa","@duponpa")</f>
        <v>@duponpa</v>
      </c>
      <c r="C1136" s="9" t="s">
        <v>2324</v>
      </c>
      <c r="D1136" s="9" t="s">
        <v>2325</v>
      </c>
      <c r="E1136" s="10" t="str">
        <f>HYPERLINK("https://twitter.com/duponpa/status/722358143242649600","722358143242649600")</f>
        <v>722358143242649600</v>
      </c>
      <c r="F1136" s="11" t="s">
        <v>25</v>
      </c>
      <c r="G1136" s="11">
        <v>110</v>
      </c>
      <c r="H1136" s="11">
        <v>134</v>
      </c>
      <c r="I1136" s="11">
        <v>14</v>
      </c>
      <c r="J1136" s="11">
        <v>0</v>
      </c>
      <c r="K1136" s="11" t="s">
        <v>21</v>
      </c>
      <c r="L1136" s="7">
        <v>40645.558368055557</v>
      </c>
      <c r="M1136" s="12" t="s">
        <v>545</v>
      </c>
      <c r="N1136" s="12" t="s">
        <v>2326</v>
      </c>
      <c r="O1136" s="10" t="str">
        <f>HYPERLINK("https://pbs.twimg.com/profile_images/627029637353222145/AsozHTnC_normal.jpg","View")</f>
        <v>View</v>
      </c>
      <c r="P1136" s="11"/>
    </row>
    <row r="1137" spans="1:16" ht="12.75" x14ac:dyDescent="0.35">
      <c r="A1137" s="7">
        <v>42479.63118055556</v>
      </c>
      <c r="B1137" s="8" t="str">
        <f>HYPERLINK("https://twitter.com/SDhapi","@SDhapi")</f>
        <v>@SDhapi</v>
      </c>
      <c r="C1137" s="9" t="s">
        <v>2327</v>
      </c>
      <c r="D1137" s="9" t="s">
        <v>2325</v>
      </c>
      <c r="E1137" s="10" t="str">
        <f>HYPERLINK("https://twitter.com/SDhapi/status/722358806450200576","722358806450200576")</f>
        <v>722358806450200576</v>
      </c>
      <c r="F1137" s="11" t="s">
        <v>31</v>
      </c>
      <c r="G1137" s="11">
        <v>38</v>
      </c>
      <c r="H1137" s="11">
        <v>114</v>
      </c>
      <c r="I1137" s="11">
        <v>14</v>
      </c>
      <c r="J1137" s="11">
        <v>0</v>
      </c>
      <c r="K1137" s="11" t="s">
        <v>21</v>
      </c>
      <c r="L1137" s="7">
        <v>42032.870092592595</v>
      </c>
      <c r="M1137" s="12"/>
      <c r="N1137" s="12" t="s">
        <v>2328</v>
      </c>
      <c r="O1137" s="10" t="str">
        <f>HYPERLINK("https://pbs.twimg.com/profile_images/722805235593453570/vZTZykh7_normal.jpg","View")</f>
        <v>View</v>
      </c>
      <c r="P1137" s="11"/>
    </row>
    <row r="1138" spans="1:16" ht="12.75" x14ac:dyDescent="0.35">
      <c r="A1138" s="7">
        <v>42479.632037037038</v>
      </c>
      <c r="B1138" s="8" t="str">
        <f>HYPERLINK("https://twitter.com/PLSDE","@PLSDE")</f>
        <v>@PLSDE</v>
      </c>
      <c r="C1138" s="9" t="s">
        <v>2329</v>
      </c>
      <c r="D1138" s="9" t="s">
        <v>2330</v>
      </c>
      <c r="E1138" s="10" t="str">
        <f>HYPERLINK("https://twitter.com/PLSDE/status/722359116069543936","722359116069543936")</f>
        <v>722359116069543936</v>
      </c>
      <c r="F1138" s="11" t="s">
        <v>31</v>
      </c>
      <c r="G1138" s="11">
        <v>4391</v>
      </c>
      <c r="H1138" s="11">
        <v>4165</v>
      </c>
      <c r="I1138" s="11">
        <v>2</v>
      </c>
      <c r="J1138" s="11">
        <v>0</v>
      </c>
      <c r="K1138" s="11" t="s">
        <v>21</v>
      </c>
      <c r="L1138" s="7">
        <v>40923.928622685184</v>
      </c>
      <c r="M1138" s="12" t="s">
        <v>2331</v>
      </c>
      <c r="N1138" s="12" t="s">
        <v>2332</v>
      </c>
      <c r="O1138" s="10" t="str">
        <f>HYPERLINK("https://pbs.twimg.com/profile_images/587369125221138432/-A7Cg-KL_normal.png","View")</f>
        <v>View</v>
      </c>
      <c r="P1138" s="11"/>
    </row>
    <row r="1139" spans="1:16" ht="12.75" x14ac:dyDescent="0.35">
      <c r="A1139" s="7">
        <v>42479.63217592593</v>
      </c>
      <c r="B1139" s="8" t="str">
        <f>HYPERLINK("https://twitter.com/dimstoyanov","@dimstoyanov")</f>
        <v>@dimstoyanov</v>
      </c>
      <c r="C1139" s="9" t="s">
        <v>2333</v>
      </c>
      <c r="D1139" s="9" t="s">
        <v>2325</v>
      </c>
      <c r="E1139" s="10" t="str">
        <f>HYPERLINK("https://twitter.com/dimstoyanov/status/722359166493462528","722359166493462528")</f>
        <v>722359166493462528</v>
      </c>
      <c r="F1139" s="11" t="s">
        <v>25</v>
      </c>
      <c r="G1139" s="11">
        <v>26</v>
      </c>
      <c r="H1139" s="11">
        <v>117</v>
      </c>
      <c r="I1139" s="11">
        <v>14</v>
      </c>
      <c r="J1139" s="11">
        <v>0</v>
      </c>
      <c r="K1139" s="11" t="s">
        <v>21</v>
      </c>
      <c r="L1139" s="7">
        <v>41722.682118055556</v>
      </c>
      <c r="M1139" s="12" t="s">
        <v>2334</v>
      </c>
      <c r="N1139" s="12" t="s">
        <v>2335</v>
      </c>
      <c r="O1139" s="10" t="str">
        <f>HYPERLINK("https://pbs.twimg.com/profile_images/460738896184086528/pZMN1aQW_normal.png","View")</f>
        <v>View</v>
      </c>
      <c r="P1139" s="11"/>
    </row>
    <row r="1140" spans="1:16" ht="12.75" x14ac:dyDescent="0.35">
      <c r="A1140" s="7">
        <v>42479.632291666669</v>
      </c>
      <c r="B1140" s="8" t="str">
        <f>HYPERLINK("https://twitter.com/BoschPresse","@BoschPresse")</f>
        <v>@BoschPresse</v>
      </c>
      <c r="C1140" s="9" t="s">
        <v>1782</v>
      </c>
      <c r="D1140" s="9" t="s">
        <v>2336</v>
      </c>
      <c r="E1140" s="10" t="str">
        <f>HYPERLINK("https://twitter.com/BoschPresse/status/722359206611959808","722359206611959808")</f>
        <v>722359206611959808</v>
      </c>
      <c r="F1140" s="11" t="s">
        <v>25</v>
      </c>
      <c r="G1140" s="11">
        <v>7560</v>
      </c>
      <c r="H1140" s="11">
        <v>389</v>
      </c>
      <c r="I1140" s="11">
        <v>3</v>
      </c>
      <c r="J1140" s="11">
        <v>1</v>
      </c>
      <c r="K1140" s="11" t="s">
        <v>21</v>
      </c>
      <c r="L1140" s="7">
        <v>40991.629687499997</v>
      </c>
      <c r="M1140" s="12" t="s">
        <v>162</v>
      </c>
      <c r="N1140" s="12" t="s">
        <v>1784</v>
      </c>
      <c r="O1140" s="10" t="str">
        <f>HYPERLINK("https://pbs.twimg.com/profile_images/2619086509/ld3z97zhhdbs2essw7s9_normal.jpeg","View")</f>
        <v>View</v>
      </c>
      <c r="P1140" s="11"/>
    </row>
    <row r="1141" spans="1:16" ht="12.75" x14ac:dyDescent="0.35">
      <c r="A1141" s="7">
        <v>42479.633287037039</v>
      </c>
      <c r="B1141" s="8" t="str">
        <f>HYPERLINK("https://twitter.com/PhotonicsEU","@PhotonicsEU")</f>
        <v>@PhotonicsEU</v>
      </c>
      <c r="C1141" s="9" t="s">
        <v>2337</v>
      </c>
      <c r="D1141" s="9" t="s">
        <v>2325</v>
      </c>
      <c r="E1141" s="10" t="str">
        <f>HYPERLINK("https://twitter.com/PhotonicsEU/status/722359566994944000","722359566994944000")</f>
        <v>722359566994944000</v>
      </c>
      <c r="F1141" s="11" t="s">
        <v>25</v>
      </c>
      <c r="G1141" s="11">
        <v>596</v>
      </c>
      <c r="H1141" s="11">
        <v>331</v>
      </c>
      <c r="I1141" s="11">
        <v>14</v>
      </c>
      <c r="J1141" s="11">
        <v>0</v>
      </c>
      <c r="K1141" s="11" t="s">
        <v>21</v>
      </c>
      <c r="L1141" s="7">
        <v>42076.873680555553</v>
      </c>
      <c r="M1141" s="12" t="s">
        <v>385</v>
      </c>
      <c r="N1141" s="12" t="s">
        <v>2338</v>
      </c>
      <c r="O1141" s="10" t="str">
        <f>HYPERLINK("https://pbs.twimg.com/profile_images/714737596358897664/-Szh09n0_normal.jpg","View")</f>
        <v>View</v>
      </c>
      <c r="P1141" s="11"/>
    </row>
    <row r="1142" spans="1:16" ht="12.75" x14ac:dyDescent="0.35">
      <c r="A1142" s="7">
        <v>42479.633923611109</v>
      </c>
      <c r="B1142" s="8" t="str">
        <f>HYPERLINK("https://twitter.com/IoTMinded","@IoTMinded")</f>
        <v>@IoTMinded</v>
      </c>
      <c r="C1142" s="9" t="s">
        <v>435</v>
      </c>
      <c r="D1142" s="9" t="s">
        <v>2268</v>
      </c>
      <c r="E1142" s="10" t="str">
        <f>HYPERLINK("https://twitter.com/IoTMinded/status/722359798637981696","722359798637981696")</f>
        <v>722359798637981696</v>
      </c>
      <c r="F1142" s="11" t="s">
        <v>437</v>
      </c>
      <c r="G1142" s="11">
        <v>1102</v>
      </c>
      <c r="H1142" s="11">
        <v>656</v>
      </c>
      <c r="I1142" s="11">
        <v>4</v>
      </c>
      <c r="J1142" s="11">
        <v>0</v>
      </c>
      <c r="K1142" s="11" t="s">
        <v>21</v>
      </c>
      <c r="L1142" s="7">
        <v>40085.127789351856</v>
      </c>
      <c r="M1142" s="12"/>
      <c r="N1142" s="12" t="s">
        <v>438</v>
      </c>
      <c r="O1142" s="10" t="str">
        <f>HYPERLINK("https://pbs.twimg.com/profile_images/603699032804859904/lb5IMG5x_normal.jpg","View")</f>
        <v>View</v>
      </c>
      <c r="P1142" s="11"/>
    </row>
    <row r="1143" spans="1:16" ht="12.75" x14ac:dyDescent="0.35">
      <c r="A1143" s="7">
        <v>42479.633958333332</v>
      </c>
      <c r="B1143" s="8" t="str">
        <f>HYPERLINK("https://twitter.com/Stella_Vaskoudi","@Stella_Vaskoudi")</f>
        <v>@Stella_Vaskoudi</v>
      </c>
      <c r="C1143" s="9" t="s">
        <v>2339</v>
      </c>
      <c r="D1143" s="9" t="s">
        <v>2340</v>
      </c>
      <c r="E1143" s="10" t="str">
        <f>HYPERLINK("https://twitter.com/Stella_Vaskoudi/status/722359811938119680","722359811938119680")</f>
        <v>722359811938119680</v>
      </c>
      <c r="F1143" s="11" t="s">
        <v>222</v>
      </c>
      <c r="G1143" s="11">
        <v>437</v>
      </c>
      <c r="H1143" s="11">
        <v>1172</v>
      </c>
      <c r="I1143" s="11">
        <v>0</v>
      </c>
      <c r="J1143" s="11">
        <v>0</v>
      </c>
      <c r="K1143" s="11" t="s">
        <v>21</v>
      </c>
      <c r="L1143" s="7">
        <v>41967.990567129629</v>
      </c>
      <c r="M1143" s="12" t="s">
        <v>2341</v>
      </c>
      <c r="N1143" s="12" t="s">
        <v>2342</v>
      </c>
      <c r="O1143" s="10" t="str">
        <f>HYPERLINK("https://pbs.twimg.com/profile_images/666745791382425600/ljM37bIr_normal.jpg","View")</f>
        <v>View</v>
      </c>
      <c r="P1143" s="11"/>
    </row>
    <row r="1144" spans="1:16" ht="12.75" x14ac:dyDescent="0.35">
      <c r="A1144" s="7">
        <v>42479.635381944448</v>
      </c>
      <c r="B1144" s="8" t="str">
        <f>HYPERLINK("https://twitter.com/vongerberg","@vongerberg")</f>
        <v>@vongerberg</v>
      </c>
      <c r="C1144" s="9" t="s">
        <v>2343</v>
      </c>
      <c r="D1144" s="9" t="s">
        <v>2325</v>
      </c>
      <c r="E1144" s="10" t="str">
        <f>HYPERLINK("https://twitter.com/vongerberg/status/722360325769666560","722360325769666560")</f>
        <v>722360325769666560</v>
      </c>
      <c r="F1144" s="11" t="s">
        <v>115</v>
      </c>
      <c r="G1144" s="11">
        <v>301</v>
      </c>
      <c r="H1144" s="11">
        <v>746</v>
      </c>
      <c r="I1144" s="11">
        <v>14</v>
      </c>
      <c r="J1144" s="11">
        <v>0</v>
      </c>
      <c r="K1144" s="11" t="s">
        <v>21</v>
      </c>
      <c r="L1144" s="7">
        <v>40042.764513888891</v>
      </c>
      <c r="M1144" s="12"/>
      <c r="N1144" s="12" t="s">
        <v>2344</v>
      </c>
      <c r="O1144" s="10" t="str">
        <f>HYPERLINK("https://pbs.twimg.com/profile_images/3199168151/5cfaae4907a0a081a53f8ab237271c86_normal.jpeg","View")</f>
        <v>View</v>
      </c>
      <c r="P1144" s="11"/>
    </row>
    <row r="1145" spans="1:16" ht="12.75" x14ac:dyDescent="0.35">
      <c r="A1145" s="7">
        <v>42479.63548611111</v>
      </c>
      <c r="B1145" s="8" t="str">
        <f>HYPERLINK("https://twitter.com/Der_Betriebslei","@Der_Betriebslei")</f>
        <v>@Der_Betriebslei</v>
      </c>
      <c r="C1145" s="9" t="s">
        <v>2263</v>
      </c>
      <c r="D1145" s="9" t="s">
        <v>2345</v>
      </c>
      <c r="E1145" s="10" t="str">
        <f>HYPERLINK("https://twitter.com/Der_Betriebslei/status/722360365837889536","722360365837889536")</f>
        <v>722360365837889536</v>
      </c>
      <c r="F1145" s="11" t="s">
        <v>29</v>
      </c>
      <c r="G1145" s="11">
        <v>583</v>
      </c>
      <c r="H1145" s="11">
        <v>658</v>
      </c>
      <c r="I1145" s="11">
        <v>0</v>
      </c>
      <c r="J1145" s="11">
        <v>1</v>
      </c>
      <c r="K1145" s="11" t="s">
        <v>21</v>
      </c>
      <c r="L1145" s="7">
        <v>41598.836886574078</v>
      </c>
      <c r="M1145" s="12" t="s">
        <v>2100</v>
      </c>
      <c r="N1145" s="12" t="s">
        <v>2265</v>
      </c>
      <c r="O1145" s="10" t="str">
        <f>HYPERLINK("https://pbs.twimg.com/profile_images/448785058711601152/lLXOAUVA_normal.png","View")</f>
        <v>View</v>
      </c>
      <c r="P1145" s="11"/>
    </row>
    <row r="1146" spans="1:16" ht="12.75" x14ac:dyDescent="0.35">
      <c r="A1146" s="7">
        <v>42479.637499999997</v>
      </c>
      <c r="B1146" s="8" t="str">
        <f>HYPERLINK("https://twitter.com/OStaffelbach","@OStaffelbach")</f>
        <v>@OStaffelbach</v>
      </c>
      <c r="C1146" s="9" t="s">
        <v>2346</v>
      </c>
      <c r="D1146" s="9" t="s">
        <v>2126</v>
      </c>
      <c r="E1146" s="10" t="str">
        <f>HYPERLINK("https://twitter.com/OStaffelbach/status/722361093864210432","722361093864210432")</f>
        <v>722361093864210432</v>
      </c>
      <c r="F1146" s="11" t="s">
        <v>31</v>
      </c>
      <c r="G1146" s="11">
        <v>1188</v>
      </c>
      <c r="H1146" s="11">
        <v>984</v>
      </c>
      <c r="I1146" s="11">
        <v>3</v>
      </c>
      <c r="J1146" s="11">
        <v>0</v>
      </c>
      <c r="K1146" s="11" t="s">
        <v>21</v>
      </c>
      <c r="L1146" s="7">
        <v>41066.003483796296</v>
      </c>
      <c r="M1146" s="12" t="s">
        <v>2347</v>
      </c>
      <c r="N1146" s="12" t="s">
        <v>2348</v>
      </c>
      <c r="O1146" s="10" t="str">
        <f>HYPERLINK("https://pbs.twimg.com/profile_images/666882458365747201/5M4Foej-_normal.jpg","View")</f>
        <v>View</v>
      </c>
      <c r="P1146" s="11"/>
    </row>
    <row r="1147" spans="1:16" ht="12.75" x14ac:dyDescent="0.35">
      <c r="A1147" s="7">
        <v>42479.639143518521</v>
      </c>
      <c r="B1147" s="8" t="str">
        <f>HYPERLINK("https://twitter.com/ZeljkoP","@ZeljkoP")</f>
        <v>@ZeljkoP</v>
      </c>
      <c r="C1147" s="9" t="s">
        <v>2349</v>
      </c>
      <c r="D1147" s="9" t="s">
        <v>2325</v>
      </c>
      <c r="E1147" s="10" t="str">
        <f>HYPERLINK("https://twitter.com/ZeljkoP/status/722361688423604224","722361688423604224")</f>
        <v>722361688423604224</v>
      </c>
      <c r="F1147" s="11" t="s">
        <v>25</v>
      </c>
      <c r="G1147" s="11">
        <v>868</v>
      </c>
      <c r="H1147" s="11">
        <v>2094</v>
      </c>
      <c r="I1147" s="11">
        <v>14</v>
      </c>
      <c r="J1147" s="11">
        <v>0</v>
      </c>
      <c r="K1147" s="11" t="s">
        <v>21</v>
      </c>
      <c r="L1147" s="7">
        <v>40758.977592592593</v>
      </c>
      <c r="M1147" s="12" t="s">
        <v>2350</v>
      </c>
      <c r="N1147" s="12" t="s">
        <v>2351</v>
      </c>
      <c r="O1147" s="10" t="str">
        <f>HYPERLINK("https://pbs.twimg.com/profile_images/2424564033/photo_normal.JPG","View")</f>
        <v>View</v>
      </c>
      <c r="P1147" s="11"/>
    </row>
    <row r="1148" spans="1:16" ht="12.75" x14ac:dyDescent="0.35">
      <c r="A1148" s="7">
        <v>42479.642777777779</v>
      </c>
      <c r="B1148" s="8" t="str">
        <f>HYPERLINK("https://twitter.com/aymard_tw","@aymard_tw")</f>
        <v>@aymard_tw</v>
      </c>
      <c r="C1148" s="9" t="s">
        <v>2352</v>
      </c>
      <c r="D1148" s="9" t="s">
        <v>2325</v>
      </c>
      <c r="E1148" s="10" t="str">
        <f>HYPERLINK("https://twitter.com/aymard_tw/status/722363005443379201","722363005443379201")</f>
        <v>722363005443379201</v>
      </c>
      <c r="F1148" s="11" t="s">
        <v>29</v>
      </c>
      <c r="G1148" s="11">
        <v>322</v>
      </c>
      <c r="H1148" s="11">
        <v>465</v>
      </c>
      <c r="I1148" s="11">
        <v>14</v>
      </c>
      <c r="J1148" s="11">
        <v>0</v>
      </c>
      <c r="K1148" s="11" t="s">
        <v>21</v>
      </c>
      <c r="L1148" s="7">
        <v>40200.918136574073</v>
      </c>
      <c r="M1148" s="12" t="s">
        <v>2350</v>
      </c>
      <c r="N1148" s="12" t="s">
        <v>2353</v>
      </c>
      <c r="O1148" s="10" t="str">
        <f>HYPERLINK("https://pbs.twimg.com/profile_images/1448214118/de-touzalin_7853_w_normal.jpg","View")</f>
        <v>View</v>
      </c>
      <c r="P1148" s="11"/>
    </row>
    <row r="1149" spans="1:16" ht="12.75" x14ac:dyDescent="0.35">
      <c r="A1149" s="7">
        <v>42479.642916666664</v>
      </c>
      <c r="B1149" s="8" t="str">
        <f>HYPERLINK("https://twitter.com/BILZ_DE","@BILZ_DE")</f>
        <v>@BILZ_DE</v>
      </c>
      <c r="C1149" s="9" t="s">
        <v>2354</v>
      </c>
      <c r="D1149" s="9" t="s">
        <v>1904</v>
      </c>
      <c r="E1149" s="10" t="str">
        <f>HYPERLINK("https://twitter.com/BILZ_DE/status/722363057058549761","722363057058549761")</f>
        <v>722363057058549761</v>
      </c>
      <c r="F1149" s="11" t="s">
        <v>25</v>
      </c>
      <c r="G1149" s="11">
        <v>60</v>
      </c>
      <c r="H1149" s="11">
        <v>91</v>
      </c>
      <c r="I1149" s="11">
        <v>18</v>
      </c>
      <c r="J1149" s="11">
        <v>0</v>
      </c>
      <c r="K1149" s="11" t="s">
        <v>21</v>
      </c>
      <c r="L1149" s="7">
        <v>40767.673252314817</v>
      </c>
      <c r="M1149" s="12" t="s">
        <v>2355</v>
      </c>
      <c r="N1149" s="12" t="s">
        <v>2356</v>
      </c>
      <c r="O1149" s="10" t="str">
        <f>HYPERLINK("https://pbs.twimg.com/profile_images/691594981404983296/e29z-2Hn_normal.jpg","View")</f>
        <v>View</v>
      </c>
      <c r="P1149" s="11"/>
    </row>
    <row r="1150" spans="1:16" ht="12.75" x14ac:dyDescent="0.35">
      <c r="A1150" s="7">
        <v>42479.643194444448</v>
      </c>
      <c r="B1150" s="8" t="str">
        <f>HYPERLINK("https://twitter.com/astreim","@astreim")</f>
        <v>@astreim</v>
      </c>
      <c r="C1150" s="9" t="s">
        <v>2357</v>
      </c>
      <c r="D1150" s="9" t="s">
        <v>2325</v>
      </c>
      <c r="E1150" s="10" t="str">
        <f>HYPERLINK("https://twitter.com/astreim/status/722363157835096064","722363157835096064")</f>
        <v>722363157835096064</v>
      </c>
      <c r="F1150" s="11" t="s">
        <v>25</v>
      </c>
      <c r="G1150" s="11">
        <v>2540</v>
      </c>
      <c r="H1150" s="11">
        <v>1840</v>
      </c>
      <c r="I1150" s="11">
        <v>14</v>
      </c>
      <c r="J1150" s="11">
        <v>0</v>
      </c>
      <c r="K1150" s="11" t="s">
        <v>21</v>
      </c>
      <c r="L1150" s="7">
        <v>39170.072326388887</v>
      </c>
      <c r="M1150" s="12" t="s">
        <v>227</v>
      </c>
      <c r="N1150" s="12" t="s">
        <v>2358</v>
      </c>
      <c r="O1150" s="10" t="str">
        <f>HYPERLINK("https://pbs.twimg.com/profile_images/721883278073061376/Teo8n2Sy_normal.jpg","View")</f>
        <v>View</v>
      </c>
      <c r="P1150" s="11"/>
    </row>
    <row r="1151" spans="1:16" ht="12.75" x14ac:dyDescent="0.35">
      <c r="A1151" s="7">
        <v>42479.643726851849</v>
      </c>
      <c r="B1151" s="8" t="str">
        <f>HYPERLINK("https://twitter.com/Apandia","@Apandia")</f>
        <v>@Apandia</v>
      </c>
      <c r="C1151" s="9" t="s">
        <v>245</v>
      </c>
      <c r="D1151" s="9" t="s">
        <v>2359</v>
      </c>
      <c r="E1151" s="10" t="str">
        <f>HYPERLINK("https://twitter.com/Apandia/status/722363352123465729","722363352123465729")</f>
        <v>722363352123465729</v>
      </c>
      <c r="F1151" s="11" t="s">
        <v>115</v>
      </c>
      <c r="G1151" s="11">
        <v>196</v>
      </c>
      <c r="H1151" s="11">
        <v>384</v>
      </c>
      <c r="I1151" s="11">
        <v>0</v>
      </c>
      <c r="J1151" s="11">
        <v>1</v>
      </c>
      <c r="K1151" s="11" t="s">
        <v>21</v>
      </c>
      <c r="L1151" s="7">
        <v>39966.049884259257</v>
      </c>
      <c r="M1151" s="12" t="s">
        <v>247</v>
      </c>
      <c r="N1151" s="12" t="s">
        <v>248</v>
      </c>
      <c r="O1151" s="10" t="str">
        <f>HYPERLINK("https://pbs.twimg.com/profile_images/685327213/Apandia_normal.gif","View")</f>
        <v>View</v>
      </c>
      <c r="P1151" s="11"/>
    </row>
    <row r="1152" spans="1:16" ht="12.75" x14ac:dyDescent="0.35">
      <c r="A1152" s="7">
        <v>42479.644490740742</v>
      </c>
      <c r="B1152" s="8" t="str">
        <f>HYPERLINK("https://twitter.com/BILZ_DE","@BILZ_DE")</f>
        <v>@BILZ_DE</v>
      </c>
      <c r="C1152" s="9" t="s">
        <v>2354</v>
      </c>
      <c r="D1152" s="9" t="s">
        <v>2219</v>
      </c>
      <c r="E1152" s="10" t="str">
        <f>HYPERLINK("https://twitter.com/BILZ_DE/status/722363630319218689","722363630319218689")</f>
        <v>722363630319218689</v>
      </c>
      <c r="F1152" s="11" t="s">
        <v>25</v>
      </c>
      <c r="G1152" s="11">
        <v>60</v>
      </c>
      <c r="H1152" s="11">
        <v>91</v>
      </c>
      <c r="I1152" s="11">
        <v>7</v>
      </c>
      <c r="J1152" s="11">
        <v>0</v>
      </c>
      <c r="K1152" s="11" t="s">
        <v>21</v>
      </c>
      <c r="L1152" s="7">
        <v>40767.673252314817</v>
      </c>
      <c r="M1152" s="12" t="s">
        <v>2355</v>
      </c>
      <c r="N1152" s="12" t="s">
        <v>2356</v>
      </c>
      <c r="O1152" s="10" t="str">
        <f>HYPERLINK("https://pbs.twimg.com/profile_images/691594981404983296/e29z-2Hn_normal.jpg","View")</f>
        <v>View</v>
      </c>
      <c r="P1152" s="11"/>
    </row>
    <row r="1153" spans="1:16" ht="12.75" x14ac:dyDescent="0.35">
      <c r="A1153" s="7">
        <v>42479.645057870366</v>
      </c>
      <c r="B1153" s="8" t="str">
        <f>HYPERLINK("https://twitter.com/FM_Elektro","@FM_Elektro")</f>
        <v>@FM_Elektro</v>
      </c>
      <c r="C1153" s="9" t="s">
        <v>2360</v>
      </c>
      <c r="D1153" s="9" t="s">
        <v>2361</v>
      </c>
      <c r="E1153" s="10" t="str">
        <f>HYPERLINK("https://twitter.com/FM_Elektro/status/722363832589488128","722363832589488128")</f>
        <v>722363832589488128</v>
      </c>
      <c r="F1153" s="11" t="s">
        <v>39</v>
      </c>
      <c r="G1153" s="11">
        <v>185</v>
      </c>
      <c r="H1153" s="11">
        <v>231</v>
      </c>
      <c r="I1153" s="11">
        <v>1</v>
      </c>
      <c r="J1153" s="11">
        <v>2</v>
      </c>
      <c r="K1153" s="11" t="s">
        <v>21</v>
      </c>
      <c r="L1153" s="7">
        <v>41464.652106481481</v>
      </c>
      <c r="M1153" s="12" t="s">
        <v>2362</v>
      </c>
      <c r="N1153" s="12" t="s">
        <v>2363</v>
      </c>
      <c r="O1153" s="10" t="str">
        <f>HYPERLINK("https://pbs.twimg.com/profile_images/699912588302426112/2kZQzAuA_normal.jpg","View")</f>
        <v>View</v>
      </c>
      <c r="P1153" s="11"/>
    </row>
    <row r="1154" spans="1:16" ht="12.75" x14ac:dyDescent="0.35">
      <c r="A1154" s="7">
        <v>42479.645150462966</v>
      </c>
      <c r="B1154" s="8" t="str">
        <f>HYPERLINK("https://twitter.com/SimonSchneid","@SimonSchneid")</f>
        <v>@SimonSchneid</v>
      </c>
      <c r="C1154" s="9" t="s">
        <v>2364</v>
      </c>
      <c r="D1154" s="9" t="s">
        <v>2365</v>
      </c>
      <c r="E1154" s="10" t="str">
        <f>HYPERLINK("https://twitter.com/SimonSchneid/status/722363866936655872","722363866936655872")</f>
        <v>722363866936655872</v>
      </c>
      <c r="F1154" s="11" t="s">
        <v>25</v>
      </c>
      <c r="G1154" s="11">
        <v>293</v>
      </c>
      <c r="H1154" s="11">
        <v>424</v>
      </c>
      <c r="I1154" s="11">
        <v>0</v>
      </c>
      <c r="J1154" s="11">
        <v>0</v>
      </c>
      <c r="K1154" s="11" t="s">
        <v>21</v>
      </c>
      <c r="L1154" s="7">
        <v>40267.808807870373</v>
      </c>
      <c r="M1154" s="12" t="s">
        <v>1148</v>
      </c>
      <c r="N1154" s="12" t="s">
        <v>2366</v>
      </c>
      <c r="O1154" s="10" t="str">
        <f>HYPERLINK("https://pbs.twimg.com/profile_images/1540018567/Foto_-_Simon__normal.jpg","View")</f>
        <v>View</v>
      </c>
      <c r="P1154" s="11"/>
    </row>
    <row r="1155" spans="1:16" ht="12.75" x14ac:dyDescent="0.35">
      <c r="A1155" s="7">
        <v>42479.647893518515</v>
      </c>
      <c r="B1155" s="8" t="str">
        <f>HYPERLINK("https://twitter.com/Bitkom_I40","@Bitkom_I40")</f>
        <v>@Bitkom_I40</v>
      </c>
      <c r="C1155" s="9" t="s">
        <v>1857</v>
      </c>
      <c r="D1155" s="9" t="s">
        <v>2367</v>
      </c>
      <c r="E1155" s="10" t="str">
        <f>HYPERLINK("https://twitter.com/Bitkom_I40/status/722364859443240960","722364859443240960")</f>
        <v>722364859443240960</v>
      </c>
      <c r="F1155" s="11" t="s">
        <v>1859</v>
      </c>
      <c r="G1155" s="11">
        <v>754</v>
      </c>
      <c r="H1155" s="11">
        <v>44</v>
      </c>
      <c r="I1155" s="11">
        <v>4</v>
      </c>
      <c r="J1155" s="11">
        <v>3</v>
      </c>
      <c r="K1155" s="11" t="s">
        <v>21</v>
      </c>
      <c r="L1155" s="7">
        <v>41613.773194444446</v>
      </c>
      <c r="M1155" s="12" t="s">
        <v>218</v>
      </c>
      <c r="N1155" s="12" t="s">
        <v>1860</v>
      </c>
      <c r="O1155" s="10" t="str">
        <f>HYPERLINK("https://pbs.twimg.com/profile_images/723407487395713024/0hZv7R8S_normal.jpg","View")</f>
        <v>View</v>
      </c>
      <c r="P1155" s="11"/>
    </row>
    <row r="1156" spans="1:16" ht="12.75" x14ac:dyDescent="0.35">
      <c r="A1156" s="7">
        <v>42479.647997685184</v>
      </c>
      <c r="B1156" s="8" t="str">
        <f>HYPERLINK("https://twitter.com/markherten","@markherten")</f>
        <v>@markherten</v>
      </c>
      <c r="C1156" s="9" t="s">
        <v>37</v>
      </c>
      <c r="D1156" s="9" t="s">
        <v>2368</v>
      </c>
      <c r="E1156" s="10" t="str">
        <f>HYPERLINK("https://twitter.com/markherten/status/722364898798346242","722364898798346242")</f>
        <v>722364898798346242</v>
      </c>
      <c r="F1156" s="11" t="s">
        <v>39</v>
      </c>
      <c r="G1156" s="11">
        <v>96</v>
      </c>
      <c r="H1156" s="11">
        <v>176</v>
      </c>
      <c r="I1156" s="11">
        <v>1</v>
      </c>
      <c r="J1156" s="11">
        <v>0</v>
      </c>
      <c r="K1156" s="11" t="s">
        <v>21</v>
      </c>
      <c r="L1156" s="7">
        <v>40249.947696759264</v>
      </c>
      <c r="M1156" s="12" t="s">
        <v>40</v>
      </c>
      <c r="N1156" s="12" t="s">
        <v>41</v>
      </c>
      <c r="O1156" s="10" t="str">
        <f>HYPERLINK("https://pbs.twimg.com/profile_images/718175389890310145/GX8DLe_h_normal.jpg","View")</f>
        <v>View</v>
      </c>
      <c r="P1156" s="11"/>
    </row>
    <row r="1157" spans="1:16" ht="12.75" x14ac:dyDescent="0.35">
      <c r="A1157" s="7">
        <v>42479.648275462961</v>
      </c>
      <c r="B1157" s="8" t="str">
        <f>HYPERLINK("https://twitter.com/openscienceeu","@openscienceeu")</f>
        <v>@openscienceeu</v>
      </c>
      <c r="C1157" s="9" t="s">
        <v>2369</v>
      </c>
      <c r="D1157" s="9" t="s">
        <v>2325</v>
      </c>
      <c r="E1157" s="10" t="str">
        <f>HYPERLINK("https://twitter.com/openscienceeu/status/722364999491063812","722364999491063812")</f>
        <v>722364999491063812</v>
      </c>
      <c r="F1157" s="11" t="s">
        <v>31</v>
      </c>
      <c r="G1157" s="11">
        <v>949</v>
      </c>
      <c r="H1157" s="11">
        <v>610</v>
      </c>
      <c r="I1157" s="11">
        <v>14</v>
      </c>
      <c r="J1157" s="11">
        <v>0</v>
      </c>
      <c r="K1157" s="11" t="s">
        <v>21</v>
      </c>
      <c r="L1157" s="7">
        <v>42131.641018518523</v>
      </c>
      <c r="M1157" s="12"/>
      <c r="N1157" s="12" t="s">
        <v>2370</v>
      </c>
      <c r="O1157" s="10" t="str">
        <f>HYPERLINK("https://pbs.twimg.com/profile_images/613297671202336768/pCZDZDxM_normal.jpg","View")</f>
        <v>View</v>
      </c>
      <c r="P1157" s="11"/>
    </row>
    <row r="1158" spans="1:16" ht="12.75" x14ac:dyDescent="0.35">
      <c r="A1158" s="7">
        <v>42479.650104166663</v>
      </c>
      <c r="B1158" s="8" t="str">
        <f>HYPERLINK("https://twitter.com/Industry40","@Industry40")</f>
        <v>@Industry40</v>
      </c>
      <c r="C1158" s="9" t="s">
        <v>1922</v>
      </c>
      <c r="D1158" s="9" t="s">
        <v>2371</v>
      </c>
      <c r="E1158" s="10" t="str">
        <f>HYPERLINK("https://twitter.com/Industry40/status/722365663520694272","722365663520694272")</f>
        <v>722365663520694272</v>
      </c>
      <c r="F1158" s="11" t="s">
        <v>25</v>
      </c>
      <c r="G1158" s="11">
        <v>2340</v>
      </c>
      <c r="H1158" s="11">
        <v>333</v>
      </c>
      <c r="I1158" s="11">
        <v>4</v>
      </c>
      <c r="J1158" s="11">
        <v>0</v>
      </c>
      <c r="K1158" s="11" t="s">
        <v>21</v>
      </c>
      <c r="L1158" s="7">
        <v>41667.561759259261</v>
      </c>
      <c r="M1158" s="12" t="s">
        <v>1924</v>
      </c>
      <c r="N1158" s="12" t="s">
        <v>1925</v>
      </c>
      <c r="O1158" s="10" t="str">
        <f>HYPERLINK("https://pbs.twimg.com/profile_images/613472305570824192/BKw639DG_normal.png","View")</f>
        <v>View</v>
      </c>
      <c r="P1158" s="11"/>
    </row>
    <row r="1159" spans="1:16" ht="12.75" x14ac:dyDescent="0.35">
      <c r="A1159" s="7">
        <v>42479.650787037041</v>
      </c>
      <c r="B1159" s="8" t="str">
        <f>HYPERLINK("https://twitter.com/tuevnordpolitik","@tuevnordpolitik")</f>
        <v>@tuevnordpolitik</v>
      </c>
      <c r="C1159" s="9" t="s">
        <v>2372</v>
      </c>
      <c r="D1159" s="9" t="s">
        <v>2373</v>
      </c>
      <c r="E1159" s="10" t="str">
        <f>HYPERLINK("https://twitter.com/tuevnordpolitik/status/722365907994034176","722365907994034176")</f>
        <v>722365907994034176</v>
      </c>
      <c r="F1159" s="11" t="s">
        <v>31</v>
      </c>
      <c r="G1159" s="11">
        <v>321</v>
      </c>
      <c r="H1159" s="11">
        <v>1021</v>
      </c>
      <c r="I1159" s="11">
        <v>1</v>
      </c>
      <c r="J1159" s="11">
        <v>0</v>
      </c>
      <c r="K1159" s="11" t="s">
        <v>21</v>
      </c>
      <c r="L1159" s="7">
        <v>41645.863229166665</v>
      </c>
      <c r="M1159" s="12" t="s">
        <v>2374</v>
      </c>
      <c r="N1159" s="12" t="s">
        <v>2375</v>
      </c>
      <c r="O1159" s="10" t="str">
        <f>HYPERLINK("https://pbs.twimg.com/profile_images/420844205607362560/p085f4o7_normal.png","View")</f>
        <v>View</v>
      </c>
      <c r="P1159" s="11"/>
    </row>
    <row r="1160" spans="1:16" ht="12.75" x14ac:dyDescent="0.35">
      <c r="A1160" s="7">
        <v>42479.651122685187</v>
      </c>
      <c r="B1160" s="8" t="str">
        <f>HYPERLINK("https://twitter.com/ROKAutomationDE","@ROKAutomationDE")</f>
        <v>@ROKAutomationDE</v>
      </c>
      <c r="C1160" s="9" t="s">
        <v>416</v>
      </c>
      <c r="D1160" s="9" t="s">
        <v>1769</v>
      </c>
      <c r="E1160" s="10" t="str">
        <f>HYPERLINK("https://twitter.com/ROKAutomationDE/status/722366031356895232","722366031356895232")</f>
        <v>722366031356895232</v>
      </c>
      <c r="F1160" s="11" t="s">
        <v>25</v>
      </c>
      <c r="G1160" s="11">
        <v>1728</v>
      </c>
      <c r="H1160" s="11">
        <v>831</v>
      </c>
      <c r="I1160" s="11">
        <v>6</v>
      </c>
      <c r="J1160" s="11">
        <v>0</v>
      </c>
      <c r="K1160" s="11" t="s">
        <v>21</v>
      </c>
      <c r="L1160" s="7">
        <v>40785.656261574077</v>
      </c>
      <c r="M1160" s="12" t="s">
        <v>581</v>
      </c>
      <c r="N1160" s="12" t="s">
        <v>2320</v>
      </c>
      <c r="O1160" s="10" t="str">
        <f>HYPERLINK("https://pbs.twimg.com/profile_images/495214827963297793/ZW7qWnoK_normal.jpeg","View")</f>
        <v>View</v>
      </c>
      <c r="P1160" s="11"/>
    </row>
    <row r="1161" spans="1:16" ht="12.75" x14ac:dyDescent="0.35">
      <c r="A1161" s="7">
        <v>42479.653124999997</v>
      </c>
      <c r="B1161" s="8" t="str">
        <f>HYPERLINK("https://twitter.com/MartinaWernerEU","@MartinaWernerEU")</f>
        <v>@MartinaWernerEU</v>
      </c>
      <c r="C1161" s="9" t="s">
        <v>2376</v>
      </c>
      <c r="D1161" s="9" t="s">
        <v>2377</v>
      </c>
      <c r="E1161" s="10" t="str">
        <f>HYPERLINK("https://twitter.com/MartinaWernerEU/status/722366757839773696","722366757839773696")</f>
        <v>722366757839773696</v>
      </c>
      <c r="F1161" s="11" t="s">
        <v>25</v>
      </c>
      <c r="G1161" s="11">
        <v>785</v>
      </c>
      <c r="H1161" s="11">
        <v>312</v>
      </c>
      <c r="I1161" s="11">
        <v>1</v>
      </c>
      <c r="J1161" s="11">
        <v>1</v>
      </c>
      <c r="K1161" s="11" t="s">
        <v>21</v>
      </c>
      <c r="L1161" s="7">
        <v>41688.899780092594</v>
      </c>
      <c r="M1161" s="12" t="s">
        <v>2378</v>
      </c>
      <c r="N1161" s="12" t="s">
        <v>2379</v>
      </c>
      <c r="O1161" s="10" t="str">
        <f>HYPERLINK("https://pbs.twimg.com/profile_images/535431236810854401/Aw5jj4R4_normal.jpeg","View")</f>
        <v>View</v>
      </c>
      <c r="P1161" s="11"/>
    </row>
    <row r="1162" spans="1:16" ht="12.75" x14ac:dyDescent="0.35">
      <c r="A1162" s="7">
        <v>42479.653749999998</v>
      </c>
      <c r="B1162" s="8" t="str">
        <f>HYPERLINK("https://twitter.com/ECOWARRIORSS","@ECOWARRIORSS")</f>
        <v>@ECOWARRIORSS</v>
      </c>
      <c r="C1162" s="9" t="s">
        <v>2380</v>
      </c>
      <c r="D1162" s="9" t="s">
        <v>2296</v>
      </c>
      <c r="E1162" s="10" t="str">
        <f>HYPERLINK("https://twitter.com/ECOWARRIORSS/status/722366984298618880","722366984298618880")</f>
        <v>722366984298618880</v>
      </c>
      <c r="F1162" s="11" t="s">
        <v>25</v>
      </c>
      <c r="G1162" s="11">
        <v>1852</v>
      </c>
      <c r="H1162" s="11">
        <v>2451</v>
      </c>
      <c r="I1162" s="11">
        <v>5</v>
      </c>
      <c r="J1162" s="11">
        <v>0</v>
      </c>
      <c r="K1162" s="11" t="s">
        <v>21</v>
      </c>
      <c r="L1162" s="7">
        <v>41588.049444444448</v>
      </c>
      <c r="M1162" s="12"/>
      <c r="N1162" s="12" t="s">
        <v>2381</v>
      </c>
      <c r="O1162" s="10" t="str">
        <f>HYPERLINK("https://pbs.twimg.com/profile_images/534846179717033984/Cw06yZ7i_normal.jpeg","View")</f>
        <v>View</v>
      </c>
      <c r="P1162" s="11"/>
    </row>
    <row r="1163" spans="1:16" ht="12.75" x14ac:dyDescent="0.35">
      <c r="A1163" s="7">
        <v>42479.65388888889</v>
      </c>
      <c r="B1163" s="8" t="str">
        <f>HYPERLINK("https://twitter.com/AltenaTCS","@AltenaTCS")</f>
        <v>@AltenaTCS</v>
      </c>
      <c r="C1163" s="9" t="s">
        <v>2178</v>
      </c>
      <c r="D1163" s="9" t="s">
        <v>2382</v>
      </c>
      <c r="E1163" s="10" t="str">
        <f>HYPERLINK("https://twitter.com/AltenaTCS/status/722367034659639296","722367034659639296")</f>
        <v>722367034659639296</v>
      </c>
      <c r="F1163" s="11" t="s">
        <v>25</v>
      </c>
      <c r="G1163" s="11">
        <v>49</v>
      </c>
      <c r="H1163" s="11">
        <v>143</v>
      </c>
      <c r="I1163" s="11">
        <v>0</v>
      </c>
      <c r="J1163" s="11">
        <v>0</v>
      </c>
      <c r="K1163" s="11" t="s">
        <v>21</v>
      </c>
      <c r="L1163" s="7">
        <v>41645.649027777778</v>
      </c>
      <c r="M1163" s="12" t="s">
        <v>2181</v>
      </c>
      <c r="N1163" s="12" t="s">
        <v>2182</v>
      </c>
      <c r="O1163" s="10" t="str">
        <f>HYPERLINK("https://pbs.twimg.com/profile_images/709648582048157696/BnZ5RzQA_normal.jpg","View")</f>
        <v>View</v>
      </c>
      <c r="P1163" s="11"/>
    </row>
    <row r="1164" spans="1:16" ht="12.75" x14ac:dyDescent="0.35">
      <c r="A1164" s="7">
        <v>42479.653981481482</v>
      </c>
      <c r="B1164" s="8" t="str">
        <f>HYPERLINK("https://twitter.com/markherten","@markherten")</f>
        <v>@markherten</v>
      </c>
      <c r="C1164" s="9" t="s">
        <v>37</v>
      </c>
      <c r="D1164" s="9" t="s">
        <v>2383</v>
      </c>
      <c r="E1164" s="10" t="str">
        <f>HYPERLINK("https://twitter.com/markherten/status/722367066079145986","722367066079145986")</f>
        <v>722367066079145986</v>
      </c>
      <c r="F1164" s="11" t="s">
        <v>39</v>
      </c>
      <c r="G1164" s="11">
        <v>96</v>
      </c>
      <c r="H1164" s="11">
        <v>176</v>
      </c>
      <c r="I1164" s="11">
        <v>0</v>
      </c>
      <c r="J1164" s="11">
        <v>0</v>
      </c>
      <c r="K1164" s="11" t="s">
        <v>21</v>
      </c>
      <c r="L1164" s="7">
        <v>40249.947696759264</v>
      </c>
      <c r="M1164" s="12" t="s">
        <v>40</v>
      </c>
      <c r="N1164" s="12" t="s">
        <v>41</v>
      </c>
      <c r="O1164" s="10" t="str">
        <f>HYPERLINK("https://pbs.twimg.com/profile_images/718175389890310145/GX8DLe_h_normal.jpg","View")</f>
        <v>View</v>
      </c>
      <c r="P1164" s="11"/>
    </row>
    <row r="1165" spans="1:16" ht="12.75" x14ac:dyDescent="0.35">
      <c r="A1165" s="7">
        <v>42479.656944444447</v>
      </c>
      <c r="B1165" s="8" t="str">
        <f>HYPERLINK("https://twitter.com/SAP_IoT","@SAP_IoT")</f>
        <v>@SAP_IoT</v>
      </c>
      <c r="C1165" s="9" t="s">
        <v>2384</v>
      </c>
      <c r="D1165" s="9" t="s">
        <v>2385</v>
      </c>
      <c r="E1165" s="10" t="str">
        <f>HYPERLINK("https://twitter.com/SAP_IoT/status/722368140722728960","722368140722728960")</f>
        <v>722368140722728960</v>
      </c>
      <c r="F1165" s="11" t="s">
        <v>1111</v>
      </c>
      <c r="G1165" s="11">
        <v>8221</v>
      </c>
      <c r="H1165" s="11">
        <v>418</v>
      </c>
      <c r="I1165" s="11">
        <v>1</v>
      </c>
      <c r="J1165" s="11">
        <v>0</v>
      </c>
      <c r="K1165" s="11" t="s">
        <v>21</v>
      </c>
      <c r="L1165" s="7">
        <v>41479.231076388889</v>
      </c>
      <c r="M1165" s="12" t="s">
        <v>1178</v>
      </c>
      <c r="N1165" s="12" t="s">
        <v>2386</v>
      </c>
      <c r="O1165" s="10" t="str">
        <f>HYPERLINK("https://pbs.twimg.com/profile_images/557581621725908992/S7PfOb5r_normal.png","View")</f>
        <v>View</v>
      </c>
      <c r="P1165" s="11"/>
    </row>
    <row r="1166" spans="1:16" ht="12.75" x14ac:dyDescent="0.35">
      <c r="A1166" s="7">
        <v>42479.658078703702</v>
      </c>
      <c r="B1166" s="8" t="str">
        <f>HYPERLINK("https://twitter.com/AxoomDe","@AxoomDe")</f>
        <v>@AxoomDe</v>
      </c>
      <c r="C1166" s="9" t="s">
        <v>2271</v>
      </c>
      <c r="D1166" s="9" t="s">
        <v>2387</v>
      </c>
      <c r="E1166" s="10" t="str">
        <f>HYPERLINK("https://twitter.com/AxoomDe/status/722368550632103940","722368550632103940")</f>
        <v>722368550632103940</v>
      </c>
      <c r="F1166" s="11" t="s">
        <v>25</v>
      </c>
      <c r="G1166" s="11">
        <v>58</v>
      </c>
      <c r="H1166" s="11">
        <v>35</v>
      </c>
      <c r="I1166" s="11">
        <v>1</v>
      </c>
      <c r="J1166" s="11">
        <v>0</v>
      </c>
      <c r="K1166" s="11" t="s">
        <v>21</v>
      </c>
      <c r="L1166" s="7">
        <v>42289.554907407408</v>
      </c>
      <c r="M1166" s="12" t="s">
        <v>2273</v>
      </c>
      <c r="N1166" s="12" t="s">
        <v>2274</v>
      </c>
      <c r="O1166" s="10" t="str">
        <f>HYPERLINK("https://pbs.twimg.com/profile_images/654975252703911936/lfZEytpZ_normal.png","View")</f>
        <v>View</v>
      </c>
      <c r="P1166" s="11"/>
    </row>
    <row r="1167" spans="1:16" ht="12.75" x14ac:dyDescent="0.35">
      <c r="A1167" s="7">
        <v>42479.660775462966</v>
      </c>
      <c r="B1167" s="8" t="str">
        <f>HYPERLINK("https://twitter.com/prxpragma","@prxpragma")</f>
        <v>@prxpragma</v>
      </c>
      <c r="C1167" s="9" t="s">
        <v>499</v>
      </c>
      <c r="D1167" s="9" t="s">
        <v>2388</v>
      </c>
      <c r="E1167" s="10" t="str">
        <f>HYPERLINK("https://twitter.com/prxpragma/status/722369529691709440","722369529691709440")</f>
        <v>722369529691709440</v>
      </c>
      <c r="F1167" s="11" t="s">
        <v>20</v>
      </c>
      <c r="G1167" s="11">
        <v>306</v>
      </c>
      <c r="H1167" s="11">
        <v>562</v>
      </c>
      <c r="I1167" s="11">
        <v>0</v>
      </c>
      <c r="J1167" s="11">
        <v>1</v>
      </c>
      <c r="K1167" s="11" t="s">
        <v>21</v>
      </c>
      <c r="L1167" s="7">
        <v>42129.922442129631</v>
      </c>
      <c r="M1167" s="12"/>
      <c r="N1167" s="12"/>
      <c r="O1167" s="10" t="str">
        <f>HYPERLINK("https://pbs.twimg.com/profile_images/595629691249233920/PnZxF5UO_normal.jpg","View")</f>
        <v>View</v>
      </c>
      <c r="P1167" s="11"/>
    </row>
    <row r="1168" spans="1:16" ht="12.75" x14ac:dyDescent="0.35">
      <c r="A1168" s="7">
        <v>42479.661400462966</v>
      </c>
      <c r="B1168" s="8" t="str">
        <f>HYPERLINK("https://twitter.com/INDIZbot","@INDIZbot")</f>
        <v>@INDIZbot</v>
      </c>
      <c r="C1168" s="9" t="s">
        <v>61</v>
      </c>
      <c r="D1168" s="9" t="s">
        <v>2389</v>
      </c>
      <c r="E1168" s="10" t="str">
        <f>HYPERLINK("https://twitter.com/INDIZbot/status/722369754112094208","722369754112094208")</f>
        <v>722369754112094208</v>
      </c>
      <c r="F1168" s="11" t="s">
        <v>62</v>
      </c>
      <c r="G1168" s="11">
        <v>1762</v>
      </c>
      <c r="H1168" s="11">
        <v>481</v>
      </c>
      <c r="I1168" s="11">
        <v>1</v>
      </c>
      <c r="J1168" s="11">
        <v>0</v>
      </c>
      <c r="K1168" s="11" t="s">
        <v>21</v>
      </c>
      <c r="L1168" s="7">
        <v>42267.011921296296</v>
      </c>
      <c r="M1168" s="12"/>
      <c r="N1168" s="12" t="s">
        <v>63</v>
      </c>
      <c r="O1168" s="10" t="str">
        <f>HYPERLINK("https://pbs.twimg.com/profile_images/645716711723925506/t5G0qOS6_normal.jpg","View")</f>
        <v>View</v>
      </c>
      <c r="P1168" s="11"/>
    </row>
    <row r="1169" spans="1:16" ht="12.75" x14ac:dyDescent="0.35">
      <c r="A1169" s="7">
        <v>42479.66479166667</v>
      </c>
      <c r="B1169" s="8" t="str">
        <f>HYPERLINK("https://twitter.com/KubitzTassilo","@KubitzTassilo")</f>
        <v>@KubitzTassilo</v>
      </c>
      <c r="C1169" s="9" t="s">
        <v>1750</v>
      </c>
      <c r="D1169" s="9" t="s">
        <v>2390</v>
      </c>
      <c r="E1169" s="10" t="str">
        <f>HYPERLINK("https://twitter.com/KubitzTassilo/status/722370986801278976","722370986801278976")</f>
        <v>722370986801278976</v>
      </c>
      <c r="F1169" s="11" t="s">
        <v>20</v>
      </c>
      <c r="G1169" s="11">
        <v>18</v>
      </c>
      <c r="H1169" s="11">
        <v>16</v>
      </c>
      <c r="I1169" s="11">
        <v>1</v>
      </c>
      <c r="J1169" s="11">
        <v>0</v>
      </c>
      <c r="K1169" s="11" t="s">
        <v>21</v>
      </c>
      <c r="L1169" s="7">
        <v>42011.051342592589</v>
      </c>
      <c r="M1169" s="12"/>
      <c r="N1169" s="12"/>
      <c r="O1169" s="10" t="str">
        <f>HYPERLINK("https://pbs.twimg.com/profile_images/552551275527938050/oM0Hdpyd_normal.jpeg","View")</f>
        <v>View</v>
      </c>
      <c r="P1169" s="11"/>
    </row>
    <row r="1170" spans="1:16" ht="12.75" x14ac:dyDescent="0.35">
      <c r="A1170" s="7">
        <v>42479.666967592595</v>
      </c>
      <c r="B1170" s="8" t="str">
        <f>HYPERLINK("https://twitter.com/DEZblog","@DEZblog")</f>
        <v>@DEZblog</v>
      </c>
      <c r="C1170" s="9" t="s">
        <v>2391</v>
      </c>
      <c r="D1170" s="9" t="s">
        <v>2392</v>
      </c>
      <c r="E1170" s="10" t="str">
        <f>HYPERLINK("https://twitter.com/DEZblog/status/722371771723341825","722371771723341825")</f>
        <v>722371771723341825</v>
      </c>
      <c r="F1170" s="11" t="s">
        <v>115</v>
      </c>
      <c r="G1170" s="11">
        <v>1564</v>
      </c>
      <c r="H1170" s="11">
        <v>955</v>
      </c>
      <c r="I1170" s="11">
        <v>1</v>
      </c>
      <c r="J1170" s="11">
        <v>3</v>
      </c>
      <c r="K1170" s="11" t="s">
        <v>21</v>
      </c>
      <c r="L1170" s="7">
        <v>41661.865057870367</v>
      </c>
      <c r="M1170" s="12"/>
      <c r="N1170" s="12" t="s">
        <v>2393</v>
      </c>
      <c r="O1170" s="10" t="str">
        <f>HYPERLINK("https://pbs.twimg.com/profile_images/428828881080942592/YmN6UP5I_normal.png","View")</f>
        <v>View</v>
      </c>
      <c r="P1170" s="11"/>
    </row>
    <row r="1171" spans="1:16" ht="12.75" x14ac:dyDescent="0.35">
      <c r="A1171" s="7">
        <v>42479.667326388888</v>
      </c>
      <c r="B1171" s="8" t="str">
        <f>HYPERLINK("https://twitter.com/CapgeminiDE","@CapgeminiDE")</f>
        <v>@CapgeminiDE</v>
      </c>
      <c r="C1171" s="9" t="s">
        <v>280</v>
      </c>
      <c r="D1171" s="9" t="s">
        <v>2394</v>
      </c>
      <c r="E1171" s="10" t="str">
        <f>HYPERLINK("https://twitter.com/CapgeminiDE/status/722371903588012033","722371903588012033")</f>
        <v>722371903588012033</v>
      </c>
      <c r="F1171" s="11" t="s">
        <v>39</v>
      </c>
      <c r="G1171" s="11">
        <v>1640</v>
      </c>
      <c r="H1171" s="11">
        <v>509</v>
      </c>
      <c r="I1171" s="11">
        <v>0</v>
      </c>
      <c r="J1171" s="11">
        <v>0</v>
      </c>
      <c r="K1171" s="11" t="s">
        <v>21</v>
      </c>
      <c r="L1171" s="7">
        <v>40424.022048611107</v>
      </c>
      <c r="M1171" s="12" t="s">
        <v>218</v>
      </c>
      <c r="N1171" s="12" t="s">
        <v>282</v>
      </c>
      <c r="O1171" s="10" t="str">
        <f>HYPERLINK("https://pbs.twimg.com/profile_images/666911961599315968/aP7ID_qm_normal.png","View")</f>
        <v>View</v>
      </c>
      <c r="P1171" s="11"/>
    </row>
    <row r="1172" spans="1:16" ht="12.75" x14ac:dyDescent="0.35">
      <c r="A1172" s="7">
        <v>42479.66810185185</v>
      </c>
      <c r="B1172" s="8" t="str">
        <f>HYPERLINK("https://twitter.com/Apandia","@Apandia")</f>
        <v>@Apandia</v>
      </c>
      <c r="C1172" s="9" t="s">
        <v>245</v>
      </c>
      <c r="D1172" s="9" t="s">
        <v>2395</v>
      </c>
      <c r="E1172" s="10" t="str">
        <f>HYPERLINK("https://twitter.com/Apandia/status/722372184958586884","722372184958586884")</f>
        <v>722372184958586884</v>
      </c>
      <c r="F1172" s="11" t="s">
        <v>115</v>
      </c>
      <c r="G1172" s="11">
        <v>196</v>
      </c>
      <c r="H1172" s="11">
        <v>384</v>
      </c>
      <c r="I1172" s="11">
        <v>3</v>
      </c>
      <c r="J1172" s="11">
        <v>2</v>
      </c>
      <c r="K1172" s="11" t="s">
        <v>21</v>
      </c>
      <c r="L1172" s="7">
        <v>39966.049884259257</v>
      </c>
      <c r="M1172" s="12" t="s">
        <v>247</v>
      </c>
      <c r="N1172" s="12" t="s">
        <v>248</v>
      </c>
      <c r="O1172" s="10" t="str">
        <f>HYPERLINK("https://pbs.twimg.com/profile_images/685327213/Apandia_normal.gif","View")</f>
        <v>View</v>
      </c>
      <c r="P1172" s="11"/>
    </row>
    <row r="1173" spans="1:16" ht="12.75" x14ac:dyDescent="0.35">
      <c r="A1173" s="7">
        <v>42479.671446759261</v>
      </c>
      <c r="B1173" s="8" t="str">
        <f>HYPERLINK("https://twitter.com/B_Stratton1","@B_Stratton1")</f>
        <v>@B_Stratton1</v>
      </c>
      <c r="C1173" s="9" t="s">
        <v>2396</v>
      </c>
      <c r="D1173" s="9" t="s">
        <v>2325</v>
      </c>
      <c r="E1173" s="10" t="str">
        <f>HYPERLINK("https://twitter.com/B_Stratton1/status/722373396194050048","722373396194050048")</f>
        <v>722373396194050048</v>
      </c>
      <c r="F1173" s="11" t="s">
        <v>20</v>
      </c>
      <c r="G1173" s="11">
        <v>274</v>
      </c>
      <c r="H1173" s="11">
        <v>66</v>
      </c>
      <c r="I1173" s="11">
        <v>14</v>
      </c>
      <c r="J1173" s="11">
        <v>0</v>
      </c>
      <c r="K1173" s="11" t="s">
        <v>21</v>
      </c>
      <c r="L1173" s="7">
        <v>41242.694780092592</v>
      </c>
      <c r="M1173" s="12"/>
      <c r="N1173" s="12" t="s">
        <v>2397</v>
      </c>
      <c r="O1173" s="10" t="str">
        <f>HYPERLINK("https://pbs.twimg.com/profile_images/2910345239/3c104181fc21899f14dedf1eb3bb637a_normal.jpeg","View")</f>
        <v>View</v>
      </c>
      <c r="P1173" s="11"/>
    </row>
    <row r="1174" spans="1:16" ht="12.75" x14ac:dyDescent="0.35">
      <c r="A1174" s="7">
        <v>42479.672997685186</v>
      </c>
      <c r="B1174" s="8" t="str">
        <f>HYPERLINK("https://twitter.com/Der_Betriebslei","@Der_Betriebslei")</f>
        <v>@Der_Betriebslei</v>
      </c>
      <c r="C1174" s="9" t="s">
        <v>2263</v>
      </c>
      <c r="D1174" s="9" t="s">
        <v>2398</v>
      </c>
      <c r="E1174" s="10" t="str">
        <f>HYPERLINK("https://twitter.com/Der_Betriebslei/status/722373957912031232","722373957912031232")</f>
        <v>722373957912031232</v>
      </c>
      <c r="F1174" s="11" t="s">
        <v>29</v>
      </c>
      <c r="G1174" s="11">
        <v>583</v>
      </c>
      <c r="H1174" s="11">
        <v>658</v>
      </c>
      <c r="I1174" s="11">
        <v>2</v>
      </c>
      <c r="J1174" s="11">
        <v>1</v>
      </c>
      <c r="K1174" s="11" t="s">
        <v>21</v>
      </c>
      <c r="L1174" s="7">
        <v>41598.836886574078</v>
      </c>
      <c r="M1174" s="12" t="s">
        <v>2100</v>
      </c>
      <c r="N1174" s="12" t="s">
        <v>2265</v>
      </c>
      <c r="O1174" s="10" t="str">
        <f>HYPERLINK("https://pbs.twimg.com/profile_images/448785058711601152/lLXOAUVA_normal.png","View")</f>
        <v>View</v>
      </c>
      <c r="P1174" s="11"/>
    </row>
    <row r="1175" spans="1:16" ht="12.75" x14ac:dyDescent="0.35">
      <c r="A1175" s="7">
        <v>42479.673576388886</v>
      </c>
      <c r="B1175" s="8" t="str">
        <f>HYPERLINK("https://twitter.com/HEATSoftwareDE","@HEATSoftwareDE")</f>
        <v>@HEATSoftwareDE</v>
      </c>
      <c r="C1175" s="9" t="s">
        <v>2399</v>
      </c>
      <c r="D1175" s="9" t="s">
        <v>2400</v>
      </c>
      <c r="E1175" s="10" t="str">
        <f>HYPERLINK("https://twitter.com/HEATSoftwareDE/status/722374169921523712","722374169921523712")</f>
        <v>722374169921523712</v>
      </c>
      <c r="F1175" s="11" t="s">
        <v>25</v>
      </c>
      <c r="G1175" s="11">
        <v>262</v>
      </c>
      <c r="H1175" s="11">
        <v>327</v>
      </c>
      <c r="I1175" s="11">
        <v>1</v>
      </c>
      <c r="J1175" s="11">
        <v>0</v>
      </c>
      <c r="K1175" s="11" t="s">
        <v>21</v>
      </c>
      <c r="L1175" s="7">
        <v>40099.629791666666</v>
      </c>
      <c r="M1175" s="12" t="s">
        <v>92</v>
      </c>
      <c r="N1175" s="12" t="s">
        <v>2401</v>
      </c>
      <c r="O1175" s="10" t="str">
        <f>HYPERLINK("https://pbs.twimg.com/profile_images/652379080105553923/ck9epO3E_normal.jpg","View")</f>
        <v>View</v>
      </c>
      <c r="P1175" s="11"/>
    </row>
    <row r="1176" spans="1:16" ht="12.75" x14ac:dyDescent="0.35">
      <c r="A1176" s="7">
        <v>42479.674409722225</v>
      </c>
      <c r="B1176" s="8" t="str">
        <f t="shared" ref="B1176:B1177" si="126">HYPERLINK("https://twitter.com/INDIZbot","@INDIZbot")</f>
        <v>@INDIZbot</v>
      </c>
      <c r="C1176" s="9" t="s">
        <v>61</v>
      </c>
      <c r="D1176" s="9" t="s">
        <v>2402</v>
      </c>
      <c r="E1176" s="10" t="str">
        <f>HYPERLINK("https://twitter.com/INDIZbot/status/722374470825062400","722374470825062400")</f>
        <v>722374470825062400</v>
      </c>
      <c r="F1176" s="11" t="s">
        <v>62</v>
      </c>
      <c r="G1176" s="11">
        <v>1762</v>
      </c>
      <c r="H1176" s="11">
        <v>481</v>
      </c>
      <c r="I1176" s="11">
        <v>1</v>
      </c>
      <c r="J1176" s="11">
        <v>0</v>
      </c>
      <c r="K1176" s="11" t="s">
        <v>21</v>
      </c>
      <c r="L1176" s="7">
        <v>42267.011921296296</v>
      </c>
      <c r="M1176" s="12"/>
      <c r="N1176" s="12" t="s">
        <v>63</v>
      </c>
      <c r="O1176" s="10" t="str">
        <f t="shared" ref="O1176:O1177" si="127">HYPERLINK("https://pbs.twimg.com/profile_images/645716711723925506/t5G0qOS6_normal.jpg","View")</f>
        <v>View</v>
      </c>
      <c r="P1176" s="11"/>
    </row>
    <row r="1177" spans="1:16" ht="12.75" x14ac:dyDescent="0.35">
      <c r="A1177" s="7">
        <v>42479.674953703703</v>
      </c>
      <c r="B1177" s="8" t="str">
        <f t="shared" si="126"/>
        <v>@INDIZbot</v>
      </c>
      <c r="C1177" s="9" t="s">
        <v>61</v>
      </c>
      <c r="D1177" s="9" t="s">
        <v>2403</v>
      </c>
      <c r="E1177" s="10" t="str">
        <f>HYPERLINK("https://twitter.com/INDIZbot/status/722374665616887808","722374665616887808")</f>
        <v>722374665616887808</v>
      </c>
      <c r="F1177" s="11" t="s">
        <v>62</v>
      </c>
      <c r="G1177" s="11">
        <v>1762</v>
      </c>
      <c r="H1177" s="11">
        <v>481</v>
      </c>
      <c r="I1177" s="11">
        <v>2</v>
      </c>
      <c r="J1177" s="11">
        <v>0</v>
      </c>
      <c r="K1177" s="11" t="s">
        <v>21</v>
      </c>
      <c r="L1177" s="7">
        <v>42267.011921296296</v>
      </c>
      <c r="M1177" s="12"/>
      <c r="N1177" s="12" t="s">
        <v>63</v>
      </c>
      <c r="O1177" s="10" t="str">
        <f t="shared" si="127"/>
        <v>View</v>
      </c>
      <c r="P1177" s="11"/>
    </row>
    <row r="1178" spans="1:16" ht="12.75" x14ac:dyDescent="0.35">
      <c r="A1178" s="7">
        <v>42479.675104166672</v>
      </c>
      <c r="B1178" s="8" t="str">
        <f>HYPERLINK("https://twitter.com/westerbarkey","@westerbarkey")</f>
        <v>@westerbarkey</v>
      </c>
      <c r="C1178" s="9" t="s">
        <v>2404</v>
      </c>
      <c r="D1178" s="9" t="s">
        <v>2403</v>
      </c>
      <c r="E1178" s="10" t="str">
        <f>HYPERLINK("https://twitter.com/westerbarkey/status/722374722181312514","722374722181312514")</f>
        <v>722374722181312514</v>
      </c>
      <c r="F1178" s="11" t="s">
        <v>447</v>
      </c>
      <c r="G1178" s="11">
        <v>2854</v>
      </c>
      <c r="H1178" s="11">
        <v>1224</v>
      </c>
      <c r="I1178" s="11">
        <v>2</v>
      </c>
      <c r="J1178" s="11">
        <v>0</v>
      </c>
      <c r="K1178" s="11" t="s">
        <v>21</v>
      </c>
      <c r="L1178" s="7">
        <v>39815.702499999999</v>
      </c>
      <c r="M1178" s="12" t="s">
        <v>2405</v>
      </c>
      <c r="N1178" s="12" t="s">
        <v>2406</v>
      </c>
      <c r="O1178" s="10" t="str">
        <f>HYPERLINK("https://pbs.twimg.com/profile_images/691230711764893697/RnVw8ft4_normal.jpg","View")</f>
        <v>View</v>
      </c>
      <c r="P1178" s="11"/>
    </row>
    <row r="1179" spans="1:16" ht="12.75" x14ac:dyDescent="0.35">
      <c r="A1179" s="7">
        <v>42479.67868055556</v>
      </c>
      <c r="B1179" s="8" t="str">
        <f>HYPERLINK("https://twitter.com/H_IT_D","@H_IT_D")</f>
        <v>@H_IT_D</v>
      </c>
      <c r="C1179" s="9" t="s">
        <v>159</v>
      </c>
      <c r="D1179" s="9" t="s">
        <v>2407</v>
      </c>
      <c r="E1179" s="10" t="str">
        <f>HYPERLINK("https://twitter.com/H_IT_D/status/722376018770546688","722376018770546688")</f>
        <v>722376018770546688</v>
      </c>
      <c r="F1179" s="11" t="s">
        <v>161</v>
      </c>
      <c r="G1179" s="11">
        <v>463</v>
      </c>
      <c r="H1179" s="11">
        <v>467</v>
      </c>
      <c r="I1179" s="11">
        <v>1</v>
      </c>
      <c r="J1179" s="11">
        <v>1</v>
      </c>
      <c r="K1179" s="11" t="s">
        <v>21</v>
      </c>
      <c r="L1179" s="7">
        <v>40723.867673611108</v>
      </c>
      <c r="M1179" s="12" t="s">
        <v>162</v>
      </c>
      <c r="N1179" s="12" t="s">
        <v>163</v>
      </c>
      <c r="O1179" s="10" t="str">
        <f>HYPERLINK("https://pbs.twimg.com/profile_images/662723326096224256/5V4KH9_O_normal.jpg","View")</f>
        <v>View</v>
      </c>
      <c r="P1179" s="11"/>
    </row>
    <row r="1180" spans="1:16" ht="12.75" x14ac:dyDescent="0.35">
      <c r="A1180" s="7">
        <v>42479.679189814815</v>
      </c>
      <c r="B1180" s="8" t="str">
        <f>HYPERLINK("https://twitter.com/QuickFindsIn","@QuickFindsIn")</f>
        <v>@QuickFindsIn</v>
      </c>
      <c r="C1180" s="9" t="s">
        <v>208</v>
      </c>
      <c r="D1180" s="9" t="s">
        <v>710</v>
      </c>
      <c r="E1180" s="10" t="str">
        <f>HYPERLINK("https://twitter.com/QuickFindsIn/status/722376201566728192","722376201566728192")</f>
        <v>722376201566728192</v>
      </c>
      <c r="F1180" s="11" t="s">
        <v>210</v>
      </c>
      <c r="G1180" s="11">
        <v>1895</v>
      </c>
      <c r="H1180" s="11">
        <v>2758</v>
      </c>
      <c r="I1180" s="11">
        <v>0</v>
      </c>
      <c r="J1180" s="11">
        <v>0</v>
      </c>
      <c r="K1180" s="11" t="s">
        <v>21</v>
      </c>
      <c r="L1180" s="7">
        <v>42069.582048611112</v>
      </c>
      <c r="M1180" s="12" t="s">
        <v>211</v>
      </c>
      <c r="N1180" s="12" t="s">
        <v>212</v>
      </c>
      <c r="O1180" s="10" t="str">
        <f>HYPERLINK("https://pbs.twimg.com/profile_images/591951396217327616/HbcCX2zX_normal.png","View")</f>
        <v>View</v>
      </c>
      <c r="P1180" s="11"/>
    </row>
    <row r="1181" spans="1:16" ht="12.75" x14ac:dyDescent="0.35">
      <c r="A1181" s="7">
        <v>42479.679791666669</v>
      </c>
      <c r="B1181" s="8" t="str">
        <f>HYPERLINK("https://twitter.com/DerKonstrukteu","@DerKonstrukteu")</f>
        <v>@DerKonstrukteu</v>
      </c>
      <c r="C1181" s="9" t="s">
        <v>2098</v>
      </c>
      <c r="D1181" s="9" t="s">
        <v>2408</v>
      </c>
      <c r="E1181" s="10" t="str">
        <f>HYPERLINK("https://twitter.com/DerKonstrukteu/status/722376421960781825","722376421960781825")</f>
        <v>722376421960781825</v>
      </c>
      <c r="F1181" s="11" t="s">
        <v>29</v>
      </c>
      <c r="G1181" s="11">
        <v>1142</v>
      </c>
      <c r="H1181" s="11">
        <v>610</v>
      </c>
      <c r="I1181" s="11">
        <v>1</v>
      </c>
      <c r="J1181" s="11">
        <v>0</v>
      </c>
      <c r="K1181" s="11" t="s">
        <v>21</v>
      </c>
      <c r="L1181" s="7">
        <v>41612.809548611112</v>
      </c>
      <c r="M1181" s="12" t="s">
        <v>2100</v>
      </c>
      <c r="N1181" s="12" t="s">
        <v>2101</v>
      </c>
      <c r="O1181" s="10" t="str">
        <f>HYPERLINK("https://pbs.twimg.com/profile_images/448785978165968896/SQOcI8cJ_normal.png","View")</f>
        <v>View</v>
      </c>
      <c r="P1181" s="11"/>
    </row>
    <row r="1182" spans="1:16" ht="12.75" x14ac:dyDescent="0.35">
      <c r="A1182" s="7">
        <v>42479.680960648147</v>
      </c>
      <c r="B1182" s="8" t="str">
        <f>HYPERLINK("https://twitter.com/ahk_balt","@ahk_balt")</f>
        <v>@ahk_balt</v>
      </c>
      <c r="C1182" s="9" t="s">
        <v>2409</v>
      </c>
      <c r="D1182" s="9" t="s">
        <v>2410</v>
      </c>
      <c r="E1182" s="10" t="str">
        <f>HYPERLINK("https://twitter.com/ahk_balt/status/722376843408621569","722376843408621569")</f>
        <v>722376843408621569</v>
      </c>
      <c r="F1182" s="11" t="s">
        <v>31</v>
      </c>
      <c r="G1182" s="11">
        <v>107</v>
      </c>
      <c r="H1182" s="11">
        <v>116</v>
      </c>
      <c r="I1182" s="11">
        <v>3</v>
      </c>
      <c r="J1182" s="11">
        <v>0</v>
      </c>
      <c r="K1182" s="11" t="s">
        <v>21</v>
      </c>
      <c r="L1182" s="7">
        <v>42130.661423611113</v>
      </c>
      <c r="M1182" s="12" t="s">
        <v>2411</v>
      </c>
      <c r="N1182" s="12" t="s">
        <v>2412</v>
      </c>
      <c r="O1182" s="10" t="str">
        <f>HYPERLINK("https://pbs.twimg.com/profile_images/595897613003677696/M9EeaBgd_normal.jpg","View")</f>
        <v>View</v>
      </c>
      <c r="P1182" s="11"/>
    </row>
    <row r="1183" spans="1:16" ht="12.75" x14ac:dyDescent="0.35">
      <c r="A1183" s="7">
        <v>42479.68136574074</v>
      </c>
      <c r="B1183" s="8" t="str">
        <f t="shared" ref="B1183:B1185" si="128">HYPERLINK("https://twitter.com/INDIZbot","@INDIZbot")</f>
        <v>@INDIZbot</v>
      </c>
      <c r="C1183" s="9" t="s">
        <v>61</v>
      </c>
      <c r="D1183" s="9" t="s">
        <v>2410</v>
      </c>
      <c r="E1183" s="10" t="str">
        <f>HYPERLINK("https://twitter.com/INDIZbot/status/722376989970153473","722376989970153473")</f>
        <v>722376989970153473</v>
      </c>
      <c r="F1183" s="11" t="s">
        <v>62</v>
      </c>
      <c r="G1183" s="11">
        <v>1762</v>
      </c>
      <c r="H1183" s="11">
        <v>481</v>
      </c>
      <c r="I1183" s="11">
        <v>3</v>
      </c>
      <c r="J1183" s="11">
        <v>0</v>
      </c>
      <c r="K1183" s="11" t="s">
        <v>21</v>
      </c>
      <c r="L1183" s="7">
        <v>42267.011921296296</v>
      </c>
      <c r="M1183" s="12"/>
      <c r="N1183" s="12" t="s">
        <v>63</v>
      </c>
      <c r="O1183" s="10" t="str">
        <f t="shared" ref="O1183:O1185" si="129">HYPERLINK("https://pbs.twimg.com/profile_images/645716711723925506/t5G0qOS6_normal.jpg","View")</f>
        <v>View</v>
      </c>
      <c r="P1183" s="11"/>
    </row>
    <row r="1184" spans="1:16" ht="12.75" x14ac:dyDescent="0.35">
      <c r="A1184" s="7">
        <v>42479.682071759264</v>
      </c>
      <c r="B1184" s="8" t="str">
        <f t="shared" si="128"/>
        <v>@INDIZbot</v>
      </c>
      <c r="C1184" s="9" t="s">
        <v>61</v>
      </c>
      <c r="D1184" s="9" t="s">
        <v>2413</v>
      </c>
      <c r="E1184" s="10" t="str">
        <f>HYPERLINK("https://twitter.com/INDIZbot/status/722377245701095428","722377245701095428")</f>
        <v>722377245701095428</v>
      </c>
      <c r="F1184" s="11" t="s">
        <v>62</v>
      </c>
      <c r="G1184" s="11">
        <v>1762</v>
      </c>
      <c r="H1184" s="11">
        <v>481</v>
      </c>
      <c r="I1184" s="11">
        <v>1</v>
      </c>
      <c r="J1184" s="11">
        <v>0</v>
      </c>
      <c r="K1184" s="11" t="s">
        <v>21</v>
      </c>
      <c r="L1184" s="7">
        <v>42267.011921296296</v>
      </c>
      <c r="M1184" s="12"/>
      <c r="N1184" s="12" t="s">
        <v>63</v>
      </c>
      <c r="O1184" s="10" t="str">
        <f t="shared" si="129"/>
        <v>View</v>
      </c>
      <c r="P1184" s="11"/>
    </row>
    <row r="1185" spans="1:16" ht="12.75" x14ac:dyDescent="0.35">
      <c r="A1185" s="7">
        <v>42479.682615740741</v>
      </c>
      <c r="B1185" s="8" t="str">
        <f t="shared" si="128"/>
        <v>@INDIZbot</v>
      </c>
      <c r="C1185" s="9" t="s">
        <v>61</v>
      </c>
      <c r="D1185" s="9" t="s">
        <v>2414</v>
      </c>
      <c r="E1185" s="10" t="str">
        <f>HYPERLINK("https://twitter.com/INDIZbot/status/722377442749456384","722377442749456384")</f>
        <v>722377442749456384</v>
      </c>
      <c r="F1185" s="11" t="s">
        <v>62</v>
      </c>
      <c r="G1185" s="11">
        <v>1762</v>
      </c>
      <c r="H1185" s="11">
        <v>481</v>
      </c>
      <c r="I1185" s="11">
        <v>1</v>
      </c>
      <c r="J1185" s="11">
        <v>0</v>
      </c>
      <c r="K1185" s="11" t="s">
        <v>21</v>
      </c>
      <c r="L1185" s="7">
        <v>42267.011921296296</v>
      </c>
      <c r="M1185" s="12"/>
      <c r="N1185" s="12" t="s">
        <v>63</v>
      </c>
      <c r="O1185" s="10" t="str">
        <f t="shared" si="129"/>
        <v>View</v>
      </c>
      <c r="P1185" s="11"/>
    </row>
    <row r="1186" spans="1:16" ht="12.75" x14ac:dyDescent="0.35">
      <c r="A1186" s="7">
        <v>42479.685358796298</v>
      </c>
      <c r="B1186" s="8" t="str">
        <f>HYPERLINK("https://twitter.com/ClaasBorchers","@ClaasBorchers")</f>
        <v>@ClaasBorchers</v>
      </c>
      <c r="C1186" s="9" t="s">
        <v>2415</v>
      </c>
      <c r="D1186" s="9" t="s">
        <v>2111</v>
      </c>
      <c r="E1186" s="10" t="str">
        <f>HYPERLINK("https://twitter.com/ClaasBorchers/status/722378439441956864","722378439441956864")</f>
        <v>722378439441956864</v>
      </c>
      <c r="F1186" s="11" t="s">
        <v>31</v>
      </c>
      <c r="G1186" s="11">
        <v>37</v>
      </c>
      <c r="H1186" s="11">
        <v>193</v>
      </c>
      <c r="I1186" s="11">
        <v>7</v>
      </c>
      <c r="J1186" s="11">
        <v>0</v>
      </c>
      <c r="K1186" s="11" t="s">
        <v>21</v>
      </c>
      <c r="L1186" s="7">
        <v>42170.46303240741</v>
      </c>
      <c r="M1186" s="12"/>
      <c r="N1186" s="12"/>
      <c r="O1186" s="10" t="str">
        <f>HYPERLINK("https://pbs.twimg.com/profile_images/646183947790090240/ugvUdxSy_normal.jpg","View")</f>
        <v>View</v>
      </c>
      <c r="P1186" s="11"/>
    </row>
    <row r="1187" spans="1:16" ht="12.75" x14ac:dyDescent="0.35">
      <c r="A1187" s="7">
        <v>42479.686342592591</v>
      </c>
      <c r="B1187" s="8" t="str">
        <f>HYPERLINK("https://twitter.com/hkloepper","@hkloepper")</f>
        <v>@hkloepper</v>
      </c>
      <c r="C1187" s="9" t="s">
        <v>2416</v>
      </c>
      <c r="D1187" s="9" t="s">
        <v>2417</v>
      </c>
      <c r="E1187" s="10" t="str">
        <f>HYPERLINK("https://twitter.com/hkloepper/status/722378795718717440","722378795718717440")</f>
        <v>722378795718717440</v>
      </c>
      <c r="F1187" s="11" t="s">
        <v>25</v>
      </c>
      <c r="G1187" s="11">
        <v>834</v>
      </c>
      <c r="H1187" s="11">
        <v>266</v>
      </c>
      <c r="I1187" s="11">
        <v>0</v>
      </c>
      <c r="J1187" s="11">
        <v>0</v>
      </c>
      <c r="K1187" s="11" t="s">
        <v>21</v>
      </c>
      <c r="L1187" s="7">
        <v>39538.764652777776</v>
      </c>
      <c r="M1187" s="12" t="s">
        <v>218</v>
      </c>
      <c r="N1187" s="12" t="s">
        <v>2418</v>
      </c>
      <c r="O1187" s="10" t="str">
        <f>HYPERLINK("https://pbs.twimg.com/profile_images/386073656/happy_normal.jpg","View")</f>
        <v>View</v>
      </c>
      <c r="P1187" s="11"/>
    </row>
    <row r="1188" spans="1:16" ht="12.75" x14ac:dyDescent="0.35">
      <c r="A1188" s="7">
        <v>42479.687638888892</v>
      </c>
      <c r="B1188" s="8" t="str">
        <f>HYPERLINK("https://twitter.com/verlinked","@verlinked")</f>
        <v>@verlinked</v>
      </c>
      <c r="C1188" s="9" t="s">
        <v>263</v>
      </c>
      <c r="D1188" s="9" t="s">
        <v>2419</v>
      </c>
      <c r="E1188" s="10" t="str">
        <f>HYPERLINK("https://twitter.com/verlinked/status/722379265346437121","722379265346437121")</f>
        <v>722379265346437121</v>
      </c>
      <c r="F1188" s="11" t="s">
        <v>115</v>
      </c>
      <c r="G1188" s="11">
        <v>600</v>
      </c>
      <c r="H1188" s="11">
        <v>1201</v>
      </c>
      <c r="I1188" s="11">
        <v>0</v>
      </c>
      <c r="J1188" s="11">
        <v>1</v>
      </c>
      <c r="K1188" s="11" t="s">
        <v>21</v>
      </c>
      <c r="L1188" s="7">
        <v>41463.077627314815</v>
      </c>
      <c r="M1188" s="12" t="s">
        <v>265</v>
      </c>
      <c r="N1188" s="12" t="s">
        <v>266</v>
      </c>
      <c r="O1188" s="10" t="str">
        <f>HYPERLINK("https://pbs.twimg.com/profile_images/722385992343285760/ww8YLZ2q_normal.jpg","View")</f>
        <v>View</v>
      </c>
      <c r="P1188" s="11"/>
    </row>
    <row r="1189" spans="1:16" ht="12.75" x14ac:dyDescent="0.35">
      <c r="A1189" s="7">
        <v>42479.68855324074</v>
      </c>
      <c r="B1189" s="8" t="str">
        <f t="shared" ref="B1189:B1190" si="130">HYPERLINK("https://twitter.com/MeinGeldMedien","@MeinGeldMedien")</f>
        <v>@MeinGeldMedien</v>
      </c>
      <c r="C1189" s="9" t="s">
        <v>302</v>
      </c>
      <c r="D1189" s="9" t="s">
        <v>1739</v>
      </c>
      <c r="E1189" s="10" t="str">
        <f>HYPERLINK("https://twitter.com/MeinGeldMedien/status/722379596197445632","722379596197445632")</f>
        <v>722379596197445632</v>
      </c>
      <c r="F1189" s="11" t="s">
        <v>39</v>
      </c>
      <c r="G1189" s="11">
        <v>694</v>
      </c>
      <c r="H1189" s="11">
        <v>583</v>
      </c>
      <c r="I1189" s="11">
        <v>0</v>
      </c>
      <c r="J1189" s="11">
        <v>0</v>
      </c>
      <c r="K1189" s="11" t="s">
        <v>21</v>
      </c>
      <c r="L1189" s="7">
        <v>41793.608449074076</v>
      </c>
      <c r="M1189" s="12" t="s">
        <v>218</v>
      </c>
      <c r="N1189" s="12" t="s">
        <v>304</v>
      </c>
      <c r="O1189" s="10" t="str">
        <f t="shared" ref="O1189:O1190" si="131">HYPERLINK("https://pbs.twimg.com/profile_images/473759721023758338/3CcJL-Vq_normal.jpeg","View")</f>
        <v>View</v>
      </c>
      <c r="P1189" s="11"/>
    </row>
    <row r="1190" spans="1:16" ht="12.75" x14ac:dyDescent="0.35">
      <c r="A1190" s="7">
        <v>42479.688576388886</v>
      </c>
      <c r="B1190" s="8" t="str">
        <f t="shared" si="130"/>
        <v>@MeinGeldMedien</v>
      </c>
      <c r="C1190" s="9" t="s">
        <v>302</v>
      </c>
      <c r="D1190" s="9" t="s">
        <v>2420</v>
      </c>
      <c r="E1190" s="10" t="str">
        <f>HYPERLINK("https://twitter.com/MeinGeldMedien/status/722379603705249794","722379603705249794")</f>
        <v>722379603705249794</v>
      </c>
      <c r="F1190" s="11" t="s">
        <v>39</v>
      </c>
      <c r="G1190" s="11">
        <v>694</v>
      </c>
      <c r="H1190" s="11">
        <v>583</v>
      </c>
      <c r="I1190" s="11">
        <v>0</v>
      </c>
      <c r="J1190" s="11">
        <v>0</v>
      </c>
      <c r="K1190" s="11" t="s">
        <v>21</v>
      </c>
      <c r="L1190" s="7">
        <v>41793.608449074076</v>
      </c>
      <c r="M1190" s="12" t="s">
        <v>218</v>
      </c>
      <c r="N1190" s="12" t="s">
        <v>304</v>
      </c>
      <c r="O1190" s="10" t="str">
        <f t="shared" si="131"/>
        <v>View</v>
      </c>
      <c r="P1190" s="11"/>
    </row>
    <row r="1191" spans="1:16" ht="12.75" x14ac:dyDescent="0.35">
      <c r="A1191" s="7">
        <v>42479.689930555556</v>
      </c>
      <c r="B1191" s="8" t="str">
        <f>HYPERLINK("https://twitter.com/DerKonstrukteu","@DerKonstrukteu")</f>
        <v>@DerKonstrukteu</v>
      </c>
      <c r="C1191" s="9" t="s">
        <v>2098</v>
      </c>
      <c r="D1191" s="9" t="s">
        <v>2421</v>
      </c>
      <c r="E1191" s="10" t="str">
        <f>HYPERLINK("https://twitter.com/DerKonstrukteu/status/722380096590516224","722380096590516224")</f>
        <v>722380096590516224</v>
      </c>
      <c r="F1191" s="11" t="s">
        <v>29</v>
      </c>
      <c r="G1191" s="11">
        <v>1142</v>
      </c>
      <c r="H1191" s="11">
        <v>610</v>
      </c>
      <c r="I1191" s="11">
        <v>0</v>
      </c>
      <c r="J1191" s="11">
        <v>0</v>
      </c>
      <c r="K1191" s="11" t="s">
        <v>21</v>
      </c>
      <c r="L1191" s="7">
        <v>41612.809548611112</v>
      </c>
      <c r="M1191" s="12" t="s">
        <v>2100</v>
      </c>
      <c r="N1191" s="12" t="s">
        <v>2101</v>
      </c>
      <c r="O1191" s="10" t="str">
        <f>HYPERLINK("https://pbs.twimg.com/profile_images/448785978165968896/SQOcI8cJ_normal.png","View")</f>
        <v>View</v>
      </c>
      <c r="P1191" s="11"/>
    </row>
    <row r="1192" spans="1:16" ht="12.75" x14ac:dyDescent="0.35">
      <c r="A1192" s="7">
        <v>42479.690300925926</v>
      </c>
      <c r="B1192" s="8" t="str">
        <f>HYPERLINK("https://twitter.com/Round_Solutions","@Round_Solutions")</f>
        <v>@Round_Solutions</v>
      </c>
      <c r="C1192" s="9" t="s">
        <v>1079</v>
      </c>
      <c r="D1192" s="9" t="s">
        <v>2422</v>
      </c>
      <c r="E1192" s="10" t="str">
        <f>HYPERLINK("https://twitter.com/Round_Solutions/status/722380231244390400","722380231244390400")</f>
        <v>722380231244390400</v>
      </c>
      <c r="F1192" s="11" t="s">
        <v>25</v>
      </c>
      <c r="G1192" s="11">
        <v>9</v>
      </c>
      <c r="H1192" s="11">
        <v>9</v>
      </c>
      <c r="I1192" s="11">
        <v>0</v>
      </c>
      <c r="J1192" s="11">
        <v>1</v>
      </c>
      <c r="K1192" s="11" t="s">
        <v>21</v>
      </c>
      <c r="L1192" s="7">
        <v>42228.569351851853</v>
      </c>
      <c r="M1192" s="12" t="s">
        <v>236</v>
      </c>
      <c r="N1192" s="12"/>
      <c r="O1192" s="10" t="str">
        <f>HYPERLINK("https://pbs.twimg.com/profile_images/651340877881741316/uYdqY-TL_normal.jpg","View")</f>
        <v>View</v>
      </c>
      <c r="P1192" s="11"/>
    </row>
    <row r="1193" spans="1:16" ht="12.75" x14ac:dyDescent="0.35">
      <c r="A1193" s="7">
        <v>42479.690983796296</v>
      </c>
      <c r="B1193" s="8" t="str">
        <f>HYPERLINK("https://twitter.com/kommoptimierer","@kommoptimierer")</f>
        <v>@kommoptimierer</v>
      </c>
      <c r="C1193" s="9" t="s">
        <v>270</v>
      </c>
      <c r="D1193" s="9" t="s">
        <v>373</v>
      </c>
      <c r="E1193" s="10" t="str">
        <f>HYPERLINK("https://twitter.com/kommoptimierer/status/722380477143900160","722380477143900160")</f>
        <v>722380477143900160</v>
      </c>
      <c r="F1193" s="11" t="s">
        <v>272</v>
      </c>
      <c r="G1193" s="11">
        <v>1347</v>
      </c>
      <c r="H1193" s="11">
        <v>1753</v>
      </c>
      <c r="I1193" s="11">
        <v>0</v>
      </c>
      <c r="J1193" s="11">
        <v>0</v>
      </c>
      <c r="K1193" s="11" t="s">
        <v>21</v>
      </c>
      <c r="L1193" s="7">
        <v>39986.860358796301</v>
      </c>
      <c r="M1193" s="12" t="s">
        <v>273</v>
      </c>
      <c r="N1193" s="12" t="s">
        <v>274</v>
      </c>
      <c r="O1193" s="10" t="str">
        <f>HYPERLINK("https://pbs.twimg.com/profile_images/541146126158536704/IYardufS_normal.jpeg","View")</f>
        <v>View</v>
      </c>
      <c r="P1193" s="11"/>
    </row>
    <row r="1194" spans="1:16" ht="12.75" x14ac:dyDescent="0.35">
      <c r="A1194" s="7">
        <v>42479.694490740745</v>
      </c>
      <c r="B1194" s="8" t="str">
        <f>HYPERLINK("https://twitter.com/Der_Betriebslei","@Der_Betriebslei")</f>
        <v>@Der_Betriebslei</v>
      </c>
      <c r="C1194" s="9" t="s">
        <v>2263</v>
      </c>
      <c r="D1194" s="9" t="s">
        <v>2423</v>
      </c>
      <c r="E1194" s="10" t="str">
        <f>HYPERLINK("https://twitter.com/Der_Betriebslei/status/722381749582499840","722381749582499840")</f>
        <v>722381749582499840</v>
      </c>
      <c r="F1194" s="11" t="s">
        <v>29</v>
      </c>
      <c r="G1194" s="11">
        <v>583</v>
      </c>
      <c r="H1194" s="11">
        <v>658</v>
      </c>
      <c r="I1194" s="11">
        <v>1</v>
      </c>
      <c r="J1194" s="11">
        <v>1</v>
      </c>
      <c r="K1194" s="11" t="s">
        <v>21</v>
      </c>
      <c r="L1194" s="7">
        <v>41598.836886574078</v>
      </c>
      <c r="M1194" s="12" t="s">
        <v>2100</v>
      </c>
      <c r="N1194" s="12" t="s">
        <v>2265</v>
      </c>
      <c r="O1194" s="10" t="str">
        <f>HYPERLINK("https://pbs.twimg.com/profile_images/448785058711601152/lLXOAUVA_normal.png","View")</f>
        <v>View</v>
      </c>
      <c r="P1194" s="11"/>
    </row>
    <row r="1195" spans="1:16" ht="12.75" x14ac:dyDescent="0.35">
      <c r="A1195" s="7">
        <v>42479.695254629631</v>
      </c>
      <c r="B1195" s="8" t="str">
        <f>HYPERLINK("https://twitter.com/INDIZbot","@INDIZbot")</f>
        <v>@INDIZbot</v>
      </c>
      <c r="C1195" s="9" t="s">
        <v>61</v>
      </c>
      <c r="D1195" s="9" t="s">
        <v>2424</v>
      </c>
      <c r="E1195" s="10" t="str">
        <f>HYPERLINK("https://twitter.com/INDIZbot/status/722382023151742976","722382023151742976")</f>
        <v>722382023151742976</v>
      </c>
      <c r="F1195" s="11" t="s">
        <v>62</v>
      </c>
      <c r="G1195" s="11">
        <v>1762</v>
      </c>
      <c r="H1195" s="11">
        <v>481</v>
      </c>
      <c r="I1195" s="11">
        <v>1</v>
      </c>
      <c r="J1195" s="11">
        <v>0</v>
      </c>
      <c r="K1195" s="11" t="s">
        <v>21</v>
      </c>
      <c r="L1195" s="7">
        <v>42267.011921296296</v>
      </c>
      <c r="M1195" s="12"/>
      <c r="N1195" s="12" t="s">
        <v>63</v>
      </c>
      <c r="O1195" s="10" t="str">
        <f>HYPERLINK("https://pbs.twimg.com/profile_images/645716711723925506/t5G0qOS6_normal.jpg","View")</f>
        <v>View</v>
      </c>
      <c r="P1195" s="11"/>
    </row>
    <row r="1196" spans="1:16" ht="12.75" x14ac:dyDescent="0.35">
      <c r="A1196" s="7">
        <v>42479.696261574078</v>
      </c>
      <c r="B1196" s="8" t="str">
        <f>HYPERLINK("https://twitter.com/einkauf_mgmt","@einkauf_mgmt")</f>
        <v>@einkauf_mgmt</v>
      </c>
      <c r="C1196" s="9" t="s">
        <v>2425</v>
      </c>
      <c r="D1196" s="9" t="s">
        <v>2426</v>
      </c>
      <c r="E1196" s="10" t="str">
        <f>HYPERLINK("https://twitter.com/einkauf_mgmt/status/722382389469691904","722382389469691904")</f>
        <v>722382389469691904</v>
      </c>
      <c r="F1196" s="11" t="s">
        <v>25</v>
      </c>
      <c r="G1196" s="11">
        <v>773</v>
      </c>
      <c r="H1196" s="11">
        <v>1039</v>
      </c>
      <c r="I1196" s="11">
        <v>0</v>
      </c>
      <c r="J1196" s="11">
        <v>0</v>
      </c>
      <c r="K1196" s="11" t="s">
        <v>21</v>
      </c>
      <c r="L1196" s="7">
        <v>40112.815520833334</v>
      </c>
      <c r="M1196" s="12" t="s">
        <v>2427</v>
      </c>
      <c r="N1196" s="12" t="s">
        <v>2428</v>
      </c>
      <c r="O1196" s="10" t="str">
        <f>HYPERLINK("https://pbs.twimg.com/profile_images/463608454624448512/0DV5XX08_normal.jpeg","View")</f>
        <v>View</v>
      </c>
      <c r="P1196" s="11"/>
    </row>
    <row r="1197" spans="1:16" ht="12.75" x14ac:dyDescent="0.35">
      <c r="A1197" s="7">
        <v>42479.700358796297</v>
      </c>
      <c r="B1197" s="8" t="str">
        <f>HYPERLINK("https://twitter.com/CanarioAcosado","@CanarioAcosado")</f>
        <v>@CanarioAcosado</v>
      </c>
      <c r="C1197" s="9" t="s">
        <v>2429</v>
      </c>
      <c r="D1197" s="9" t="s">
        <v>2330</v>
      </c>
      <c r="E1197" s="10" t="str">
        <f>HYPERLINK("https://twitter.com/CanarioAcosado/status/722383872563027968","722383872563027968")</f>
        <v>722383872563027968</v>
      </c>
      <c r="F1197" s="11" t="s">
        <v>20</v>
      </c>
      <c r="G1197" s="11">
        <v>7630</v>
      </c>
      <c r="H1197" s="11">
        <v>8326</v>
      </c>
      <c r="I1197" s="11">
        <v>2</v>
      </c>
      <c r="J1197" s="11">
        <v>0</v>
      </c>
      <c r="K1197" s="11" t="s">
        <v>21</v>
      </c>
      <c r="L1197" s="7">
        <v>42014.191516203704</v>
      </c>
      <c r="M1197" s="12" t="s">
        <v>2430</v>
      </c>
      <c r="N1197" s="12" t="s">
        <v>2431</v>
      </c>
      <c r="O1197" s="10" t="str">
        <f>HYPERLINK("https://pbs.twimg.com/profile_images/711649649644445696/AmUV5ABP_normal.jpg","View")</f>
        <v>View</v>
      </c>
      <c r="P1197" s="11"/>
    </row>
    <row r="1198" spans="1:16" ht="12.75" x14ac:dyDescent="0.35">
      <c r="A1198" s="7">
        <v>42479.700613425928</v>
      </c>
      <c r="B1198" s="8" t="str">
        <f>HYPERLINK("https://twitter.com/dianemievis","@dianemievis")</f>
        <v>@dianemievis</v>
      </c>
      <c r="C1198" s="9" t="s">
        <v>2432</v>
      </c>
      <c r="D1198" s="9" t="s">
        <v>2433</v>
      </c>
      <c r="E1198" s="10" t="str">
        <f>HYPERLINK("https://twitter.com/dianemievis/status/722383964716052480","722383964716052480")</f>
        <v>722383964716052480</v>
      </c>
      <c r="F1198" s="11" t="s">
        <v>31</v>
      </c>
      <c r="G1198" s="11">
        <v>707</v>
      </c>
      <c r="H1198" s="11">
        <v>783</v>
      </c>
      <c r="I1198" s="11">
        <v>0</v>
      </c>
      <c r="J1198" s="11">
        <v>1</v>
      </c>
      <c r="K1198" s="11" t="s">
        <v>21</v>
      </c>
      <c r="L1198" s="7">
        <v>39860.805208333331</v>
      </c>
      <c r="M1198" s="12"/>
      <c r="N1198" s="12" t="s">
        <v>2434</v>
      </c>
      <c r="O1198" s="10" t="str">
        <f>HYPERLINK("https://pbs.twimg.com/profile_images/717732509430079488/FES42o6z_normal.jpg","View")</f>
        <v>View</v>
      </c>
      <c r="P1198" s="11"/>
    </row>
    <row r="1199" spans="1:16" ht="12.75" x14ac:dyDescent="0.35">
      <c r="A1199" s="7">
        <v>42479.701273148152</v>
      </c>
      <c r="B1199" s="8" t="str">
        <f>HYPERLINK("https://twitter.com/RebelinAluminio","@RebelinAluminio")</f>
        <v>@RebelinAluminio</v>
      </c>
      <c r="C1199" s="9" t="s">
        <v>2435</v>
      </c>
      <c r="D1199" s="9" t="s">
        <v>2436</v>
      </c>
      <c r="E1199" s="10" t="str">
        <f>HYPERLINK("https://twitter.com/RebelinAluminio/status/722384205456535553","722384205456535553")</f>
        <v>722384205456535553</v>
      </c>
      <c r="F1199" s="11" t="s">
        <v>222</v>
      </c>
      <c r="G1199" s="11">
        <v>2425</v>
      </c>
      <c r="H1199" s="11">
        <v>1972</v>
      </c>
      <c r="I1199" s="11">
        <v>2</v>
      </c>
      <c r="J1199" s="11">
        <v>0</v>
      </c>
      <c r="K1199" s="11" t="s">
        <v>21</v>
      </c>
      <c r="L1199" s="7">
        <v>41175.206805555557</v>
      </c>
      <c r="M1199" s="12" t="s">
        <v>2437</v>
      </c>
      <c r="N1199" s="12" t="s">
        <v>2438</v>
      </c>
      <c r="O1199" s="10" t="str">
        <f>HYPERLINK("https://pbs.twimg.com/profile_images/692972607147241475/7hLZ4f9M_normal.jpg","View")</f>
        <v>View</v>
      </c>
      <c r="P1199" s="11"/>
    </row>
    <row r="1200" spans="1:16" ht="12.75" x14ac:dyDescent="0.35">
      <c r="A1200" s="7">
        <v>42479.702187499999</v>
      </c>
      <c r="B1200" s="8" t="str">
        <f>HYPERLINK("https://twitter.com/INDIZbot","@INDIZbot")</f>
        <v>@INDIZbot</v>
      </c>
      <c r="C1200" s="9" t="s">
        <v>61</v>
      </c>
      <c r="D1200" s="9" t="s">
        <v>2439</v>
      </c>
      <c r="E1200" s="10" t="str">
        <f>HYPERLINK("https://twitter.com/INDIZbot/status/722384534814199808","722384534814199808")</f>
        <v>722384534814199808</v>
      </c>
      <c r="F1200" s="11" t="s">
        <v>62</v>
      </c>
      <c r="G1200" s="11">
        <v>1762</v>
      </c>
      <c r="H1200" s="11">
        <v>481</v>
      </c>
      <c r="I1200" s="11">
        <v>2</v>
      </c>
      <c r="J1200" s="11">
        <v>0</v>
      </c>
      <c r="K1200" s="11" t="s">
        <v>21</v>
      </c>
      <c r="L1200" s="7">
        <v>42267.011921296296</v>
      </c>
      <c r="M1200" s="12"/>
      <c r="N1200" s="12" t="s">
        <v>63</v>
      </c>
      <c r="O1200" s="10" t="str">
        <f>HYPERLINK("https://pbs.twimg.com/profile_images/645716711723925506/t5G0qOS6_normal.jpg","View")</f>
        <v>View</v>
      </c>
      <c r="P1200" s="11"/>
    </row>
    <row r="1201" spans="1:16" ht="12.75" x14ac:dyDescent="0.35">
      <c r="A1201" s="7">
        <v>42479.703287037039</v>
      </c>
      <c r="B1201" s="8" t="str">
        <f>HYPERLINK("https://twitter.com/itsOWL_Cluster","@itsOWL_Cluster")</f>
        <v>@itsOWL_Cluster</v>
      </c>
      <c r="C1201" s="9" t="s">
        <v>2440</v>
      </c>
      <c r="D1201" s="9" t="s">
        <v>2441</v>
      </c>
      <c r="E1201" s="10" t="str">
        <f>HYPERLINK("https://twitter.com/itsOWL_Cluster/status/722384935873593344","722384935873593344")</f>
        <v>722384935873593344</v>
      </c>
      <c r="F1201" s="11" t="s">
        <v>25</v>
      </c>
      <c r="G1201" s="11">
        <v>375</v>
      </c>
      <c r="H1201" s="11">
        <v>359</v>
      </c>
      <c r="I1201" s="11">
        <v>0</v>
      </c>
      <c r="J1201" s="11">
        <v>2</v>
      </c>
      <c r="K1201" s="11" t="s">
        <v>21</v>
      </c>
      <c r="L1201" s="7">
        <v>41289.849050925928</v>
      </c>
      <c r="M1201" s="12" t="s">
        <v>2442</v>
      </c>
      <c r="N1201" s="12" t="s">
        <v>2443</v>
      </c>
      <c r="O1201" s="10" t="str">
        <f>HYPERLINK("https://pbs.twimg.com/profile_images/3542998130/5e65449daa56d18e9aab7f6535dc25fc_normal.jpeg","View")</f>
        <v>View</v>
      </c>
      <c r="P1201" s="11"/>
    </row>
    <row r="1202" spans="1:16" ht="12.75" x14ac:dyDescent="0.35">
      <c r="A1202" s="7">
        <v>42479.70449074074</v>
      </c>
      <c r="B1202" s="8" t="str">
        <f>HYPERLINK("https://twitter.com/turenne1611","@turenne1611")</f>
        <v>@turenne1611</v>
      </c>
      <c r="C1202" s="9" t="s">
        <v>1768</v>
      </c>
      <c r="D1202" s="9" t="s">
        <v>1034</v>
      </c>
      <c r="E1202" s="10" t="str">
        <f>HYPERLINK("https://twitter.com/turenne1611/status/722385373113004037","722385373113004037")</f>
        <v>722385373113004037</v>
      </c>
      <c r="F1202" s="11" t="s">
        <v>25</v>
      </c>
      <c r="G1202" s="11">
        <v>1031</v>
      </c>
      <c r="H1202" s="11">
        <v>5001</v>
      </c>
      <c r="I1202" s="11">
        <v>2</v>
      </c>
      <c r="J1202" s="11">
        <v>0</v>
      </c>
      <c r="K1202" s="11" t="s">
        <v>21</v>
      </c>
      <c r="L1202" s="7">
        <v>41323.830127314817</v>
      </c>
      <c r="M1202" s="12" t="s">
        <v>243</v>
      </c>
      <c r="N1202" s="12" t="s">
        <v>1770</v>
      </c>
      <c r="O1202" s="10" t="str">
        <f>HYPERLINK("https://pbs.twimg.com/profile_images/3272942436/c3c4e0a9a2b4666270086c4edabb99d2_normal.jpeg","View")</f>
        <v>View</v>
      </c>
      <c r="P1202" s="11"/>
    </row>
    <row r="1203" spans="1:16" ht="12.75" x14ac:dyDescent="0.35">
      <c r="A1203" s="7">
        <v>42479.708055555559</v>
      </c>
      <c r="B1203" s="8" t="str">
        <f>HYPERLINK("https://twitter.com/ITK_OWL","@ITK_OWL")</f>
        <v>@ITK_OWL</v>
      </c>
      <c r="C1203" s="9" t="s">
        <v>220</v>
      </c>
      <c r="D1203" s="9" t="s">
        <v>2444</v>
      </c>
      <c r="E1203" s="10" t="str">
        <f>HYPERLINK("https://twitter.com/ITK_OWL/status/722386664048431104","722386664048431104")</f>
        <v>722386664048431104</v>
      </c>
      <c r="F1203" s="11" t="s">
        <v>222</v>
      </c>
      <c r="G1203" s="11">
        <v>199</v>
      </c>
      <c r="H1203" s="11">
        <v>389</v>
      </c>
      <c r="I1203" s="11">
        <v>1</v>
      </c>
      <c r="J1203" s="11">
        <v>1</v>
      </c>
      <c r="K1203" s="11" t="s">
        <v>21</v>
      </c>
      <c r="L1203" s="7">
        <v>42146.57880787037</v>
      </c>
      <c r="M1203" s="12" t="s">
        <v>223</v>
      </c>
      <c r="N1203" s="12" t="s">
        <v>224</v>
      </c>
      <c r="O1203" s="10" t="str">
        <f>HYPERLINK("https://pbs.twimg.com/profile_images/601673968551075840/MnulnKkj_normal.png","View")</f>
        <v>View</v>
      </c>
      <c r="P1203" s="11"/>
    </row>
    <row r="1204" spans="1:16" ht="12.75" x14ac:dyDescent="0.35">
      <c r="A1204" s="7">
        <v>42479.709143518514</v>
      </c>
      <c r="B1204" s="8" t="str">
        <f>HYPERLINK("https://twitter.com/INDIZbot","@INDIZbot")</f>
        <v>@INDIZbot</v>
      </c>
      <c r="C1204" s="9" t="s">
        <v>61</v>
      </c>
      <c r="D1204" s="9" t="s">
        <v>2445</v>
      </c>
      <c r="E1204" s="10" t="str">
        <f>HYPERLINK("https://twitter.com/INDIZbot/status/722387056698200064","722387056698200064")</f>
        <v>722387056698200064</v>
      </c>
      <c r="F1204" s="11" t="s">
        <v>62</v>
      </c>
      <c r="G1204" s="11">
        <v>1762</v>
      </c>
      <c r="H1204" s="11">
        <v>481</v>
      </c>
      <c r="I1204" s="11">
        <v>1</v>
      </c>
      <c r="J1204" s="11">
        <v>0</v>
      </c>
      <c r="K1204" s="11" t="s">
        <v>21</v>
      </c>
      <c r="L1204" s="7">
        <v>42267.011921296296</v>
      </c>
      <c r="M1204" s="12"/>
      <c r="N1204" s="12" t="s">
        <v>63</v>
      </c>
      <c r="O1204" s="10" t="str">
        <f>HYPERLINK("https://pbs.twimg.com/profile_images/645716711723925506/t5G0qOS6_normal.jpg","View")</f>
        <v>View</v>
      </c>
      <c r="P1204" s="11"/>
    </row>
    <row r="1205" spans="1:16" ht="12.75" x14ac:dyDescent="0.35">
      <c r="A1205" s="7">
        <v>42479.709560185191</v>
      </c>
      <c r="B1205" s="8" t="str">
        <f>HYPERLINK("https://twitter.com/itsOWL_Cluster","@itsOWL_Cluster")</f>
        <v>@itsOWL_Cluster</v>
      </c>
      <c r="C1205" s="9" t="s">
        <v>2440</v>
      </c>
      <c r="D1205" s="9" t="s">
        <v>2446</v>
      </c>
      <c r="E1205" s="10" t="str">
        <f>HYPERLINK("https://twitter.com/itsOWL_Cluster/status/722387209408638976","722387209408638976")</f>
        <v>722387209408638976</v>
      </c>
      <c r="F1205" s="11" t="s">
        <v>25</v>
      </c>
      <c r="G1205" s="11">
        <v>375</v>
      </c>
      <c r="H1205" s="11">
        <v>359</v>
      </c>
      <c r="I1205" s="11">
        <v>0</v>
      </c>
      <c r="J1205" s="11">
        <v>1</v>
      </c>
      <c r="K1205" s="11" t="s">
        <v>21</v>
      </c>
      <c r="L1205" s="7">
        <v>41289.849050925928</v>
      </c>
      <c r="M1205" s="12" t="s">
        <v>2442</v>
      </c>
      <c r="N1205" s="12" t="s">
        <v>2443</v>
      </c>
      <c r="O1205" s="10" t="str">
        <f>HYPERLINK("https://pbs.twimg.com/profile_images/3542998130/5e65449daa56d18e9aab7f6535dc25fc_normal.jpeg","View")</f>
        <v>View</v>
      </c>
      <c r="P1205" s="11"/>
    </row>
    <row r="1206" spans="1:16" ht="12.75" x14ac:dyDescent="0.35">
      <c r="A1206" s="7">
        <v>42479.7262962963</v>
      </c>
      <c r="B1206" s="8" t="str">
        <f>HYPERLINK("https://twitter.com/MarioReinsch","@MarioReinsch")</f>
        <v>@MarioReinsch</v>
      </c>
      <c r="C1206" s="9" t="s">
        <v>109</v>
      </c>
      <c r="D1206" s="9" t="s">
        <v>2447</v>
      </c>
      <c r="E1206" s="10" t="str">
        <f>HYPERLINK("https://twitter.com/MarioReinsch/status/722393272216383488","722393272216383488")</f>
        <v>722393272216383488</v>
      </c>
      <c r="F1206" s="11" t="s">
        <v>25</v>
      </c>
      <c r="G1206" s="11">
        <v>203</v>
      </c>
      <c r="H1206" s="11">
        <v>455</v>
      </c>
      <c r="I1206" s="11">
        <v>5</v>
      </c>
      <c r="J1206" s="11">
        <v>0</v>
      </c>
      <c r="K1206" s="11" t="s">
        <v>21</v>
      </c>
      <c r="L1206" s="7">
        <v>41858.737534722226</v>
      </c>
      <c r="M1206" s="12" t="s">
        <v>111</v>
      </c>
      <c r="N1206" s="12" t="s">
        <v>112</v>
      </c>
      <c r="O1206" s="10" t="str">
        <f>HYPERLINK("https://pbs.twimg.com/profile_images/560799766007664640/lsjqv0TW_normal.jpeg","View")</f>
        <v>View</v>
      </c>
      <c r="P1206" s="11"/>
    </row>
    <row r="1207" spans="1:16" ht="12.75" x14ac:dyDescent="0.35">
      <c r="A1207" s="7">
        <v>42479.72655092593</v>
      </c>
      <c r="B1207" s="8" t="str">
        <f>HYPERLINK("https://twitter.com/H_IT_D","@H_IT_D")</f>
        <v>@H_IT_D</v>
      </c>
      <c r="C1207" s="9" t="s">
        <v>159</v>
      </c>
      <c r="D1207" s="9" t="s">
        <v>2448</v>
      </c>
      <c r="E1207" s="10" t="str">
        <f>HYPERLINK("https://twitter.com/H_IT_D/status/722393363865927682","722393363865927682")</f>
        <v>722393363865927682</v>
      </c>
      <c r="F1207" s="11" t="s">
        <v>161</v>
      </c>
      <c r="G1207" s="11">
        <v>463</v>
      </c>
      <c r="H1207" s="11">
        <v>467</v>
      </c>
      <c r="I1207" s="11">
        <v>1</v>
      </c>
      <c r="J1207" s="11">
        <v>0</v>
      </c>
      <c r="K1207" s="11" t="s">
        <v>21</v>
      </c>
      <c r="L1207" s="7">
        <v>40723.867673611108</v>
      </c>
      <c r="M1207" s="12" t="s">
        <v>162</v>
      </c>
      <c r="N1207" s="12" t="s">
        <v>163</v>
      </c>
      <c r="O1207" s="10" t="str">
        <f>HYPERLINK("https://pbs.twimg.com/profile_images/662723326096224256/5V4KH9_O_normal.jpg","View")</f>
        <v>View</v>
      </c>
      <c r="P1207" s="11"/>
    </row>
    <row r="1208" spans="1:16" ht="12.75" x14ac:dyDescent="0.35">
      <c r="A1208" s="7">
        <v>42479.727060185185</v>
      </c>
      <c r="B1208" s="8" t="str">
        <f>HYPERLINK("https://twitter.com/Scheer_GmbH","@Scheer_GmbH")</f>
        <v>@Scheer_GmbH</v>
      </c>
      <c r="C1208" s="9" t="s">
        <v>2449</v>
      </c>
      <c r="D1208" s="9" t="s">
        <v>2450</v>
      </c>
      <c r="E1208" s="10" t="str">
        <f>HYPERLINK("https://twitter.com/Scheer_GmbH/status/722393549443084288","722393549443084288")</f>
        <v>722393549443084288</v>
      </c>
      <c r="F1208" s="11" t="s">
        <v>25</v>
      </c>
      <c r="G1208" s="11">
        <v>190</v>
      </c>
      <c r="H1208" s="11">
        <v>97</v>
      </c>
      <c r="I1208" s="11">
        <v>2</v>
      </c>
      <c r="J1208" s="11">
        <v>1</v>
      </c>
      <c r="K1208" s="11" t="s">
        <v>21</v>
      </c>
      <c r="L1208" s="7">
        <v>40609.808171296296</v>
      </c>
      <c r="M1208" s="12" t="s">
        <v>2451</v>
      </c>
      <c r="N1208" s="12" t="s">
        <v>2452</v>
      </c>
      <c r="O1208" s="10" t="str">
        <f>HYPERLINK("https://pbs.twimg.com/profile_images/686924088154140672/1_ZIe3FE_normal.png","View")</f>
        <v>View</v>
      </c>
      <c r="P1208" s="11"/>
    </row>
    <row r="1209" spans="1:16" ht="12.75" x14ac:dyDescent="0.35">
      <c r="A1209" s="7">
        <v>42479.729062500002</v>
      </c>
      <c r="B1209" s="8" t="str">
        <f>HYPERLINK("https://twitter.com/Balluff","@Balluff")</f>
        <v>@Balluff</v>
      </c>
      <c r="C1209" s="9" t="s">
        <v>357</v>
      </c>
      <c r="D1209" s="9" t="s">
        <v>2453</v>
      </c>
      <c r="E1209" s="10" t="str">
        <f>HYPERLINK("https://twitter.com/Balluff/status/722394274453708800","722394274453708800")</f>
        <v>722394274453708800</v>
      </c>
      <c r="F1209" s="11" t="s">
        <v>25</v>
      </c>
      <c r="G1209" s="11">
        <v>1545</v>
      </c>
      <c r="H1209" s="11">
        <v>444</v>
      </c>
      <c r="I1209" s="11">
        <v>5</v>
      </c>
      <c r="J1209" s="11">
        <v>0</v>
      </c>
      <c r="K1209" s="11" t="s">
        <v>21</v>
      </c>
      <c r="L1209" s="7">
        <v>39842.576643518521</v>
      </c>
      <c r="M1209" s="12" t="s">
        <v>359</v>
      </c>
      <c r="N1209" s="12" t="s">
        <v>360</v>
      </c>
      <c r="O1209" s="10" t="str">
        <f>HYPERLINK("https://pbs.twimg.com/profile_images/663668561366245376/2ovYiiJf_normal.jpg","View")</f>
        <v>View</v>
      </c>
      <c r="P1209" s="11"/>
    </row>
    <row r="1210" spans="1:16" ht="12.75" x14ac:dyDescent="0.35">
      <c r="A1210" s="7">
        <v>42479.729710648149</v>
      </c>
      <c r="B1210" s="8" t="str">
        <f>HYPERLINK("https://twitter.com/opengateitalia","@opengateitalia")</f>
        <v>@opengateitalia</v>
      </c>
      <c r="C1210" s="9" t="s">
        <v>396</v>
      </c>
      <c r="D1210" s="9" t="s">
        <v>2454</v>
      </c>
      <c r="E1210" s="10" t="str">
        <f>HYPERLINK("https://twitter.com/opengateitalia/status/722394510584451077","722394510584451077")</f>
        <v>722394510584451077</v>
      </c>
      <c r="F1210" s="11" t="s">
        <v>115</v>
      </c>
      <c r="G1210" s="11">
        <v>874</v>
      </c>
      <c r="H1210" s="11">
        <v>692</v>
      </c>
      <c r="I1210" s="11">
        <v>0</v>
      </c>
      <c r="J1210" s="11">
        <v>2</v>
      </c>
      <c r="K1210" s="11" t="s">
        <v>21</v>
      </c>
      <c r="L1210" s="7">
        <v>40389.197152777779</v>
      </c>
      <c r="M1210" s="12" t="s">
        <v>398</v>
      </c>
      <c r="N1210" s="12" t="s">
        <v>399</v>
      </c>
      <c r="O1210" s="10" t="str">
        <f>HYPERLINK("https://pbs.twimg.com/profile_images/626731191715131393/jns17fVE_normal.png","View")</f>
        <v>View</v>
      </c>
      <c r="P1210" s="11"/>
    </row>
    <row r="1211" spans="1:16" ht="12.75" x14ac:dyDescent="0.35">
      <c r="A1211" s="7">
        <v>42479.729976851857</v>
      </c>
      <c r="B1211" s="8" t="str">
        <f t="shared" ref="B1211:B1213" si="132">HYPERLINK("https://twitter.com/INDIZbot","@INDIZbot")</f>
        <v>@INDIZbot</v>
      </c>
      <c r="C1211" s="9" t="s">
        <v>61</v>
      </c>
      <c r="D1211" s="9" t="s">
        <v>2453</v>
      </c>
      <c r="E1211" s="10" t="str">
        <f>HYPERLINK("https://twitter.com/INDIZbot/status/722394606130896897","722394606130896897")</f>
        <v>722394606130896897</v>
      </c>
      <c r="F1211" s="11" t="s">
        <v>62</v>
      </c>
      <c r="G1211" s="11">
        <v>1762</v>
      </c>
      <c r="H1211" s="11">
        <v>481</v>
      </c>
      <c r="I1211" s="11">
        <v>5</v>
      </c>
      <c r="J1211" s="11">
        <v>0</v>
      </c>
      <c r="K1211" s="11" t="s">
        <v>21</v>
      </c>
      <c r="L1211" s="7">
        <v>42267.011921296296</v>
      </c>
      <c r="M1211" s="12"/>
      <c r="N1211" s="12" t="s">
        <v>63</v>
      </c>
      <c r="O1211" s="10" t="str">
        <f t="shared" ref="O1211:O1213" si="133">HYPERLINK("https://pbs.twimg.com/profile_images/645716711723925506/t5G0qOS6_normal.jpg","View")</f>
        <v>View</v>
      </c>
      <c r="P1211" s="11"/>
    </row>
    <row r="1212" spans="1:16" ht="12.75" x14ac:dyDescent="0.35">
      <c r="A1212" s="7">
        <v>42479.730312500003</v>
      </c>
      <c r="B1212" s="8" t="str">
        <f t="shared" si="132"/>
        <v>@INDIZbot</v>
      </c>
      <c r="C1212" s="9" t="s">
        <v>61</v>
      </c>
      <c r="D1212" s="9" t="s">
        <v>2455</v>
      </c>
      <c r="E1212" s="10" t="str">
        <f>HYPERLINK("https://twitter.com/INDIZbot/status/722394728218628096","722394728218628096")</f>
        <v>722394728218628096</v>
      </c>
      <c r="F1212" s="11" t="s">
        <v>62</v>
      </c>
      <c r="G1212" s="11">
        <v>1762</v>
      </c>
      <c r="H1212" s="11">
        <v>481</v>
      </c>
      <c r="I1212" s="11">
        <v>2</v>
      </c>
      <c r="J1212" s="11">
        <v>0</v>
      </c>
      <c r="K1212" s="11" t="s">
        <v>21</v>
      </c>
      <c r="L1212" s="7">
        <v>42267.011921296296</v>
      </c>
      <c r="M1212" s="12"/>
      <c r="N1212" s="12" t="s">
        <v>63</v>
      </c>
      <c r="O1212" s="10" t="str">
        <f t="shared" si="133"/>
        <v>View</v>
      </c>
      <c r="P1212" s="11"/>
    </row>
    <row r="1213" spans="1:16" ht="12.75" x14ac:dyDescent="0.35">
      <c r="A1213" s="7">
        <v>42479.730578703704</v>
      </c>
      <c r="B1213" s="8" t="str">
        <f t="shared" si="132"/>
        <v>@INDIZbot</v>
      </c>
      <c r="C1213" s="9" t="s">
        <v>61</v>
      </c>
      <c r="D1213" s="9" t="s">
        <v>2456</v>
      </c>
      <c r="E1213" s="10" t="str">
        <f>HYPERLINK("https://twitter.com/INDIZbot/status/722394824628944896","722394824628944896")</f>
        <v>722394824628944896</v>
      </c>
      <c r="F1213" s="11" t="s">
        <v>62</v>
      </c>
      <c r="G1213" s="11">
        <v>1762</v>
      </c>
      <c r="H1213" s="11">
        <v>481</v>
      </c>
      <c r="I1213" s="11">
        <v>1</v>
      </c>
      <c r="J1213" s="11">
        <v>0</v>
      </c>
      <c r="K1213" s="11" t="s">
        <v>21</v>
      </c>
      <c r="L1213" s="7">
        <v>42267.011921296296</v>
      </c>
      <c r="M1213" s="12"/>
      <c r="N1213" s="12" t="s">
        <v>63</v>
      </c>
      <c r="O1213" s="10" t="str">
        <f t="shared" si="133"/>
        <v>View</v>
      </c>
      <c r="P1213" s="11"/>
    </row>
    <row r="1214" spans="1:16" ht="12.75" x14ac:dyDescent="0.35">
      <c r="A1214" s="7">
        <v>42479.73137731482</v>
      </c>
      <c r="B1214" s="8" t="str">
        <f>HYPERLINK("https://twitter.com/MindCommerce","@MindCommerce")</f>
        <v>@MindCommerce</v>
      </c>
      <c r="C1214" s="9" t="s">
        <v>1242</v>
      </c>
      <c r="D1214" s="9" t="s">
        <v>2453</v>
      </c>
      <c r="E1214" s="10" t="str">
        <f>HYPERLINK("https://twitter.com/MindCommerce/status/722395114623131649","722395114623131649")</f>
        <v>722395114623131649</v>
      </c>
      <c r="F1214" s="11" t="s">
        <v>437</v>
      </c>
      <c r="G1214" s="11">
        <v>1189</v>
      </c>
      <c r="H1214" s="11">
        <v>427</v>
      </c>
      <c r="I1214" s="11">
        <v>5</v>
      </c>
      <c r="J1214" s="11">
        <v>0</v>
      </c>
      <c r="K1214" s="11" t="s">
        <v>21</v>
      </c>
      <c r="L1214" s="7">
        <v>40577.150787037041</v>
      </c>
      <c r="M1214" s="12"/>
      <c r="N1214" s="12" t="s">
        <v>1244</v>
      </c>
      <c r="O1214" s="10" t="str">
        <f>HYPERLINK("https://pbs.twimg.com/profile_images/548030384030507008/utABqhj9_normal.png","View")</f>
        <v>View</v>
      </c>
      <c r="P1214" s="11"/>
    </row>
    <row r="1215" spans="1:16" ht="12.75" x14ac:dyDescent="0.35">
      <c r="A1215" s="7">
        <v>42479.732592592598</v>
      </c>
      <c r="B1215" s="8" t="str">
        <f>HYPERLINK("https://twitter.com/bernardgainnier","@bernardgainnier")</f>
        <v>@bernardgainnier</v>
      </c>
      <c r="C1215" s="9" t="s">
        <v>2457</v>
      </c>
      <c r="D1215" s="9" t="s">
        <v>1000</v>
      </c>
      <c r="E1215" s="10" t="str">
        <f>HYPERLINK("https://twitter.com/bernardgainnier/status/722395555939397633","722395555939397633")</f>
        <v>722395555939397633</v>
      </c>
      <c r="F1215" s="11" t="s">
        <v>84</v>
      </c>
      <c r="G1215" s="11">
        <v>365</v>
      </c>
      <c r="H1215" s="11">
        <v>173</v>
      </c>
      <c r="I1215" s="11">
        <v>10</v>
      </c>
      <c r="J1215" s="11">
        <v>0</v>
      </c>
      <c r="K1215" s="11" t="s">
        <v>21</v>
      </c>
      <c r="L1215" s="7">
        <v>40243.670578703706</v>
      </c>
      <c r="M1215" s="12" t="s">
        <v>45</v>
      </c>
      <c r="N1215" s="12" t="s">
        <v>2458</v>
      </c>
      <c r="O1215" s="10" t="str">
        <f>HYPERLINK("https://pbs.twimg.com/profile_images/378800000059779860/fc04b1d73248cf633802cef808ea363d_normal.jpeg","View")</f>
        <v>View</v>
      </c>
      <c r="P1215" s="11"/>
    </row>
    <row r="1216" spans="1:16" ht="12.75" x14ac:dyDescent="0.35">
      <c r="A1216" s="7">
        <v>42479.733923611115</v>
      </c>
      <c r="B1216" s="8" t="str">
        <f>HYPERLINK("https://twitter.com/IoTMinded","@IoTMinded")</f>
        <v>@IoTMinded</v>
      </c>
      <c r="C1216" s="9" t="s">
        <v>435</v>
      </c>
      <c r="D1216" s="9" t="s">
        <v>2453</v>
      </c>
      <c r="E1216" s="10" t="str">
        <f>HYPERLINK("https://twitter.com/IoTMinded/status/722396038678646784","722396038678646784")</f>
        <v>722396038678646784</v>
      </c>
      <c r="F1216" s="11" t="s">
        <v>437</v>
      </c>
      <c r="G1216" s="11">
        <v>1102</v>
      </c>
      <c r="H1216" s="11">
        <v>656</v>
      </c>
      <c r="I1216" s="11">
        <v>5</v>
      </c>
      <c r="J1216" s="11">
        <v>0</v>
      </c>
      <c r="K1216" s="11" t="s">
        <v>21</v>
      </c>
      <c r="L1216" s="7">
        <v>40085.127789351856</v>
      </c>
      <c r="M1216" s="12"/>
      <c r="N1216" s="12" t="s">
        <v>438</v>
      </c>
      <c r="O1216" s="10" t="str">
        <f>HYPERLINK("https://pbs.twimg.com/profile_images/603699032804859904/lb5IMG5x_normal.jpg","View")</f>
        <v>View</v>
      </c>
      <c r="P1216" s="11"/>
    </row>
    <row r="1217" spans="1:16" ht="12.75" x14ac:dyDescent="0.35">
      <c r="A1217" s="7">
        <v>42479.738159722227</v>
      </c>
      <c r="B1217" s="8" t="str">
        <f>HYPERLINK("https://twitter.com/Bitkom_Service","@Bitkom_Service")</f>
        <v>@Bitkom_Service</v>
      </c>
      <c r="C1217" s="9" t="s">
        <v>1117</v>
      </c>
      <c r="D1217" s="9" t="s">
        <v>2459</v>
      </c>
      <c r="E1217" s="10" t="str">
        <f>HYPERLINK("https://twitter.com/Bitkom_Service/status/722397572493615104","722397572493615104")</f>
        <v>722397572493615104</v>
      </c>
      <c r="F1217" s="11" t="s">
        <v>25</v>
      </c>
      <c r="G1217" s="11">
        <v>1201</v>
      </c>
      <c r="H1217" s="11">
        <v>145</v>
      </c>
      <c r="I1217" s="11">
        <v>0</v>
      </c>
      <c r="J1217" s="11">
        <v>0</v>
      </c>
      <c r="K1217" s="11" t="s">
        <v>21</v>
      </c>
      <c r="L1217" s="7">
        <v>40375.078171296293</v>
      </c>
      <c r="M1217" s="12" t="s">
        <v>218</v>
      </c>
      <c r="N1217" s="12" t="s">
        <v>1119</v>
      </c>
      <c r="O1217" s="10" t="str">
        <f>HYPERLINK("https://pbs.twimg.com/profile_images/616176072204382208/UYYnn7XY_normal.jpg","View")</f>
        <v>View</v>
      </c>
      <c r="P1217" s="11"/>
    </row>
    <row r="1218" spans="1:16" ht="12.75" x14ac:dyDescent="0.35">
      <c r="A1218" s="7">
        <v>42479.739976851852</v>
      </c>
      <c r="B1218" s="8" t="str">
        <f>HYPERLINK("https://twitter.com/NicoSchilling","@NicoSchilling")</f>
        <v>@NicoSchilling</v>
      </c>
      <c r="C1218" s="9" t="s">
        <v>2460</v>
      </c>
      <c r="D1218" s="9" t="s">
        <v>2134</v>
      </c>
      <c r="E1218" s="10" t="str">
        <f>HYPERLINK("https://twitter.com/NicoSchilling/status/722398233255919616","722398233255919616")</f>
        <v>722398233255919616</v>
      </c>
      <c r="F1218" s="11" t="s">
        <v>31</v>
      </c>
      <c r="G1218" s="11">
        <v>1034</v>
      </c>
      <c r="H1218" s="11">
        <v>828</v>
      </c>
      <c r="I1218" s="11">
        <v>2</v>
      </c>
      <c r="J1218" s="11">
        <v>0</v>
      </c>
      <c r="K1218" s="11" t="s">
        <v>21</v>
      </c>
      <c r="L1218" s="7">
        <v>40151.001076388886</v>
      </c>
      <c r="M1218" s="12" t="s">
        <v>1383</v>
      </c>
      <c r="N1218" s="12" t="s">
        <v>2461</v>
      </c>
      <c r="O1218" s="10" t="str">
        <f>HYPERLINK("https://pbs.twimg.com/profile_images/639888719827345408/SG0dDbF8_normal.jpg","View")</f>
        <v>View</v>
      </c>
      <c r="P1218" s="11"/>
    </row>
    <row r="1219" spans="1:16" ht="12.75" x14ac:dyDescent="0.35">
      <c r="A1219" s="7">
        <v>42479.746469907404</v>
      </c>
      <c r="B1219" s="8" t="str">
        <f>HYPERLINK("https://twitter.com/Derdack","@Derdack")</f>
        <v>@Derdack</v>
      </c>
      <c r="C1219" s="9" t="s">
        <v>2462</v>
      </c>
      <c r="D1219" s="9" t="s">
        <v>2463</v>
      </c>
      <c r="E1219" s="10" t="str">
        <f>HYPERLINK("https://twitter.com/Derdack/status/722400585002184706","722400585002184706")</f>
        <v>722400585002184706</v>
      </c>
      <c r="F1219" s="11" t="s">
        <v>25</v>
      </c>
      <c r="G1219" s="11">
        <v>3270</v>
      </c>
      <c r="H1219" s="11">
        <v>402</v>
      </c>
      <c r="I1219" s="11">
        <v>1</v>
      </c>
      <c r="J1219" s="11">
        <v>0</v>
      </c>
      <c r="K1219" s="11" t="s">
        <v>21</v>
      </c>
      <c r="L1219" s="7">
        <v>40017.830300925925</v>
      </c>
      <c r="M1219" s="12" t="s">
        <v>2464</v>
      </c>
      <c r="N1219" s="12" t="s">
        <v>2465</v>
      </c>
      <c r="O1219" s="10" t="str">
        <f>HYPERLINK("https://pbs.twimg.com/profile_images/627720848200347648/Zn_B8fGh_normal.png","View")</f>
        <v>View</v>
      </c>
      <c r="P1219" s="11"/>
    </row>
    <row r="1220" spans="1:16" ht="12.75" x14ac:dyDescent="0.35">
      <c r="A1220" s="7">
        <v>42479.750798611116</v>
      </c>
      <c r="B1220" s="8" t="str">
        <f>HYPERLINK("https://twitter.com/Apandia","@Apandia")</f>
        <v>@Apandia</v>
      </c>
      <c r="C1220" s="9" t="s">
        <v>245</v>
      </c>
      <c r="D1220" s="9" t="s">
        <v>2466</v>
      </c>
      <c r="E1220" s="10" t="str">
        <f>HYPERLINK("https://twitter.com/Apandia/status/722402151473893376","722402151473893376")</f>
        <v>722402151473893376</v>
      </c>
      <c r="F1220" s="11" t="s">
        <v>115</v>
      </c>
      <c r="G1220" s="11">
        <v>196</v>
      </c>
      <c r="H1220" s="11">
        <v>384</v>
      </c>
      <c r="I1220" s="11">
        <v>0</v>
      </c>
      <c r="J1220" s="11">
        <v>2</v>
      </c>
      <c r="K1220" s="11" t="s">
        <v>21</v>
      </c>
      <c r="L1220" s="7">
        <v>39966.049884259257</v>
      </c>
      <c r="M1220" s="12" t="s">
        <v>247</v>
      </c>
      <c r="N1220" s="12" t="s">
        <v>248</v>
      </c>
      <c r="O1220" s="10" t="str">
        <f>HYPERLINK("https://pbs.twimg.com/profile_images/685327213/Apandia_normal.gif","View")</f>
        <v>View</v>
      </c>
      <c r="P1220" s="11"/>
    </row>
    <row r="1221" spans="1:16" ht="12.75" x14ac:dyDescent="0.35">
      <c r="A1221" s="7">
        <v>42479.757233796292</v>
      </c>
      <c r="B1221" s="8" t="str">
        <f>HYPERLINK("https://twitter.com/wmaxx_consultig","@wmaxx_consultig")</f>
        <v>@wmaxx_consultig</v>
      </c>
      <c r="C1221" s="9" t="s">
        <v>2467</v>
      </c>
      <c r="D1221" s="9" t="s">
        <v>2468</v>
      </c>
      <c r="E1221" s="10" t="str">
        <f>HYPERLINK("https://twitter.com/wmaxx_consultig/status/722404486497574913","722404486497574913")</f>
        <v>722404486497574913</v>
      </c>
      <c r="F1221" s="11" t="s">
        <v>20</v>
      </c>
      <c r="G1221" s="11">
        <v>14</v>
      </c>
      <c r="H1221" s="11">
        <v>63</v>
      </c>
      <c r="I1221" s="11">
        <v>1</v>
      </c>
      <c r="J1221" s="11">
        <v>0</v>
      </c>
      <c r="K1221" s="11" t="s">
        <v>21</v>
      </c>
      <c r="L1221" s="7">
        <v>42426.6175462963</v>
      </c>
      <c r="M1221" s="12" t="s">
        <v>2469</v>
      </c>
      <c r="N1221" s="12" t="s">
        <v>2470</v>
      </c>
      <c r="O1221" s="10" t="str">
        <f>HYPERLINK("https://pbs.twimg.com/profile_images/703148147543920640/eaxyCVcC_normal.jpg","View")</f>
        <v>View</v>
      </c>
      <c r="P1221" s="11"/>
    </row>
    <row r="1222" spans="1:16" ht="12.75" x14ac:dyDescent="0.35">
      <c r="A1222" s="7">
        <v>42479.757754629631</v>
      </c>
      <c r="B1222" s="8" t="str">
        <f>HYPERLINK("https://twitter.com/INDIZbot","@INDIZbot")</f>
        <v>@INDIZbot</v>
      </c>
      <c r="C1222" s="9" t="s">
        <v>61</v>
      </c>
      <c r="D1222" s="9" t="s">
        <v>2471</v>
      </c>
      <c r="E1222" s="10" t="str">
        <f>HYPERLINK("https://twitter.com/INDIZbot/status/722404673479700480","722404673479700480")</f>
        <v>722404673479700480</v>
      </c>
      <c r="F1222" s="11" t="s">
        <v>62</v>
      </c>
      <c r="G1222" s="11">
        <v>1762</v>
      </c>
      <c r="H1222" s="11">
        <v>481</v>
      </c>
      <c r="I1222" s="11">
        <v>1</v>
      </c>
      <c r="J1222" s="11">
        <v>0</v>
      </c>
      <c r="K1222" s="11" t="s">
        <v>21</v>
      </c>
      <c r="L1222" s="7">
        <v>42267.011921296296</v>
      </c>
      <c r="M1222" s="12"/>
      <c r="N1222" s="12" t="s">
        <v>63</v>
      </c>
      <c r="O1222" s="10" t="str">
        <f>HYPERLINK("https://pbs.twimg.com/profile_images/645716711723925506/t5G0qOS6_normal.jpg","View")</f>
        <v>View</v>
      </c>
      <c r="P1222" s="11"/>
    </row>
    <row r="1223" spans="1:16" ht="12.75" x14ac:dyDescent="0.35">
      <c r="A1223" s="7">
        <v>42479.761122685188</v>
      </c>
      <c r="B1223" s="8" t="str">
        <f>HYPERLINK("https://twitter.com/ATKrakow","@ATKrakow")</f>
        <v>@ATKrakow</v>
      </c>
      <c r="C1223" s="9" t="s">
        <v>2472</v>
      </c>
      <c r="D1223" s="9" t="s">
        <v>2473</v>
      </c>
      <c r="E1223" s="10" t="str">
        <f>HYPERLINK("https://twitter.com/ATKrakow/status/722405895309762560","722405895309762560")</f>
        <v>722405895309762560</v>
      </c>
      <c r="F1223" s="11" t="s">
        <v>25</v>
      </c>
      <c r="G1223" s="11">
        <v>422</v>
      </c>
      <c r="H1223" s="11">
        <v>1157</v>
      </c>
      <c r="I1223" s="11">
        <v>0</v>
      </c>
      <c r="J1223" s="11">
        <v>0</v>
      </c>
      <c r="K1223" s="11" t="s">
        <v>21</v>
      </c>
      <c r="L1223" s="7">
        <v>41550.68849537037</v>
      </c>
      <c r="M1223" s="12" t="s">
        <v>2474</v>
      </c>
      <c r="N1223" s="12" t="s">
        <v>2475</v>
      </c>
      <c r="O1223" s="10" t="str">
        <f>HYPERLINK("https://pbs.twimg.com/profile_images/459268580761026560/HJ5Z9vW1_normal.jpeg","View")</f>
        <v>View</v>
      </c>
      <c r="P1223" s="11"/>
    </row>
    <row r="1224" spans="1:16" ht="12.75" x14ac:dyDescent="0.35">
      <c r="A1224" s="7">
        <v>42479.762604166666</v>
      </c>
      <c r="B1224" s="8" t="str">
        <f>HYPERLINK("https://twitter.com/wmaxx_consultig","@wmaxx_consultig")</f>
        <v>@wmaxx_consultig</v>
      </c>
      <c r="C1224" s="9" t="s">
        <v>2467</v>
      </c>
      <c r="D1224" s="9" t="s">
        <v>2476</v>
      </c>
      <c r="E1224" s="10" t="str">
        <f>HYPERLINK("https://twitter.com/wmaxx_consultig/status/722406431891304448","722406431891304448")</f>
        <v>722406431891304448</v>
      </c>
      <c r="F1224" s="11" t="s">
        <v>20</v>
      </c>
      <c r="G1224" s="11">
        <v>14</v>
      </c>
      <c r="H1224" s="11">
        <v>63</v>
      </c>
      <c r="I1224" s="11">
        <v>3</v>
      </c>
      <c r="J1224" s="11">
        <v>0</v>
      </c>
      <c r="K1224" s="11" t="s">
        <v>21</v>
      </c>
      <c r="L1224" s="7">
        <v>42426.6175462963</v>
      </c>
      <c r="M1224" s="12" t="s">
        <v>2469</v>
      </c>
      <c r="N1224" s="12" t="s">
        <v>2470</v>
      </c>
      <c r="O1224" s="10" t="str">
        <f>HYPERLINK("https://pbs.twimg.com/profile_images/703148147543920640/eaxyCVcC_normal.jpg","View")</f>
        <v>View</v>
      </c>
      <c r="P1224" s="11"/>
    </row>
    <row r="1225" spans="1:16" ht="12.75" x14ac:dyDescent="0.35">
      <c r="A1225" s="7">
        <v>42479.764548611114</v>
      </c>
      <c r="B1225" s="8" t="str">
        <f>HYPERLINK("https://twitter.com/evryabova47791","@evryabova47791")</f>
        <v>@evryabova47791</v>
      </c>
      <c r="C1225" s="9" t="s">
        <v>2477</v>
      </c>
      <c r="D1225" s="9" t="s">
        <v>2478</v>
      </c>
      <c r="E1225" s="10" t="str">
        <f>HYPERLINK("https://twitter.com/evryabova47791/status/722407137637502976","722407137637502976")</f>
        <v>722407137637502976</v>
      </c>
      <c r="F1225" s="11" t="s">
        <v>2479</v>
      </c>
      <c r="G1225" s="11">
        <v>1</v>
      </c>
      <c r="H1225" s="11">
        <v>0</v>
      </c>
      <c r="I1225" s="11">
        <v>0</v>
      </c>
      <c r="J1225" s="11">
        <v>0</v>
      </c>
      <c r="K1225" s="11" t="s">
        <v>21</v>
      </c>
      <c r="L1225" s="7">
        <v>42465.695092592592</v>
      </c>
      <c r="M1225" s="12"/>
      <c r="N1225" s="12" t="s">
        <v>2480</v>
      </c>
      <c r="O1225" s="10" t="str">
        <f>HYPERLINK("https://pbs.twimg.com/profile_images/717836135171493888/9Z1Fhzij_normal.jpg","View")</f>
        <v>View</v>
      </c>
      <c r="P1225" s="11"/>
    </row>
    <row r="1226" spans="1:16" ht="12.75" x14ac:dyDescent="0.35">
      <c r="A1226" s="7">
        <v>42479.765925925924</v>
      </c>
      <c r="B1226" s="8" t="str">
        <f>HYPERLINK("https://twitter.com/INDIZbot","@INDIZbot")</f>
        <v>@INDIZbot</v>
      </c>
      <c r="C1226" s="9" t="s">
        <v>61</v>
      </c>
      <c r="D1226" s="9" t="s">
        <v>2476</v>
      </c>
      <c r="E1226" s="10" t="str">
        <f>HYPERLINK("https://twitter.com/INDIZbot/status/722407634297561088","722407634297561088")</f>
        <v>722407634297561088</v>
      </c>
      <c r="F1226" s="11" t="s">
        <v>62</v>
      </c>
      <c r="G1226" s="11">
        <v>1762</v>
      </c>
      <c r="H1226" s="11">
        <v>481</v>
      </c>
      <c r="I1226" s="11">
        <v>3</v>
      </c>
      <c r="J1226" s="11">
        <v>0</v>
      </c>
      <c r="K1226" s="11" t="s">
        <v>21</v>
      </c>
      <c r="L1226" s="7">
        <v>42267.011921296296</v>
      </c>
      <c r="M1226" s="12"/>
      <c r="N1226" s="12" t="s">
        <v>63</v>
      </c>
      <c r="O1226" s="10" t="str">
        <f>HYPERLINK("https://pbs.twimg.com/profile_images/645716711723925506/t5G0qOS6_normal.jpg","View")</f>
        <v>View</v>
      </c>
      <c r="P1226" s="11"/>
    </row>
    <row r="1227" spans="1:16" ht="12.75" x14ac:dyDescent="0.35">
      <c r="A1227" s="7">
        <v>42479.767905092594</v>
      </c>
      <c r="B1227" s="8" t="str">
        <f>HYPERLINK("https://twitter.com/DIN_Norm","@DIN_Norm")</f>
        <v>@DIN_Norm</v>
      </c>
      <c r="C1227" s="9" t="s">
        <v>2481</v>
      </c>
      <c r="D1227" s="9" t="s">
        <v>2482</v>
      </c>
      <c r="E1227" s="10" t="str">
        <f>HYPERLINK("https://twitter.com/DIN_Norm/status/722408350265315328","722408350265315328")</f>
        <v>722408350265315328</v>
      </c>
      <c r="F1227" s="11" t="s">
        <v>25</v>
      </c>
      <c r="G1227" s="11">
        <v>2697</v>
      </c>
      <c r="H1227" s="11">
        <v>448</v>
      </c>
      <c r="I1227" s="11">
        <v>3</v>
      </c>
      <c r="J1227" s="11">
        <v>1</v>
      </c>
      <c r="K1227" s="11" t="s">
        <v>21</v>
      </c>
      <c r="L1227" s="7">
        <v>40024.588194444441</v>
      </c>
      <c r="M1227" s="12" t="s">
        <v>218</v>
      </c>
      <c r="N1227" s="12" t="s">
        <v>2483</v>
      </c>
      <c r="O1227" s="10" t="str">
        <f>HYPERLINK("https://pbs.twimg.com/profile_images/420931967941877760/po-pF7Nr_normal.jpeg","View")</f>
        <v>View</v>
      </c>
      <c r="P1227" s="11"/>
    </row>
    <row r="1228" spans="1:16" ht="12.75" x14ac:dyDescent="0.35">
      <c r="A1228" s="7">
        <v>42479.769155092596</v>
      </c>
      <c r="B1228" s="8" t="str">
        <f>HYPERLINK("https://twitter.com/Databanque","@Databanque")</f>
        <v>@Databanque</v>
      </c>
      <c r="C1228" s="9" t="s">
        <v>1180</v>
      </c>
      <c r="D1228" s="9" t="s">
        <v>2484</v>
      </c>
      <c r="E1228" s="10" t="str">
        <f>HYPERLINK("https://twitter.com/Databanque/status/722408803300282373","722408803300282373")</f>
        <v>722408803300282373</v>
      </c>
      <c r="F1228" s="11" t="s">
        <v>25</v>
      </c>
      <c r="G1228" s="11">
        <v>265</v>
      </c>
      <c r="H1228" s="11">
        <v>610</v>
      </c>
      <c r="I1228" s="11">
        <v>3</v>
      </c>
      <c r="J1228" s="11">
        <v>0</v>
      </c>
      <c r="K1228" s="11" t="s">
        <v>21</v>
      </c>
      <c r="L1228" s="7">
        <v>39984.0387962963</v>
      </c>
      <c r="M1228" s="12" t="s">
        <v>1182</v>
      </c>
      <c r="N1228" s="12" t="s">
        <v>1183</v>
      </c>
      <c r="O1228" s="10" t="str">
        <f>HYPERLINK("https://pbs.twimg.com/profile_images/552211771360940032/CmEYO0l3_normal.png","View")</f>
        <v>View</v>
      </c>
      <c r="P1228" s="11"/>
    </row>
    <row r="1229" spans="1:16" ht="12.75" x14ac:dyDescent="0.35">
      <c r="A1229" s="7">
        <v>42479.770937499998</v>
      </c>
      <c r="B1229" s="8" t="str">
        <f>HYPERLINK("https://twitter.com/CSAGroup_Europa","@CSAGroup_Europa")</f>
        <v>@CSAGroup_Europa</v>
      </c>
      <c r="C1229" s="9" t="s">
        <v>2485</v>
      </c>
      <c r="D1229" s="9" t="s">
        <v>2486</v>
      </c>
      <c r="E1229" s="10" t="str">
        <f>HYPERLINK("https://twitter.com/CSAGroup_Europa/status/722409451769081856","722409451769081856")</f>
        <v>722409451769081856</v>
      </c>
      <c r="F1229" s="11" t="s">
        <v>785</v>
      </c>
      <c r="G1229" s="11">
        <v>31</v>
      </c>
      <c r="H1229" s="11">
        <v>73</v>
      </c>
      <c r="I1229" s="11">
        <v>2</v>
      </c>
      <c r="J1229" s="11">
        <v>0</v>
      </c>
      <c r="K1229" s="11" t="s">
        <v>21</v>
      </c>
      <c r="L1229" s="7">
        <v>42318.783310185187</v>
      </c>
      <c r="M1229" s="12"/>
      <c r="N1229" s="12" t="s">
        <v>2487</v>
      </c>
      <c r="O1229" s="10" t="str">
        <f>HYPERLINK("https://pbs.twimg.com/profile_images/694181475948875776/dYfsbE3P_normal.jpg","View")</f>
        <v>View</v>
      </c>
      <c r="P1229" s="11"/>
    </row>
    <row r="1230" spans="1:16" ht="12.75" x14ac:dyDescent="0.35">
      <c r="A1230" s="7">
        <v>42479.770983796298</v>
      </c>
      <c r="B1230" s="8" t="str">
        <f>HYPERLINK("https://twitter.com/verlinked","@verlinked")</f>
        <v>@verlinked</v>
      </c>
      <c r="C1230" s="9" t="s">
        <v>263</v>
      </c>
      <c r="D1230" s="9" t="s">
        <v>2488</v>
      </c>
      <c r="E1230" s="10" t="str">
        <f>HYPERLINK("https://twitter.com/verlinked/status/722409468391108610","722409468391108610")</f>
        <v>722409468391108610</v>
      </c>
      <c r="F1230" s="11" t="s">
        <v>115</v>
      </c>
      <c r="G1230" s="11">
        <v>600</v>
      </c>
      <c r="H1230" s="11">
        <v>1201</v>
      </c>
      <c r="I1230" s="11">
        <v>1</v>
      </c>
      <c r="J1230" s="11">
        <v>1</v>
      </c>
      <c r="K1230" s="11" t="s">
        <v>21</v>
      </c>
      <c r="L1230" s="7">
        <v>41463.077627314815</v>
      </c>
      <c r="M1230" s="12" t="s">
        <v>265</v>
      </c>
      <c r="N1230" s="12" t="s">
        <v>266</v>
      </c>
      <c r="O1230" s="10" t="str">
        <f>HYPERLINK("https://pbs.twimg.com/profile_images/722385992343285760/ww8YLZ2q_normal.jpg","View")</f>
        <v>View</v>
      </c>
      <c r="P1230" s="11"/>
    </row>
    <row r="1231" spans="1:16" ht="12.75" x14ac:dyDescent="0.35">
      <c r="A1231" s="7">
        <v>42479.772303240738</v>
      </c>
      <c r="B1231" s="8" t="str">
        <f t="shared" ref="B1231:B1232" si="134">HYPERLINK("https://twitter.com/INDIZbot","@INDIZbot")</f>
        <v>@INDIZbot</v>
      </c>
      <c r="C1231" s="9" t="s">
        <v>61</v>
      </c>
      <c r="D1231" s="9" t="s">
        <v>2489</v>
      </c>
      <c r="E1231" s="10" t="str">
        <f>HYPERLINK("https://twitter.com/INDIZbot/status/722409946919346176","722409946919346176")</f>
        <v>722409946919346176</v>
      </c>
      <c r="F1231" s="11" t="s">
        <v>62</v>
      </c>
      <c r="G1231" s="11">
        <v>1762</v>
      </c>
      <c r="H1231" s="11">
        <v>481</v>
      </c>
      <c r="I1231" s="11">
        <v>1</v>
      </c>
      <c r="J1231" s="11">
        <v>0</v>
      </c>
      <c r="K1231" s="11" t="s">
        <v>21</v>
      </c>
      <c r="L1231" s="7">
        <v>42267.011921296296</v>
      </c>
      <c r="M1231" s="12"/>
      <c r="N1231" s="12" t="s">
        <v>63</v>
      </c>
      <c r="O1231" s="10" t="str">
        <f t="shared" ref="O1231:O1232" si="135">HYPERLINK("https://pbs.twimg.com/profile_images/645716711723925506/t5G0qOS6_normal.jpg","View")</f>
        <v>View</v>
      </c>
      <c r="P1231" s="11"/>
    </row>
    <row r="1232" spans="1:16" ht="12.75" x14ac:dyDescent="0.35">
      <c r="A1232" s="7">
        <v>42479.772650462968</v>
      </c>
      <c r="B1232" s="8" t="str">
        <f t="shared" si="134"/>
        <v>@INDIZbot</v>
      </c>
      <c r="C1232" s="9" t="s">
        <v>61</v>
      </c>
      <c r="D1232" s="9" t="s">
        <v>2490</v>
      </c>
      <c r="E1232" s="10" t="str">
        <f>HYPERLINK("https://twitter.com/INDIZbot/status/722410072157110273","722410072157110273")</f>
        <v>722410072157110273</v>
      </c>
      <c r="F1232" s="11" t="s">
        <v>62</v>
      </c>
      <c r="G1232" s="11">
        <v>1762</v>
      </c>
      <c r="H1232" s="11">
        <v>481</v>
      </c>
      <c r="I1232" s="11">
        <v>2</v>
      </c>
      <c r="J1232" s="11">
        <v>0</v>
      </c>
      <c r="K1232" s="11" t="s">
        <v>21</v>
      </c>
      <c r="L1232" s="7">
        <v>42267.011921296296</v>
      </c>
      <c r="M1232" s="12"/>
      <c r="N1232" s="12" t="s">
        <v>63</v>
      </c>
      <c r="O1232" s="10" t="str">
        <f t="shared" si="135"/>
        <v>View</v>
      </c>
      <c r="P1232" s="11"/>
    </row>
    <row r="1233" spans="1:16" ht="12.75" x14ac:dyDescent="0.35">
      <c r="A1233" s="7">
        <v>42479.774293981478</v>
      </c>
      <c r="B1233" s="8" t="str">
        <f>HYPERLINK("https://twitter.com/H_IT_D","@H_IT_D")</f>
        <v>@H_IT_D</v>
      </c>
      <c r="C1233" s="9" t="s">
        <v>159</v>
      </c>
      <c r="D1233" s="9" t="s">
        <v>2491</v>
      </c>
      <c r="E1233" s="10" t="str">
        <f>HYPERLINK("https://twitter.com/H_IT_D/status/722410667471294466","722410667471294466")</f>
        <v>722410667471294466</v>
      </c>
      <c r="F1233" s="11" t="s">
        <v>161</v>
      </c>
      <c r="G1233" s="11">
        <v>463</v>
      </c>
      <c r="H1233" s="11">
        <v>467</v>
      </c>
      <c r="I1233" s="11">
        <v>0</v>
      </c>
      <c r="J1233" s="11">
        <v>0</v>
      </c>
      <c r="K1233" s="11" t="s">
        <v>21</v>
      </c>
      <c r="L1233" s="7">
        <v>40723.867673611108</v>
      </c>
      <c r="M1233" s="12" t="s">
        <v>162</v>
      </c>
      <c r="N1233" s="12" t="s">
        <v>163</v>
      </c>
      <c r="O1233" s="10" t="str">
        <f>HYPERLINK("https://pbs.twimg.com/profile_images/662723326096224256/5V4KH9_O_normal.jpg","View")</f>
        <v>View</v>
      </c>
      <c r="P1233" s="11"/>
    </row>
    <row r="1234" spans="1:16" ht="12.75" x14ac:dyDescent="0.35">
      <c r="A1234" s="7">
        <v>42479.775000000001</v>
      </c>
      <c r="B1234" s="8" t="str">
        <f>HYPERLINK("https://twitter.com/Angela_Josephs","@Angela_Josephs")</f>
        <v>@Angela_Josephs</v>
      </c>
      <c r="C1234" s="9" t="s">
        <v>1612</v>
      </c>
      <c r="D1234" s="9" t="s">
        <v>2492</v>
      </c>
      <c r="E1234" s="10" t="str">
        <f>HYPERLINK("https://twitter.com/Angela_Josephs/status/722410923105861632","722410923105861632")</f>
        <v>722410923105861632</v>
      </c>
      <c r="F1234" s="11" t="s">
        <v>115</v>
      </c>
      <c r="G1234" s="11">
        <v>173</v>
      </c>
      <c r="H1234" s="11">
        <v>83</v>
      </c>
      <c r="I1234" s="11">
        <v>2</v>
      </c>
      <c r="J1234" s="11">
        <v>1</v>
      </c>
      <c r="K1234" s="11" t="s">
        <v>21</v>
      </c>
      <c r="L1234" s="7">
        <v>41954.653541666667</v>
      </c>
      <c r="M1234" s="12" t="s">
        <v>1273</v>
      </c>
      <c r="N1234" s="12" t="s">
        <v>1614</v>
      </c>
      <c r="O1234" s="10" t="str">
        <f>HYPERLINK("https://pbs.twimg.com/profile_images/649572788148285440/Sxl5vTa3_normal.jpg","View")</f>
        <v>View</v>
      </c>
      <c r="P1234" s="11"/>
    </row>
    <row r="1235" spans="1:16" ht="12.75" x14ac:dyDescent="0.35">
      <c r="A1235" s="7">
        <v>42479.77506944444</v>
      </c>
      <c r="B1235" s="8" t="str">
        <f>HYPERLINK("https://twitter.com/OuestValo","@OuestValo")</f>
        <v>@OuestValo</v>
      </c>
      <c r="C1235" s="9" t="s">
        <v>2493</v>
      </c>
      <c r="D1235" s="9" t="s">
        <v>2494</v>
      </c>
      <c r="E1235" s="10" t="str">
        <f>HYPERLINK("https://twitter.com/OuestValo/status/722410950473723904","722410950473723904")</f>
        <v>722410950473723904</v>
      </c>
      <c r="F1235" s="11" t="s">
        <v>25</v>
      </c>
      <c r="G1235" s="11">
        <v>1529</v>
      </c>
      <c r="H1235" s="11">
        <v>749</v>
      </c>
      <c r="I1235" s="11">
        <v>1</v>
      </c>
      <c r="J1235" s="11">
        <v>0</v>
      </c>
      <c r="K1235" s="11" t="s">
        <v>21</v>
      </c>
      <c r="L1235" s="7">
        <v>40844.609791666662</v>
      </c>
      <c r="M1235" s="12" t="s">
        <v>2495</v>
      </c>
      <c r="N1235" s="12" t="s">
        <v>2496</v>
      </c>
      <c r="O1235" s="10" t="str">
        <f>HYPERLINK("https://pbs.twimg.com/profile_images/3078390929/8847ca0ee77a15179992b5695c5c4905_normal.png","View")</f>
        <v>View</v>
      </c>
      <c r="P1235" s="11"/>
    </row>
    <row r="1236" spans="1:16" ht="12.75" x14ac:dyDescent="0.35">
      <c r="A1236" s="7">
        <v>42479.776886574073</v>
      </c>
      <c r="B1236" s="8" t="str">
        <f>HYPERLINK("https://twitter.com/Gruendercoaches","@Gruendercoaches")</f>
        <v>@Gruendercoaches</v>
      </c>
      <c r="C1236" s="9" t="s">
        <v>987</v>
      </c>
      <c r="D1236" s="9" t="s">
        <v>2490</v>
      </c>
      <c r="E1236" s="10" t="str">
        <f>HYPERLINK("https://twitter.com/Gruendercoaches/status/722411608610357248","722411608610357248")</f>
        <v>722411608610357248</v>
      </c>
      <c r="F1236" s="11" t="s">
        <v>25</v>
      </c>
      <c r="G1236" s="11">
        <v>4951</v>
      </c>
      <c r="H1236" s="11">
        <v>1604</v>
      </c>
      <c r="I1236" s="11">
        <v>2</v>
      </c>
      <c r="J1236" s="11">
        <v>0</v>
      </c>
      <c r="K1236" s="11" t="s">
        <v>21</v>
      </c>
      <c r="L1236" s="7">
        <v>40865.780300925922</v>
      </c>
      <c r="M1236" s="12" t="s">
        <v>218</v>
      </c>
      <c r="N1236" s="12" t="s">
        <v>988</v>
      </c>
      <c r="O1236" s="10" t="str">
        <f>HYPERLINK("https://pbs.twimg.com/profile_images/561208179355185153/11KDu7Gt_normal.png","View")</f>
        <v>View</v>
      </c>
      <c r="P1236" s="11"/>
    </row>
    <row r="1237" spans="1:16" ht="12.75" x14ac:dyDescent="0.35">
      <c r="A1237" s="7">
        <v>42479.781759259262</v>
      </c>
      <c r="B1237" s="8" t="str">
        <f>HYPERLINK("https://twitter.com/CapgeminiDE","@CapgeminiDE")</f>
        <v>@CapgeminiDE</v>
      </c>
      <c r="C1237" s="9" t="s">
        <v>280</v>
      </c>
      <c r="D1237" s="9" t="s">
        <v>2497</v>
      </c>
      <c r="E1237" s="10" t="str">
        <f>HYPERLINK("https://twitter.com/CapgeminiDE/status/722413372004810753","722413372004810753")</f>
        <v>722413372004810753</v>
      </c>
      <c r="F1237" s="11" t="s">
        <v>39</v>
      </c>
      <c r="G1237" s="11">
        <v>1640</v>
      </c>
      <c r="H1237" s="11">
        <v>509</v>
      </c>
      <c r="I1237" s="11">
        <v>0</v>
      </c>
      <c r="J1237" s="11">
        <v>0</v>
      </c>
      <c r="K1237" s="11" t="s">
        <v>21</v>
      </c>
      <c r="L1237" s="7">
        <v>40424.022048611107</v>
      </c>
      <c r="M1237" s="12" t="s">
        <v>218</v>
      </c>
      <c r="N1237" s="12" t="s">
        <v>282</v>
      </c>
      <c r="O1237" s="10" t="str">
        <f>HYPERLINK("https://pbs.twimg.com/profile_images/666911961599315968/aP7ID_qm_normal.png","View")</f>
        <v>View</v>
      </c>
      <c r="P1237" s="11"/>
    </row>
    <row r="1238" spans="1:16" ht="12.75" x14ac:dyDescent="0.35">
      <c r="A1238" s="7">
        <v>42479.784050925926</v>
      </c>
      <c r="B1238" s="8" t="str">
        <f>HYPERLINK("https://twitter.com/POLYASVoting","@POLYASVoting")</f>
        <v>@POLYASVoting</v>
      </c>
      <c r="C1238" s="9" t="s">
        <v>2498</v>
      </c>
      <c r="D1238" s="9" t="s">
        <v>2499</v>
      </c>
      <c r="E1238" s="10" t="str">
        <f>HYPERLINK("https://twitter.com/POLYASVoting/status/722414201424089088","722414201424089088")</f>
        <v>722414201424089088</v>
      </c>
      <c r="F1238" s="11" t="s">
        <v>115</v>
      </c>
      <c r="G1238" s="11">
        <v>478</v>
      </c>
      <c r="H1238" s="11">
        <v>965</v>
      </c>
      <c r="I1238" s="11">
        <v>1</v>
      </c>
      <c r="J1238" s="11">
        <v>0</v>
      </c>
      <c r="K1238" s="11" t="s">
        <v>21</v>
      </c>
      <c r="L1238" s="7">
        <v>42020.83871527778</v>
      </c>
      <c r="M1238" s="12" t="s">
        <v>2500</v>
      </c>
      <c r="N1238" s="12" t="s">
        <v>2501</v>
      </c>
      <c r="O1238" s="10" t="str">
        <f>HYPERLINK("https://pbs.twimg.com/profile_images/672007271753338880/vC18hLkb_normal.jpg","View")</f>
        <v>View</v>
      </c>
      <c r="P1238" s="11"/>
    </row>
    <row r="1239" spans="1:16" ht="12.75" x14ac:dyDescent="0.35">
      <c r="A1239" s="7">
        <v>42479.784733796296</v>
      </c>
      <c r="B1239" s="8" t="str">
        <f>HYPERLINK("https://twitter.com/JETZT_PRde","@JETZT_PRde")</f>
        <v>@JETZT_PRde</v>
      </c>
      <c r="C1239" s="9" t="s">
        <v>1356</v>
      </c>
      <c r="D1239" s="9" t="s">
        <v>2502</v>
      </c>
      <c r="E1239" s="10" t="str">
        <f>HYPERLINK("https://twitter.com/JETZT_PRde/status/722414450637193218","722414450637193218")</f>
        <v>722414450637193218</v>
      </c>
      <c r="F1239" s="11" t="s">
        <v>25</v>
      </c>
      <c r="G1239" s="11">
        <v>1677</v>
      </c>
      <c r="H1239" s="11">
        <v>748</v>
      </c>
      <c r="I1239" s="11">
        <v>1</v>
      </c>
      <c r="J1239" s="11">
        <v>0</v>
      </c>
      <c r="K1239" s="11" t="s">
        <v>21</v>
      </c>
      <c r="L1239" s="7">
        <v>40682.604201388887</v>
      </c>
      <c r="M1239" s="12" t="s">
        <v>581</v>
      </c>
      <c r="N1239" s="12" t="s">
        <v>1358</v>
      </c>
      <c r="O1239" s="10" t="str">
        <f>HYPERLINK("https://pbs.twimg.com/profile_images/593011135428882432/BGMPkrwp_normal.jpg","View")</f>
        <v>View</v>
      </c>
      <c r="P1239" s="11"/>
    </row>
    <row r="1240" spans="1:16" ht="12.75" x14ac:dyDescent="0.35">
      <c r="A1240" s="7">
        <v>42479.785543981481</v>
      </c>
      <c r="B1240" s="8" t="str">
        <f t="shared" ref="B1240:B1241" si="136">HYPERLINK("https://twitter.com/INDIZbot","@INDIZbot")</f>
        <v>@INDIZbot</v>
      </c>
      <c r="C1240" s="9" t="s">
        <v>61</v>
      </c>
      <c r="D1240" s="9" t="s">
        <v>2503</v>
      </c>
      <c r="E1240" s="10" t="str">
        <f>HYPERLINK("https://twitter.com/INDIZbot/status/722414743328276486","722414743328276486")</f>
        <v>722414743328276486</v>
      </c>
      <c r="F1240" s="11" t="s">
        <v>62</v>
      </c>
      <c r="G1240" s="11">
        <v>1762</v>
      </c>
      <c r="H1240" s="11">
        <v>481</v>
      </c>
      <c r="I1240" s="11">
        <v>1</v>
      </c>
      <c r="J1240" s="11">
        <v>0</v>
      </c>
      <c r="K1240" s="11" t="s">
        <v>21</v>
      </c>
      <c r="L1240" s="7">
        <v>42267.011921296296</v>
      </c>
      <c r="M1240" s="12"/>
      <c r="N1240" s="12" t="s">
        <v>63</v>
      </c>
      <c r="O1240" s="10" t="str">
        <f t="shared" ref="O1240:O1241" si="137">HYPERLINK("https://pbs.twimg.com/profile_images/645716711723925506/t5G0qOS6_normal.jpg","View")</f>
        <v>View</v>
      </c>
      <c r="P1240" s="11"/>
    </row>
    <row r="1241" spans="1:16" ht="12.75" x14ac:dyDescent="0.35">
      <c r="A1241" s="7">
        <v>42479.785868055551</v>
      </c>
      <c r="B1241" s="8" t="str">
        <f t="shared" si="136"/>
        <v>@INDIZbot</v>
      </c>
      <c r="C1241" s="9" t="s">
        <v>61</v>
      </c>
      <c r="D1241" s="9" t="s">
        <v>2504</v>
      </c>
      <c r="E1241" s="10" t="str">
        <f>HYPERLINK("https://twitter.com/INDIZbot/status/722414861523791876","722414861523791876")</f>
        <v>722414861523791876</v>
      </c>
      <c r="F1241" s="11" t="s">
        <v>62</v>
      </c>
      <c r="G1241" s="11">
        <v>1762</v>
      </c>
      <c r="H1241" s="11">
        <v>481</v>
      </c>
      <c r="I1241" s="11">
        <v>1</v>
      </c>
      <c r="J1241" s="11">
        <v>0</v>
      </c>
      <c r="K1241" s="11" t="s">
        <v>21</v>
      </c>
      <c r="L1241" s="7">
        <v>42267.011921296296</v>
      </c>
      <c r="M1241" s="12"/>
      <c r="N1241" s="12" t="s">
        <v>63</v>
      </c>
      <c r="O1241" s="10" t="str">
        <f t="shared" si="137"/>
        <v>View</v>
      </c>
      <c r="P1241" s="11"/>
    </row>
    <row r="1242" spans="1:16" ht="12.75" x14ac:dyDescent="0.35">
      <c r="A1242" s="7">
        <v>42479.788472222222</v>
      </c>
      <c r="B1242" s="8" t="str">
        <f>HYPERLINK("https://twitter.com/HubertusGrass","@HubertusGrass")</f>
        <v>@HubertusGrass</v>
      </c>
      <c r="C1242" s="9" t="s">
        <v>2505</v>
      </c>
      <c r="D1242" s="9" t="s">
        <v>2506</v>
      </c>
      <c r="E1242" s="10" t="str">
        <f>HYPERLINK("https://twitter.com/HubertusGrass/status/722415807028936704","722415807028936704")</f>
        <v>722415807028936704</v>
      </c>
      <c r="F1242" s="11" t="s">
        <v>115</v>
      </c>
      <c r="G1242" s="11">
        <v>509</v>
      </c>
      <c r="H1242" s="11">
        <v>718</v>
      </c>
      <c r="I1242" s="11">
        <v>1</v>
      </c>
      <c r="J1242" s="11">
        <v>0</v>
      </c>
      <c r="K1242" s="11" t="s">
        <v>21</v>
      </c>
      <c r="L1242" s="7">
        <v>39990.578472222223</v>
      </c>
      <c r="M1242" s="12" t="s">
        <v>2507</v>
      </c>
      <c r="N1242" s="12" t="s">
        <v>2508</v>
      </c>
      <c r="O1242" s="10" t="str">
        <f>HYPERLINK("https://pbs.twimg.com/profile_images/378800000858333349/pwsmqccf_normal.jpeg","View")</f>
        <v>View</v>
      </c>
      <c r="P1242" s="11"/>
    </row>
    <row r="1243" spans="1:16" ht="12.75" x14ac:dyDescent="0.35">
      <c r="A1243" s="7">
        <v>42479.789884259255</v>
      </c>
      <c r="B1243" s="8" t="str">
        <f>HYPERLINK("https://twitter.com/Bitkom","@Bitkom")</f>
        <v>@Bitkom</v>
      </c>
      <c r="C1243" s="9" t="s">
        <v>216</v>
      </c>
      <c r="D1243" s="9" t="s">
        <v>2509</v>
      </c>
      <c r="E1243" s="10" t="str">
        <f>HYPERLINK("https://twitter.com/Bitkom/status/722416316347494402","722416316347494402")</f>
        <v>722416316347494402</v>
      </c>
      <c r="F1243" s="11" t="s">
        <v>25</v>
      </c>
      <c r="G1243" s="11">
        <v>21088</v>
      </c>
      <c r="H1243" s="11">
        <v>3258</v>
      </c>
      <c r="I1243" s="11">
        <v>3</v>
      </c>
      <c r="J1243" s="11">
        <v>4</v>
      </c>
      <c r="K1243" s="11" t="s">
        <v>21</v>
      </c>
      <c r="L1243" s="7">
        <v>39757.913229166668</v>
      </c>
      <c r="M1243" s="12" t="s">
        <v>218</v>
      </c>
      <c r="N1243" s="12" t="s">
        <v>219</v>
      </c>
      <c r="O1243" s="10" t="str">
        <f>HYPERLINK("https://pbs.twimg.com/profile_images/615797525040136192/CKF9-v_o_normal.jpg","View")</f>
        <v>View</v>
      </c>
      <c r="P1243" s="11"/>
    </row>
    <row r="1244" spans="1:16" ht="12.75" x14ac:dyDescent="0.35">
      <c r="A1244" s="7">
        <v>42479.791458333333</v>
      </c>
      <c r="B1244" s="8" t="str">
        <f>HYPERLINK("https://twitter.com/JETZT_PRde","@JETZT_PRde")</f>
        <v>@JETZT_PRde</v>
      </c>
      <c r="C1244" s="9" t="s">
        <v>1356</v>
      </c>
      <c r="D1244" s="9" t="s">
        <v>2510</v>
      </c>
      <c r="E1244" s="10" t="str">
        <f>HYPERLINK("https://twitter.com/JETZT_PRde/status/722416887242600448","722416887242600448")</f>
        <v>722416887242600448</v>
      </c>
      <c r="F1244" s="11" t="s">
        <v>25</v>
      </c>
      <c r="G1244" s="11">
        <v>1677</v>
      </c>
      <c r="H1244" s="11">
        <v>748</v>
      </c>
      <c r="I1244" s="11">
        <v>1</v>
      </c>
      <c r="J1244" s="11">
        <v>1</v>
      </c>
      <c r="K1244" s="11" t="s">
        <v>21</v>
      </c>
      <c r="L1244" s="7">
        <v>40682.604201388887</v>
      </c>
      <c r="M1244" s="12" t="s">
        <v>581</v>
      </c>
      <c r="N1244" s="12" t="s">
        <v>1358</v>
      </c>
      <c r="O1244" s="10" t="str">
        <f>HYPERLINK("https://pbs.twimg.com/profile_images/593011135428882432/BGMPkrwp_normal.jpg","View")</f>
        <v>View</v>
      </c>
      <c r="P1244" s="11"/>
    </row>
    <row r="1245" spans="1:16" ht="12.75" x14ac:dyDescent="0.35">
      <c r="A1245" s="7">
        <v>42479.791747685187</v>
      </c>
      <c r="B1245" s="8" t="str">
        <f>HYPERLINK("https://twitter.com/dictaJet","@dictaJet")</f>
        <v>@dictaJet</v>
      </c>
      <c r="C1245" s="9" t="s">
        <v>2511</v>
      </c>
      <c r="D1245" s="9" t="s">
        <v>2512</v>
      </c>
      <c r="E1245" s="10" t="str">
        <f>HYPERLINK("https://twitter.com/dictaJet/status/722416992158892032","722416992158892032")</f>
        <v>722416992158892032</v>
      </c>
      <c r="F1245" s="11" t="s">
        <v>25</v>
      </c>
      <c r="G1245" s="11">
        <v>31</v>
      </c>
      <c r="H1245" s="11">
        <v>57</v>
      </c>
      <c r="I1245" s="11">
        <v>4</v>
      </c>
      <c r="J1245" s="11">
        <v>1</v>
      </c>
      <c r="K1245" s="11" t="s">
        <v>21</v>
      </c>
      <c r="L1245" s="7">
        <v>40521.771608796298</v>
      </c>
      <c r="M1245" s="12" t="s">
        <v>2513</v>
      </c>
      <c r="N1245" s="12" t="s">
        <v>2514</v>
      </c>
      <c r="O1245" s="10" t="str">
        <f>HYPERLINK("https://pbs.twimg.com/profile_images/3151814681/889304b58206053d6f22bd0b52344369_normal.jpeg","View")</f>
        <v>View</v>
      </c>
      <c r="P1245" s="11"/>
    </row>
    <row r="1246" spans="1:16" ht="12.75" x14ac:dyDescent="0.35">
      <c r="A1246" s="7">
        <v>42479.792708333334</v>
      </c>
      <c r="B1246" s="8" t="str">
        <f t="shared" ref="B1246:B1247" si="138">HYPERLINK("https://twitter.com/INDIZbot","@INDIZbot")</f>
        <v>@INDIZbot</v>
      </c>
      <c r="C1246" s="9" t="s">
        <v>61</v>
      </c>
      <c r="D1246" s="9" t="s">
        <v>2515</v>
      </c>
      <c r="E1246" s="10" t="str">
        <f>HYPERLINK("https://twitter.com/INDIZbot/status/722417340210618369","722417340210618369")</f>
        <v>722417340210618369</v>
      </c>
      <c r="F1246" s="11" t="s">
        <v>62</v>
      </c>
      <c r="G1246" s="11">
        <v>1762</v>
      </c>
      <c r="H1246" s="11">
        <v>481</v>
      </c>
      <c r="I1246" s="11">
        <v>4</v>
      </c>
      <c r="J1246" s="11">
        <v>0</v>
      </c>
      <c r="K1246" s="11" t="s">
        <v>21</v>
      </c>
      <c r="L1246" s="7">
        <v>42267.011921296296</v>
      </c>
      <c r="M1246" s="12"/>
      <c r="N1246" s="12" t="s">
        <v>63</v>
      </c>
      <c r="O1246" s="10" t="str">
        <f t="shared" ref="O1246:O1247" si="139">HYPERLINK("https://pbs.twimg.com/profile_images/645716711723925506/t5G0qOS6_normal.jpg","View")</f>
        <v>View</v>
      </c>
      <c r="P1246" s="11"/>
    </row>
    <row r="1247" spans="1:16" ht="12.75" x14ac:dyDescent="0.35">
      <c r="A1247" s="7">
        <v>42479.792893518519</v>
      </c>
      <c r="B1247" s="8" t="str">
        <f t="shared" si="138"/>
        <v>@INDIZbot</v>
      </c>
      <c r="C1247" s="9" t="s">
        <v>61</v>
      </c>
      <c r="D1247" s="9" t="s">
        <v>2516</v>
      </c>
      <c r="E1247" s="10" t="str">
        <f>HYPERLINK("https://twitter.com/INDIZbot/status/722417408728776704","722417408728776704")</f>
        <v>722417408728776704</v>
      </c>
      <c r="F1247" s="11" t="s">
        <v>62</v>
      </c>
      <c r="G1247" s="11">
        <v>1762</v>
      </c>
      <c r="H1247" s="11">
        <v>481</v>
      </c>
      <c r="I1247" s="11">
        <v>1</v>
      </c>
      <c r="J1247" s="11">
        <v>0</v>
      </c>
      <c r="K1247" s="11" t="s">
        <v>21</v>
      </c>
      <c r="L1247" s="7">
        <v>42267.011921296296</v>
      </c>
      <c r="M1247" s="12"/>
      <c r="N1247" s="12" t="s">
        <v>63</v>
      </c>
      <c r="O1247" s="10" t="str">
        <f t="shared" si="139"/>
        <v>View</v>
      </c>
      <c r="P1247" s="11"/>
    </row>
    <row r="1248" spans="1:16" ht="12.75" x14ac:dyDescent="0.35">
      <c r="A1248" s="7">
        <v>42479.793182870373</v>
      </c>
      <c r="B1248" s="8" t="str">
        <f>HYPERLINK("https://twitter.com/ITK_OWL","@ITK_OWL")</f>
        <v>@ITK_OWL</v>
      </c>
      <c r="C1248" s="9" t="s">
        <v>220</v>
      </c>
      <c r="D1248" s="9" t="s">
        <v>2517</v>
      </c>
      <c r="E1248" s="10" t="str">
        <f>HYPERLINK("https://twitter.com/ITK_OWL/status/722417512248434688","722417512248434688")</f>
        <v>722417512248434688</v>
      </c>
      <c r="F1248" s="11" t="s">
        <v>222</v>
      </c>
      <c r="G1248" s="11">
        <v>199</v>
      </c>
      <c r="H1248" s="11">
        <v>389</v>
      </c>
      <c r="I1248" s="11">
        <v>0</v>
      </c>
      <c r="J1248" s="11">
        <v>0</v>
      </c>
      <c r="K1248" s="11" t="s">
        <v>21</v>
      </c>
      <c r="L1248" s="7">
        <v>42146.57880787037</v>
      </c>
      <c r="M1248" s="12" t="s">
        <v>223</v>
      </c>
      <c r="N1248" s="12" t="s">
        <v>224</v>
      </c>
      <c r="O1248" s="10" t="str">
        <f>HYPERLINK("https://pbs.twimg.com/profile_images/601673968551075840/MnulnKkj_normal.png","View")</f>
        <v>View</v>
      </c>
      <c r="P1248" s="11"/>
    </row>
    <row r="1249" spans="1:16" ht="12.75" x14ac:dyDescent="0.35">
      <c r="A1249" s="7">
        <v>42479.793356481481</v>
      </c>
      <c r="B1249" s="8" t="str">
        <f>HYPERLINK("https://twitter.com/INDIZbot","@INDIZbot")</f>
        <v>@INDIZbot</v>
      </c>
      <c r="C1249" s="9" t="s">
        <v>61</v>
      </c>
      <c r="D1249" s="9" t="s">
        <v>2518</v>
      </c>
      <c r="E1249" s="10" t="str">
        <f>HYPERLINK("https://twitter.com/INDIZbot/status/722417576404496385","722417576404496385")</f>
        <v>722417576404496385</v>
      </c>
      <c r="F1249" s="11" t="s">
        <v>62</v>
      </c>
      <c r="G1249" s="11">
        <v>1762</v>
      </c>
      <c r="H1249" s="11">
        <v>481</v>
      </c>
      <c r="I1249" s="11">
        <v>3</v>
      </c>
      <c r="J1249" s="11">
        <v>0</v>
      </c>
      <c r="K1249" s="11" t="s">
        <v>21</v>
      </c>
      <c r="L1249" s="7">
        <v>42267.011921296296</v>
      </c>
      <c r="M1249" s="12"/>
      <c r="N1249" s="12" t="s">
        <v>63</v>
      </c>
      <c r="O1249" s="10" t="str">
        <f>HYPERLINK("https://pbs.twimg.com/profile_images/645716711723925506/t5G0qOS6_normal.jpg","View")</f>
        <v>View</v>
      </c>
      <c r="P1249" s="11"/>
    </row>
    <row r="1250" spans="1:16" ht="12.75" x14ac:dyDescent="0.35">
      <c r="A1250" s="7">
        <v>42479.794525462959</v>
      </c>
      <c r="B1250" s="8" t="str">
        <f>HYPERLINK("https://twitter.com/KarinZuehlke","@KarinZuehlke")</f>
        <v>@KarinZuehlke</v>
      </c>
      <c r="C1250" s="9" t="s">
        <v>2519</v>
      </c>
      <c r="D1250" s="9" t="s">
        <v>2520</v>
      </c>
      <c r="E1250" s="10" t="str">
        <f>HYPERLINK("https://twitter.com/KarinZuehlke/status/722417999408406528","722417999408406528")</f>
        <v>722417999408406528</v>
      </c>
      <c r="F1250" s="11" t="s">
        <v>25</v>
      </c>
      <c r="G1250" s="11">
        <v>239</v>
      </c>
      <c r="H1250" s="11">
        <v>128</v>
      </c>
      <c r="I1250" s="11">
        <v>0</v>
      </c>
      <c r="J1250" s="11">
        <v>1</v>
      </c>
      <c r="K1250" s="11" t="s">
        <v>21</v>
      </c>
      <c r="L1250" s="7">
        <v>41313.661759259259</v>
      </c>
      <c r="M1250" s="12" t="s">
        <v>2521</v>
      </c>
      <c r="N1250" s="12" t="s">
        <v>2522</v>
      </c>
      <c r="O1250" s="10" t="str">
        <f>HYPERLINK("https://pbs.twimg.com/profile_images/566177236412162049/EX91Psgn_normal.jpeg","View")</f>
        <v>View</v>
      </c>
      <c r="P1250" s="11"/>
    </row>
    <row r="1251" spans="1:16" ht="12.75" x14ac:dyDescent="0.35">
      <c r="A1251" s="7">
        <v>42479.800023148149</v>
      </c>
      <c r="B1251" s="8" t="str">
        <f>HYPERLINK("https://twitter.com/croXXing_IBD","@croXXing_IBD")</f>
        <v>@croXXing_IBD</v>
      </c>
      <c r="C1251" s="9" t="s">
        <v>252</v>
      </c>
      <c r="D1251" s="9" t="s">
        <v>2523</v>
      </c>
      <c r="E1251" s="10" t="str">
        <f>HYPERLINK("https://twitter.com/croXXing_IBD/status/722419990314553344","722419990314553344")</f>
        <v>722419990314553344</v>
      </c>
      <c r="F1251" s="11" t="s">
        <v>222</v>
      </c>
      <c r="G1251" s="11">
        <v>40</v>
      </c>
      <c r="H1251" s="11">
        <v>137</v>
      </c>
      <c r="I1251" s="11">
        <v>0</v>
      </c>
      <c r="J1251" s="11">
        <v>0</v>
      </c>
      <c r="K1251" s="11" t="s">
        <v>21</v>
      </c>
      <c r="L1251" s="7">
        <v>42140.148263888885</v>
      </c>
      <c r="M1251" s="12" t="s">
        <v>223</v>
      </c>
      <c r="N1251" s="12" t="s">
        <v>254</v>
      </c>
      <c r="O1251" s="10" t="str">
        <f>HYPERLINK("https://pbs.twimg.com/profile_images/600279861282869249/IpIJ3MKX_normal.png","View")</f>
        <v>View</v>
      </c>
      <c r="P1251" s="11"/>
    </row>
    <row r="1252" spans="1:16" ht="12.75" x14ac:dyDescent="0.35">
      <c r="A1252" s="7">
        <v>42479.804432870369</v>
      </c>
      <c r="B1252" s="8" t="str">
        <f>HYPERLINK("https://twitter.com/Gruendercoaches","@Gruendercoaches")</f>
        <v>@Gruendercoaches</v>
      </c>
      <c r="C1252" s="9" t="s">
        <v>987</v>
      </c>
      <c r="D1252" s="9" t="s">
        <v>2518</v>
      </c>
      <c r="E1252" s="10" t="str">
        <f>HYPERLINK("https://twitter.com/Gruendercoaches/status/722421590760275968","722421590760275968")</f>
        <v>722421590760275968</v>
      </c>
      <c r="F1252" s="11" t="s">
        <v>20</v>
      </c>
      <c r="G1252" s="11">
        <v>4951</v>
      </c>
      <c r="H1252" s="11">
        <v>1604</v>
      </c>
      <c r="I1252" s="11">
        <v>3</v>
      </c>
      <c r="J1252" s="11">
        <v>0</v>
      </c>
      <c r="K1252" s="11" t="s">
        <v>21</v>
      </c>
      <c r="L1252" s="7">
        <v>40865.780300925922</v>
      </c>
      <c r="M1252" s="12" t="s">
        <v>218</v>
      </c>
      <c r="N1252" s="12" t="s">
        <v>988</v>
      </c>
      <c r="O1252" s="10" t="str">
        <f>HYPERLINK("https://pbs.twimg.com/profile_images/561208179355185153/11KDu7Gt_normal.png","View")</f>
        <v>View</v>
      </c>
      <c r="P1252" s="11"/>
    </row>
    <row r="1253" spans="1:16" ht="12.75" x14ac:dyDescent="0.35">
      <c r="A1253" s="7">
        <v>42479.811423611114</v>
      </c>
      <c r="B1253" s="8" t="str">
        <f>HYPERLINK("https://twitter.com/LeasingVerband","@LeasingVerband")</f>
        <v>@LeasingVerband</v>
      </c>
      <c r="C1253" s="9" t="s">
        <v>1330</v>
      </c>
      <c r="D1253" s="9" t="s">
        <v>2524</v>
      </c>
      <c r="E1253" s="10" t="str">
        <f>HYPERLINK("https://twitter.com/LeasingVerband/status/722424120965742592","722424120965742592")</f>
        <v>722424120965742592</v>
      </c>
      <c r="F1253" s="11" t="s">
        <v>25</v>
      </c>
      <c r="G1253" s="11">
        <v>85</v>
      </c>
      <c r="H1253" s="11">
        <v>188</v>
      </c>
      <c r="I1253" s="11">
        <v>1</v>
      </c>
      <c r="J1253" s="11">
        <v>0</v>
      </c>
      <c r="K1253" s="11" t="s">
        <v>21</v>
      </c>
      <c r="L1253" s="7">
        <v>42018.857268518521</v>
      </c>
      <c r="M1253" s="12" t="s">
        <v>1332</v>
      </c>
      <c r="N1253" s="12" t="s">
        <v>1333</v>
      </c>
      <c r="O1253" s="10" t="str">
        <f>HYPERLINK("https://pbs.twimg.com/profile_images/657444681853198336/u2cJqzo7_normal.jpg","View")</f>
        <v>View</v>
      </c>
      <c r="P1253" s="11"/>
    </row>
    <row r="1254" spans="1:16" ht="12.75" x14ac:dyDescent="0.35">
      <c r="A1254" s="7">
        <v>42479.811886574069</v>
      </c>
      <c r="B1254" s="8" t="str">
        <f>HYPERLINK("https://twitter.com/itsOWL_Cluster","@itsOWL_Cluster")</f>
        <v>@itsOWL_Cluster</v>
      </c>
      <c r="C1254" s="9" t="s">
        <v>2440</v>
      </c>
      <c r="D1254" s="9" t="s">
        <v>2525</v>
      </c>
      <c r="E1254" s="10" t="str">
        <f>HYPERLINK("https://twitter.com/itsOWL_Cluster/status/722424292064014337","722424292064014337")</f>
        <v>722424292064014337</v>
      </c>
      <c r="F1254" s="11" t="s">
        <v>25</v>
      </c>
      <c r="G1254" s="11">
        <v>375</v>
      </c>
      <c r="H1254" s="11">
        <v>359</v>
      </c>
      <c r="I1254" s="11">
        <v>6</v>
      </c>
      <c r="J1254" s="11">
        <v>3</v>
      </c>
      <c r="K1254" s="11" t="s">
        <v>21</v>
      </c>
      <c r="L1254" s="7">
        <v>41289.849050925928</v>
      </c>
      <c r="M1254" s="12" t="s">
        <v>2442</v>
      </c>
      <c r="N1254" s="12" t="s">
        <v>2443</v>
      </c>
      <c r="O1254" s="10" t="str">
        <f>HYPERLINK("https://pbs.twimg.com/profile_images/3542998130/5e65449daa56d18e9aab7f6535dc25fc_normal.jpeg","View")</f>
        <v>View</v>
      </c>
      <c r="P1254" s="11"/>
    </row>
    <row r="1255" spans="1:16" ht="12.75" x14ac:dyDescent="0.35">
      <c r="A1255" s="7">
        <v>42479.813310185185</v>
      </c>
      <c r="B1255" s="8" t="str">
        <f>HYPERLINK("https://twitter.com/ITK_OWL","@ITK_OWL")</f>
        <v>@ITK_OWL</v>
      </c>
      <c r="C1255" s="9" t="s">
        <v>220</v>
      </c>
      <c r="D1255" s="9" t="s">
        <v>2526</v>
      </c>
      <c r="E1255" s="10" t="str">
        <f>HYPERLINK("https://twitter.com/ITK_OWL/status/722424805480378370","722424805480378370")</f>
        <v>722424805480378370</v>
      </c>
      <c r="F1255" s="11" t="s">
        <v>222</v>
      </c>
      <c r="G1255" s="11">
        <v>199</v>
      </c>
      <c r="H1255" s="11">
        <v>389</v>
      </c>
      <c r="I1255" s="11">
        <v>0</v>
      </c>
      <c r="J1255" s="11">
        <v>0</v>
      </c>
      <c r="K1255" s="11" t="s">
        <v>21</v>
      </c>
      <c r="L1255" s="7">
        <v>42146.57880787037</v>
      </c>
      <c r="M1255" s="12" t="s">
        <v>223</v>
      </c>
      <c r="N1255" s="12" t="s">
        <v>224</v>
      </c>
      <c r="O1255" s="10" t="str">
        <f>HYPERLINK("https://pbs.twimg.com/profile_images/601673968551075840/MnulnKkj_normal.png","View")</f>
        <v>View</v>
      </c>
      <c r="P1255" s="11"/>
    </row>
    <row r="1256" spans="1:16" ht="12.75" x14ac:dyDescent="0.35">
      <c r="A1256" s="7">
        <v>42479.813657407409</v>
      </c>
      <c r="B1256" s="8" t="str">
        <f>HYPERLINK("https://twitter.com/INDIZbot","@INDIZbot")</f>
        <v>@INDIZbot</v>
      </c>
      <c r="C1256" s="9" t="s">
        <v>61</v>
      </c>
      <c r="D1256" s="9" t="s">
        <v>2527</v>
      </c>
      <c r="E1256" s="10" t="str">
        <f>HYPERLINK("https://twitter.com/INDIZbot/status/722424932387438592","722424932387438592")</f>
        <v>722424932387438592</v>
      </c>
      <c r="F1256" s="11" t="s">
        <v>62</v>
      </c>
      <c r="G1256" s="11">
        <v>1762</v>
      </c>
      <c r="H1256" s="11">
        <v>481</v>
      </c>
      <c r="I1256" s="11">
        <v>6</v>
      </c>
      <c r="J1256" s="11">
        <v>0</v>
      </c>
      <c r="K1256" s="11" t="s">
        <v>21</v>
      </c>
      <c r="L1256" s="7">
        <v>42267.011921296296</v>
      </c>
      <c r="M1256" s="12"/>
      <c r="N1256" s="12" t="s">
        <v>63</v>
      </c>
      <c r="O1256" s="10" t="str">
        <f>HYPERLINK("https://pbs.twimg.com/profile_images/645716711723925506/t5G0qOS6_normal.jpg","View")</f>
        <v>View</v>
      </c>
      <c r="P1256" s="11"/>
    </row>
    <row r="1257" spans="1:16" ht="12.75" x14ac:dyDescent="0.35">
      <c r="A1257" s="7">
        <v>42479.815034722225</v>
      </c>
      <c r="B1257" s="8" t="str">
        <f>HYPERLINK("https://twitter.com/LuetzeSolutions","@LuetzeSolutions")</f>
        <v>@LuetzeSolutions</v>
      </c>
      <c r="C1257" s="9" t="s">
        <v>2528</v>
      </c>
      <c r="D1257" s="9" t="s">
        <v>2529</v>
      </c>
      <c r="E1257" s="10" t="str">
        <f>HYPERLINK("https://twitter.com/LuetzeSolutions/status/722425429861249024","722425429861249024")</f>
        <v>722425429861249024</v>
      </c>
      <c r="F1257" s="11" t="s">
        <v>31</v>
      </c>
      <c r="G1257" s="11">
        <v>1523</v>
      </c>
      <c r="H1257" s="11">
        <v>889</v>
      </c>
      <c r="I1257" s="11">
        <v>0</v>
      </c>
      <c r="J1257" s="11">
        <v>3</v>
      </c>
      <c r="K1257" s="11" t="s">
        <v>21</v>
      </c>
      <c r="L1257" s="7">
        <v>40760.502627314811</v>
      </c>
      <c r="M1257" s="12" t="s">
        <v>2530</v>
      </c>
      <c r="N1257" s="12" t="s">
        <v>2531</v>
      </c>
      <c r="O1257" s="10" t="str">
        <f>HYPERLINK("https://pbs.twimg.com/profile_images/473761360644292608/at3KLOzY_normal.jpeg","View")</f>
        <v>View</v>
      </c>
      <c r="P1257" s="11"/>
    </row>
    <row r="1258" spans="1:16" ht="12.75" x14ac:dyDescent="0.35">
      <c r="A1258" s="7">
        <v>42479.815057870372</v>
      </c>
      <c r="B1258" s="8" t="str">
        <f>HYPERLINK("https://twitter.com/BayrleU","@BayrleU")</f>
        <v>@BayrleU</v>
      </c>
      <c r="C1258" s="9" t="s">
        <v>2532</v>
      </c>
      <c r="D1258" s="9" t="s">
        <v>2527</v>
      </c>
      <c r="E1258" s="10" t="str">
        <f>HYPERLINK("https://twitter.com/BayrleU/status/722425439604629504","722425439604629504")</f>
        <v>722425439604629504</v>
      </c>
      <c r="F1258" s="11" t="s">
        <v>20</v>
      </c>
      <c r="G1258" s="11">
        <v>2845</v>
      </c>
      <c r="H1258" s="11">
        <v>5001</v>
      </c>
      <c r="I1258" s="11">
        <v>6</v>
      </c>
      <c r="J1258" s="11">
        <v>0</v>
      </c>
      <c r="K1258" s="11" t="s">
        <v>21</v>
      </c>
      <c r="L1258" s="7">
        <v>42039.96130787037</v>
      </c>
      <c r="M1258" s="12" t="s">
        <v>2533</v>
      </c>
      <c r="N1258" s="12" t="s">
        <v>2534</v>
      </c>
      <c r="O1258" s="10" t="str">
        <f>HYPERLINK("https://pbs.twimg.com/profile_images/563085898670411776/v47_gzDm_normal.jpeg","View")</f>
        <v>View</v>
      </c>
      <c r="P1258" s="11"/>
    </row>
    <row r="1259" spans="1:16" ht="12.75" x14ac:dyDescent="0.35">
      <c r="A1259" s="7">
        <v>42479.815995370373</v>
      </c>
      <c r="B1259" s="8" t="str">
        <f>HYPERLINK("https://twitter.com/kommoptimierer","@kommoptimierer")</f>
        <v>@kommoptimierer</v>
      </c>
      <c r="C1259" s="9" t="s">
        <v>270</v>
      </c>
      <c r="D1259" s="9" t="s">
        <v>505</v>
      </c>
      <c r="E1259" s="10" t="str">
        <f>HYPERLINK("https://twitter.com/kommoptimierer/status/722425777736781826","722425777736781826")</f>
        <v>722425777736781826</v>
      </c>
      <c r="F1259" s="11" t="s">
        <v>272</v>
      </c>
      <c r="G1259" s="11">
        <v>1347</v>
      </c>
      <c r="H1259" s="11">
        <v>1753</v>
      </c>
      <c r="I1259" s="11">
        <v>1</v>
      </c>
      <c r="J1259" s="11">
        <v>0</v>
      </c>
      <c r="K1259" s="11" t="s">
        <v>21</v>
      </c>
      <c r="L1259" s="7">
        <v>39986.860358796301</v>
      </c>
      <c r="M1259" s="12" t="s">
        <v>273</v>
      </c>
      <c r="N1259" s="12" t="s">
        <v>274</v>
      </c>
      <c r="O1259" s="10" t="str">
        <f>HYPERLINK("https://pbs.twimg.com/profile_images/541146126158536704/IYardufS_normal.jpeg","View")</f>
        <v>View</v>
      </c>
      <c r="P1259" s="11"/>
    </row>
    <row r="1260" spans="1:16" ht="12.75" x14ac:dyDescent="0.35">
      <c r="A1260" s="7">
        <v>42479.821469907409</v>
      </c>
      <c r="B1260" s="8" t="str">
        <f>HYPERLINK("https://twitter.com/INDIZbot","@INDIZbot")</f>
        <v>@INDIZbot</v>
      </c>
      <c r="C1260" s="9" t="s">
        <v>61</v>
      </c>
      <c r="D1260" s="9" t="s">
        <v>2535</v>
      </c>
      <c r="E1260" s="10" t="str">
        <f>HYPERLINK("https://twitter.com/INDIZbot/status/722427764993888257","722427764993888257")</f>
        <v>722427764993888257</v>
      </c>
      <c r="F1260" s="11" t="s">
        <v>62</v>
      </c>
      <c r="G1260" s="11">
        <v>1762</v>
      </c>
      <c r="H1260" s="11">
        <v>481</v>
      </c>
      <c r="I1260" s="11">
        <v>1</v>
      </c>
      <c r="J1260" s="11">
        <v>0</v>
      </c>
      <c r="K1260" s="11" t="s">
        <v>21</v>
      </c>
      <c r="L1260" s="7">
        <v>42267.011921296296</v>
      </c>
      <c r="M1260" s="12"/>
      <c r="N1260" s="12" t="s">
        <v>63</v>
      </c>
      <c r="O1260" s="10" t="str">
        <f>HYPERLINK("https://pbs.twimg.com/profile_images/645716711723925506/t5G0qOS6_normal.jpg","View")</f>
        <v>View</v>
      </c>
      <c r="P1260" s="11"/>
    </row>
    <row r="1261" spans="1:16" ht="12.75" x14ac:dyDescent="0.35">
      <c r="A1261" s="7">
        <v>42479.823333333334</v>
      </c>
      <c r="B1261" s="8" t="str">
        <f>HYPERLINK("https://twitter.com/H_IT_D","@H_IT_D")</f>
        <v>@H_IT_D</v>
      </c>
      <c r="C1261" s="9" t="s">
        <v>159</v>
      </c>
      <c r="D1261" s="9" t="s">
        <v>2536</v>
      </c>
      <c r="E1261" s="10" t="str">
        <f>HYPERLINK("https://twitter.com/H_IT_D/status/722428440394096641","722428440394096641")</f>
        <v>722428440394096641</v>
      </c>
      <c r="F1261" s="11" t="s">
        <v>161</v>
      </c>
      <c r="G1261" s="11">
        <v>463</v>
      </c>
      <c r="H1261" s="11">
        <v>467</v>
      </c>
      <c r="I1261" s="11">
        <v>1</v>
      </c>
      <c r="J1261" s="11">
        <v>0</v>
      </c>
      <c r="K1261" s="11" t="s">
        <v>21</v>
      </c>
      <c r="L1261" s="7">
        <v>40723.867673611108</v>
      </c>
      <c r="M1261" s="12" t="s">
        <v>162</v>
      </c>
      <c r="N1261" s="12" t="s">
        <v>163</v>
      </c>
      <c r="O1261" s="10" t="str">
        <f>HYPERLINK("https://pbs.twimg.com/profile_images/662723326096224256/5V4KH9_O_normal.jpg","View")</f>
        <v>View</v>
      </c>
      <c r="P1261" s="11"/>
    </row>
    <row r="1262" spans="1:16" ht="12.75" x14ac:dyDescent="0.35">
      <c r="A1262" s="7">
        <v>42479.827048611114</v>
      </c>
      <c r="B1262" s="8" t="str">
        <f>HYPERLINK("https://twitter.com/adelhardtchris","@adelhardtchris")</f>
        <v>@adelhardtchris</v>
      </c>
      <c r="C1262" s="9" t="s">
        <v>2537</v>
      </c>
      <c r="D1262" s="9" t="s">
        <v>2538</v>
      </c>
      <c r="E1262" s="10" t="str">
        <f>HYPERLINK("https://twitter.com/adelhardtchris/status/722429784022720514","722429784022720514")</f>
        <v>722429784022720514</v>
      </c>
      <c r="F1262" s="11" t="s">
        <v>25</v>
      </c>
      <c r="G1262" s="11">
        <v>379</v>
      </c>
      <c r="H1262" s="11">
        <v>447</v>
      </c>
      <c r="I1262" s="11">
        <v>0</v>
      </c>
      <c r="J1262" s="11">
        <v>0</v>
      </c>
      <c r="K1262" s="11" t="s">
        <v>21</v>
      </c>
      <c r="L1262" s="7">
        <v>40090.857083333336</v>
      </c>
      <c r="M1262" s="12" t="s">
        <v>2539</v>
      </c>
      <c r="N1262" s="12" t="s">
        <v>2540</v>
      </c>
      <c r="O1262" s="10" t="str">
        <f>HYPERLINK("https://pbs.twimg.com/profile_images/636961054610849792/ZDAnLOQE_normal.jpg","View")</f>
        <v>View</v>
      </c>
      <c r="P1262" s="11"/>
    </row>
    <row r="1263" spans="1:16" ht="12.75" x14ac:dyDescent="0.35">
      <c r="A1263" s="7">
        <v>42479.827430555553</v>
      </c>
      <c r="B1263" s="8" t="str">
        <f>HYPERLINK("https://twitter.com/TimSheaARC","@TimSheaARC")</f>
        <v>@TimSheaARC</v>
      </c>
      <c r="C1263" s="9" t="s">
        <v>2541</v>
      </c>
      <c r="D1263" s="9" t="s">
        <v>2542</v>
      </c>
      <c r="E1263" s="10" t="str">
        <f>HYPERLINK("https://twitter.com/TimSheaARC/status/722429923302969344","722429923302969344")</f>
        <v>722429923302969344</v>
      </c>
      <c r="F1263" s="11" t="s">
        <v>25</v>
      </c>
      <c r="G1263" s="11">
        <v>687</v>
      </c>
      <c r="H1263" s="11">
        <v>1117</v>
      </c>
      <c r="I1263" s="11">
        <v>2</v>
      </c>
      <c r="J1263" s="11">
        <v>2</v>
      </c>
      <c r="K1263" s="11" t="s">
        <v>21</v>
      </c>
      <c r="L1263" s="7">
        <v>42166.051898148144</v>
      </c>
      <c r="M1263" s="12" t="s">
        <v>2543</v>
      </c>
      <c r="N1263" s="12" t="s">
        <v>2544</v>
      </c>
      <c r="O1263" s="10" t="str">
        <f>HYPERLINK("https://pbs.twimg.com/profile_images/608724283615920129/8g0LAQwl_normal.jpg","View")</f>
        <v>View</v>
      </c>
      <c r="P1263" s="11"/>
    </row>
    <row r="1264" spans="1:16" ht="12.75" x14ac:dyDescent="0.35">
      <c r="A1264" s="7">
        <v>42479.827696759261</v>
      </c>
      <c r="B1264" s="8" t="str">
        <f>HYPERLINK("https://twitter.com/KreativNetzBW","@KreativNetzBW")</f>
        <v>@KreativNetzBW</v>
      </c>
      <c r="C1264" s="9" t="s">
        <v>156</v>
      </c>
      <c r="D1264" s="9" t="s">
        <v>2139</v>
      </c>
      <c r="E1264" s="10" t="str">
        <f>HYPERLINK("https://twitter.com/KreativNetzBW/status/722430019285434371","722430019285434371")</f>
        <v>722430019285434371</v>
      </c>
      <c r="F1264" s="11" t="s">
        <v>25</v>
      </c>
      <c r="G1264" s="11">
        <v>2126</v>
      </c>
      <c r="H1264" s="11">
        <v>1972</v>
      </c>
      <c r="I1264" s="11">
        <v>3</v>
      </c>
      <c r="J1264" s="11">
        <v>0</v>
      </c>
      <c r="K1264" s="11" t="s">
        <v>21</v>
      </c>
      <c r="L1264" s="7">
        <v>39876.228726851856</v>
      </c>
      <c r="M1264" s="12" t="s">
        <v>157</v>
      </c>
      <c r="N1264" s="12" t="s">
        <v>158</v>
      </c>
      <c r="O1264" s="10" t="str">
        <f>HYPERLINK("https://pbs.twimg.com/profile_images/468319824402055169/JIU0573N_normal.jpeg","View")</f>
        <v>View</v>
      </c>
      <c r="P1264" s="11"/>
    </row>
    <row r="1265" spans="1:16" ht="12.75" x14ac:dyDescent="0.35">
      <c r="A1265" s="7">
        <v>42479.827696759261</v>
      </c>
      <c r="B1265" s="8" t="str">
        <f>HYPERLINK("https://twitter.com/SPDEuropa","@SPDEuropa")</f>
        <v>@SPDEuropa</v>
      </c>
      <c r="C1265" s="9" t="s">
        <v>2545</v>
      </c>
      <c r="D1265" s="9" t="s">
        <v>2546</v>
      </c>
      <c r="E1265" s="10" t="str">
        <f>HYPERLINK("https://twitter.com/SPDEuropa/status/722430021357461504","722430021357461504")</f>
        <v>722430021357461504</v>
      </c>
      <c r="F1265" s="11" t="s">
        <v>31</v>
      </c>
      <c r="G1265" s="11">
        <v>5867</v>
      </c>
      <c r="H1265" s="11">
        <v>667</v>
      </c>
      <c r="I1265" s="11">
        <v>0</v>
      </c>
      <c r="J1265" s="11">
        <v>0</v>
      </c>
      <c r="K1265" s="11" t="s">
        <v>21</v>
      </c>
      <c r="L1265" s="7">
        <v>39751.755555555559</v>
      </c>
      <c r="M1265" s="12" t="s">
        <v>2547</v>
      </c>
      <c r="N1265" s="12" t="s">
        <v>2548</v>
      </c>
      <c r="O1265" s="10" t="str">
        <f>HYPERLINK("https://pbs.twimg.com/profile_images/470859198528372736/n8NmrLr__normal.png","View")</f>
        <v>View</v>
      </c>
      <c r="P1265" s="11"/>
    </row>
    <row r="1266" spans="1:16" ht="12.75" x14ac:dyDescent="0.35">
      <c r="A1266" s="7">
        <v>42479.828067129631</v>
      </c>
      <c r="B1266" s="8" t="str">
        <f>HYPERLINK("https://twitter.com/INDIZbot","@INDIZbot")</f>
        <v>@INDIZbot</v>
      </c>
      <c r="C1266" s="9" t="s">
        <v>61</v>
      </c>
      <c r="D1266" s="9" t="s">
        <v>2549</v>
      </c>
      <c r="E1266" s="10" t="str">
        <f>HYPERLINK("https://twitter.com/INDIZbot/status/722430154895659009","722430154895659009")</f>
        <v>722430154895659009</v>
      </c>
      <c r="F1266" s="11" t="s">
        <v>62</v>
      </c>
      <c r="G1266" s="11">
        <v>1762</v>
      </c>
      <c r="H1266" s="11">
        <v>481</v>
      </c>
      <c r="I1266" s="11">
        <v>1</v>
      </c>
      <c r="J1266" s="11">
        <v>0</v>
      </c>
      <c r="K1266" s="11" t="s">
        <v>21</v>
      </c>
      <c r="L1266" s="7">
        <v>42267.011921296296</v>
      </c>
      <c r="M1266" s="12"/>
      <c r="N1266" s="12" t="s">
        <v>63</v>
      </c>
      <c r="O1266" s="10" t="str">
        <f>HYPERLINK("https://pbs.twimg.com/profile_images/645716711723925506/t5G0qOS6_normal.jpg","View")</f>
        <v>View</v>
      </c>
      <c r="P1266" s="11"/>
    </row>
    <row r="1267" spans="1:16" ht="12.75" x14ac:dyDescent="0.35">
      <c r="A1267" s="7">
        <v>42479.829212962963</v>
      </c>
      <c r="B1267" s="8" t="str">
        <f>HYPERLINK("https://twitter.com/koernerpark","@koernerpark")</f>
        <v>@koernerpark</v>
      </c>
      <c r="C1267" s="9" t="s">
        <v>2550</v>
      </c>
      <c r="D1267" s="9" t="s">
        <v>2551</v>
      </c>
      <c r="E1267" s="10" t="str">
        <f>HYPERLINK("https://twitter.com/koernerpark/status/722430568173060096","722430568173060096")</f>
        <v>722430568173060096</v>
      </c>
      <c r="F1267" s="11" t="s">
        <v>25</v>
      </c>
      <c r="G1267" s="11">
        <v>261</v>
      </c>
      <c r="H1267" s="11">
        <v>1047</v>
      </c>
      <c r="I1267" s="11">
        <v>0</v>
      </c>
      <c r="J1267" s="11">
        <v>0</v>
      </c>
      <c r="K1267" s="11" t="s">
        <v>21</v>
      </c>
      <c r="L1267" s="7">
        <v>39993.724305555559</v>
      </c>
      <c r="M1267" s="12" t="s">
        <v>227</v>
      </c>
      <c r="N1267" s="12"/>
      <c r="O1267" s="10" t="str">
        <f>HYPERLINK("https://pbs.twimg.com/profile_images/554579761817600000/2PbZshfI_normal.jpeg","View")</f>
        <v>View</v>
      </c>
      <c r="P1267" s="11"/>
    </row>
    <row r="1268" spans="1:16" ht="12.75" x14ac:dyDescent="0.35">
      <c r="A1268" s="7">
        <v>42479.830023148148</v>
      </c>
      <c r="B1268" s="8" t="str">
        <f>HYPERLINK("https://twitter.com/Amista79","@Amista79")</f>
        <v>@Amista79</v>
      </c>
      <c r="C1268" s="9" t="s">
        <v>2552</v>
      </c>
      <c r="D1268" s="9" t="s">
        <v>2527</v>
      </c>
      <c r="E1268" s="10" t="str">
        <f>HYPERLINK("https://twitter.com/Amista79/status/722430860906143745","722430860906143745")</f>
        <v>722430860906143745</v>
      </c>
      <c r="F1268" s="11" t="s">
        <v>25</v>
      </c>
      <c r="G1268" s="11">
        <v>83</v>
      </c>
      <c r="H1268" s="11">
        <v>146</v>
      </c>
      <c r="I1268" s="11">
        <v>6</v>
      </c>
      <c r="J1268" s="11">
        <v>0</v>
      </c>
      <c r="K1268" s="11" t="s">
        <v>21</v>
      </c>
      <c r="L1268" s="7">
        <v>40127.995034722218</v>
      </c>
      <c r="M1268" s="12" t="s">
        <v>1062</v>
      </c>
      <c r="N1268" s="12" t="s">
        <v>2553</v>
      </c>
      <c r="O1268" s="10" t="str">
        <f>HYPERLINK("https://pbs.twimg.com/profile_images/421729458606055424/2lGXAn1N_normal.jpeg","View")</f>
        <v>View</v>
      </c>
      <c r="P1268" s="11"/>
    </row>
    <row r="1269" spans="1:16" ht="12.75" x14ac:dyDescent="0.35">
      <c r="A1269" s="7">
        <v>42479.833032407405</v>
      </c>
      <c r="B1269" s="8" t="str">
        <f>HYPERLINK("https://twitter.com/IoTMinded","@IoTMinded")</f>
        <v>@IoTMinded</v>
      </c>
      <c r="C1269" s="9" t="s">
        <v>435</v>
      </c>
      <c r="D1269" s="9" t="s">
        <v>2554</v>
      </c>
      <c r="E1269" s="10" t="str">
        <f>HYPERLINK("https://twitter.com/IoTMinded/status/722431953849487361","722431953849487361")</f>
        <v>722431953849487361</v>
      </c>
      <c r="F1269" s="11" t="s">
        <v>437</v>
      </c>
      <c r="G1269" s="11">
        <v>1102</v>
      </c>
      <c r="H1269" s="11">
        <v>656</v>
      </c>
      <c r="I1269" s="11">
        <v>2</v>
      </c>
      <c r="J1269" s="11">
        <v>0</v>
      </c>
      <c r="K1269" s="11" t="s">
        <v>21</v>
      </c>
      <c r="L1269" s="7">
        <v>40085.127789351856</v>
      </c>
      <c r="M1269" s="12"/>
      <c r="N1269" s="12" t="s">
        <v>438</v>
      </c>
      <c r="O1269" s="10" t="str">
        <f>HYPERLINK("https://pbs.twimg.com/profile_images/603699032804859904/lb5IMG5x_normal.jpg","View")</f>
        <v>View</v>
      </c>
      <c r="P1269" s="11"/>
    </row>
    <row r="1270" spans="1:16" ht="12.75" x14ac:dyDescent="0.35">
      <c r="A1270" s="7">
        <v>42479.838113425925</v>
      </c>
      <c r="B1270" s="8" t="str">
        <f>HYPERLINK("https://twitter.com/itmeetsindustry","@itmeetsindustry")</f>
        <v>@itmeetsindustry</v>
      </c>
      <c r="C1270" s="9" t="s">
        <v>2555</v>
      </c>
      <c r="D1270" s="9" t="s">
        <v>2556</v>
      </c>
      <c r="E1270" s="10" t="str">
        <f>HYPERLINK("https://twitter.com/itmeetsindustry/status/722433795912282113","722433795912282113")</f>
        <v>722433795912282113</v>
      </c>
      <c r="F1270" s="11" t="s">
        <v>25</v>
      </c>
      <c r="G1270" s="11">
        <v>81</v>
      </c>
      <c r="H1270" s="11">
        <v>150</v>
      </c>
      <c r="I1270" s="11">
        <v>0</v>
      </c>
      <c r="J1270" s="11">
        <v>0</v>
      </c>
      <c r="K1270" s="11" t="s">
        <v>21</v>
      </c>
      <c r="L1270" s="7">
        <v>42426.838252314818</v>
      </c>
      <c r="M1270" s="12" t="s">
        <v>92</v>
      </c>
      <c r="N1270" s="12" t="s">
        <v>2557</v>
      </c>
      <c r="O1270" s="10" t="str">
        <f>HYPERLINK("https://pbs.twimg.com/profile_images/703227748383330304/U06-eqpr_normal.jpg","View")</f>
        <v>View</v>
      </c>
      <c r="P1270" s="11"/>
    </row>
    <row r="1271" spans="1:16" ht="12.75" x14ac:dyDescent="0.35">
      <c r="A1271" s="7">
        <v>42479.839965277773</v>
      </c>
      <c r="B1271" s="8" t="str">
        <f>HYPERLINK("https://twitter.com/markherten","@markherten")</f>
        <v>@markherten</v>
      </c>
      <c r="C1271" s="9" t="s">
        <v>37</v>
      </c>
      <c r="D1271" s="9" t="s">
        <v>2558</v>
      </c>
      <c r="E1271" s="10" t="str">
        <f>HYPERLINK("https://twitter.com/markherten/status/722434465755242502","722434465755242502")</f>
        <v>722434465755242502</v>
      </c>
      <c r="F1271" s="11" t="s">
        <v>39</v>
      </c>
      <c r="G1271" s="11">
        <v>96</v>
      </c>
      <c r="H1271" s="11">
        <v>176</v>
      </c>
      <c r="I1271" s="11">
        <v>0</v>
      </c>
      <c r="J1271" s="11">
        <v>0</v>
      </c>
      <c r="K1271" s="11" t="s">
        <v>21</v>
      </c>
      <c r="L1271" s="7">
        <v>40249.947696759264</v>
      </c>
      <c r="M1271" s="12" t="s">
        <v>40</v>
      </c>
      <c r="N1271" s="12" t="s">
        <v>41</v>
      </c>
      <c r="O1271" s="10" t="str">
        <f>HYPERLINK("https://pbs.twimg.com/profile_images/718175389890310145/GX8DLe_h_normal.jpg","View")</f>
        <v>View</v>
      </c>
      <c r="P1271" s="11"/>
    </row>
    <row r="1272" spans="1:16" ht="12.75" x14ac:dyDescent="0.35">
      <c r="A1272" s="7">
        <v>42479.845590277779</v>
      </c>
      <c r="B1272" s="8" t="str">
        <f>HYPERLINK("https://twitter.com/fabielind","@fabielind")</f>
        <v>@fabielind</v>
      </c>
      <c r="C1272" s="9" t="s">
        <v>2559</v>
      </c>
      <c r="D1272" s="9" t="s">
        <v>2560</v>
      </c>
      <c r="E1272" s="10" t="str">
        <f>HYPERLINK("https://twitter.com/fabielind/status/722436502656053249","722436502656053249")</f>
        <v>722436502656053249</v>
      </c>
      <c r="F1272" s="11" t="s">
        <v>25</v>
      </c>
      <c r="G1272" s="11">
        <v>82</v>
      </c>
      <c r="H1272" s="11">
        <v>89</v>
      </c>
      <c r="I1272" s="11">
        <v>2</v>
      </c>
      <c r="J1272" s="11">
        <v>0</v>
      </c>
      <c r="K1272" s="11" t="s">
        <v>21</v>
      </c>
      <c r="L1272" s="7">
        <v>42026.751516203702</v>
      </c>
      <c r="M1272" s="12" t="s">
        <v>2561</v>
      </c>
      <c r="N1272" s="12" t="s">
        <v>2562</v>
      </c>
      <c r="O1272" s="10" t="str">
        <f>HYPERLINK("https://pbs.twimg.com/profile_images/601388857477754880/Vqs2MuAc_normal.jpg","View")</f>
        <v>View</v>
      </c>
      <c r="P1272" s="11"/>
    </row>
    <row r="1273" spans="1:16" ht="12.75" x14ac:dyDescent="0.35">
      <c r="A1273" s="7">
        <v>42479.848263888889</v>
      </c>
      <c r="B1273" s="8" t="str">
        <f>HYPERLINK("https://twitter.com/INDIZbot","@INDIZbot")</f>
        <v>@INDIZbot</v>
      </c>
      <c r="C1273" s="9" t="s">
        <v>61</v>
      </c>
      <c r="D1273" s="9" t="s">
        <v>2563</v>
      </c>
      <c r="E1273" s="10" t="str">
        <f>HYPERLINK("https://twitter.com/INDIZbot/status/722437473406689281","722437473406689281")</f>
        <v>722437473406689281</v>
      </c>
      <c r="F1273" s="11" t="s">
        <v>62</v>
      </c>
      <c r="G1273" s="11">
        <v>1762</v>
      </c>
      <c r="H1273" s="11">
        <v>481</v>
      </c>
      <c r="I1273" s="11">
        <v>2</v>
      </c>
      <c r="J1273" s="11">
        <v>0</v>
      </c>
      <c r="K1273" s="11" t="s">
        <v>21</v>
      </c>
      <c r="L1273" s="7">
        <v>42267.011921296296</v>
      </c>
      <c r="M1273" s="12"/>
      <c r="N1273" s="12" t="s">
        <v>63</v>
      </c>
      <c r="O1273" s="10" t="str">
        <f>HYPERLINK("https://pbs.twimg.com/profile_images/645716711723925506/t5G0qOS6_normal.jpg","View")</f>
        <v>View</v>
      </c>
      <c r="P1273" s="11"/>
    </row>
    <row r="1274" spans="1:16" ht="12.75" x14ac:dyDescent="0.35">
      <c r="A1274" s="7">
        <v>42479.848437499997</v>
      </c>
      <c r="B1274" s="8" t="str">
        <f>HYPERLINK("https://twitter.com/Gruendercoaches","@Gruendercoaches")</f>
        <v>@Gruendercoaches</v>
      </c>
      <c r="C1274" s="9" t="s">
        <v>987</v>
      </c>
      <c r="D1274" s="9" t="s">
        <v>2563</v>
      </c>
      <c r="E1274" s="10" t="str">
        <f>HYPERLINK("https://twitter.com/Gruendercoaches/status/722437537885761536","722437537885761536")</f>
        <v>722437537885761536</v>
      </c>
      <c r="F1274" s="11" t="s">
        <v>25</v>
      </c>
      <c r="G1274" s="11">
        <v>4951</v>
      </c>
      <c r="H1274" s="11">
        <v>1604</v>
      </c>
      <c r="I1274" s="11">
        <v>2</v>
      </c>
      <c r="J1274" s="11">
        <v>0</v>
      </c>
      <c r="K1274" s="11" t="s">
        <v>21</v>
      </c>
      <c r="L1274" s="7">
        <v>40865.780300925922</v>
      </c>
      <c r="M1274" s="12" t="s">
        <v>218</v>
      </c>
      <c r="N1274" s="12" t="s">
        <v>988</v>
      </c>
      <c r="O1274" s="10" t="str">
        <f>HYPERLINK("https://pbs.twimg.com/profile_images/561208179355185153/11KDu7Gt_normal.png","View")</f>
        <v>View</v>
      </c>
      <c r="P1274" s="11"/>
    </row>
    <row r="1275" spans="1:16" ht="12.75" x14ac:dyDescent="0.35">
      <c r="A1275" s="7">
        <v>42479.851423611108</v>
      </c>
      <c r="B1275" s="8" t="str">
        <f>HYPERLINK("https://twitter.com/fabielind","@fabielind")</f>
        <v>@fabielind</v>
      </c>
      <c r="C1275" s="9" t="s">
        <v>2559</v>
      </c>
      <c r="D1275" s="9" t="s">
        <v>2564</v>
      </c>
      <c r="E1275" s="10" t="str">
        <f>HYPERLINK("https://twitter.com/fabielind/status/722438620095856641","722438620095856641")</f>
        <v>722438620095856641</v>
      </c>
      <c r="F1275" s="11" t="s">
        <v>25</v>
      </c>
      <c r="G1275" s="11">
        <v>82</v>
      </c>
      <c r="H1275" s="11">
        <v>89</v>
      </c>
      <c r="I1275" s="11">
        <v>0</v>
      </c>
      <c r="J1275" s="11">
        <v>0</v>
      </c>
      <c r="K1275" s="11" t="s">
        <v>21</v>
      </c>
      <c r="L1275" s="7">
        <v>42026.751516203702</v>
      </c>
      <c r="M1275" s="12" t="s">
        <v>2561</v>
      </c>
      <c r="N1275" s="12" t="s">
        <v>2562</v>
      </c>
      <c r="O1275" s="10" t="str">
        <f>HYPERLINK("https://pbs.twimg.com/profile_images/601388857477754880/Vqs2MuAc_normal.jpg","View")</f>
        <v>View</v>
      </c>
      <c r="P1275" s="11"/>
    </row>
    <row r="1276" spans="1:16" ht="12.75" x14ac:dyDescent="0.35">
      <c r="A1276" s="7">
        <v>42479.853032407409</v>
      </c>
      <c r="B1276" s="8" t="str">
        <f>HYPERLINK("https://twitter.com/GSonnengott","@GSonnengott")</f>
        <v>@GSonnengott</v>
      </c>
      <c r="C1276" s="9" t="s">
        <v>1371</v>
      </c>
      <c r="D1276" s="9" t="s">
        <v>2565</v>
      </c>
      <c r="E1276" s="10" t="str">
        <f>HYPERLINK("https://twitter.com/GSonnengott/status/722439200700764160","722439200700764160")</f>
        <v>722439200700764160</v>
      </c>
      <c r="F1276" s="11" t="s">
        <v>20</v>
      </c>
      <c r="G1276" s="11">
        <v>722</v>
      </c>
      <c r="H1276" s="11">
        <v>210</v>
      </c>
      <c r="I1276" s="11">
        <v>0</v>
      </c>
      <c r="J1276" s="11">
        <v>2</v>
      </c>
      <c r="K1276" s="11" t="s">
        <v>21</v>
      </c>
      <c r="L1276" s="7">
        <v>41344.02952546296</v>
      </c>
      <c r="M1276" s="12" t="s">
        <v>218</v>
      </c>
      <c r="N1276" s="12" t="s">
        <v>1373</v>
      </c>
      <c r="O1276" s="10" t="str">
        <f>HYPERLINK("https://pbs.twimg.com/profile_images/599585844563959808/bYyhHArl_normal.jpg","View")</f>
        <v>View</v>
      </c>
      <c r="P1276" s="11"/>
    </row>
    <row r="1277" spans="1:16" ht="12.75" x14ac:dyDescent="0.35">
      <c r="A1277" s="7">
        <v>42479.857916666668</v>
      </c>
      <c r="B1277" s="8" t="str">
        <f>HYPERLINK("https://twitter.com/itmeetsindustry","@itmeetsindustry")</f>
        <v>@itmeetsindustry</v>
      </c>
      <c r="C1277" s="9" t="s">
        <v>2555</v>
      </c>
      <c r="D1277" s="9" t="s">
        <v>2566</v>
      </c>
      <c r="E1277" s="10" t="str">
        <f>HYPERLINK("https://twitter.com/itmeetsindustry/status/722440970915221504","722440970915221504")</f>
        <v>722440970915221504</v>
      </c>
      <c r="F1277" s="11" t="s">
        <v>25</v>
      </c>
      <c r="G1277" s="11">
        <v>81</v>
      </c>
      <c r="H1277" s="11">
        <v>150</v>
      </c>
      <c r="I1277" s="11">
        <v>0</v>
      </c>
      <c r="J1277" s="11">
        <v>0</v>
      </c>
      <c r="K1277" s="11" t="s">
        <v>21</v>
      </c>
      <c r="L1277" s="7">
        <v>42426.838252314818</v>
      </c>
      <c r="M1277" s="12" t="s">
        <v>92</v>
      </c>
      <c r="N1277" s="12" t="s">
        <v>2557</v>
      </c>
      <c r="O1277" s="10" t="str">
        <f>HYPERLINK("https://pbs.twimg.com/profile_images/703227748383330304/U06-eqpr_normal.jpg","View")</f>
        <v>View</v>
      </c>
      <c r="P1277" s="11"/>
    </row>
    <row r="1278" spans="1:16" ht="12.75" x14ac:dyDescent="0.35">
      <c r="A1278" s="7">
        <v>42479.860451388886</v>
      </c>
      <c r="B1278" s="8" t="str">
        <f>HYPERLINK("https://twitter.com/LutzVA","@LutzVA")</f>
        <v>@LutzVA</v>
      </c>
      <c r="C1278" s="9" t="s">
        <v>383</v>
      </c>
      <c r="D1278" s="9" t="s">
        <v>2567</v>
      </c>
      <c r="E1278" s="10" t="str">
        <f>HYPERLINK("https://twitter.com/LutzVA/status/722441889014800384","722441889014800384")</f>
        <v>722441889014800384</v>
      </c>
      <c r="F1278" s="11" t="s">
        <v>25</v>
      </c>
      <c r="G1278" s="11">
        <v>917</v>
      </c>
      <c r="H1278" s="11">
        <v>139</v>
      </c>
      <c r="I1278" s="11">
        <v>1</v>
      </c>
      <c r="J1278" s="11">
        <v>0</v>
      </c>
      <c r="K1278" s="11" t="s">
        <v>21</v>
      </c>
      <c r="L1278" s="7">
        <v>39819.790127314816</v>
      </c>
      <c r="M1278" s="12" t="s">
        <v>385</v>
      </c>
      <c r="N1278" s="12" t="s">
        <v>386</v>
      </c>
      <c r="O1278" s="10" t="str">
        <f>HYPERLINK("https://pbs.twimg.com/profile_images/641558874294628356/0gpa7sTF_normal.jpg","View")</f>
        <v>View</v>
      </c>
      <c r="P1278" s="11"/>
    </row>
    <row r="1279" spans="1:16" ht="12.75" x14ac:dyDescent="0.35">
      <c r="A1279" s="7">
        <v>42479.862395833334</v>
      </c>
      <c r="B1279" s="8" t="str">
        <f>HYPERLINK("https://twitter.com/INDIZbot","@INDIZbot")</f>
        <v>@INDIZbot</v>
      </c>
      <c r="C1279" s="9" t="s">
        <v>61</v>
      </c>
      <c r="D1279" s="9" t="s">
        <v>2568</v>
      </c>
      <c r="E1279" s="10" t="str">
        <f>HYPERLINK("https://twitter.com/INDIZbot/status/722442594165399553","722442594165399553")</f>
        <v>722442594165399553</v>
      </c>
      <c r="F1279" s="11" t="s">
        <v>62</v>
      </c>
      <c r="G1279" s="11">
        <v>1762</v>
      </c>
      <c r="H1279" s="11">
        <v>481</v>
      </c>
      <c r="I1279" s="11">
        <v>1</v>
      </c>
      <c r="J1279" s="11">
        <v>0</v>
      </c>
      <c r="K1279" s="11" t="s">
        <v>21</v>
      </c>
      <c r="L1279" s="7">
        <v>42267.011921296296</v>
      </c>
      <c r="M1279" s="12"/>
      <c r="N1279" s="12" t="s">
        <v>63</v>
      </c>
      <c r="O1279" s="10" t="str">
        <f>HYPERLINK("https://pbs.twimg.com/profile_images/645716711723925506/t5G0qOS6_normal.jpg","View")</f>
        <v>View</v>
      </c>
      <c r="P1279" s="11"/>
    </row>
    <row r="1280" spans="1:16" ht="12.75" x14ac:dyDescent="0.35">
      <c r="A1280" s="7">
        <v>42479.86246527778</v>
      </c>
      <c r="B1280" s="8" t="str">
        <f>HYPERLINK("https://twitter.com/charisma_expert","@charisma_expert")</f>
        <v>@charisma_expert</v>
      </c>
      <c r="C1280" s="9" t="s">
        <v>2569</v>
      </c>
      <c r="D1280" s="9" t="s">
        <v>2570</v>
      </c>
      <c r="E1280" s="10" t="str">
        <f>HYPERLINK("https://twitter.com/charisma_expert/status/722442620916658176","722442620916658176")</f>
        <v>722442620916658176</v>
      </c>
      <c r="F1280" s="11" t="s">
        <v>25</v>
      </c>
      <c r="G1280" s="11">
        <v>95</v>
      </c>
      <c r="H1280" s="11">
        <v>46</v>
      </c>
      <c r="I1280" s="11">
        <v>1</v>
      </c>
      <c r="J1280" s="11">
        <v>0</v>
      </c>
      <c r="K1280" s="11" t="s">
        <v>21</v>
      </c>
      <c r="L1280" s="7">
        <v>42271.139409722222</v>
      </c>
      <c r="M1280" s="12" t="s">
        <v>440</v>
      </c>
      <c r="N1280" s="12" t="s">
        <v>2571</v>
      </c>
      <c r="O1280" s="10" t="str">
        <f>HYPERLINK("https://pbs.twimg.com/profile_images/718892133357330432/9mvpJR26_normal.jpg","View")</f>
        <v>View</v>
      </c>
      <c r="P1280" s="11"/>
    </row>
    <row r="1281" spans="1:16" ht="12.75" x14ac:dyDescent="0.35">
      <c r="A1281" s="7">
        <v>42479.863125000003</v>
      </c>
      <c r="B1281" s="8" t="str">
        <f>HYPERLINK("https://twitter.com/zen_mfg","@zen_mfg")</f>
        <v>@zen_mfg</v>
      </c>
      <c r="C1281" s="9" t="s">
        <v>379</v>
      </c>
      <c r="D1281" s="9" t="s">
        <v>2572</v>
      </c>
      <c r="E1281" s="10" t="str">
        <f>HYPERLINK("https://twitter.com/zen_mfg/status/722442858993750016","722442858993750016")</f>
        <v>722442858993750016</v>
      </c>
      <c r="F1281" s="11" t="s">
        <v>115</v>
      </c>
      <c r="G1281" s="11">
        <v>20</v>
      </c>
      <c r="H1281" s="11">
        <v>21</v>
      </c>
      <c r="I1281" s="11">
        <v>0</v>
      </c>
      <c r="J1281" s="11">
        <v>0</v>
      </c>
      <c r="K1281" s="11" t="s">
        <v>21</v>
      </c>
      <c r="L1281" s="7">
        <v>42465.011516203704</v>
      </c>
      <c r="M1281" s="12" t="s">
        <v>381</v>
      </c>
      <c r="N1281" s="12" t="s">
        <v>382</v>
      </c>
      <c r="O1281" s="10" t="str">
        <f>HYPERLINK("https://pbs.twimg.com/profile_images/719855439022678017/ywr6leIV_normal.jpg","View")</f>
        <v>View</v>
      </c>
      <c r="P1281" s="11"/>
    </row>
    <row r="1282" spans="1:16" ht="12.75" x14ac:dyDescent="0.35">
      <c r="A1282" s="7">
        <v>42479.866944444446</v>
      </c>
      <c r="B1282" s="8" t="str">
        <f>HYPERLINK("https://twitter.com/H_IT_D","@H_IT_D")</f>
        <v>@H_IT_D</v>
      </c>
      <c r="C1282" s="9" t="s">
        <v>159</v>
      </c>
      <c r="D1282" s="9" t="s">
        <v>2573</v>
      </c>
      <c r="E1282" s="10" t="str">
        <f>HYPERLINK("https://twitter.com/H_IT_D/status/722444241629085697","722444241629085697")</f>
        <v>722444241629085697</v>
      </c>
      <c r="F1282" s="11" t="s">
        <v>161</v>
      </c>
      <c r="G1282" s="11">
        <v>463</v>
      </c>
      <c r="H1282" s="11">
        <v>467</v>
      </c>
      <c r="I1282" s="11">
        <v>0</v>
      </c>
      <c r="J1282" s="11">
        <v>0</v>
      </c>
      <c r="K1282" s="11" t="s">
        <v>21</v>
      </c>
      <c r="L1282" s="7">
        <v>40723.867673611108</v>
      </c>
      <c r="M1282" s="12" t="s">
        <v>162</v>
      </c>
      <c r="N1282" s="12" t="s">
        <v>163</v>
      </c>
      <c r="O1282" s="10" t="str">
        <f>HYPERLINK("https://pbs.twimg.com/profile_images/662723326096224256/5V4KH9_O_normal.jpg","View")</f>
        <v>View</v>
      </c>
      <c r="P1282" s="11"/>
    </row>
    <row r="1283" spans="1:16" ht="12.75" x14ac:dyDescent="0.35">
      <c r="A1283" s="7">
        <v>42479.866979166662</v>
      </c>
      <c r="B1283" s="8" t="str">
        <f>HYPERLINK("https://twitter.com/HolgerPaul66","@HolgerPaul66")</f>
        <v>@HolgerPaul66</v>
      </c>
      <c r="C1283" s="9" t="s">
        <v>596</v>
      </c>
      <c r="D1283" s="9" t="s">
        <v>2219</v>
      </c>
      <c r="E1283" s="10" t="str">
        <f>HYPERLINK("https://twitter.com/HolgerPaul66/status/722444255155916801","722444255155916801")</f>
        <v>722444255155916801</v>
      </c>
      <c r="F1283" s="11" t="s">
        <v>29</v>
      </c>
      <c r="G1283" s="11">
        <v>78</v>
      </c>
      <c r="H1283" s="11">
        <v>76</v>
      </c>
      <c r="I1283" s="11">
        <v>7</v>
      </c>
      <c r="J1283" s="11">
        <v>0</v>
      </c>
      <c r="K1283" s="11" t="s">
        <v>21</v>
      </c>
      <c r="L1283" s="7">
        <v>41917.765775462962</v>
      </c>
      <c r="M1283" s="12"/>
      <c r="N1283" s="12"/>
      <c r="O1283" s="10" t="str">
        <f>HYPERLINK("https://pbs.twimg.com/profile_images/525998513264410624/ZHDocuJo_normal.jpeg","View")</f>
        <v>View</v>
      </c>
      <c r="P1283" s="11"/>
    </row>
    <row r="1284" spans="1:16" ht="12.75" x14ac:dyDescent="0.35">
      <c r="A1284" s="7">
        <v>42479.867083333331</v>
      </c>
      <c r="B1284" s="8" t="str">
        <f>HYPERLINK("https://twitter.com/Perk_ocet21","@Perk_ocet21")</f>
        <v>@Perk_ocet21</v>
      </c>
      <c r="C1284" s="9" t="s">
        <v>2574</v>
      </c>
      <c r="D1284" s="9" t="s">
        <v>2575</v>
      </c>
      <c r="E1284" s="10" t="str">
        <f>HYPERLINK("https://twitter.com/Perk_ocet21/status/722444291356758016","722444291356758016")</f>
        <v>722444291356758016</v>
      </c>
      <c r="F1284" s="11" t="s">
        <v>31</v>
      </c>
      <c r="G1284" s="11">
        <v>124</v>
      </c>
      <c r="H1284" s="11">
        <v>257</v>
      </c>
      <c r="I1284" s="11">
        <v>3</v>
      </c>
      <c r="J1284" s="11">
        <v>0</v>
      </c>
      <c r="K1284" s="11" t="s">
        <v>21</v>
      </c>
      <c r="L1284" s="7">
        <v>40015.135057870371</v>
      </c>
      <c r="M1284" s="12"/>
      <c r="N1284" s="12" t="s">
        <v>2576</v>
      </c>
      <c r="O1284" s="10" t="str">
        <f>HYPERLINK("https://pbs.twimg.com/profile_images/533458421941829632/KEJicPAo_normal.jpeg","View")</f>
        <v>View</v>
      </c>
      <c r="P1284" s="11"/>
    </row>
    <row r="1285" spans="1:16" ht="12.75" x14ac:dyDescent="0.35">
      <c r="A1285" s="7">
        <v>42479.867118055554</v>
      </c>
      <c r="B1285" s="8" t="str">
        <f>HYPERLINK("https://twitter.com/HolgerPaul66","@HolgerPaul66")</f>
        <v>@HolgerPaul66</v>
      </c>
      <c r="C1285" s="9" t="s">
        <v>596</v>
      </c>
      <c r="D1285" s="9" t="s">
        <v>1769</v>
      </c>
      <c r="E1285" s="10" t="str">
        <f>HYPERLINK("https://twitter.com/HolgerPaul66/status/722444304048906240","722444304048906240")</f>
        <v>722444304048906240</v>
      </c>
      <c r="F1285" s="11" t="s">
        <v>29</v>
      </c>
      <c r="G1285" s="11">
        <v>78</v>
      </c>
      <c r="H1285" s="11">
        <v>76</v>
      </c>
      <c r="I1285" s="11">
        <v>6</v>
      </c>
      <c r="J1285" s="11">
        <v>0</v>
      </c>
      <c r="K1285" s="11" t="s">
        <v>21</v>
      </c>
      <c r="L1285" s="7">
        <v>41917.765775462962</v>
      </c>
      <c r="M1285" s="12"/>
      <c r="N1285" s="12"/>
      <c r="O1285" s="10" t="str">
        <f>HYPERLINK("https://pbs.twimg.com/profile_images/525998513264410624/ZHDocuJo_normal.jpeg","View")</f>
        <v>View</v>
      </c>
      <c r="P1285" s="11"/>
    </row>
    <row r="1286" spans="1:16" ht="12.75" x14ac:dyDescent="0.35">
      <c r="A1286" s="7">
        <v>42479.86881944444</v>
      </c>
      <c r="B1286" s="8" t="str">
        <f>HYPERLINK("https://twitter.com/hannover_messe","@hannover_messe")</f>
        <v>@hannover_messe</v>
      </c>
      <c r="C1286" s="9" t="s">
        <v>1161</v>
      </c>
      <c r="D1286" s="9" t="s">
        <v>2577</v>
      </c>
      <c r="E1286" s="10" t="str">
        <f>HYPERLINK("https://twitter.com/hannover_messe/status/722444921895043073","722444921895043073")</f>
        <v>722444921895043073</v>
      </c>
      <c r="F1286" s="11" t="s">
        <v>25</v>
      </c>
      <c r="G1286" s="11">
        <v>17092</v>
      </c>
      <c r="H1286" s="11">
        <v>260</v>
      </c>
      <c r="I1286" s="11">
        <v>4</v>
      </c>
      <c r="J1286" s="11">
        <v>10</v>
      </c>
      <c r="K1286" s="11" t="s">
        <v>21</v>
      </c>
      <c r="L1286" s="7">
        <v>39878.916354166664</v>
      </c>
      <c r="M1286" s="12" t="s">
        <v>1163</v>
      </c>
      <c r="N1286" s="12" t="s">
        <v>1164</v>
      </c>
      <c r="O1286" s="10" t="str">
        <f>HYPERLINK("https://pbs.twimg.com/profile_images/685255985/Bild_2_normal.png","View")</f>
        <v>View</v>
      </c>
      <c r="P1286" s="11"/>
    </row>
    <row r="1287" spans="1:16" ht="12.75" x14ac:dyDescent="0.35">
      <c r="A1287" s="7">
        <v>42479.870787037042</v>
      </c>
      <c r="B1287" s="8" t="str">
        <f>HYPERLINK("https://twitter.com/charisma_expert","@charisma_expert")</f>
        <v>@charisma_expert</v>
      </c>
      <c r="C1287" s="9" t="s">
        <v>2569</v>
      </c>
      <c r="D1287" s="9" t="s">
        <v>2578</v>
      </c>
      <c r="E1287" s="10" t="str">
        <f>HYPERLINK("https://twitter.com/charisma_expert/status/722445636113731584","722445636113731584")</f>
        <v>722445636113731584</v>
      </c>
      <c r="F1287" s="11" t="s">
        <v>25</v>
      </c>
      <c r="G1287" s="11">
        <v>95</v>
      </c>
      <c r="H1287" s="11">
        <v>46</v>
      </c>
      <c r="I1287" s="11">
        <v>1</v>
      </c>
      <c r="J1287" s="11">
        <v>1</v>
      </c>
      <c r="K1287" s="11" t="s">
        <v>21</v>
      </c>
      <c r="L1287" s="7">
        <v>42271.139409722222</v>
      </c>
      <c r="M1287" s="12" t="s">
        <v>440</v>
      </c>
      <c r="N1287" s="12" t="s">
        <v>2571</v>
      </c>
      <c r="O1287" s="10" t="str">
        <f>HYPERLINK("https://pbs.twimg.com/profile_images/718892133357330432/9mvpJR26_normal.jpg","View")</f>
        <v>View</v>
      </c>
      <c r="P1287" s="11"/>
    </row>
    <row r="1288" spans="1:16" ht="12.75" x14ac:dyDescent="0.35">
      <c r="A1288" s="7">
        <v>42479.882060185184</v>
      </c>
      <c r="B1288" s="8" t="str">
        <f>HYPERLINK("https://twitter.com/IBMCommerceDACH","@IBMCommerceDACH")</f>
        <v>@IBMCommerceDACH</v>
      </c>
      <c r="C1288" s="9" t="s">
        <v>2579</v>
      </c>
      <c r="D1288" s="9" t="s">
        <v>2580</v>
      </c>
      <c r="E1288" s="10" t="str">
        <f>HYPERLINK("https://twitter.com/IBMCommerceDACH/status/722449721013510147","722449721013510147")</f>
        <v>722449721013510147</v>
      </c>
      <c r="F1288" s="11" t="s">
        <v>39</v>
      </c>
      <c r="G1288" s="11">
        <v>1266</v>
      </c>
      <c r="H1288" s="11">
        <v>861</v>
      </c>
      <c r="I1288" s="11">
        <v>1</v>
      </c>
      <c r="J1288" s="11">
        <v>0</v>
      </c>
      <c r="K1288" s="11" t="s">
        <v>21</v>
      </c>
      <c r="L1288" s="7">
        <v>40630.749456018515</v>
      </c>
      <c r="M1288" s="12" t="s">
        <v>2581</v>
      </c>
      <c r="N1288" s="12" t="s">
        <v>2582</v>
      </c>
      <c r="O1288" s="10" t="str">
        <f>HYPERLINK("https://pbs.twimg.com/profile_images/656123572922941443/lJSyUh1v_normal.jpg","View")</f>
        <v>View</v>
      </c>
      <c r="P1288" s="11"/>
    </row>
    <row r="1289" spans="1:16" ht="12.75" x14ac:dyDescent="0.35">
      <c r="A1289" s="7">
        <v>42479.882627314815</v>
      </c>
      <c r="B1289" s="8" t="str">
        <f>HYPERLINK("https://twitter.com/noemiebond","@noemiebond")</f>
        <v>@noemiebond</v>
      </c>
      <c r="C1289" s="9" t="s">
        <v>2583</v>
      </c>
      <c r="D1289" s="9" t="s">
        <v>2584</v>
      </c>
      <c r="E1289" s="10" t="str">
        <f>HYPERLINK("https://twitter.com/noemiebond/status/722449924256714752","722449924256714752")</f>
        <v>722449924256714752</v>
      </c>
      <c r="F1289" s="11" t="s">
        <v>25</v>
      </c>
      <c r="G1289" s="11">
        <v>45</v>
      </c>
      <c r="H1289" s="11">
        <v>342</v>
      </c>
      <c r="I1289" s="11">
        <v>0</v>
      </c>
      <c r="J1289" s="11">
        <v>1</v>
      </c>
      <c r="K1289" s="11" t="s">
        <v>21</v>
      </c>
      <c r="L1289" s="7">
        <v>42479.825601851851</v>
      </c>
      <c r="M1289" s="12" t="s">
        <v>2585</v>
      </c>
      <c r="N1289" s="12" t="s">
        <v>2586</v>
      </c>
      <c r="O1289" s="10" t="str">
        <f>HYPERLINK("https://pbs.twimg.com/profile_images/722430922390401024/OXKzmoSE_normal.jpg","View")</f>
        <v>View</v>
      </c>
      <c r="P1289" s="11"/>
    </row>
    <row r="1290" spans="1:16" ht="12.75" x14ac:dyDescent="0.35">
      <c r="A1290" s="7">
        <v>42479.882743055554</v>
      </c>
      <c r="B1290" s="8" t="str">
        <f>HYPERLINK("https://twitter.com/INDIZbot","@INDIZbot")</f>
        <v>@INDIZbot</v>
      </c>
      <c r="C1290" s="9" t="s">
        <v>61</v>
      </c>
      <c r="D1290" s="9" t="s">
        <v>2587</v>
      </c>
      <c r="E1290" s="10" t="str">
        <f>HYPERLINK("https://twitter.com/INDIZbot/status/722449966959091712","722449966959091712")</f>
        <v>722449966959091712</v>
      </c>
      <c r="F1290" s="11" t="s">
        <v>62</v>
      </c>
      <c r="G1290" s="11">
        <v>1762</v>
      </c>
      <c r="H1290" s="11">
        <v>481</v>
      </c>
      <c r="I1290" s="11">
        <v>1</v>
      </c>
      <c r="J1290" s="11">
        <v>0</v>
      </c>
      <c r="K1290" s="11" t="s">
        <v>21</v>
      </c>
      <c r="L1290" s="7">
        <v>42267.011921296296</v>
      </c>
      <c r="M1290" s="12"/>
      <c r="N1290" s="12" t="s">
        <v>63</v>
      </c>
      <c r="O1290" s="10" t="str">
        <f>HYPERLINK("https://pbs.twimg.com/profile_images/645716711723925506/t5G0qOS6_normal.jpg","View")</f>
        <v>View</v>
      </c>
      <c r="P1290" s="11"/>
    </row>
    <row r="1291" spans="1:16" ht="12.75" x14ac:dyDescent="0.35">
      <c r="A1291" s="7">
        <v>42479.88726851852</v>
      </c>
      <c r="B1291" s="8" t="str">
        <f>HYPERLINK("https://twitter.com/werliefertwas","@werliefertwas")</f>
        <v>@werliefertwas</v>
      </c>
      <c r="C1291" s="9" t="s">
        <v>909</v>
      </c>
      <c r="D1291" s="9" t="s">
        <v>2588</v>
      </c>
      <c r="E1291" s="10" t="str">
        <f>HYPERLINK("https://twitter.com/werliefertwas/status/722451607242280960","722451607242280960")</f>
        <v>722451607242280960</v>
      </c>
      <c r="F1291" s="11" t="s">
        <v>25</v>
      </c>
      <c r="G1291" s="11">
        <v>509</v>
      </c>
      <c r="H1291" s="11">
        <v>299</v>
      </c>
      <c r="I1291" s="11">
        <v>1</v>
      </c>
      <c r="J1291" s="11">
        <v>1</v>
      </c>
      <c r="K1291" s="11" t="s">
        <v>21</v>
      </c>
      <c r="L1291" s="7">
        <v>39912.531782407408</v>
      </c>
      <c r="M1291" s="12" t="s">
        <v>549</v>
      </c>
      <c r="N1291" s="12" t="s">
        <v>911</v>
      </c>
      <c r="O1291" s="10" t="str">
        <f>HYPERLINK("https://pbs.twimg.com/profile_images/472323621445042176/etL3MUED_normal.png","View")</f>
        <v>View</v>
      </c>
      <c r="P1291" s="11"/>
    </row>
    <row r="1292" spans="1:16" ht="12.75" x14ac:dyDescent="0.35">
      <c r="A1292" s="7">
        <v>42479.887916666667</v>
      </c>
      <c r="B1292" s="8" t="str">
        <f>HYPERLINK("https://twitter.com/VDMAeu","@VDMAeu")</f>
        <v>@VDMAeu</v>
      </c>
      <c r="C1292" s="9" t="s">
        <v>2589</v>
      </c>
      <c r="D1292" s="9" t="s">
        <v>2590</v>
      </c>
      <c r="E1292" s="10" t="str">
        <f>HYPERLINK("https://twitter.com/VDMAeu/status/722451841712328704","722451841712328704")</f>
        <v>722451841712328704</v>
      </c>
      <c r="F1292" s="11" t="s">
        <v>25</v>
      </c>
      <c r="G1292" s="11">
        <v>680</v>
      </c>
      <c r="H1292" s="11">
        <v>495</v>
      </c>
      <c r="I1292" s="11">
        <v>5</v>
      </c>
      <c r="J1292" s="11">
        <v>3</v>
      </c>
      <c r="K1292" s="11" t="s">
        <v>21</v>
      </c>
      <c r="L1292" s="7">
        <v>41744.600381944445</v>
      </c>
      <c r="M1292" s="12" t="s">
        <v>2591</v>
      </c>
      <c r="N1292" s="12" t="s">
        <v>2592</v>
      </c>
      <c r="O1292" s="10" t="str">
        <f>HYPERLINK("https://pbs.twimg.com/profile_images/456007427129765888/tePNd5vB_normal.png","View")</f>
        <v>View</v>
      </c>
      <c r="P1292" s="11"/>
    </row>
    <row r="1293" spans="1:16" ht="12.75" x14ac:dyDescent="0.35">
      <c r="A1293" s="7">
        <v>42479.892453703702</v>
      </c>
      <c r="B1293" s="8" t="str">
        <f>HYPERLINK("https://twitter.com/OliverS2010","@OliverS2010")</f>
        <v>@OliverS2010</v>
      </c>
      <c r="C1293" s="9" t="s">
        <v>2593</v>
      </c>
      <c r="D1293" s="9" t="s">
        <v>1790</v>
      </c>
      <c r="E1293" s="10" t="str">
        <f>HYPERLINK("https://twitter.com/OliverS2010/status/722453488849068032","722453488849068032")</f>
        <v>722453488849068032</v>
      </c>
      <c r="F1293" s="11" t="s">
        <v>25</v>
      </c>
      <c r="G1293" s="11">
        <v>1177</v>
      </c>
      <c r="H1293" s="11">
        <v>1169</v>
      </c>
      <c r="I1293" s="11">
        <v>4</v>
      </c>
      <c r="J1293" s="11">
        <v>0</v>
      </c>
      <c r="K1293" s="11" t="s">
        <v>21</v>
      </c>
      <c r="L1293" s="7">
        <v>40121.725856481484</v>
      </c>
      <c r="M1293" s="12"/>
      <c r="N1293" s="12" t="s">
        <v>2594</v>
      </c>
      <c r="O1293" s="10" t="str">
        <f>HYPERLINK("https://pbs.twimg.com/profile_images/520204781394993153/KgKmEmB2_normal.jpeg","View")</f>
        <v>View</v>
      </c>
      <c r="P1293" s="11"/>
    </row>
    <row r="1294" spans="1:16" ht="12.75" x14ac:dyDescent="0.35">
      <c r="A1294" s="7">
        <v>42479.892754629633</v>
      </c>
      <c r="B1294" s="8" t="str">
        <f>HYPERLINK("https://twitter.com/thomaswedel","@thomaswedel")</f>
        <v>@thomaswedel</v>
      </c>
      <c r="C1294" s="9" t="s">
        <v>2595</v>
      </c>
      <c r="D1294" s="9" t="s">
        <v>1790</v>
      </c>
      <c r="E1294" s="10" t="str">
        <f>HYPERLINK("https://twitter.com/thomaswedel/status/722453598156820480","722453598156820480")</f>
        <v>722453598156820480</v>
      </c>
      <c r="F1294" s="11" t="s">
        <v>25</v>
      </c>
      <c r="G1294" s="11">
        <v>237</v>
      </c>
      <c r="H1294" s="11">
        <v>201</v>
      </c>
      <c r="I1294" s="11">
        <v>4</v>
      </c>
      <c r="J1294" s="11">
        <v>0</v>
      </c>
      <c r="K1294" s="11" t="s">
        <v>21</v>
      </c>
      <c r="L1294" s="7">
        <v>40228.577881944446</v>
      </c>
      <c r="M1294" s="12" t="s">
        <v>2596</v>
      </c>
      <c r="N1294" s="12" t="s">
        <v>2597</v>
      </c>
      <c r="O1294" s="10" t="str">
        <f>HYPERLINK("https://pbs.twimg.com/profile_images/1013214301/KleinesBild_normal.jpg","View")</f>
        <v>View</v>
      </c>
      <c r="P1294" s="11"/>
    </row>
    <row r="1295" spans="1:16" ht="12.75" x14ac:dyDescent="0.35">
      <c r="A1295" s="7">
        <v>42479.894803240742</v>
      </c>
      <c r="B1295" s="8" t="str">
        <f>HYPERLINK("https://twitter.com/aguittard","@aguittard")</f>
        <v>@aguittard</v>
      </c>
      <c r="C1295" s="9" t="s">
        <v>2598</v>
      </c>
      <c r="D1295" s="9" t="s">
        <v>2599</v>
      </c>
      <c r="E1295" s="10" t="str">
        <f>HYPERLINK("https://twitter.com/aguittard/status/722454337050554368","722454337050554368")</f>
        <v>722454337050554368</v>
      </c>
      <c r="F1295" s="11" t="s">
        <v>20</v>
      </c>
      <c r="G1295" s="11">
        <v>1585</v>
      </c>
      <c r="H1295" s="11">
        <v>1051</v>
      </c>
      <c r="I1295" s="11">
        <v>2</v>
      </c>
      <c r="J1295" s="11">
        <v>0</v>
      </c>
      <c r="K1295" s="11" t="s">
        <v>21</v>
      </c>
      <c r="L1295" s="7">
        <v>40226.853437500002</v>
      </c>
      <c r="M1295" s="12" t="s">
        <v>2600</v>
      </c>
      <c r="N1295" s="12" t="s">
        <v>2601</v>
      </c>
      <c r="O1295" s="10" t="str">
        <f>HYPERLINK("https://pbs.twimg.com/profile_images/419443300631064576/z6p0EaBD_normal.jpeg","View")</f>
        <v>View</v>
      </c>
      <c r="P1295" s="11"/>
    </row>
    <row r="1296" spans="1:16" ht="12.75" x14ac:dyDescent="0.35">
      <c r="A1296" s="7">
        <v>42479.896967592591</v>
      </c>
      <c r="B1296" s="8" t="str">
        <f>HYPERLINK("https://twitter.com/Rhenatic","@Rhenatic")</f>
        <v>@Rhenatic</v>
      </c>
      <c r="C1296" s="9" t="s">
        <v>2602</v>
      </c>
      <c r="D1296" s="9" t="s">
        <v>2603</v>
      </c>
      <c r="E1296" s="10" t="str">
        <f>HYPERLINK("https://twitter.com/Rhenatic/status/722455121888722944","722455121888722944")</f>
        <v>722455121888722944</v>
      </c>
      <c r="F1296" s="11" t="s">
        <v>31</v>
      </c>
      <c r="G1296" s="11">
        <v>1446</v>
      </c>
      <c r="H1296" s="11">
        <v>236</v>
      </c>
      <c r="I1296" s="11">
        <v>2</v>
      </c>
      <c r="J1296" s="11">
        <v>0</v>
      </c>
      <c r="K1296" s="11" t="s">
        <v>21</v>
      </c>
      <c r="L1296" s="7">
        <v>40018.606840277775</v>
      </c>
      <c r="M1296" s="12" t="s">
        <v>2604</v>
      </c>
      <c r="N1296" s="12" t="s">
        <v>2605</v>
      </c>
      <c r="O1296" s="10" t="str">
        <f>HYPERLINK("https://pbs.twimg.com/profile_images/555327405187801088/bhizIjB-_normal.png","View")</f>
        <v>View</v>
      </c>
      <c r="P1296" s="11"/>
    </row>
    <row r="1297" spans="1:16" ht="12.75" x14ac:dyDescent="0.35">
      <c r="A1297" s="7">
        <v>42479.897268518514</v>
      </c>
      <c r="B1297" s="8" t="str">
        <f>HYPERLINK("https://twitter.com/INDIZbot","@INDIZbot")</f>
        <v>@INDIZbot</v>
      </c>
      <c r="C1297" s="9" t="s">
        <v>61</v>
      </c>
      <c r="D1297" s="9" t="s">
        <v>1790</v>
      </c>
      <c r="E1297" s="10" t="str">
        <f>HYPERLINK("https://twitter.com/INDIZbot/status/722455233390059520","722455233390059520")</f>
        <v>722455233390059520</v>
      </c>
      <c r="F1297" s="11" t="s">
        <v>62</v>
      </c>
      <c r="G1297" s="11">
        <v>1762</v>
      </c>
      <c r="H1297" s="11">
        <v>481</v>
      </c>
      <c r="I1297" s="11">
        <v>4</v>
      </c>
      <c r="J1297" s="11">
        <v>0</v>
      </c>
      <c r="K1297" s="11" t="s">
        <v>21</v>
      </c>
      <c r="L1297" s="7">
        <v>42267.011921296296</v>
      </c>
      <c r="M1297" s="12"/>
      <c r="N1297" s="12" t="s">
        <v>63</v>
      </c>
      <c r="O1297" s="10" t="str">
        <f>HYPERLINK("https://pbs.twimg.com/profile_images/645716711723925506/t5G0qOS6_normal.jpg","View")</f>
        <v>View</v>
      </c>
      <c r="P1297" s="11"/>
    </row>
    <row r="1298" spans="1:16" ht="12.75" x14ac:dyDescent="0.35">
      <c r="A1298" s="7">
        <v>42479.898275462961</v>
      </c>
      <c r="B1298" s="8" t="str">
        <f>HYPERLINK("https://twitter.com/Rhenatic","@Rhenatic")</f>
        <v>@Rhenatic</v>
      </c>
      <c r="C1298" s="9" t="s">
        <v>2602</v>
      </c>
      <c r="D1298" s="9" t="s">
        <v>2606</v>
      </c>
      <c r="E1298" s="10" t="str">
        <f>HYPERLINK("https://twitter.com/Rhenatic/status/722455596000264192","722455596000264192")</f>
        <v>722455596000264192</v>
      </c>
      <c r="F1298" s="11" t="s">
        <v>31</v>
      </c>
      <c r="G1298" s="11">
        <v>1446</v>
      </c>
      <c r="H1298" s="11">
        <v>236</v>
      </c>
      <c r="I1298" s="11">
        <v>0</v>
      </c>
      <c r="J1298" s="11">
        <v>0</v>
      </c>
      <c r="K1298" s="11" t="s">
        <v>21</v>
      </c>
      <c r="L1298" s="7">
        <v>40018.606840277775</v>
      </c>
      <c r="M1298" s="12" t="s">
        <v>2604</v>
      </c>
      <c r="N1298" s="12" t="s">
        <v>2605</v>
      </c>
      <c r="O1298" s="10" t="str">
        <f>HYPERLINK("https://pbs.twimg.com/profile_images/555327405187801088/bhizIjB-_normal.png","View")</f>
        <v>View</v>
      </c>
      <c r="P1298" s="11"/>
    </row>
    <row r="1299" spans="1:16" ht="12.75" x14ac:dyDescent="0.35">
      <c r="A1299" s="7">
        <v>42479.901631944449</v>
      </c>
      <c r="B1299" s="8" t="str">
        <f>HYPERLINK("https://twitter.com/mfritz_fhg","@mfritz_fhg")</f>
        <v>@mfritz_fhg</v>
      </c>
      <c r="C1299" s="9" t="s">
        <v>676</v>
      </c>
      <c r="D1299" s="9" t="s">
        <v>2607</v>
      </c>
      <c r="E1299" s="10" t="str">
        <f>HYPERLINK("https://twitter.com/mfritz_fhg/status/722456813715763200","722456813715763200")</f>
        <v>722456813715763200</v>
      </c>
      <c r="F1299" s="11" t="s">
        <v>31</v>
      </c>
      <c r="G1299" s="11">
        <v>92</v>
      </c>
      <c r="H1299" s="11">
        <v>224</v>
      </c>
      <c r="I1299" s="11">
        <v>1</v>
      </c>
      <c r="J1299" s="11">
        <v>0</v>
      </c>
      <c r="K1299" s="11" t="s">
        <v>21</v>
      </c>
      <c r="L1299" s="7">
        <v>42214.190844907411</v>
      </c>
      <c r="M1299" s="12" t="s">
        <v>440</v>
      </c>
      <c r="N1299" s="12" t="s">
        <v>678</v>
      </c>
      <c r="O1299" s="10" t="str">
        <f>HYPERLINK("https://pbs.twimg.com/profile_images/653481171414872064/-C8HD5Mf_normal.jpg","View")</f>
        <v>View</v>
      </c>
      <c r="P1299" s="11"/>
    </row>
    <row r="1300" spans="1:16" ht="12.75" x14ac:dyDescent="0.35">
      <c r="A1300" s="7">
        <v>42479.903437500005</v>
      </c>
      <c r="B1300" s="8" t="str">
        <f>HYPERLINK("https://twitter.com/Alpict","@Alpict")</f>
        <v>@Alpict</v>
      </c>
      <c r="C1300" s="9" t="s">
        <v>2608</v>
      </c>
      <c r="D1300" s="9" t="s">
        <v>2609</v>
      </c>
      <c r="E1300" s="10" t="str">
        <f>HYPERLINK("https://twitter.com/Alpict/status/722457468010422273","722457468010422273")</f>
        <v>722457468010422273</v>
      </c>
      <c r="F1300" s="11" t="s">
        <v>31</v>
      </c>
      <c r="G1300" s="11">
        <v>4747</v>
      </c>
      <c r="H1300" s="11">
        <v>3701</v>
      </c>
      <c r="I1300" s="11">
        <v>3</v>
      </c>
      <c r="J1300" s="11">
        <v>0</v>
      </c>
      <c r="K1300" s="11" t="s">
        <v>21</v>
      </c>
      <c r="L1300" s="7">
        <v>40088.588263888887</v>
      </c>
      <c r="M1300" s="12" t="s">
        <v>2610</v>
      </c>
      <c r="N1300" s="12" t="s">
        <v>2611</v>
      </c>
      <c r="O1300" s="10" t="str">
        <f>HYPERLINK("https://pbs.twimg.com/profile_images/687255709180796928/1ccBfNwK_normal.png","View")</f>
        <v>View</v>
      </c>
      <c r="P1300" s="11"/>
    </row>
    <row r="1301" spans="1:16" ht="12.75" x14ac:dyDescent="0.35">
      <c r="A1301" s="7">
        <v>42479.904745370368</v>
      </c>
      <c r="B1301" s="8" t="str">
        <f>HYPERLINK("https://twitter.com/vopbal","@vopbal")</f>
        <v>@vopbal</v>
      </c>
      <c r="C1301" s="9" t="s">
        <v>2612</v>
      </c>
      <c r="D1301" s="9" t="s">
        <v>2603</v>
      </c>
      <c r="E1301" s="10" t="str">
        <f>HYPERLINK("https://twitter.com/vopbal/status/722457939768946689","722457939768946689")</f>
        <v>722457939768946689</v>
      </c>
      <c r="F1301" s="11" t="s">
        <v>20</v>
      </c>
      <c r="G1301" s="11">
        <v>693</v>
      </c>
      <c r="H1301" s="11">
        <v>845</v>
      </c>
      <c r="I1301" s="11">
        <v>2</v>
      </c>
      <c r="J1301" s="11">
        <v>0</v>
      </c>
      <c r="K1301" s="11" t="s">
        <v>21</v>
      </c>
      <c r="L1301" s="7">
        <v>40963.576273148152</v>
      </c>
      <c r="M1301" s="12" t="s">
        <v>2613</v>
      </c>
      <c r="N1301" s="12" t="s">
        <v>2614</v>
      </c>
      <c r="O1301" s="10" t="str">
        <f>HYPERLINK("https://pbs.twimg.com/profile_images/681053312804851712/G6yGxAsm_normal.png","View")</f>
        <v>View</v>
      </c>
      <c r="P1301" s="11"/>
    </row>
    <row r="1302" spans="1:16" ht="12.75" x14ac:dyDescent="0.35">
      <c r="A1302" s="7">
        <v>42479.905694444446</v>
      </c>
      <c r="B1302" s="8" t="str">
        <f>HYPERLINK("https://twitter.com/GOettingerEU","@GOettingerEU")</f>
        <v>@GOettingerEU</v>
      </c>
      <c r="C1302" s="9" t="s">
        <v>2314</v>
      </c>
      <c r="D1302" s="9" t="s">
        <v>2615</v>
      </c>
      <c r="E1302" s="10" t="str">
        <f>HYPERLINK("https://twitter.com/GOettingerEU/status/722458283609604096","722458283609604096")</f>
        <v>722458283609604096</v>
      </c>
      <c r="F1302" s="11" t="s">
        <v>31</v>
      </c>
      <c r="G1302" s="11">
        <v>37347</v>
      </c>
      <c r="H1302" s="11">
        <v>1048</v>
      </c>
      <c r="I1302" s="11">
        <v>8</v>
      </c>
      <c r="J1302" s="11">
        <v>9</v>
      </c>
      <c r="K1302" s="11" t="s">
        <v>21</v>
      </c>
      <c r="L1302" s="7">
        <v>41191.789942129632</v>
      </c>
      <c r="M1302" s="12"/>
      <c r="N1302" s="12" t="s">
        <v>2316</v>
      </c>
      <c r="O1302" s="10" t="str">
        <f>HYPERLINK("https://pbs.twimg.com/profile_images/2698310449/0da9a659e7a30abe7633746b7ada9ef7_normal.jpeg","View")</f>
        <v>View</v>
      </c>
      <c r="P1302" s="11"/>
    </row>
    <row r="1303" spans="1:16" ht="12.75" x14ac:dyDescent="0.35">
      <c r="A1303" s="7">
        <v>42479.907025462962</v>
      </c>
      <c r="B1303" s="8" t="str">
        <f>HYPERLINK("https://twitter.com/insm","@insm")</f>
        <v>@insm</v>
      </c>
      <c r="C1303" s="9" t="s">
        <v>2616</v>
      </c>
      <c r="D1303" s="9" t="s">
        <v>2617</v>
      </c>
      <c r="E1303" s="10" t="str">
        <f>HYPERLINK("https://twitter.com/insm/status/722458768898945024","722458768898945024")</f>
        <v>722458768898945024</v>
      </c>
      <c r="F1303" s="11" t="s">
        <v>1697</v>
      </c>
      <c r="G1303" s="11">
        <v>7505</v>
      </c>
      <c r="H1303" s="11">
        <v>1174</v>
      </c>
      <c r="I1303" s="11">
        <v>4</v>
      </c>
      <c r="J1303" s="11">
        <v>0</v>
      </c>
      <c r="K1303" s="11" t="s">
        <v>21</v>
      </c>
      <c r="L1303" s="7">
        <v>39826.640740740739</v>
      </c>
      <c r="M1303" s="12" t="s">
        <v>92</v>
      </c>
      <c r="N1303" s="12" t="s">
        <v>2618</v>
      </c>
      <c r="O1303" s="10" t="str">
        <f>HYPERLINK("https://pbs.twimg.com/profile_images/701518488616235010/LQEUttz__normal.png","View")</f>
        <v>View</v>
      </c>
      <c r="P1303" s="11"/>
    </row>
    <row r="1304" spans="1:16" ht="12.75" x14ac:dyDescent="0.35">
      <c r="A1304" s="7">
        <v>42479.907129629632</v>
      </c>
      <c r="B1304" s="8" t="str">
        <f>HYPERLINK("https://twitter.com/GOettingerEU","@GOettingerEU")</f>
        <v>@GOettingerEU</v>
      </c>
      <c r="C1304" s="9" t="s">
        <v>2314</v>
      </c>
      <c r="D1304" s="9" t="s">
        <v>2619</v>
      </c>
      <c r="E1304" s="10" t="str">
        <f>HYPERLINK("https://twitter.com/GOettingerEU/status/722458803350990848","722458803350990848")</f>
        <v>722458803350990848</v>
      </c>
      <c r="F1304" s="11" t="s">
        <v>25</v>
      </c>
      <c r="G1304" s="11">
        <v>37347</v>
      </c>
      <c r="H1304" s="11">
        <v>1048</v>
      </c>
      <c r="I1304" s="11">
        <v>1</v>
      </c>
      <c r="J1304" s="11">
        <v>0</v>
      </c>
      <c r="K1304" s="11" t="s">
        <v>21</v>
      </c>
      <c r="L1304" s="7">
        <v>41191.789942129632</v>
      </c>
      <c r="M1304" s="12"/>
      <c r="N1304" s="12" t="s">
        <v>2316</v>
      </c>
      <c r="O1304" s="10" t="str">
        <f>HYPERLINK("https://pbs.twimg.com/profile_images/2698310449/0da9a659e7a30abe7633746b7ada9ef7_normal.jpeg","View")</f>
        <v>View</v>
      </c>
      <c r="P1304" s="11"/>
    </row>
    <row r="1305" spans="1:16" ht="12.75" x14ac:dyDescent="0.35">
      <c r="A1305" s="7">
        <v>42479.909756944442</v>
      </c>
      <c r="B1305" s="8" t="str">
        <f t="shared" ref="B1305:B1306" si="140">HYPERLINK("https://twitter.com/aguittard","@aguittard")</f>
        <v>@aguittard</v>
      </c>
      <c r="C1305" s="9" t="s">
        <v>2598</v>
      </c>
      <c r="D1305" s="9" t="s">
        <v>2620</v>
      </c>
      <c r="E1305" s="10" t="str">
        <f>HYPERLINK("https://twitter.com/aguittard/status/722459757672599552","722459757672599552")</f>
        <v>722459757672599552</v>
      </c>
      <c r="F1305" s="11" t="s">
        <v>20</v>
      </c>
      <c r="G1305" s="11">
        <v>1585</v>
      </c>
      <c r="H1305" s="11">
        <v>1051</v>
      </c>
      <c r="I1305" s="11">
        <v>2</v>
      </c>
      <c r="J1305" s="11">
        <v>0</v>
      </c>
      <c r="K1305" s="11" t="s">
        <v>21</v>
      </c>
      <c r="L1305" s="7">
        <v>40226.853437500002</v>
      </c>
      <c r="M1305" s="12" t="s">
        <v>2600</v>
      </c>
      <c r="N1305" s="12" t="s">
        <v>2601</v>
      </c>
      <c r="O1305" s="10" t="str">
        <f t="shared" ref="O1305:O1306" si="141">HYPERLINK("https://pbs.twimg.com/profile_images/419443300631064576/z6p0EaBD_normal.jpeg","View")</f>
        <v>View</v>
      </c>
      <c r="P1305" s="11"/>
    </row>
    <row r="1306" spans="1:16" ht="12.75" x14ac:dyDescent="0.35">
      <c r="A1306" s="7">
        <v>42479.909942129627</v>
      </c>
      <c r="B1306" s="8" t="str">
        <f t="shared" si="140"/>
        <v>@aguittard</v>
      </c>
      <c r="C1306" s="9" t="s">
        <v>2598</v>
      </c>
      <c r="D1306" s="9" t="s">
        <v>2621</v>
      </c>
      <c r="E1306" s="10" t="str">
        <f>HYPERLINK("https://twitter.com/aguittard/status/722459824135520256","722459824135520256")</f>
        <v>722459824135520256</v>
      </c>
      <c r="F1306" s="11" t="s">
        <v>20</v>
      </c>
      <c r="G1306" s="11">
        <v>1585</v>
      </c>
      <c r="H1306" s="11">
        <v>1051</v>
      </c>
      <c r="I1306" s="11">
        <v>3</v>
      </c>
      <c r="J1306" s="11">
        <v>0</v>
      </c>
      <c r="K1306" s="11" t="s">
        <v>21</v>
      </c>
      <c r="L1306" s="7">
        <v>40226.853437500002</v>
      </c>
      <c r="M1306" s="12" t="s">
        <v>2600</v>
      </c>
      <c r="N1306" s="12" t="s">
        <v>2601</v>
      </c>
      <c r="O1306" s="10" t="str">
        <f t="shared" si="141"/>
        <v>View</v>
      </c>
      <c r="P1306" s="11"/>
    </row>
    <row r="1307" spans="1:16" ht="12.75" x14ac:dyDescent="0.35">
      <c r="A1307" s="7">
        <v>42479.910300925927</v>
      </c>
      <c r="B1307" s="8" t="str">
        <f>HYPERLINK("https://twitter.com/Stella_Vaskoudi","@Stella_Vaskoudi")</f>
        <v>@Stella_Vaskoudi</v>
      </c>
      <c r="C1307" s="9" t="s">
        <v>2339</v>
      </c>
      <c r="D1307" s="9" t="s">
        <v>2622</v>
      </c>
      <c r="E1307" s="10" t="str">
        <f>HYPERLINK("https://twitter.com/Stella_Vaskoudi/status/722459952711909376","722459952711909376")</f>
        <v>722459952711909376</v>
      </c>
      <c r="F1307" s="11" t="s">
        <v>222</v>
      </c>
      <c r="G1307" s="11">
        <v>437</v>
      </c>
      <c r="H1307" s="11">
        <v>1172</v>
      </c>
      <c r="I1307" s="11">
        <v>0</v>
      </c>
      <c r="J1307" s="11">
        <v>0</v>
      </c>
      <c r="K1307" s="11" t="s">
        <v>21</v>
      </c>
      <c r="L1307" s="7">
        <v>41967.990567129629</v>
      </c>
      <c r="M1307" s="12" t="s">
        <v>2341</v>
      </c>
      <c r="N1307" s="12" t="s">
        <v>2342</v>
      </c>
      <c r="O1307" s="10" t="str">
        <f>HYPERLINK("https://pbs.twimg.com/profile_images/666745791382425600/ljM37bIr_normal.jpg","View")</f>
        <v>View</v>
      </c>
      <c r="P1307" s="11"/>
    </row>
    <row r="1308" spans="1:16" ht="12.75" x14ac:dyDescent="0.35">
      <c r="A1308" s="7">
        <v>42479.910752314812</v>
      </c>
      <c r="B1308" s="8" t="str">
        <f>HYPERLINK("https://twitter.com/H_IT_D","@H_IT_D")</f>
        <v>@H_IT_D</v>
      </c>
      <c r="C1308" s="9" t="s">
        <v>159</v>
      </c>
      <c r="D1308" s="9" t="s">
        <v>2623</v>
      </c>
      <c r="E1308" s="10" t="str">
        <f>HYPERLINK("https://twitter.com/H_IT_D/status/722460120068673536","722460120068673536")</f>
        <v>722460120068673536</v>
      </c>
      <c r="F1308" s="11" t="s">
        <v>161</v>
      </c>
      <c r="G1308" s="11">
        <v>463</v>
      </c>
      <c r="H1308" s="11">
        <v>467</v>
      </c>
      <c r="I1308" s="11">
        <v>0</v>
      </c>
      <c r="J1308" s="11">
        <v>0</v>
      </c>
      <c r="K1308" s="11" t="s">
        <v>21</v>
      </c>
      <c r="L1308" s="7">
        <v>40723.867673611108</v>
      </c>
      <c r="M1308" s="12" t="s">
        <v>162</v>
      </c>
      <c r="N1308" s="12" t="s">
        <v>163</v>
      </c>
      <c r="O1308" s="10" t="str">
        <f>HYPERLINK("https://pbs.twimg.com/profile_images/662723326096224256/5V4KH9_O_normal.jpg","View")</f>
        <v>View</v>
      </c>
      <c r="P1308" s="11"/>
    </row>
    <row r="1309" spans="1:16" ht="12.75" x14ac:dyDescent="0.35">
      <c r="A1309" s="7">
        <v>42479.910949074074</v>
      </c>
      <c r="B1309" s="8" t="str">
        <f t="shared" ref="B1309:B1310" si="142">HYPERLINK("https://twitter.com/Rhenatic","@Rhenatic")</f>
        <v>@Rhenatic</v>
      </c>
      <c r="C1309" s="9" t="s">
        <v>2602</v>
      </c>
      <c r="D1309" s="9" t="s">
        <v>2624</v>
      </c>
      <c r="E1309" s="10" t="str">
        <f>HYPERLINK("https://twitter.com/Rhenatic/status/722460191145463810","722460191145463810")</f>
        <v>722460191145463810</v>
      </c>
      <c r="F1309" s="11" t="s">
        <v>31</v>
      </c>
      <c r="G1309" s="11">
        <v>1446</v>
      </c>
      <c r="H1309" s="11">
        <v>236</v>
      </c>
      <c r="I1309" s="11">
        <v>2</v>
      </c>
      <c r="J1309" s="11">
        <v>0</v>
      </c>
      <c r="K1309" s="11" t="s">
        <v>21</v>
      </c>
      <c r="L1309" s="7">
        <v>40018.606840277775</v>
      </c>
      <c r="M1309" s="12" t="s">
        <v>2604</v>
      </c>
      <c r="N1309" s="12" t="s">
        <v>2605</v>
      </c>
      <c r="O1309" s="10" t="str">
        <f t="shared" ref="O1309:O1310" si="143">HYPERLINK("https://pbs.twimg.com/profile_images/555327405187801088/bhizIjB-_normal.png","View")</f>
        <v>View</v>
      </c>
      <c r="P1309" s="11"/>
    </row>
    <row r="1310" spans="1:16" ht="12.75" x14ac:dyDescent="0.35">
      <c r="A1310" s="7">
        <v>42479.911226851851</v>
      </c>
      <c r="B1310" s="8" t="str">
        <f t="shared" si="142"/>
        <v>@Rhenatic</v>
      </c>
      <c r="C1310" s="9" t="s">
        <v>2602</v>
      </c>
      <c r="D1310" s="9" t="s">
        <v>2621</v>
      </c>
      <c r="E1310" s="10" t="str">
        <f>HYPERLINK("https://twitter.com/Rhenatic/status/722460290047205376","722460290047205376")</f>
        <v>722460290047205376</v>
      </c>
      <c r="F1310" s="11" t="s">
        <v>31</v>
      </c>
      <c r="G1310" s="11">
        <v>1446</v>
      </c>
      <c r="H1310" s="11">
        <v>236</v>
      </c>
      <c r="I1310" s="11">
        <v>3</v>
      </c>
      <c r="J1310" s="11">
        <v>0</v>
      </c>
      <c r="K1310" s="11" t="s">
        <v>21</v>
      </c>
      <c r="L1310" s="7">
        <v>40018.606840277775</v>
      </c>
      <c r="M1310" s="12" t="s">
        <v>2604</v>
      </c>
      <c r="N1310" s="12" t="s">
        <v>2605</v>
      </c>
      <c r="O1310" s="10" t="str">
        <f t="shared" si="143"/>
        <v>View</v>
      </c>
      <c r="P1310" s="11"/>
    </row>
    <row r="1311" spans="1:16" ht="12.75" x14ac:dyDescent="0.35">
      <c r="A1311" s="7">
        <v>42479.912453703699</v>
      </c>
      <c r="B1311" s="8" t="str">
        <f>HYPERLINK("https://twitter.com/LudovicDruelle","@LudovicDruelle")</f>
        <v>@LudovicDruelle</v>
      </c>
      <c r="C1311" s="9" t="s">
        <v>2625</v>
      </c>
      <c r="D1311" s="9" t="s">
        <v>2626</v>
      </c>
      <c r="E1311" s="10" t="str">
        <f>HYPERLINK("https://twitter.com/LudovicDruelle/status/722460736727990272","722460736727990272")</f>
        <v>722460736727990272</v>
      </c>
      <c r="F1311" s="11" t="s">
        <v>31</v>
      </c>
      <c r="G1311" s="11">
        <v>157</v>
      </c>
      <c r="H1311" s="11">
        <v>545</v>
      </c>
      <c r="I1311" s="11">
        <v>8</v>
      </c>
      <c r="J1311" s="11">
        <v>0</v>
      </c>
      <c r="K1311" s="11" t="s">
        <v>21</v>
      </c>
      <c r="L1311" s="7">
        <v>40029.66207175926</v>
      </c>
      <c r="M1311" s="12" t="s">
        <v>2350</v>
      </c>
      <c r="N1311" s="12" t="s">
        <v>2627</v>
      </c>
      <c r="O1311" s="10" t="str">
        <f>HYPERLINK("https://pbs.twimg.com/profile_images/457592058/DRUELLE.Ludovic_normal.jpg","View")</f>
        <v>View</v>
      </c>
      <c r="P1311" s="11"/>
    </row>
    <row r="1312" spans="1:16" ht="12.75" x14ac:dyDescent="0.35">
      <c r="A1312" s="7">
        <v>42479.914247685185</v>
      </c>
      <c r="B1312" s="8" t="str">
        <f>HYPERLINK("https://twitter.com/aguittard","@aguittard")</f>
        <v>@aguittard</v>
      </c>
      <c r="C1312" s="9" t="s">
        <v>2598</v>
      </c>
      <c r="D1312" s="9" t="s">
        <v>2628</v>
      </c>
      <c r="E1312" s="10" t="str">
        <f>HYPERLINK("https://twitter.com/aguittard/status/722461386220113921","722461386220113921")</f>
        <v>722461386220113921</v>
      </c>
      <c r="F1312" s="11" t="s">
        <v>20</v>
      </c>
      <c r="G1312" s="11">
        <v>1585</v>
      </c>
      <c r="H1312" s="11">
        <v>1051</v>
      </c>
      <c r="I1312" s="11">
        <v>1</v>
      </c>
      <c r="J1312" s="11">
        <v>0</v>
      </c>
      <c r="K1312" s="11" t="s">
        <v>21</v>
      </c>
      <c r="L1312" s="7">
        <v>40226.853437500002</v>
      </c>
      <c r="M1312" s="12" t="s">
        <v>2600</v>
      </c>
      <c r="N1312" s="12" t="s">
        <v>2601</v>
      </c>
      <c r="O1312" s="10" t="str">
        <f>HYPERLINK("https://pbs.twimg.com/profile_images/419443300631064576/z6p0EaBD_normal.jpeg","View")</f>
        <v>View</v>
      </c>
      <c r="P1312" s="11"/>
    </row>
    <row r="1313" spans="1:16" ht="12.75" x14ac:dyDescent="0.35">
      <c r="A1313" s="7">
        <v>42479.91474537037</v>
      </c>
      <c r="B1313" s="8" t="str">
        <f>HYPERLINK("https://twitter.com/mfritz_fhg","@mfritz_fhg")</f>
        <v>@mfritz_fhg</v>
      </c>
      <c r="C1313" s="9" t="s">
        <v>676</v>
      </c>
      <c r="D1313" s="9" t="s">
        <v>2629</v>
      </c>
      <c r="E1313" s="10" t="str">
        <f>HYPERLINK("https://twitter.com/mfritz_fhg/status/722461563345616897","722461563345616897")</f>
        <v>722461563345616897</v>
      </c>
      <c r="F1313" s="11" t="s">
        <v>31</v>
      </c>
      <c r="G1313" s="11">
        <v>92</v>
      </c>
      <c r="H1313" s="11">
        <v>224</v>
      </c>
      <c r="I1313" s="11">
        <v>1</v>
      </c>
      <c r="J1313" s="11">
        <v>0</v>
      </c>
      <c r="K1313" s="11" t="s">
        <v>21</v>
      </c>
      <c r="L1313" s="7">
        <v>42214.190844907411</v>
      </c>
      <c r="M1313" s="12" t="s">
        <v>440</v>
      </c>
      <c r="N1313" s="12" t="s">
        <v>678</v>
      </c>
      <c r="O1313" s="10" t="str">
        <f>HYPERLINK("https://pbs.twimg.com/profile_images/653481171414872064/-C8HD5Mf_normal.jpg","View")</f>
        <v>View</v>
      </c>
      <c r="P1313" s="11"/>
    </row>
    <row r="1314" spans="1:16" ht="12.75" x14ac:dyDescent="0.35">
      <c r="A1314" s="7">
        <v>42479.914976851855</v>
      </c>
      <c r="B1314" s="8" t="str">
        <f t="shared" ref="B1314:B1315" si="144">HYPERLINK("https://twitter.com/Rhenatic","@Rhenatic")</f>
        <v>@Rhenatic</v>
      </c>
      <c r="C1314" s="9" t="s">
        <v>2602</v>
      </c>
      <c r="D1314" s="9" t="s">
        <v>2630</v>
      </c>
      <c r="E1314" s="10" t="str">
        <f>HYPERLINK("https://twitter.com/Rhenatic/status/722461650561994752","722461650561994752")</f>
        <v>722461650561994752</v>
      </c>
      <c r="F1314" s="11" t="s">
        <v>31</v>
      </c>
      <c r="G1314" s="11">
        <v>1446</v>
      </c>
      <c r="H1314" s="11">
        <v>236</v>
      </c>
      <c r="I1314" s="11">
        <v>0</v>
      </c>
      <c r="J1314" s="11">
        <v>0</v>
      </c>
      <c r="K1314" s="11" t="s">
        <v>21</v>
      </c>
      <c r="L1314" s="7">
        <v>40018.606840277775</v>
      </c>
      <c r="M1314" s="12" t="s">
        <v>2604</v>
      </c>
      <c r="N1314" s="12" t="s">
        <v>2605</v>
      </c>
      <c r="O1314" s="10" t="str">
        <f t="shared" ref="O1314:O1315" si="145">HYPERLINK("https://pbs.twimg.com/profile_images/555327405187801088/bhizIjB-_normal.png","View")</f>
        <v>View</v>
      </c>
      <c r="P1314" s="11"/>
    </row>
    <row r="1315" spans="1:16" ht="12.75" x14ac:dyDescent="0.35">
      <c r="A1315" s="7">
        <v>42479.915254629625</v>
      </c>
      <c r="B1315" s="8" t="str">
        <f t="shared" si="144"/>
        <v>@Rhenatic</v>
      </c>
      <c r="C1315" s="9" t="s">
        <v>2602</v>
      </c>
      <c r="D1315" s="9" t="s">
        <v>2631</v>
      </c>
      <c r="E1315" s="10" t="str">
        <f>HYPERLINK("https://twitter.com/Rhenatic/status/722461750155677698","722461750155677698")</f>
        <v>722461750155677698</v>
      </c>
      <c r="F1315" s="11" t="s">
        <v>31</v>
      </c>
      <c r="G1315" s="11">
        <v>1446</v>
      </c>
      <c r="H1315" s="11">
        <v>236</v>
      </c>
      <c r="I1315" s="11">
        <v>1</v>
      </c>
      <c r="J1315" s="11">
        <v>0</v>
      </c>
      <c r="K1315" s="11" t="s">
        <v>21</v>
      </c>
      <c r="L1315" s="7">
        <v>40018.606840277775</v>
      </c>
      <c r="M1315" s="12" t="s">
        <v>2604</v>
      </c>
      <c r="N1315" s="12" t="s">
        <v>2605</v>
      </c>
      <c r="O1315" s="10" t="str">
        <f t="shared" si="145"/>
        <v>View</v>
      </c>
      <c r="P1315" s="11"/>
    </row>
    <row r="1316" spans="1:16" ht="12.75" x14ac:dyDescent="0.35">
      <c r="A1316" s="7">
        <v>42479.916122685187</v>
      </c>
      <c r="B1316" s="8" t="str">
        <f>HYPERLINK("https://twitter.com/vopbal","@vopbal")</f>
        <v>@vopbal</v>
      </c>
      <c r="C1316" s="9" t="s">
        <v>2612</v>
      </c>
      <c r="D1316" s="9" t="s">
        <v>2624</v>
      </c>
      <c r="E1316" s="10" t="str">
        <f>HYPERLINK("https://twitter.com/vopbal/status/722462066305589248","722462066305589248")</f>
        <v>722462066305589248</v>
      </c>
      <c r="F1316" s="11" t="s">
        <v>20</v>
      </c>
      <c r="G1316" s="11">
        <v>693</v>
      </c>
      <c r="H1316" s="11">
        <v>845</v>
      </c>
      <c r="I1316" s="11">
        <v>2</v>
      </c>
      <c r="J1316" s="11">
        <v>0</v>
      </c>
      <c r="K1316" s="11" t="s">
        <v>21</v>
      </c>
      <c r="L1316" s="7">
        <v>40963.576273148152</v>
      </c>
      <c r="M1316" s="12" t="s">
        <v>2613</v>
      </c>
      <c r="N1316" s="12" t="s">
        <v>2614</v>
      </c>
      <c r="O1316" s="10" t="str">
        <f>HYPERLINK("https://pbs.twimg.com/profile_images/681053312804851712/G6yGxAsm_normal.png","View")</f>
        <v>View</v>
      </c>
      <c r="P1316" s="11"/>
    </row>
    <row r="1317" spans="1:16" ht="12.75" x14ac:dyDescent="0.35">
      <c r="A1317" s="7">
        <v>42479.916944444441</v>
      </c>
      <c r="B1317" s="8" t="str">
        <f>HYPERLINK("https://twitter.com/Bitkom","@Bitkom")</f>
        <v>@Bitkom</v>
      </c>
      <c r="C1317" s="9" t="s">
        <v>216</v>
      </c>
      <c r="D1317" s="9" t="s">
        <v>2632</v>
      </c>
      <c r="E1317" s="10" t="str">
        <f>HYPERLINK("https://twitter.com/Bitkom/status/722462361093713923","722462361093713923")</f>
        <v>722462361093713923</v>
      </c>
      <c r="F1317" s="11" t="s">
        <v>115</v>
      </c>
      <c r="G1317" s="11">
        <v>21088</v>
      </c>
      <c r="H1317" s="11">
        <v>3258</v>
      </c>
      <c r="I1317" s="11">
        <v>4</v>
      </c>
      <c r="J1317" s="11">
        <v>5</v>
      </c>
      <c r="K1317" s="11" t="s">
        <v>21</v>
      </c>
      <c r="L1317" s="7">
        <v>39757.913229166668</v>
      </c>
      <c r="M1317" s="12" t="s">
        <v>218</v>
      </c>
      <c r="N1317" s="12" t="s">
        <v>219</v>
      </c>
      <c r="O1317" s="10" t="str">
        <f>HYPERLINK("https://pbs.twimg.com/profile_images/615797525040136192/CKF9-v_o_normal.jpg","View")</f>
        <v>View</v>
      </c>
      <c r="P1317" s="11"/>
    </row>
    <row r="1318" spans="1:16" ht="12.75" x14ac:dyDescent="0.35">
      <c r="A1318" s="7">
        <v>42479.917523148149</v>
      </c>
      <c r="B1318" s="8" t="str">
        <f>HYPERLINK("https://twitter.com/VR_Nachrichten","@VR_Nachrichten")</f>
        <v>@VR_Nachrichten</v>
      </c>
      <c r="C1318" s="9" t="s">
        <v>1932</v>
      </c>
      <c r="D1318" s="9" t="s">
        <v>2219</v>
      </c>
      <c r="E1318" s="10" t="str">
        <f>HYPERLINK("https://twitter.com/VR_Nachrichten/status/722462571996049408","722462571996049408")</f>
        <v>722462571996049408</v>
      </c>
      <c r="F1318" s="11" t="s">
        <v>20</v>
      </c>
      <c r="G1318" s="11">
        <v>264</v>
      </c>
      <c r="H1318" s="11">
        <v>110</v>
      </c>
      <c r="I1318" s="11">
        <v>7</v>
      </c>
      <c r="J1318" s="11">
        <v>0</v>
      </c>
      <c r="K1318" s="11" t="s">
        <v>21</v>
      </c>
      <c r="L1318" s="7">
        <v>41823.660057870373</v>
      </c>
      <c r="M1318" s="12" t="s">
        <v>1933</v>
      </c>
      <c r="N1318" s="12" t="s">
        <v>1934</v>
      </c>
      <c r="O1318" s="10" t="str">
        <f>HYPERLINK("https://pbs.twimg.com/profile_images/647332458573099008/HN8uONVI_normal.jpg","View")</f>
        <v>View</v>
      </c>
      <c r="P1318" s="11"/>
    </row>
    <row r="1319" spans="1:16" ht="12.75" x14ac:dyDescent="0.35">
      <c r="A1319" s="7">
        <v>42479.91988425926</v>
      </c>
      <c r="B1319" s="8" t="str">
        <f>HYPERLINK("https://twitter.com/croXXing_IBD","@croXXing_IBD")</f>
        <v>@croXXing_IBD</v>
      </c>
      <c r="C1319" s="9" t="s">
        <v>252</v>
      </c>
      <c r="D1319" s="9" t="s">
        <v>2633</v>
      </c>
      <c r="E1319" s="10" t="str">
        <f>HYPERLINK("https://twitter.com/croXXing_IBD/status/722463429445951488","722463429445951488")</f>
        <v>722463429445951488</v>
      </c>
      <c r="F1319" s="11" t="s">
        <v>222</v>
      </c>
      <c r="G1319" s="11">
        <v>40</v>
      </c>
      <c r="H1319" s="11">
        <v>137</v>
      </c>
      <c r="I1319" s="11">
        <v>0</v>
      </c>
      <c r="J1319" s="11">
        <v>0</v>
      </c>
      <c r="K1319" s="11" t="s">
        <v>21</v>
      </c>
      <c r="L1319" s="7">
        <v>42140.148263888885</v>
      </c>
      <c r="M1319" s="12" t="s">
        <v>223</v>
      </c>
      <c r="N1319" s="12" t="s">
        <v>254</v>
      </c>
      <c r="O1319" s="10" t="str">
        <f>HYPERLINK("https://pbs.twimg.com/profile_images/600279861282869249/IpIJ3MKX_normal.png","View")</f>
        <v>View</v>
      </c>
      <c r="P1319" s="11"/>
    </row>
    <row r="1320" spans="1:16" ht="12.75" x14ac:dyDescent="0.35">
      <c r="A1320" s="7">
        <v>42479.922986111109</v>
      </c>
      <c r="B1320" s="8" t="str">
        <f>HYPERLINK("https://twitter.com/ITK_OWL","@ITK_OWL")</f>
        <v>@ITK_OWL</v>
      </c>
      <c r="C1320" s="9" t="s">
        <v>220</v>
      </c>
      <c r="D1320" s="9" t="s">
        <v>2634</v>
      </c>
      <c r="E1320" s="10" t="str">
        <f>HYPERLINK("https://twitter.com/ITK_OWL/status/722464552198225924","722464552198225924")</f>
        <v>722464552198225924</v>
      </c>
      <c r="F1320" s="11" t="s">
        <v>222</v>
      </c>
      <c r="G1320" s="11">
        <v>199</v>
      </c>
      <c r="H1320" s="11">
        <v>389</v>
      </c>
      <c r="I1320" s="11">
        <v>0</v>
      </c>
      <c r="J1320" s="11">
        <v>0</v>
      </c>
      <c r="K1320" s="11" t="s">
        <v>21</v>
      </c>
      <c r="L1320" s="7">
        <v>42146.57880787037</v>
      </c>
      <c r="M1320" s="12" t="s">
        <v>223</v>
      </c>
      <c r="N1320" s="12" t="s">
        <v>224</v>
      </c>
      <c r="O1320" s="10" t="str">
        <f>HYPERLINK("https://pbs.twimg.com/profile_images/601673968551075840/MnulnKkj_normal.png","View")</f>
        <v>View</v>
      </c>
      <c r="P1320" s="11"/>
    </row>
    <row r="1321" spans="1:16" ht="12.75" x14ac:dyDescent="0.35">
      <c r="A1321" s="7">
        <v>42479.924293981487</v>
      </c>
      <c r="B1321" s="8" t="str">
        <f>HYPERLINK("https://twitter.com/Rhenatic","@Rhenatic")</f>
        <v>@Rhenatic</v>
      </c>
      <c r="C1321" s="9" t="s">
        <v>2602</v>
      </c>
      <c r="D1321" s="9" t="s">
        <v>2635</v>
      </c>
      <c r="E1321" s="10" t="str">
        <f>HYPERLINK("https://twitter.com/Rhenatic/status/722465024774684672","722465024774684672")</f>
        <v>722465024774684672</v>
      </c>
      <c r="F1321" s="11" t="s">
        <v>31</v>
      </c>
      <c r="G1321" s="11">
        <v>1446</v>
      </c>
      <c r="H1321" s="11">
        <v>236</v>
      </c>
      <c r="I1321" s="11">
        <v>1</v>
      </c>
      <c r="J1321" s="11">
        <v>0</v>
      </c>
      <c r="K1321" s="11" t="s">
        <v>21</v>
      </c>
      <c r="L1321" s="7">
        <v>40018.606840277775</v>
      </c>
      <c r="M1321" s="12" t="s">
        <v>2604</v>
      </c>
      <c r="N1321" s="12" t="s">
        <v>2605</v>
      </c>
      <c r="O1321" s="10" t="str">
        <f>HYPERLINK("https://pbs.twimg.com/profile_images/555327405187801088/bhizIjB-_normal.png","View")</f>
        <v>View</v>
      </c>
      <c r="P1321" s="11"/>
    </row>
    <row r="1322" spans="1:16" ht="12.75" x14ac:dyDescent="0.35">
      <c r="A1322" s="7">
        <v>42479.926076388889</v>
      </c>
      <c r="B1322" s="8" t="str">
        <f>HYPERLINK("https://twitter.com/TIMECODEX","@TIMECODEX")</f>
        <v>@TIMECODEX</v>
      </c>
      <c r="C1322" s="9" t="s">
        <v>2636</v>
      </c>
      <c r="D1322" s="9" t="s">
        <v>2637</v>
      </c>
      <c r="E1322" s="10" t="str">
        <f>HYPERLINK("https://twitter.com/TIMECODEX/status/722465673105031168","722465673105031168")</f>
        <v>722465673105031168</v>
      </c>
      <c r="F1322" s="11" t="s">
        <v>20</v>
      </c>
      <c r="G1322" s="11">
        <v>1343</v>
      </c>
      <c r="H1322" s="11">
        <v>2157</v>
      </c>
      <c r="I1322" s="11">
        <v>4</v>
      </c>
      <c r="J1322" s="11">
        <v>0</v>
      </c>
      <c r="K1322" s="11" t="s">
        <v>21</v>
      </c>
      <c r="L1322" s="7">
        <v>41154.080057870371</v>
      </c>
      <c r="M1322" s="12"/>
      <c r="N1322" s="12" t="s">
        <v>2638</v>
      </c>
      <c r="O1322" s="10" t="str">
        <f>HYPERLINK("https://pbs.twimg.com/profile_images/526830842329321472/6rRX2J0E_normal.jpeg","View")</f>
        <v>View</v>
      </c>
      <c r="P1322" s="11"/>
    </row>
    <row r="1323" spans="1:16" ht="12.75" x14ac:dyDescent="0.35">
      <c r="A1323" s="7">
        <v>42479.926168981481</v>
      </c>
      <c r="B1323" s="8" t="str">
        <f>HYPERLINK("https://twitter.com/MartinaWernerEU","@MartinaWernerEU")</f>
        <v>@MartinaWernerEU</v>
      </c>
      <c r="C1323" s="9" t="s">
        <v>2376</v>
      </c>
      <c r="D1323" s="9" t="s">
        <v>2626</v>
      </c>
      <c r="E1323" s="10" t="str">
        <f>HYPERLINK("https://twitter.com/MartinaWernerEU/status/722465704763637761","722465704763637761")</f>
        <v>722465704763637761</v>
      </c>
      <c r="F1323" s="11" t="s">
        <v>31</v>
      </c>
      <c r="G1323" s="11">
        <v>785</v>
      </c>
      <c r="H1323" s="11">
        <v>312</v>
      </c>
      <c r="I1323" s="11">
        <v>8</v>
      </c>
      <c r="J1323" s="11">
        <v>0</v>
      </c>
      <c r="K1323" s="11" t="s">
        <v>21</v>
      </c>
      <c r="L1323" s="7">
        <v>41688.899780092594</v>
      </c>
      <c r="M1323" s="12" t="s">
        <v>2378</v>
      </c>
      <c r="N1323" s="12" t="s">
        <v>2379</v>
      </c>
      <c r="O1323" s="10" t="str">
        <f>HYPERLINK("https://pbs.twimg.com/profile_images/535431236810854401/Aw5jj4R4_normal.jpeg","View")</f>
        <v>View</v>
      </c>
      <c r="P1323" s="11"/>
    </row>
    <row r="1324" spans="1:16" ht="12.75" x14ac:dyDescent="0.35">
      <c r="A1324" s="7">
        <v>42479.927268518513</v>
      </c>
      <c r="B1324" s="8" t="str">
        <f t="shared" ref="B1324:B1325" si="146">HYPERLINK("https://twitter.com/Rhenatic","@Rhenatic")</f>
        <v>@Rhenatic</v>
      </c>
      <c r="C1324" s="9" t="s">
        <v>2602</v>
      </c>
      <c r="D1324" s="9" t="s">
        <v>2639</v>
      </c>
      <c r="E1324" s="10" t="str">
        <f>HYPERLINK("https://twitter.com/Rhenatic/status/722466103159603200","722466103159603200")</f>
        <v>722466103159603200</v>
      </c>
      <c r="F1324" s="11" t="s">
        <v>31</v>
      </c>
      <c r="G1324" s="11">
        <v>1446</v>
      </c>
      <c r="H1324" s="11">
        <v>236</v>
      </c>
      <c r="I1324" s="11">
        <v>1</v>
      </c>
      <c r="J1324" s="11">
        <v>0</v>
      </c>
      <c r="K1324" s="11" t="s">
        <v>21</v>
      </c>
      <c r="L1324" s="7">
        <v>40018.606840277775</v>
      </c>
      <c r="M1324" s="12" t="s">
        <v>2604</v>
      </c>
      <c r="N1324" s="12" t="s">
        <v>2605</v>
      </c>
      <c r="O1324" s="10" t="str">
        <f t="shared" ref="O1324:O1325" si="147">HYPERLINK("https://pbs.twimg.com/profile_images/555327405187801088/bhizIjB-_normal.png","View")</f>
        <v>View</v>
      </c>
      <c r="P1324" s="11"/>
    </row>
    <row r="1325" spans="1:16" ht="12.75" x14ac:dyDescent="0.35">
      <c r="A1325" s="7">
        <v>42479.928912037038</v>
      </c>
      <c r="B1325" s="8" t="str">
        <f t="shared" si="146"/>
        <v>@Rhenatic</v>
      </c>
      <c r="C1325" s="9" t="s">
        <v>2602</v>
      </c>
      <c r="D1325" s="9" t="s">
        <v>2640</v>
      </c>
      <c r="E1325" s="10" t="str">
        <f>HYPERLINK("https://twitter.com/Rhenatic/status/722466697618264064","722466697618264064")</f>
        <v>722466697618264064</v>
      </c>
      <c r="F1325" s="11" t="s">
        <v>31</v>
      </c>
      <c r="G1325" s="11">
        <v>1446</v>
      </c>
      <c r="H1325" s="11">
        <v>236</v>
      </c>
      <c r="I1325" s="11">
        <v>1</v>
      </c>
      <c r="J1325" s="11">
        <v>0</v>
      </c>
      <c r="K1325" s="11" t="s">
        <v>21</v>
      </c>
      <c r="L1325" s="7">
        <v>40018.606840277775</v>
      </c>
      <c r="M1325" s="12" t="s">
        <v>2604</v>
      </c>
      <c r="N1325" s="12" t="s">
        <v>2605</v>
      </c>
      <c r="O1325" s="10" t="str">
        <f t="shared" si="147"/>
        <v>View</v>
      </c>
      <c r="P1325" s="11"/>
    </row>
    <row r="1326" spans="1:16" ht="12.75" x14ac:dyDescent="0.35">
      <c r="A1326" s="7">
        <v>42479.929247685184</v>
      </c>
      <c r="B1326" s="8" t="str">
        <f t="shared" ref="B1326:B1328" si="148">HYPERLINK("https://twitter.com/aguittard","@aguittard")</f>
        <v>@aguittard</v>
      </c>
      <c r="C1326" s="9" t="s">
        <v>2598</v>
      </c>
      <c r="D1326" s="9" t="s">
        <v>2641</v>
      </c>
      <c r="E1326" s="10" t="str">
        <f>HYPERLINK("https://twitter.com/aguittard/status/722466819164876802","722466819164876802")</f>
        <v>722466819164876802</v>
      </c>
      <c r="F1326" s="11" t="s">
        <v>20</v>
      </c>
      <c r="G1326" s="11">
        <v>1585</v>
      </c>
      <c r="H1326" s="11">
        <v>1051</v>
      </c>
      <c r="I1326" s="11">
        <v>1</v>
      </c>
      <c r="J1326" s="11">
        <v>0</v>
      </c>
      <c r="K1326" s="11" t="s">
        <v>21</v>
      </c>
      <c r="L1326" s="7">
        <v>40226.853437500002</v>
      </c>
      <c r="M1326" s="12" t="s">
        <v>2600</v>
      </c>
      <c r="N1326" s="12" t="s">
        <v>2601</v>
      </c>
      <c r="O1326" s="10" t="str">
        <f t="shared" ref="O1326:O1328" si="149">HYPERLINK("https://pbs.twimg.com/profile_images/419443300631064576/z6p0EaBD_normal.jpeg","View")</f>
        <v>View</v>
      </c>
      <c r="P1326" s="11"/>
    </row>
    <row r="1327" spans="1:16" ht="12.75" x14ac:dyDescent="0.35">
      <c r="A1327" s="7">
        <v>42479.929432870369</v>
      </c>
      <c r="B1327" s="8" t="str">
        <f t="shared" si="148"/>
        <v>@aguittard</v>
      </c>
      <c r="C1327" s="9" t="s">
        <v>2598</v>
      </c>
      <c r="D1327" s="9" t="s">
        <v>2642</v>
      </c>
      <c r="E1327" s="10" t="str">
        <f>HYPERLINK("https://twitter.com/aguittard/status/722466887716761604","722466887716761604")</f>
        <v>722466887716761604</v>
      </c>
      <c r="F1327" s="11" t="s">
        <v>20</v>
      </c>
      <c r="G1327" s="11">
        <v>1585</v>
      </c>
      <c r="H1327" s="11">
        <v>1051</v>
      </c>
      <c r="I1327" s="11">
        <v>1</v>
      </c>
      <c r="J1327" s="11">
        <v>0</v>
      </c>
      <c r="K1327" s="11" t="s">
        <v>21</v>
      </c>
      <c r="L1327" s="7">
        <v>40226.853437500002</v>
      </c>
      <c r="M1327" s="12" t="s">
        <v>2600</v>
      </c>
      <c r="N1327" s="12" t="s">
        <v>2601</v>
      </c>
      <c r="O1327" s="10" t="str">
        <f t="shared" si="149"/>
        <v>View</v>
      </c>
      <c r="P1327" s="11"/>
    </row>
    <row r="1328" spans="1:16" ht="12.75" x14ac:dyDescent="0.35">
      <c r="A1328" s="7">
        <v>42479.929560185185</v>
      </c>
      <c r="B1328" s="8" t="str">
        <f t="shared" si="148"/>
        <v>@aguittard</v>
      </c>
      <c r="C1328" s="9" t="s">
        <v>2598</v>
      </c>
      <c r="D1328" s="9" t="s">
        <v>2643</v>
      </c>
      <c r="E1328" s="10" t="str">
        <f>HYPERLINK("https://twitter.com/aguittard/status/722466932612558848","722466932612558848")</f>
        <v>722466932612558848</v>
      </c>
      <c r="F1328" s="11" t="s">
        <v>20</v>
      </c>
      <c r="G1328" s="11">
        <v>1585</v>
      </c>
      <c r="H1328" s="11">
        <v>1051</v>
      </c>
      <c r="I1328" s="11">
        <v>1</v>
      </c>
      <c r="J1328" s="11">
        <v>0</v>
      </c>
      <c r="K1328" s="11" t="s">
        <v>21</v>
      </c>
      <c r="L1328" s="7">
        <v>40226.853437500002</v>
      </c>
      <c r="M1328" s="12" t="s">
        <v>2600</v>
      </c>
      <c r="N1328" s="12" t="s">
        <v>2601</v>
      </c>
      <c r="O1328" s="10" t="str">
        <f t="shared" si="149"/>
        <v>View</v>
      </c>
      <c r="P1328" s="11"/>
    </row>
    <row r="1329" spans="1:16" ht="12.75" x14ac:dyDescent="0.35">
      <c r="A1329" s="7">
        <v>42479.930173611108</v>
      </c>
      <c r="B1329" s="8" t="str">
        <f>HYPERLINK("https://twitter.com/sinanick1","@sinanick1")</f>
        <v>@sinanick1</v>
      </c>
      <c r="C1329" s="9" t="s">
        <v>2644</v>
      </c>
      <c r="D1329" s="9" t="s">
        <v>2645</v>
      </c>
      <c r="E1329" s="10" t="str">
        <f>HYPERLINK("https://twitter.com/sinanick1/status/722467158329008128","722467158329008128")</f>
        <v>722467158329008128</v>
      </c>
      <c r="F1329" s="11" t="s">
        <v>25</v>
      </c>
      <c r="G1329" s="11">
        <v>57</v>
      </c>
      <c r="H1329" s="11">
        <v>139</v>
      </c>
      <c r="I1329" s="11">
        <v>0</v>
      </c>
      <c r="J1329" s="11">
        <v>1</v>
      </c>
      <c r="K1329" s="11" t="s">
        <v>21</v>
      </c>
      <c r="L1329" s="7">
        <v>42306.920787037037</v>
      </c>
      <c r="M1329" s="12" t="s">
        <v>2646</v>
      </c>
      <c r="N1329" s="12" t="s">
        <v>2647</v>
      </c>
      <c r="O1329" s="10" t="str">
        <f>HYPERLINK("https://pbs.twimg.com/profile_images/659771723500249088/HyyPYoht_normal.jpg","View")</f>
        <v>View</v>
      </c>
      <c r="P1329" s="11"/>
    </row>
    <row r="1330" spans="1:16" ht="12.75" x14ac:dyDescent="0.35">
      <c r="A1330" s="7">
        <v>42479.93850694444</v>
      </c>
      <c r="B1330" s="8" t="str">
        <f>HYPERLINK("https://twitter.com/TUslaender","@TUslaender")</f>
        <v>@TUslaender</v>
      </c>
      <c r="C1330" s="9" t="s">
        <v>679</v>
      </c>
      <c r="D1330" s="9" t="s">
        <v>2518</v>
      </c>
      <c r="E1330" s="10" t="str">
        <f>HYPERLINK("https://twitter.com/TUslaender/status/722470175996579840","722470175996579840")</f>
        <v>722470175996579840</v>
      </c>
      <c r="F1330" s="11" t="s">
        <v>31</v>
      </c>
      <c r="G1330" s="11">
        <v>33</v>
      </c>
      <c r="H1330" s="11">
        <v>22</v>
      </c>
      <c r="I1330" s="11">
        <v>3</v>
      </c>
      <c r="J1330" s="11">
        <v>0</v>
      </c>
      <c r="K1330" s="11" t="s">
        <v>21</v>
      </c>
      <c r="L1330" s="7">
        <v>41372.877152777779</v>
      </c>
      <c r="M1330" s="12"/>
      <c r="N1330" s="12"/>
      <c r="O1330" s="10" t="str">
        <f>HYPERLINK("https://pbs.twimg.com/profile_images/504569405494161410/4CpoyfPM_normal.jpeg","View")</f>
        <v>View</v>
      </c>
      <c r="P1330" s="11"/>
    </row>
    <row r="1331" spans="1:16" ht="12.75" x14ac:dyDescent="0.35">
      <c r="A1331" s="7">
        <v>42479.939270833333</v>
      </c>
      <c r="B1331" s="8" t="str">
        <f>HYPERLINK("https://twitter.com/Rhenatic","@Rhenatic")</f>
        <v>@Rhenatic</v>
      </c>
      <c r="C1331" s="9" t="s">
        <v>2602</v>
      </c>
      <c r="D1331" s="9" t="s">
        <v>2648</v>
      </c>
      <c r="E1331" s="10" t="str">
        <f>HYPERLINK("https://twitter.com/Rhenatic/status/722470451797168128","722470451797168128")</f>
        <v>722470451797168128</v>
      </c>
      <c r="F1331" s="11" t="s">
        <v>31</v>
      </c>
      <c r="G1331" s="11">
        <v>1446</v>
      </c>
      <c r="H1331" s="11">
        <v>236</v>
      </c>
      <c r="I1331" s="11">
        <v>1</v>
      </c>
      <c r="J1331" s="11">
        <v>1</v>
      </c>
      <c r="K1331" s="11" t="s">
        <v>21</v>
      </c>
      <c r="L1331" s="7">
        <v>40018.606840277775</v>
      </c>
      <c r="M1331" s="12" t="s">
        <v>2604</v>
      </c>
      <c r="N1331" s="12" t="s">
        <v>2605</v>
      </c>
      <c r="O1331" s="10" t="str">
        <f>HYPERLINK("https://pbs.twimg.com/profile_images/555327405187801088/bhizIjB-_normal.png","View")</f>
        <v>View</v>
      </c>
      <c r="P1331" s="11"/>
    </row>
    <row r="1332" spans="1:16" ht="12.75" x14ac:dyDescent="0.35">
      <c r="A1332" s="7">
        <v>42479.939560185187</v>
      </c>
      <c r="B1332" s="8" t="str">
        <f>HYPERLINK("https://twitter.com/PMiekautsch","@PMiekautsch")</f>
        <v>@PMiekautsch</v>
      </c>
      <c r="C1332" s="9" t="s">
        <v>1236</v>
      </c>
      <c r="D1332" s="9" t="s">
        <v>2649</v>
      </c>
      <c r="E1332" s="10" t="str">
        <f>HYPERLINK("https://twitter.com/PMiekautsch/status/722470559087529985","722470559087529985")</f>
        <v>722470559087529985</v>
      </c>
      <c r="F1332" s="11" t="s">
        <v>31</v>
      </c>
      <c r="G1332" s="11">
        <v>7</v>
      </c>
      <c r="H1332" s="11">
        <v>74</v>
      </c>
      <c r="I1332" s="11">
        <v>0</v>
      </c>
      <c r="J1332" s="11">
        <v>0</v>
      </c>
      <c r="K1332" s="11" t="s">
        <v>21</v>
      </c>
      <c r="L1332" s="7">
        <v>42373.074490740742</v>
      </c>
      <c r="M1332" s="12" t="s">
        <v>1238</v>
      </c>
      <c r="N1332" s="12"/>
      <c r="O1332" s="10" t="str">
        <f>HYPERLINK("https://pbs.twimg.com/profile_images/686414815301074945/Xe5edP1v_normal.jpg","View")</f>
        <v>View</v>
      </c>
      <c r="P1332" s="11"/>
    </row>
    <row r="1333" spans="1:16" ht="12.75" x14ac:dyDescent="0.35">
      <c r="A1333" s="7">
        <v>42479.941446759258</v>
      </c>
      <c r="B1333" s="8" t="str">
        <f>HYPERLINK("https://twitter.com/docXter_de","@docXter_de")</f>
        <v>@docXter_de</v>
      </c>
      <c r="C1333" s="9" t="s">
        <v>2650</v>
      </c>
      <c r="D1333" s="9" t="s">
        <v>2515</v>
      </c>
      <c r="E1333" s="10" t="str">
        <f>HYPERLINK("https://twitter.com/docXter_de/status/722471240334712834","722471240334712834")</f>
        <v>722471240334712834</v>
      </c>
      <c r="F1333" s="11" t="s">
        <v>31</v>
      </c>
      <c r="G1333" s="11">
        <v>83</v>
      </c>
      <c r="H1333" s="11">
        <v>58</v>
      </c>
      <c r="I1333" s="11">
        <v>4</v>
      </c>
      <c r="J1333" s="11">
        <v>0</v>
      </c>
      <c r="K1333" s="11" t="s">
        <v>21</v>
      </c>
      <c r="L1333" s="7">
        <v>40845.013692129629</v>
      </c>
      <c r="M1333" s="12"/>
      <c r="N1333" s="12" t="s">
        <v>2651</v>
      </c>
      <c r="O1333" s="10" t="str">
        <f>HYPERLINK("https://pbs.twimg.com/profile_images/1611096832/logo2_normal.png","View")</f>
        <v>View</v>
      </c>
      <c r="P1333" s="11"/>
    </row>
    <row r="1334" spans="1:16" ht="12.75" x14ac:dyDescent="0.35">
      <c r="A1334" s="7">
        <v>42479.941782407404</v>
      </c>
      <c r="B1334" s="8" t="str">
        <f>HYPERLINK("https://twitter.com/TUslaender","@TUslaender")</f>
        <v>@TUslaender</v>
      </c>
      <c r="C1334" s="9" t="s">
        <v>679</v>
      </c>
      <c r="D1334" s="9" t="s">
        <v>2652</v>
      </c>
      <c r="E1334" s="10" t="str">
        <f>HYPERLINK("https://twitter.com/TUslaender/status/722471365052338176","722471365052338176")</f>
        <v>722471365052338176</v>
      </c>
      <c r="F1334" s="11" t="s">
        <v>31</v>
      </c>
      <c r="G1334" s="11">
        <v>33</v>
      </c>
      <c r="H1334" s="11">
        <v>22</v>
      </c>
      <c r="I1334" s="11">
        <v>1</v>
      </c>
      <c r="J1334" s="11">
        <v>0</v>
      </c>
      <c r="K1334" s="11" t="s">
        <v>21</v>
      </c>
      <c r="L1334" s="7">
        <v>41372.877152777779</v>
      </c>
      <c r="M1334" s="12"/>
      <c r="N1334" s="12"/>
      <c r="O1334" s="10" t="str">
        <f>HYPERLINK("https://pbs.twimg.com/profile_images/504569405494161410/4CpoyfPM_normal.jpeg","View")</f>
        <v>View</v>
      </c>
      <c r="P1334" s="11"/>
    </row>
    <row r="1335" spans="1:16" ht="12.75" x14ac:dyDescent="0.35">
      <c r="A1335" s="7">
        <v>42479.946377314816</v>
      </c>
      <c r="B1335" s="8" t="str">
        <f>HYPERLINK("https://twitter.com/Katja_Althoff","@Katja_Althoff")</f>
        <v>@Katja_Althoff</v>
      </c>
      <c r="C1335" s="9" t="s">
        <v>2653</v>
      </c>
      <c r="D1335" s="9" t="s">
        <v>2515</v>
      </c>
      <c r="E1335" s="10" t="str">
        <f>HYPERLINK("https://twitter.com/Katja_Althoff/status/722473030224592896","722473030224592896")</f>
        <v>722473030224592896</v>
      </c>
      <c r="F1335" s="11" t="s">
        <v>1491</v>
      </c>
      <c r="G1335" s="11">
        <v>93</v>
      </c>
      <c r="H1335" s="11">
        <v>180</v>
      </c>
      <c r="I1335" s="11">
        <v>4</v>
      </c>
      <c r="J1335" s="11">
        <v>0</v>
      </c>
      <c r="K1335" s="11" t="s">
        <v>21</v>
      </c>
      <c r="L1335" s="7">
        <v>42367.872858796298</v>
      </c>
      <c r="M1335" s="12" t="s">
        <v>2654</v>
      </c>
      <c r="N1335" s="12" t="s">
        <v>2655</v>
      </c>
      <c r="O1335" s="10" t="str">
        <f>HYPERLINK("https://pbs.twimg.com/profile_images/681859767346851841/T3TRbOSr_normal.jpg","View")</f>
        <v>View</v>
      </c>
      <c r="P1335" s="11"/>
    </row>
    <row r="1336" spans="1:16" ht="12.75" x14ac:dyDescent="0.35">
      <c r="A1336" s="7">
        <v>42479.952187499999</v>
      </c>
      <c r="B1336" s="8" t="str">
        <f>HYPERLINK("https://twitter.com/Alpict","@Alpict")</f>
        <v>@Alpict</v>
      </c>
      <c r="C1336" s="9" t="s">
        <v>2608</v>
      </c>
      <c r="D1336" s="9" t="s">
        <v>2656</v>
      </c>
      <c r="E1336" s="10" t="str">
        <f>HYPERLINK("https://twitter.com/Alpict/status/722475134645321728","722475134645321728")</f>
        <v>722475134645321728</v>
      </c>
      <c r="F1336" s="11" t="s">
        <v>31</v>
      </c>
      <c r="G1336" s="11">
        <v>4747</v>
      </c>
      <c r="H1336" s="11">
        <v>3701</v>
      </c>
      <c r="I1336" s="11">
        <v>1</v>
      </c>
      <c r="J1336" s="11">
        <v>3</v>
      </c>
      <c r="K1336" s="11" t="s">
        <v>21</v>
      </c>
      <c r="L1336" s="7">
        <v>40088.588263888887</v>
      </c>
      <c r="M1336" s="12" t="s">
        <v>2610</v>
      </c>
      <c r="N1336" s="12" t="s">
        <v>2611</v>
      </c>
      <c r="O1336" s="10" t="str">
        <f>HYPERLINK("https://pbs.twimg.com/profile_images/687255709180796928/1ccBfNwK_normal.png","View")</f>
        <v>View</v>
      </c>
      <c r="P1336" s="11"/>
    </row>
    <row r="1337" spans="1:16" ht="12.75" x14ac:dyDescent="0.35">
      <c r="A1337" s="7">
        <v>42479.954467592594</v>
      </c>
      <c r="B1337" s="8" t="str">
        <f>HYPERLINK("https://twitter.com/industrie_futur","@industrie_futur")</f>
        <v>@industrie_futur</v>
      </c>
      <c r="C1337" s="9" t="s">
        <v>2657</v>
      </c>
      <c r="D1337" s="9" t="s">
        <v>2325</v>
      </c>
      <c r="E1337" s="10" t="str">
        <f>HYPERLINK("https://twitter.com/industrie_futur/status/722475961757929473","722475961757929473")</f>
        <v>722475961757929473</v>
      </c>
      <c r="F1337" s="11" t="s">
        <v>31</v>
      </c>
      <c r="G1337" s="11">
        <v>806</v>
      </c>
      <c r="H1337" s="11">
        <v>128</v>
      </c>
      <c r="I1337" s="11">
        <v>14</v>
      </c>
      <c r="J1337" s="11">
        <v>0</v>
      </c>
      <c r="K1337" s="11" t="s">
        <v>21</v>
      </c>
      <c r="L1337" s="7">
        <v>42205.45994212963</v>
      </c>
      <c r="M1337" s="12"/>
      <c r="N1337" s="12" t="s">
        <v>2658</v>
      </c>
      <c r="O1337" s="10" t="str">
        <f>HYPERLINK("https://pbs.twimg.com/profile_images/669447670818304000/kRc0EiEq_normal.jpg","View")</f>
        <v>View</v>
      </c>
      <c r="P1337" s="11"/>
    </row>
    <row r="1338" spans="1:16" ht="12.75" x14ac:dyDescent="0.35">
      <c r="A1338" s="7">
        <v>42479.95884259259</v>
      </c>
      <c r="B1338" s="8" t="str">
        <f>HYPERLINK("https://twitter.com/H_IT_D","@H_IT_D")</f>
        <v>@H_IT_D</v>
      </c>
      <c r="C1338" s="9" t="s">
        <v>159</v>
      </c>
      <c r="D1338" s="9" t="s">
        <v>2659</v>
      </c>
      <c r="E1338" s="10" t="str">
        <f>HYPERLINK("https://twitter.com/H_IT_D/status/722477543698214912","722477543698214912")</f>
        <v>722477543698214912</v>
      </c>
      <c r="F1338" s="11" t="s">
        <v>161</v>
      </c>
      <c r="G1338" s="11">
        <v>463</v>
      </c>
      <c r="H1338" s="11">
        <v>467</v>
      </c>
      <c r="I1338" s="11">
        <v>1</v>
      </c>
      <c r="J1338" s="11">
        <v>0</v>
      </c>
      <c r="K1338" s="11" t="s">
        <v>21</v>
      </c>
      <c r="L1338" s="7">
        <v>40723.867673611108</v>
      </c>
      <c r="M1338" s="12" t="s">
        <v>162</v>
      </c>
      <c r="N1338" s="12" t="s">
        <v>163</v>
      </c>
      <c r="O1338" s="10" t="str">
        <f>HYPERLINK("https://pbs.twimg.com/profile_images/662723326096224256/5V4KH9_O_normal.jpg","View")</f>
        <v>View</v>
      </c>
      <c r="P1338" s="11"/>
    </row>
    <row r="1339" spans="1:16" ht="12.75" x14ac:dyDescent="0.35">
      <c r="A1339" s="7">
        <v>42479.959143518514</v>
      </c>
      <c r="B1339" s="8" t="str">
        <f>HYPERLINK("https://twitter.com/INDIZbot","@INDIZbot")</f>
        <v>@INDIZbot</v>
      </c>
      <c r="C1339" s="9" t="s">
        <v>61</v>
      </c>
      <c r="D1339" s="9" t="s">
        <v>2660</v>
      </c>
      <c r="E1339" s="10" t="str">
        <f>HYPERLINK("https://twitter.com/INDIZbot/status/722477654809714688","722477654809714688")</f>
        <v>722477654809714688</v>
      </c>
      <c r="F1339" s="11" t="s">
        <v>62</v>
      </c>
      <c r="G1339" s="11">
        <v>1762</v>
      </c>
      <c r="H1339" s="11">
        <v>481</v>
      </c>
      <c r="I1339" s="11">
        <v>1</v>
      </c>
      <c r="J1339" s="11">
        <v>0</v>
      </c>
      <c r="K1339" s="11" t="s">
        <v>21</v>
      </c>
      <c r="L1339" s="7">
        <v>42267.011921296296</v>
      </c>
      <c r="M1339" s="12"/>
      <c r="N1339" s="12" t="s">
        <v>63</v>
      </c>
      <c r="O1339" s="10" t="str">
        <f>HYPERLINK("https://pbs.twimg.com/profile_images/645716711723925506/t5G0qOS6_normal.jpg","View")</f>
        <v>View</v>
      </c>
      <c r="P1339" s="11"/>
    </row>
    <row r="1340" spans="1:16" ht="12.75" x14ac:dyDescent="0.35">
      <c r="A1340" s="7">
        <v>42479.961226851854</v>
      </c>
      <c r="B1340" s="8" t="str">
        <f>HYPERLINK("https://twitter.com/syntecnumerique","@syntecnumerique")</f>
        <v>@syntecnumerique</v>
      </c>
      <c r="C1340" s="9" t="s">
        <v>2661</v>
      </c>
      <c r="D1340" s="9" t="s">
        <v>2325</v>
      </c>
      <c r="E1340" s="10" t="str">
        <f>HYPERLINK("https://twitter.com/syntecnumerique/status/722478411088793600","722478411088793600")</f>
        <v>722478411088793600</v>
      </c>
      <c r="F1340" s="11" t="s">
        <v>31</v>
      </c>
      <c r="G1340" s="11">
        <v>13354</v>
      </c>
      <c r="H1340" s="11">
        <v>759</v>
      </c>
      <c r="I1340" s="11">
        <v>14</v>
      </c>
      <c r="J1340" s="11">
        <v>0</v>
      </c>
      <c r="K1340" s="11" t="s">
        <v>21</v>
      </c>
      <c r="L1340" s="7">
        <v>40625.671689814815</v>
      </c>
      <c r="M1340" s="12" t="s">
        <v>88</v>
      </c>
      <c r="N1340" s="12" t="s">
        <v>2662</v>
      </c>
      <c r="O1340" s="10" t="str">
        <f>HYPERLINK("https://pbs.twimg.com/profile_images/694817005422186497/g0reOkTh_normal.png","View")</f>
        <v>View</v>
      </c>
      <c r="P1340" s="11"/>
    </row>
    <row r="1341" spans="1:16" ht="12.75" x14ac:dyDescent="0.35">
      <c r="A1341" s="7">
        <v>42479.966099537036</v>
      </c>
      <c r="B1341" s="8" t="str">
        <f>HYPERLINK("https://twitter.com/ChrisRouiller","@ChrisRouiller")</f>
        <v>@ChrisRouiller</v>
      </c>
      <c r="C1341" s="9" t="s">
        <v>2663</v>
      </c>
      <c r="D1341" s="9" t="s">
        <v>2664</v>
      </c>
      <c r="E1341" s="10" t="str">
        <f>HYPERLINK("https://twitter.com/ChrisRouiller/status/722480174214881281","722480174214881281")</f>
        <v>722480174214881281</v>
      </c>
      <c r="F1341" s="11" t="s">
        <v>31</v>
      </c>
      <c r="G1341" s="11">
        <v>63</v>
      </c>
      <c r="H1341" s="11">
        <v>102</v>
      </c>
      <c r="I1341" s="11">
        <v>1</v>
      </c>
      <c r="J1341" s="11">
        <v>0</v>
      </c>
      <c r="K1341" s="11" t="s">
        <v>21</v>
      </c>
      <c r="L1341" s="7">
        <v>41556.77721064815</v>
      </c>
      <c r="M1341" s="12" t="s">
        <v>2665</v>
      </c>
      <c r="N1341" s="12"/>
      <c r="O1341" s="10" t="str">
        <f>HYPERLINK("https://pbs.twimg.com/profile_images/610474142270390272/Tl1xeC-a_normal.jpg","View")</f>
        <v>View</v>
      </c>
      <c r="P1341" s="11"/>
    </row>
    <row r="1342" spans="1:16" ht="12.75" x14ac:dyDescent="0.35">
      <c r="A1342" s="7">
        <v>42479.977071759262</v>
      </c>
      <c r="B1342" s="8" t="str">
        <f>HYPERLINK("https://twitter.com/Industry40","@Industry40")</f>
        <v>@Industry40</v>
      </c>
      <c r="C1342" s="9" t="s">
        <v>1922</v>
      </c>
      <c r="D1342" s="9" t="s">
        <v>2626</v>
      </c>
      <c r="E1342" s="10" t="str">
        <f>HYPERLINK("https://twitter.com/Industry40/status/722484153078439938","722484153078439938")</f>
        <v>722484153078439938</v>
      </c>
      <c r="F1342" s="11" t="s">
        <v>29</v>
      </c>
      <c r="G1342" s="11">
        <v>2340</v>
      </c>
      <c r="H1342" s="11">
        <v>333</v>
      </c>
      <c r="I1342" s="11">
        <v>8</v>
      </c>
      <c r="J1342" s="11">
        <v>0</v>
      </c>
      <c r="K1342" s="11" t="s">
        <v>21</v>
      </c>
      <c r="L1342" s="7">
        <v>41667.561759259261</v>
      </c>
      <c r="M1342" s="12" t="s">
        <v>1924</v>
      </c>
      <c r="N1342" s="12" t="s">
        <v>1925</v>
      </c>
      <c r="O1342" s="10" t="str">
        <f>HYPERLINK("https://pbs.twimg.com/profile_images/613472305570824192/BKw639DG_normal.png","View")</f>
        <v>View</v>
      </c>
      <c r="P1342" s="11"/>
    </row>
    <row r="1343" spans="1:16" ht="12.75" x14ac:dyDescent="0.35">
      <c r="A1343" s="7">
        <v>42479.977743055555</v>
      </c>
      <c r="B1343" s="8" t="str">
        <f>HYPERLINK("https://twitter.com/ines_oppermann","@ines_oppermann")</f>
        <v>@ines_oppermann</v>
      </c>
      <c r="C1343" s="9" t="s">
        <v>2666</v>
      </c>
      <c r="D1343" s="9" t="s">
        <v>2527</v>
      </c>
      <c r="E1343" s="10" t="str">
        <f>HYPERLINK("https://twitter.com/ines_oppermann/status/722484396763324416","722484396763324416")</f>
        <v>722484396763324416</v>
      </c>
      <c r="F1343" s="11" t="s">
        <v>20</v>
      </c>
      <c r="G1343" s="11">
        <v>30</v>
      </c>
      <c r="H1343" s="11">
        <v>94</v>
      </c>
      <c r="I1343" s="11">
        <v>6</v>
      </c>
      <c r="J1343" s="11">
        <v>0</v>
      </c>
      <c r="K1343" s="11" t="s">
        <v>21</v>
      </c>
      <c r="L1343" s="7">
        <v>42177.50917824074</v>
      </c>
      <c r="M1343" s="12"/>
      <c r="N1343" s="12"/>
      <c r="O1343" s="10" t="str">
        <f>HYPERLINK("https://pbs.twimg.com/profile_images/687354058798137344/Vzvo0AAu_normal.jpg","View")</f>
        <v>View</v>
      </c>
      <c r="P1343" s="11"/>
    </row>
    <row r="1344" spans="1:16" ht="12.75" x14ac:dyDescent="0.35">
      <c r="A1344" s="7">
        <v>42479.980428240742</v>
      </c>
      <c r="B1344" s="8" t="str">
        <f>HYPERLINK("https://twitter.com/INDIZbot","@INDIZbot")</f>
        <v>@INDIZbot</v>
      </c>
      <c r="C1344" s="9" t="s">
        <v>61</v>
      </c>
      <c r="D1344" s="9" t="s">
        <v>2626</v>
      </c>
      <c r="E1344" s="10" t="str">
        <f>HYPERLINK("https://twitter.com/INDIZbot/status/722485368872951809","722485368872951809")</f>
        <v>722485368872951809</v>
      </c>
      <c r="F1344" s="11" t="s">
        <v>62</v>
      </c>
      <c r="G1344" s="11">
        <v>1762</v>
      </c>
      <c r="H1344" s="11">
        <v>481</v>
      </c>
      <c r="I1344" s="11">
        <v>8</v>
      </c>
      <c r="J1344" s="11">
        <v>0</v>
      </c>
      <c r="K1344" s="11" t="s">
        <v>21</v>
      </c>
      <c r="L1344" s="7">
        <v>42267.011921296296</v>
      </c>
      <c r="M1344" s="12"/>
      <c r="N1344" s="12" t="s">
        <v>63</v>
      </c>
      <c r="O1344" s="10" t="str">
        <f>HYPERLINK("https://pbs.twimg.com/profile_images/645716711723925506/t5G0qOS6_normal.jpg","View")</f>
        <v>View</v>
      </c>
      <c r="P1344" s="11"/>
    </row>
    <row r="1345" spans="1:16" ht="12.75" x14ac:dyDescent="0.35">
      <c r="A1345" s="7">
        <v>42479.985543981486</v>
      </c>
      <c r="B1345" s="8" t="str">
        <f>HYPERLINK("https://twitter.com/alnoor31","@alnoor31")</f>
        <v>@alnoor31</v>
      </c>
      <c r="C1345" s="9" t="s">
        <v>2667</v>
      </c>
      <c r="D1345" s="9" t="s">
        <v>2668</v>
      </c>
      <c r="E1345" s="10" t="str">
        <f>HYPERLINK("https://twitter.com/alnoor31/status/722487221912215554","722487221912215554")</f>
        <v>722487221912215554</v>
      </c>
      <c r="F1345" s="11" t="s">
        <v>31</v>
      </c>
      <c r="G1345" s="11">
        <v>411</v>
      </c>
      <c r="H1345" s="11">
        <v>624</v>
      </c>
      <c r="I1345" s="11">
        <v>2</v>
      </c>
      <c r="J1345" s="11">
        <v>0</v>
      </c>
      <c r="K1345" s="11" t="s">
        <v>21</v>
      </c>
      <c r="L1345" s="7">
        <v>40081.727777777778</v>
      </c>
      <c r="M1345" s="12" t="s">
        <v>2669</v>
      </c>
      <c r="N1345" s="12" t="s">
        <v>2670</v>
      </c>
      <c r="O1345" s="10" t="str">
        <f>HYPERLINK("https://pbs.twimg.com/profile_images/447849741607391232/ZNm5v4lB_normal.jpeg","View")</f>
        <v>View</v>
      </c>
      <c r="P1345" s="11"/>
    </row>
    <row r="1346" spans="1:16" ht="12.75" x14ac:dyDescent="0.35">
      <c r="A1346" s="7">
        <v>42479.985659722224</v>
      </c>
      <c r="B1346" s="8" t="str">
        <f>HYPERLINK("https://twitter.com/Vision_Laser","@Vision_Laser")</f>
        <v>@Vision_Laser</v>
      </c>
      <c r="C1346" s="9" t="s">
        <v>2671</v>
      </c>
      <c r="D1346" s="9" t="s">
        <v>2672</v>
      </c>
      <c r="E1346" s="10" t="str">
        <f>HYPERLINK("https://twitter.com/Vision_Laser/status/722487265004560384","722487265004560384")</f>
        <v>722487265004560384</v>
      </c>
      <c r="F1346" s="11" t="s">
        <v>31</v>
      </c>
      <c r="G1346" s="11">
        <v>58</v>
      </c>
      <c r="H1346" s="11">
        <v>43</v>
      </c>
      <c r="I1346" s="11">
        <v>0</v>
      </c>
      <c r="J1346" s="11">
        <v>0</v>
      </c>
      <c r="K1346" s="11" t="s">
        <v>21</v>
      </c>
      <c r="L1346" s="7">
        <v>40506.844687500001</v>
      </c>
      <c r="M1346" s="12" t="s">
        <v>2673</v>
      </c>
      <c r="N1346" s="12" t="s">
        <v>2674</v>
      </c>
      <c r="O1346" s="10" t="str">
        <f>HYPERLINK("https://pbs.twimg.com/profile_images/708212573745901568/A8w7_gKA_normal.jpg","View")</f>
        <v>View</v>
      </c>
      <c r="P1346" s="11"/>
    </row>
    <row r="1347" spans="1:16" ht="12.75" x14ac:dyDescent="0.35">
      <c r="A1347" s="7">
        <v>42479.987858796296</v>
      </c>
      <c r="B1347" s="8" t="str">
        <f>HYPERLINK("https://twitter.com/BrittaHavemann","@BrittaHavemann")</f>
        <v>@BrittaHavemann</v>
      </c>
      <c r="C1347" s="9" t="s">
        <v>2675</v>
      </c>
      <c r="D1347" s="9" t="s">
        <v>2626</v>
      </c>
      <c r="E1347" s="10" t="str">
        <f>HYPERLINK("https://twitter.com/BrittaHavemann/status/722488058952687618","722488058952687618")</f>
        <v>722488058952687618</v>
      </c>
      <c r="F1347" s="11" t="s">
        <v>31</v>
      </c>
      <c r="G1347" s="11">
        <v>103</v>
      </c>
      <c r="H1347" s="11">
        <v>332</v>
      </c>
      <c r="I1347" s="11">
        <v>8</v>
      </c>
      <c r="J1347" s="11">
        <v>0</v>
      </c>
      <c r="K1347" s="11" t="s">
        <v>21</v>
      </c>
      <c r="L1347" s="7">
        <v>41763.103449074071</v>
      </c>
      <c r="M1347" s="12" t="s">
        <v>116</v>
      </c>
      <c r="N1347" s="12" t="s">
        <v>2676</v>
      </c>
      <c r="O1347" s="10" t="str">
        <f>HYPERLINK("https://pbs.twimg.com/profile_images/462698709852360706/TQEmT-Fz_normal.jpeg","View")</f>
        <v>View</v>
      </c>
      <c r="P1347" s="11"/>
    </row>
    <row r="1348" spans="1:16" ht="12.75" x14ac:dyDescent="0.35">
      <c r="A1348" s="7">
        <v>42479.987951388888</v>
      </c>
      <c r="B1348" s="8" t="str">
        <f>HYPERLINK("https://twitter.com/SAPFrance","@SAPFrance")</f>
        <v>@SAPFrance</v>
      </c>
      <c r="C1348" s="9" t="s">
        <v>1109</v>
      </c>
      <c r="D1348" s="9" t="s">
        <v>2677</v>
      </c>
      <c r="E1348" s="10" t="str">
        <f>HYPERLINK("https://twitter.com/SAPFrance/status/722488095157919744","722488095157919744")</f>
        <v>722488095157919744</v>
      </c>
      <c r="F1348" s="11" t="s">
        <v>31</v>
      </c>
      <c r="G1348" s="11">
        <v>2054</v>
      </c>
      <c r="H1348" s="11">
        <v>1189</v>
      </c>
      <c r="I1348" s="11">
        <v>2</v>
      </c>
      <c r="J1348" s="11">
        <v>0</v>
      </c>
      <c r="K1348" s="11" t="s">
        <v>21</v>
      </c>
      <c r="L1348" s="7">
        <v>41078.552222222221</v>
      </c>
      <c r="M1348" s="12" t="s">
        <v>1112</v>
      </c>
      <c r="N1348" s="12" t="s">
        <v>1113</v>
      </c>
      <c r="O1348" s="10" t="str">
        <f>HYPERLINK("https://pbs.twimg.com/profile_images/713021101106995200/w4EIzjMN_normal.jpg","View")</f>
        <v>View</v>
      </c>
      <c r="P1348" s="11"/>
    </row>
    <row r="1349" spans="1:16" ht="12.75" x14ac:dyDescent="0.35">
      <c r="A1349" s="7">
        <v>42479.991678240738</v>
      </c>
      <c r="B1349" s="8" t="str">
        <f>HYPERLINK("https://twitter.com/AnWa_85","@AnWa_85")</f>
        <v>@AnWa_85</v>
      </c>
      <c r="C1349" s="9" t="s">
        <v>2678</v>
      </c>
      <c r="D1349" s="9" t="s">
        <v>2455</v>
      </c>
      <c r="E1349" s="10" t="str">
        <f>HYPERLINK("https://twitter.com/AnWa_85/status/722489446432706562","722489446432706562")</f>
        <v>722489446432706562</v>
      </c>
      <c r="F1349" s="11" t="s">
        <v>31</v>
      </c>
      <c r="G1349" s="11">
        <v>99</v>
      </c>
      <c r="H1349" s="11">
        <v>183</v>
      </c>
      <c r="I1349" s="11">
        <v>2</v>
      </c>
      <c r="J1349" s="11">
        <v>0</v>
      </c>
      <c r="K1349" s="11" t="s">
        <v>21</v>
      </c>
      <c r="L1349" s="7">
        <v>42266.729872685188</v>
      </c>
      <c r="M1349" s="12" t="s">
        <v>1492</v>
      </c>
      <c r="N1349" s="12" t="s">
        <v>2679</v>
      </c>
      <c r="O1349" s="10" t="str">
        <f>HYPERLINK("https://pbs.twimg.com/profile_images/645209372793151490/vUfPHR0E_normal.jpg","View")</f>
        <v>View</v>
      </c>
      <c r="P1349" s="11"/>
    </row>
    <row r="1350" spans="1:16" ht="12.75" x14ac:dyDescent="0.35">
      <c r="A1350" s="7">
        <v>42479.999814814815</v>
      </c>
      <c r="B1350" s="8" t="str">
        <f>HYPERLINK("https://twitter.com/NetClubj1","@NetClubj1")</f>
        <v>@NetClubj1</v>
      </c>
      <c r="C1350" s="9" t="s">
        <v>1825</v>
      </c>
      <c r="D1350" s="9" t="s">
        <v>2680</v>
      </c>
      <c r="E1350" s="10" t="str">
        <f>HYPERLINK("https://twitter.com/NetClubj1/status/722492391526178818","722492391526178818")</f>
        <v>722492391526178818</v>
      </c>
      <c r="F1350" s="11" t="s">
        <v>25</v>
      </c>
      <c r="G1350" s="11">
        <v>762</v>
      </c>
      <c r="H1350" s="11">
        <v>5001</v>
      </c>
      <c r="I1350" s="11">
        <v>5</v>
      </c>
      <c r="J1350" s="11">
        <v>0</v>
      </c>
      <c r="K1350" s="11" t="s">
        <v>21</v>
      </c>
      <c r="L1350" s="7">
        <v>41307.149317129632</v>
      </c>
      <c r="M1350" s="12"/>
      <c r="N1350" s="12" t="s">
        <v>1827</v>
      </c>
      <c r="O1350" s="10" t="str">
        <f>HYPERLINK("https://pbs.twimg.com/profile_images/651849467046588418/Vn4rwmih_normal.png","View")</f>
        <v>View</v>
      </c>
      <c r="P1350" s="11"/>
    </row>
    <row r="1351" spans="1:16" ht="12.75" x14ac:dyDescent="0.35">
      <c r="A1351" s="7">
        <v>42480.007511574076</v>
      </c>
      <c r="B1351" s="8" t="str">
        <f>HYPERLINK("https://twitter.com/H_IT_D","@H_IT_D")</f>
        <v>@H_IT_D</v>
      </c>
      <c r="C1351" s="9" t="s">
        <v>159</v>
      </c>
      <c r="D1351" s="9" t="s">
        <v>2681</v>
      </c>
      <c r="E1351" s="10" t="str">
        <f>HYPERLINK("https://twitter.com/H_IT_D/status/722495180817899522","722495180817899522")</f>
        <v>722495180817899522</v>
      </c>
      <c r="F1351" s="11" t="s">
        <v>161</v>
      </c>
      <c r="G1351" s="11">
        <v>463</v>
      </c>
      <c r="H1351" s="11">
        <v>467</v>
      </c>
      <c r="I1351" s="11">
        <v>3</v>
      </c>
      <c r="J1351" s="11">
        <v>1</v>
      </c>
      <c r="K1351" s="11" t="s">
        <v>21</v>
      </c>
      <c r="L1351" s="7">
        <v>40723.867673611108</v>
      </c>
      <c r="M1351" s="12" t="s">
        <v>162</v>
      </c>
      <c r="N1351" s="12" t="s">
        <v>163</v>
      </c>
      <c r="O1351" s="10" t="str">
        <f>HYPERLINK("https://pbs.twimg.com/profile_images/662723326096224256/5V4KH9_O_normal.jpg","View")</f>
        <v>View</v>
      </c>
      <c r="P1351" s="11"/>
    </row>
    <row r="1352" spans="1:16" ht="12.75" x14ac:dyDescent="0.35">
      <c r="A1352" s="7">
        <v>42480.009849537033</v>
      </c>
      <c r="B1352" s="8" t="str">
        <f>HYPERLINK("https://twitter.com/machinads_com","@machinads_com")</f>
        <v>@machinads_com</v>
      </c>
      <c r="C1352" s="8" t="s">
        <v>2682</v>
      </c>
      <c r="D1352" s="9" t="s">
        <v>2621</v>
      </c>
      <c r="E1352" s="10" t="str">
        <f>HYPERLINK("https://twitter.com/machinads_com/status/722496028193267712","722496028193267712")</f>
        <v>722496028193267712</v>
      </c>
      <c r="F1352" s="11" t="s">
        <v>25</v>
      </c>
      <c r="G1352" s="11">
        <v>581</v>
      </c>
      <c r="H1352" s="11">
        <v>394</v>
      </c>
      <c r="I1352" s="11">
        <v>3</v>
      </c>
      <c r="J1352" s="11">
        <v>0</v>
      </c>
      <c r="K1352" s="11" t="s">
        <v>21</v>
      </c>
      <c r="L1352" s="7">
        <v>40911.76498842593</v>
      </c>
      <c r="M1352" s="12"/>
      <c r="N1352" s="12" t="s">
        <v>2683</v>
      </c>
      <c r="O1352" s="10" t="str">
        <f>HYPERLINK("https://pbs.twimg.com/profile_images/678323426101215233/5d5jmRF4_normal.png","View")</f>
        <v>View</v>
      </c>
      <c r="P1352" s="11"/>
    </row>
    <row r="1353" spans="1:16" ht="12.75" x14ac:dyDescent="0.35">
      <c r="A1353" s="7">
        <v>42480.01599537037</v>
      </c>
      <c r="B1353" s="8" t="str">
        <f>HYPERLINK("https://twitter.com/ThingsOfIntern","@ThingsOfIntern")</f>
        <v>@ThingsOfIntern</v>
      </c>
      <c r="C1353" s="9" t="s">
        <v>2684</v>
      </c>
      <c r="D1353" s="9" t="s">
        <v>2371</v>
      </c>
      <c r="E1353" s="10" t="str">
        <f>HYPERLINK("https://twitter.com/ThingsOfIntern/status/722498255569948672","722498255569948672")</f>
        <v>722498255569948672</v>
      </c>
      <c r="F1353" s="11" t="s">
        <v>31</v>
      </c>
      <c r="G1353" s="11">
        <v>90</v>
      </c>
      <c r="H1353" s="11">
        <v>90</v>
      </c>
      <c r="I1353" s="11">
        <v>4</v>
      </c>
      <c r="J1353" s="11">
        <v>0</v>
      </c>
      <c r="K1353" s="11" t="s">
        <v>21</v>
      </c>
      <c r="L1353" s="7">
        <v>42468.081828703704</v>
      </c>
      <c r="M1353" s="12" t="s">
        <v>2685</v>
      </c>
      <c r="N1353" s="12" t="s">
        <v>2686</v>
      </c>
      <c r="O1353" s="10" t="str">
        <f>HYPERLINK("https://pbs.twimg.com/profile_images/719988824055681025/C6ovZ7ZR_normal.jpg","View")</f>
        <v>View</v>
      </c>
      <c r="P1353" s="11"/>
    </row>
    <row r="1354" spans="1:16" ht="12.75" x14ac:dyDescent="0.35">
      <c r="A1354" s="7">
        <v>42480.016192129631</v>
      </c>
      <c r="B1354" s="8" t="str">
        <f>HYPERLINK("https://twitter.com/INDIZbot","@INDIZbot")</f>
        <v>@INDIZbot</v>
      </c>
      <c r="C1354" s="9" t="s">
        <v>61</v>
      </c>
      <c r="D1354" s="9" t="s">
        <v>2687</v>
      </c>
      <c r="E1354" s="10" t="str">
        <f>HYPERLINK("https://twitter.com/INDIZbot/status/722498327879790592","722498327879790592")</f>
        <v>722498327879790592</v>
      </c>
      <c r="F1354" s="11" t="s">
        <v>62</v>
      </c>
      <c r="G1354" s="11">
        <v>1762</v>
      </c>
      <c r="H1354" s="11">
        <v>481</v>
      </c>
      <c r="I1354" s="11">
        <v>3</v>
      </c>
      <c r="J1354" s="11">
        <v>0</v>
      </c>
      <c r="K1354" s="11" t="s">
        <v>21</v>
      </c>
      <c r="L1354" s="7">
        <v>42267.011921296296</v>
      </c>
      <c r="M1354" s="12"/>
      <c r="N1354" s="12" t="s">
        <v>63</v>
      </c>
      <c r="O1354" s="10" t="str">
        <f>HYPERLINK("https://pbs.twimg.com/profile_images/645716711723925506/t5G0qOS6_normal.jpg","View")</f>
        <v>View</v>
      </c>
      <c r="P1354" s="11"/>
    </row>
    <row r="1355" spans="1:16" ht="12.75" x14ac:dyDescent="0.35">
      <c r="A1355" s="7">
        <v>42480.01771990741</v>
      </c>
      <c r="B1355" s="8" t="str">
        <f>HYPERLINK("https://twitter.com/CapgeminiDE","@CapgeminiDE")</f>
        <v>@CapgeminiDE</v>
      </c>
      <c r="C1355" s="9" t="s">
        <v>280</v>
      </c>
      <c r="D1355" s="9" t="s">
        <v>2688</v>
      </c>
      <c r="E1355" s="10" t="str">
        <f>HYPERLINK("https://twitter.com/CapgeminiDE/status/722498881628606464","722498881628606464")</f>
        <v>722498881628606464</v>
      </c>
      <c r="F1355" s="11" t="s">
        <v>39</v>
      </c>
      <c r="G1355" s="11">
        <v>1640</v>
      </c>
      <c r="H1355" s="11">
        <v>509</v>
      </c>
      <c r="I1355" s="11">
        <v>1</v>
      </c>
      <c r="J1355" s="11">
        <v>0</v>
      </c>
      <c r="K1355" s="11" t="s">
        <v>21</v>
      </c>
      <c r="L1355" s="7">
        <v>40424.022048611107</v>
      </c>
      <c r="M1355" s="12" t="s">
        <v>218</v>
      </c>
      <c r="N1355" s="12" t="s">
        <v>282</v>
      </c>
      <c r="O1355" s="10" t="str">
        <f>HYPERLINK("https://pbs.twimg.com/profile_images/666911961599315968/aP7ID_qm_normal.png","View")</f>
        <v>View</v>
      </c>
      <c r="P1355" s="11"/>
    </row>
    <row r="1356" spans="1:16" ht="12.75" x14ac:dyDescent="0.35">
      <c r="A1356" s="7">
        <v>42480.018935185188</v>
      </c>
      <c r="B1356" s="8" t="str">
        <f>HYPERLINK("https://twitter.com/pfisterer_ralf","@pfisterer_ralf")</f>
        <v>@pfisterer_ralf</v>
      </c>
      <c r="C1356" s="9" t="s">
        <v>1995</v>
      </c>
      <c r="D1356" s="9" t="s">
        <v>2410</v>
      </c>
      <c r="E1356" s="10" t="str">
        <f>HYPERLINK("https://twitter.com/pfisterer_ralf/status/722499320658923520","722499320658923520")</f>
        <v>722499320658923520</v>
      </c>
      <c r="F1356" s="11" t="s">
        <v>25</v>
      </c>
      <c r="G1356" s="11">
        <v>12</v>
      </c>
      <c r="H1356" s="11">
        <v>22</v>
      </c>
      <c r="I1356" s="11">
        <v>3</v>
      </c>
      <c r="J1356" s="11">
        <v>0</v>
      </c>
      <c r="K1356" s="11" t="s">
        <v>21</v>
      </c>
      <c r="L1356" s="7">
        <v>42383.044189814813</v>
      </c>
      <c r="M1356" s="12"/>
      <c r="N1356" s="12"/>
      <c r="O1356" s="10" t="str">
        <f>HYPERLINK("https://pbs.twimg.com/profile_images/687624884244082688/eYnhv8nB_normal.jpg","View")</f>
        <v>View</v>
      </c>
      <c r="P1356" s="11"/>
    </row>
    <row r="1357" spans="1:16" ht="12.75" x14ac:dyDescent="0.35">
      <c r="A1357" s="7">
        <v>42480.020856481482</v>
      </c>
      <c r="B1357" s="8" t="str">
        <f>HYPERLINK("https://twitter.com/kommoptimierer","@kommoptimierer")</f>
        <v>@kommoptimierer</v>
      </c>
      <c r="C1357" s="9" t="s">
        <v>270</v>
      </c>
      <c r="D1357" s="9" t="s">
        <v>669</v>
      </c>
      <c r="E1357" s="10" t="str">
        <f>HYPERLINK("https://twitter.com/kommoptimierer/status/722500019237097472","722500019237097472")</f>
        <v>722500019237097472</v>
      </c>
      <c r="F1357" s="11" t="s">
        <v>272</v>
      </c>
      <c r="G1357" s="11">
        <v>1347</v>
      </c>
      <c r="H1357" s="11">
        <v>1753</v>
      </c>
      <c r="I1357" s="11">
        <v>1</v>
      </c>
      <c r="J1357" s="11">
        <v>0</v>
      </c>
      <c r="K1357" s="11" t="s">
        <v>21</v>
      </c>
      <c r="L1357" s="7">
        <v>39986.860358796301</v>
      </c>
      <c r="M1357" s="12" t="s">
        <v>273</v>
      </c>
      <c r="N1357" s="12" t="s">
        <v>274</v>
      </c>
      <c r="O1357" s="10" t="str">
        <f>HYPERLINK("https://pbs.twimg.com/profile_images/541146126158536704/IYardufS_normal.jpeg","View")</f>
        <v>View</v>
      </c>
      <c r="P1357" s="11"/>
    </row>
    <row r="1358" spans="1:16" ht="12.75" x14ac:dyDescent="0.35">
      <c r="A1358" s="7">
        <v>42480.021631944444</v>
      </c>
      <c r="B1358" s="8" t="str">
        <f t="shared" ref="B1358:B1360" si="150">HYPERLINK("https://twitter.com/INDIZbot","@INDIZbot")</f>
        <v>@INDIZbot</v>
      </c>
      <c r="C1358" s="9" t="s">
        <v>61</v>
      </c>
      <c r="D1358" s="9" t="s">
        <v>1528</v>
      </c>
      <c r="E1358" s="10" t="str">
        <f>HYPERLINK("https://twitter.com/INDIZbot/status/722500300133769216","722500300133769216")</f>
        <v>722500300133769216</v>
      </c>
      <c r="F1358" s="11" t="s">
        <v>62</v>
      </c>
      <c r="G1358" s="11">
        <v>1762</v>
      </c>
      <c r="H1358" s="11">
        <v>481</v>
      </c>
      <c r="I1358" s="11">
        <v>1</v>
      </c>
      <c r="J1358" s="11">
        <v>0</v>
      </c>
      <c r="K1358" s="11" t="s">
        <v>21</v>
      </c>
      <c r="L1358" s="7">
        <v>42267.011921296296</v>
      </c>
      <c r="M1358" s="12"/>
      <c r="N1358" s="12" t="s">
        <v>63</v>
      </c>
      <c r="O1358" s="10" t="str">
        <f t="shared" ref="O1358:O1360" si="151">HYPERLINK("https://pbs.twimg.com/profile_images/645716711723925506/t5G0qOS6_normal.jpg","View")</f>
        <v>View</v>
      </c>
      <c r="P1358" s="11"/>
    </row>
    <row r="1359" spans="1:16" ht="12.75" x14ac:dyDescent="0.35">
      <c r="A1359" s="7">
        <v>42480.022141203706</v>
      </c>
      <c r="B1359" s="8" t="str">
        <f t="shared" si="150"/>
        <v>@INDIZbot</v>
      </c>
      <c r="C1359" s="9" t="s">
        <v>61</v>
      </c>
      <c r="D1359" s="9" t="s">
        <v>2689</v>
      </c>
      <c r="E1359" s="10" t="str">
        <f>HYPERLINK("https://twitter.com/INDIZbot/status/722500482699235328","722500482699235328")</f>
        <v>722500482699235328</v>
      </c>
      <c r="F1359" s="11" t="s">
        <v>62</v>
      </c>
      <c r="G1359" s="11">
        <v>1762</v>
      </c>
      <c r="H1359" s="11">
        <v>481</v>
      </c>
      <c r="I1359" s="11">
        <v>1</v>
      </c>
      <c r="J1359" s="11">
        <v>0</v>
      </c>
      <c r="K1359" s="11" t="s">
        <v>21</v>
      </c>
      <c r="L1359" s="7">
        <v>42267.011921296296</v>
      </c>
      <c r="M1359" s="12"/>
      <c r="N1359" s="12" t="s">
        <v>63</v>
      </c>
      <c r="O1359" s="10" t="str">
        <f t="shared" si="151"/>
        <v>View</v>
      </c>
      <c r="P1359" s="11"/>
    </row>
    <row r="1360" spans="1:16" ht="12.75" x14ac:dyDescent="0.35">
      <c r="A1360" s="7">
        <v>42480.022662037038</v>
      </c>
      <c r="B1360" s="8" t="str">
        <f t="shared" si="150"/>
        <v>@INDIZbot</v>
      </c>
      <c r="C1360" s="9" t="s">
        <v>61</v>
      </c>
      <c r="D1360" s="9" t="s">
        <v>2371</v>
      </c>
      <c r="E1360" s="10" t="str">
        <f>HYPERLINK("https://twitter.com/INDIZbot/status/722500675037487105","722500675037487105")</f>
        <v>722500675037487105</v>
      </c>
      <c r="F1360" s="11" t="s">
        <v>62</v>
      </c>
      <c r="G1360" s="11">
        <v>1762</v>
      </c>
      <c r="H1360" s="11">
        <v>481</v>
      </c>
      <c r="I1360" s="11">
        <v>4</v>
      </c>
      <c r="J1360" s="11">
        <v>0</v>
      </c>
      <c r="K1360" s="11" t="s">
        <v>21</v>
      </c>
      <c r="L1360" s="7">
        <v>42267.011921296296</v>
      </c>
      <c r="M1360" s="12"/>
      <c r="N1360" s="12" t="s">
        <v>63</v>
      </c>
      <c r="O1360" s="10" t="str">
        <f t="shared" si="151"/>
        <v>View</v>
      </c>
      <c r="P1360" s="11"/>
    </row>
    <row r="1361" spans="1:16" ht="12.75" x14ac:dyDescent="0.35">
      <c r="A1361" s="7">
        <v>42480.025208333333</v>
      </c>
      <c r="B1361" s="8" t="str">
        <f>HYPERLINK("https://twitter.com/LudwigVCI","@LudwigVCI")</f>
        <v>@LudwigVCI</v>
      </c>
      <c r="C1361" s="9" t="s">
        <v>2690</v>
      </c>
      <c r="D1361" s="9" t="s">
        <v>2691</v>
      </c>
      <c r="E1361" s="10" t="str">
        <f>HYPERLINK("https://twitter.com/LudwigVCI/status/722501596656046080","722501596656046080")</f>
        <v>722501596656046080</v>
      </c>
      <c r="F1361" s="11" t="s">
        <v>29</v>
      </c>
      <c r="G1361" s="11">
        <v>39</v>
      </c>
      <c r="H1361" s="11">
        <v>60</v>
      </c>
      <c r="I1361" s="11">
        <v>4</v>
      </c>
      <c r="J1361" s="11">
        <v>0</v>
      </c>
      <c r="K1361" s="11" t="s">
        <v>21</v>
      </c>
      <c r="L1361" s="7">
        <v>40679.720439814817</v>
      </c>
      <c r="M1361" s="12" t="s">
        <v>2692</v>
      </c>
      <c r="N1361" s="12" t="s">
        <v>2693</v>
      </c>
      <c r="O1361" s="10" t="str">
        <f>HYPERLINK("https://pbs.twimg.com/profile_images/709277508810702848/-itLCvSt_normal.jpg","View")</f>
        <v>View</v>
      </c>
      <c r="P1361" s="11"/>
    </row>
    <row r="1362" spans="1:16" ht="12.75" x14ac:dyDescent="0.35">
      <c r="A1362" s="7">
        <v>42480.031643518523</v>
      </c>
      <c r="B1362" s="8" t="str">
        <f>HYPERLINK("https://twitter.com/CloarecMark_Tec","@CloarecMark_Tec")</f>
        <v>@CloarecMark_Tec</v>
      </c>
      <c r="C1362" s="9" t="s">
        <v>2694</v>
      </c>
      <c r="D1362" s="9" t="s">
        <v>2695</v>
      </c>
      <c r="E1362" s="10" t="str">
        <f>HYPERLINK("https://twitter.com/CloarecMark_Tec/status/722503927795752960","722503927795752960")</f>
        <v>722503927795752960</v>
      </c>
      <c r="F1362" s="11" t="s">
        <v>29</v>
      </c>
      <c r="G1362" s="11">
        <v>97</v>
      </c>
      <c r="H1362" s="11">
        <v>115</v>
      </c>
      <c r="I1362" s="11">
        <v>1</v>
      </c>
      <c r="J1362" s="11">
        <v>0</v>
      </c>
      <c r="K1362" s="11" t="s">
        <v>21</v>
      </c>
      <c r="L1362" s="7">
        <v>40563.170706018514</v>
      </c>
      <c r="M1362" s="12" t="s">
        <v>2696</v>
      </c>
      <c r="N1362" s="12" t="s">
        <v>2697</v>
      </c>
      <c r="O1362" s="10" t="str">
        <f>HYPERLINK("https://pbs.twimg.com/profile_images/1220302889/image_normal.jpg","View")</f>
        <v>View</v>
      </c>
      <c r="P1362" s="11"/>
    </row>
    <row r="1363" spans="1:16" ht="12.75" x14ac:dyDescent="0.35">
      <c r="A1363" s="7">
        <v>42480.040844907402</v>
      </c>
      <c r="B1363" s="8" t="str">
        <f>HYPERLINK("https://twitter.com/ProdMgrNet","@ProdMgrNet")</f>
        <v>@ProdMgrNet</v>
      </c>
      <c r="C1363" s="9" t="s">
        <v>2698</v>
      </c>
      <c r="D1363" s="9" t="s">
        <v>2699</v>
      </c>
      <c r="E1363" s="10" t="str">
        <f>HYPERLINK("https://twitter.com/ProdMgrNet/status/722507260195418112","722507260195418112")</f>
        <v>722507260195418112</v>
      </c>
      <c r="F1363" s="11" t="s">
        <v>29</v>
      </c>
      <c r="G1363" s="11">
        <v>402</v>
      </c>
      <c r="H1363" s="11">
        <v>378</v>
      </c>
      <c r="I1363" s="11">
        <v>2</v>
      </c>
      <c r="J1363" s="11">
        <v>0</v>
      </c>
      <c r="K1363" s="11" t="s">
        <v>21</v>
      </c>
      <c r="L1363" s="7">
        <v>40333.69</v>
      </c>
      <c r="M1363" s="12" t="s">
        <v>2105</v>
      </c>
      <c r="N1363" s="12" t="s">
        <v>2700</v>
      </c>
      <c r="O1363" s="10" t="str">
        <f>HYPERLINK("https://pbs.twimg.com/profile_images/1336102736/AR69190_normal.jpg","View")</f>
        <v>View</v>
      </c>
      <c r="P1363" s="11"/>
    </row>
    <row r="1364" spans="1:16" ht="12.75" x14ac:dyDescent="0.35">
      <c r="A1364" s="7">
        <v>42480.041400462964</v>
      </c>
      <c r="B1364" s="8" t="str">
        <f>HYPERLINK("https://twitter.com/Angela_Josephs","@Angela_Josephs")</f>
        <v>@Angela_Josephs</v>
      </c>
      <c r="C1364" s="9" t="s">
        <v>1612</v>
      </c>
      <c r="D1364" s="9" t="s">
        <v>2527</v>
      </c>
      <c r="E1364" s="10" t="str">
        <f>HYPERLINK("https://twitter.com/Angela_Josephs/status/722507461693992960","722507461693992960")</f>
        <v>722507461693992960</v>
      </c>
      <c r="F1364" s="11" t="s">
        <v>31</v>
      </c>
      <c r="G1364" s="11">
        <v>173</v>
      </c>
      <c r="H1364" s="11">
        <v>83</v>
      </c>
      <c r="I1364" s="11">
        <v>6</v>
      </c>
      <c r="J1364" s="11">
        <v>0</v>
      </c>
      <c r="K1364" s="11" t="s">
        <v>21</v>
      </c>
      <c r="L1364" s="7">
        <v>41954.653541666667</v>
      </c>
      <c r="M1364" s="12" t="s">
        <v>1273</v>
      </c>
      <c r="N1364" s="12" t="s">
        <v>1614</v>
      </c>
      <c r="O1364" s="10" t="str">
        <f>HYPERLINK("https://pbs.twimg.com/profile_images/649572788148285440/Sxl5vTa3_normal.jpg","View")</f>
        <v>View</v>
      </c>
      <c r="P1364" s="11"/>
    </row>
    <row r="1365" spans="1:16" ht="12.75" x14ac:dyDescent="0.35">
      <c r="A1365" s="7">
        <v>42480.041678240741</v>
      </c>
      <c r="B1365" s="8" t="str">
        <f>HYPERLINK("https://twitter.com/kommoptimierer","@kommoptimierer")</f>
        <v>@kommoptimierer</v>
      </c>
      <c r="C1365" s="9" t="s">
        <v>270</v>
      </c>
      <c r="D1365" s="9" t="s">
        <v>684</v>
      </c>
      <c r="E1365" s="10" t="str">
        <f>HYPERLINK("https://twitter.com/kommoptimierer/status/722507564659957760","722507564659957760")</f>
        <v>722507564659957760</v>
      </c>
      <c r="F1365" s="11" t="s">
        <v>272</v>
      </c>
      <c r="G1365" s="11">
        <v>1347</v>
      </c>
      <c r="H1365" s="11">
        <v>1753</v>
      </c>
      <c r="I1365" s="11">
        <v>1</v>
      </c>
      <c r="J1365" s="11">
        <v>0</v>
      </c>
      <c r="K1365" s="11" t="s">
        <v>21</v>
      </c>
      <c r="L1365" s="7">
        <v>39986.860358796301</v>
      </c>
      <c r="M1365" s="12" t="s">
        <v>273</v>
      </c>
      <c r="N1365" s="12" t="s">
        <v>274</v>
      </c>
      <c r="O1365" s="10" t="str">
        <f>HYPERLINK("https://pbs.twimg.com/profile_images/541146126158536704/IYardufS_normal.jpeg","View")</f>
        <v>View</v>
      </c>
      <c r="P1365" s="11"/>
    </row>
    <row r="1366" spans="1:16" ht="12.75" x14ac:dyDescent="0.35">
      <c r="A1366" s="7">
        <v>42480.042465277773</v>
      </c>
      <c r="B1366" s="8" t="str">
        <f t="shared" ref="B1366:B1367" si="152">HYPERLINK("https://twitter.com/INDIZbot","@INDIZbot")</f>
        <v>@INDIZbot</v>
      </c>
      <c r="C1366" s="9" t="s">
        <v>61</v>
      </c>
      <c r="D1366" s="9" t="s">
        <v>1448</v>
      </c>
      <c r="E1366" s="10" t="str">
        <f>HYPERLINK("https://twitter.com/INDIZbot/status/722507848220024833","722507848220024833")</f>
        <v>722507848220024833</v>
      </c>
      <c r="F1366" s="11" t="s">
        <v>62</v>
      </c>
      <c r="G1366" s="11">
        <v>1762</v>
      </c>
      <c r="H1366" s="11">
        <v>481</v>
      </c>
      <c r="I1366" s="11">
        <v>1</v>
      </c>
      <c r="J1366" s="11">
        <v>0</v>
      </c>
      <c r="K1366" s="11" t="s">
        <v>21</v>
      </c>
      <c r="L1366" s="7">
        <v>42267.011921296296</v>
      </c>
      <c r="M1366" s="12"/>
      <c r="N1366" s="12" t="s">
        <v>63</v>
      </c>
      <c r="O1366" s="10" t="str">
        <f t="shared" ref="O1366:O1367" si="153">HYPERLINK("https://pbs.twimg.com/profile_images/645716711723925506/t5G0qOS6_normal.jpg","View")</f>
        <v>View</v>
      </c>
      <c r="P1366" s="11"/>
    </row>
    <row r="1367" spans="1:16" ht="12.75" x14ac:dyDescent="0.35">
      <c r="A1367" s="7">
        <v>42480.042893518519</v>
      </c>
      <c r="B1367" s="8" t="str">
        <f t="shared" si="152"/>
        <v>@INDIZbot</v>
      </c>
      <c r="C1367" s="9" t="s">
        <v>61</v>
      </c>
      <c r="D1367" s="9" t="s">
        <v>2701</v>
      </c>
      <c r="E1367" s="10" t="str">
        <f>HYPERLINK("https://twitter.com/INDIZbot/status/722508006039142400","722508006039142400")</f>
        <v>722508006039142400</v>
      </c>
      <c r="F1367" s="11" t="s">
        <v>62</v>
      </c>
      <c r="G1367" s="11">
        <v>1762</v>
      </c>
      <c r="H1367" s="11">
        <v>481</v>
      </c>
      <c r="I1367" s="11">
        <v>2</v>
      </c>
      <c r="J1367" s="11">
        <v>0</v>
      </c>
      <c r="K1367" s="11" t="s">
        <v>21</v>
      </c>
      <c r="L1367" s="7">
        <v>42267.011921296296</v>
      </c>
      <c r="M1367" s="12"/>
      <c r="N1367" s="12" t="s">
        <v>63</v>
      </c>
      <c r="O1367" s="10" t="str">
        <f t="shared" si="153"/>
        <v>View</v>
      </c>
      <c r="P1367" s="11"/>
    </row>
    <row r="1368" spans="1:16" ht="12.75" x14ac:dyDescent="0.35">
      <c r="A1368" s="7">
        <v>42480.043333333335</v>
      </c>
      <c r="B1368" s="8" t="str">
        <f>HYPERLINK("https://twitter.com/Angela_Josephs","@Angela_Josephs")</f>
        <v>@Angela_Josephs</v>
      </c>
      <c r="C1368" s="9" t="s">
        <v>1612</v>
      </c>
      <c r="D1368" s="9" t="s">
        <v>2702</v>
      </c>
      <c r="E1368" s="10" t="str">
        <f>HYPERLINK("https://twitter.com/Angela_Josephs/status/722508165133287424","722508165133287424")</f>
        <v>722508165133287424</v>
      </c>
      <c r="F1368" s="11" t="s">
        <v>31</v>
      </c>
      <c r="G1368" s="11">
        <v>173</v>
      </c>
      <c r="H1368" s="11">
        <v>83</v>
      </c>
      <c r="I1368" s="11">
        <v>4</v>
      </c>
      <c r="J1368" s="11">
        <v>0</v>
      </c>
      <c r="K1368" s="11" t="s">
        <v>21</v>
      </c>
      <c r="L1368" s="7">
        <v>41954.653541666667</v>
      </c>
      <c r="M1368" s="12" t="s">
        <v>1273</v>
      </c>
      <c r="N1368" s="12" t="s">
        <v>1614</v>
      </c>
      <c r="O1368" s="10" t="str">
        <f>HYPERLINK("https://pbs.twimg.com/profile_images/649572788148285440/Sxl5vTa3_normal.jpg","View")</f>
        <v>View</v>
      </c>
      <c r="P1368" s="11"/>
    </row>
    <row r="1369" spans="1:16" ht="12.75" x14ac:dyDescent="0.35">
      <c r="A1369" s="7">
        <v>42480.044085648144</v>
      </c>
      <c r="B1369" s="8" t="str">
        <f>HYPERLINK("https://twitter.com/dbizien","@dbizien")</f>
        <v>@dbizien</v>
      </c>
      <c r="C1369" s="9" t="s">
        <v>2703</v>
      </c>
      <c r="D1369" s="9" t="s">
        <v>2677</v>
      </c>
      <c r="E1369" s="10" t="str">
        <f>HYPERLINK("https://twitter.com/dbizien/status/722508437561741313","722508437561741313")</f>
        <v>722508437561741313</v>
      </c>
      <c r="F1369" s="11" t="s">
        <v>31</v>
      </c>
      <c r="G1369" s="11">
        <v>53</v>
      </c>
      <c r="H1369" s="11">
        <v>120</v>
      </c>
      <c r="I1369" s="11">
        <v>2</v>
      </c>
      <c r="J1369" s="11">
        <v>0</v>
      </c>
      <c r="K1369" s="11" t="s">
        <v>21</v>
      </c>
      <c r="L1369" s="7">
        <v>41046.877395833333</v>
      </c>
      <c r="M1369" s="12" t="s">
        <v>214</v>
      </c>
      <c r="N1369" s="12" t="s">
        <v>2704</v>
      </c>
      <c r="O1369" s="10" t="str">
        <f>HYPERLINK("https://pbs.twimg.com/profile_images/722509242385756160/5hnd3gUK_normal.jpg","View")</f>
        <v>View</v>
      </c>
      <c r="P1369" s="11"/>
    </row>
    <row r="1370" spans="1:16" ht="12.75" x14ac:dyDescent="0.35">
      <c r="A1370" s="7">
        <v>42480.047118055554</v>
      </c>
      <c r="B1370" s="8" t="str">
        <f>HYPERLINK("https://twitter.com/MWiedenmaier","@MWiedenmaier")</f>
        <v>@MWiedenmaier</v>
      </c>
      <c r="C1370" s="9" t="s">
        <v>2705</v>
      </c>
      <c r="D1370" s="9" t="s">
        <v>2515</v>
      </c>
      <c r="E1370" s="10" t="str">
        <f>HYPERLINK("https://twitter.com/MWiedenmaier/status/722509533835325440","722509533835325440")</f>
        <v>722509533835325440</v>
      </c>
      <c r="F1370" s="11" t="s">
        <v>31</v>
      </c>
      <c r="G1370" s="11">
        <v>171</v>
      </c>
      <c r="H1370" s="11">
        <v>224</v>
      </c>
      <c r="I1370" s="11">
        <v>4</v>
      </c>
      <c r="J1370" s="11">
        <v>0</v>
      </c>
      <c r="K1370" s="11" t="s">
        <v>21</v>
      </c>
      <c r="L1370" s="7">
        <v>40849.780231481483</v>
      </c>
      <c r="M1370" s="12" t="s">
        <v>2706</v>
      </c>
      <c r="N1370" s="12" t="s">
        <v>2707</v>
      </c>
      <c r="O1370" s="10" t="str">
        <f>HYPERLINK("https://pbs.twimg.com/profile_images/1619239500/WiedenmaierMarkus_normal.jpg","View")</f>
        <v>View</v>
      </c>
      <c r="P1370" s="11"/>
    </row>
    <row r="1371" spans="1:16" ht="12.75" x14ac:dyDescent="0.35">
      <c r="A1371" s="7">
        <v>42480.055092592593</v>
      </c>
      <c r="B1371" s="8" t="str">
        <f>HYPERLINK("https://twitter.com/LReehten","@LReehten")</f>
        <v>@LReehten</v>
      </c>
      <c r="C1371" s="9" t="s">
        <v>1998</v>
      </c>
      <c r="D1371" s="9" t="s">
        <v>2439</v>
      </c>
      <c r="E1371" s="10" t="str">
        <f>HYPERLINK("https://twitter.com/LReehten/status/722512426126741504","722512426126741504")</f>
        <v>722512426126741504</v>
      </c>
      <c r="F1371" s="11" t="s">
        <v>20</v>
      </c>
      <c r="G1371" s="11">
        <v>2334</v>
      </c>
      <c r="H1371" s="11">
        <v>2836</v>
      </c>
      <c r="I1371" s="11">
        <v>2</v>
      </c>
      <c r="J1371" s="11">
        <v>0</v>
      </c>
      <c r="K1371" s="11" t="s">
        <v>21</v>
      </c>
      <c r="L1371" s="7">
        <v>41618.817071759258</v>
      </c>
      <c r="M1371" s="12"/>
      <c r="N1371" s="12" t="s">
        <v>2000</v>
      </c>
      <c r="O1371" s="10" t="str">
        <f>HYPERLINK("https://pbs.twimg.com/profile_images/623849156159868928/BetFDR_i_normal.jpg","View")</f>
        <v>View</v>
      </c>
      <c r="P1371" s="11"/>
    </row>
    <row r="1372" spans="1:16" ht="12.75" x14ac:dyDescent="0.35">
      <c r="A1372" s="7">
        <v>42480.055439814816</v>
      </c>
      <c r="B1372" s="8" t="str">
        <f>HYPERLINK("https://twitter.com/DoreenJacobi1","@DoreenJacobi1")</f>
        <v>@DoreenJacobi1</v>
      </c>
      <c r="C1372" s="9" t="s">
        <v>2708</v>
      </c>
      <c r="D1372" s="9" t="s">
        <v>2709</v>
      </c>
      <c r="E1372" s="10" t="str">
        <f>HYPERLINK("https://twitter.com/DoreenJacobi1/status/722512552958300166","722512552958300166")</f>
        <v>722512552958300166</v>
      </c>
      <c r="F1372" s="11" t="s">
        <v>31</v>
      </c>
      <c r="G1372" s="11">
        <v>1154</v>
      </c>
      <c r="H1372" s="11">
        <v>1822</v>
      </c>
      <c r="I1372" s="11">
        <v>1</v>
      </c>
      <c r="J1372" s="11">
        <v>0</v>
      </c>
      <c r="K1372" s="11" t="s">
        <v>21</v>
      </c>
      <c r="L1372" s="7">
        <v>41767.873749999999</v>
      </c>
      <c r="M1372" s="12" t="s">
        <v>2710</v>
      </c>
      <c r="N1372" s="12" t="s">
        <v>2711</v>
      </c>
      <c r="O1372" s="10" t="str">
        <f>HYPERLINK("https://pbs.twimg.com/profile_images/477208957602119680/8QlGcAVc_normal.jpeg","View")</f>
        <v>View</v>
      </c>
      <c r="P1372" s="11"/>
    </row>
    <row r="1373" spans="1:16" ht="12.75" x14ac:dyDescent="0.35">
      <c r="A1373" s="7">
        <v>42480.055856481486</v>
      </c>
      <c r="B1373" s="8" t="str">
        <f t="shared" ref="B1373:B1377" si="154">HYPERLINK("https://twitter.com/LReehten","@LReehten")</f>
        <v>@LReehten</v>
      </c>
      <c r="C1373" s="9" t="s">
        <v>1998</v>
      </c>
      <c r="D1373" s="9" t="s">
        <v>2712</v>
      </c>
      <c r="E1373" s="10" t="str">
        <f>HYPERLINK("https://twitter.com/LReehten/status/722512703198216195","722512703198216195")</f>
        <v>722512703198216195</v>
      </c>
      <c r="F1373" s="11" t="s">
        <v>20</v>
      </c>
      <c r="G1373" s="11">
        <v>2334</v>
      </c>
      <c r="H1373" s="11">
        <v>2836</v>
      </c>
      <c r="I1373" s="11">
        <v>1</v>
      </c>
      <c r="J1373" s="11">
        <v>0</v>
      </c>
      <c r="K1373" s="11" t="s">
        <v>21</v>
      </c>
      <c r="L1373" s="7">
        <v>41618.817071759258</v>
      </c>
      <c r="M1373" s="12"/>
      <c r="N1373" s="12" t="s">
        <v>2000</v>
      </c>
      <c r="O1373" s="10" t="str">
        <f t="shared" ref="O1373:O1377" si="155">HYPERLINK("https://pbs.twimg.com/profile_images/623849156159868928/BetFDR_i_normal.jpg","View")</f>
        <v>View</v>
      </c>
      <c r="P1373" s="11"/>
    </row>
    <row r="1374" spans="1:16" ht="12.75" x14ac:dyDescent="0.35">
      <c r="A1374" s="7">
        <v>42480.05636574074</v>
      </c>
      <c r="B1374" s="8" t="str">
        <f t="shared" si="154"/>
        <v>@LReehten</v>
      </c>
      <c r="C1374" s="9" t="s">
        <v>1998</v>
      </c>
      <c r="D1374" s="9" t="s">
        <v>2637</v>
      </c>
      <c r="E1374" s="10" t="str">
        <f>HYPERLINK("https://twitter.com/LReehten/status/722512884819980289","722512884819980289")</f>
        <v>722512884819980289</v>
      </c>
      <c r="F1374" s="11" t="s">
        <v>20</v>
      </c>
      <c r="G1374" s="11">
        <v>2334</v>
      </c>
      <c r="H1374" s="11">
        <v>2836</v>
      </c>
      <c r="I1374" s="11">
        <v>4</v>
      </c>
      <c r="J1374" s="11">
        <v>0</v>
      </c>
      <c r="K1374" s="11" t="s">
        <v>21</v>
      </c>
      <c r="L1374" s="7">
        <v>41618.817071759258</v>
      </c>
      <c r="M1374" s="12"/>
      <c r="N1374" s="12" t="s">
        <v>2000</v>
      </c>
      <c r="O1374" s="10" t="str">
        <f t="shared" si="155"/>
        <v>View</v>
      </c>
      <c r="P1374" s="11"/>
    </row>
    <row r="1375" spans="1:16" ht="12.75" x14ac:dyDescent="0.35">
      <c r="A1375" s="7">
        <v>42480.05641203704</v>
      </c>
      <c r="B1375" s="8" t="str">
        <f t="shared" si="154"/>
        <v>@LReehten</v>
      </c>
      <c r="C1375" s="9" t="s">
        <v>1998</v>
      </c>
      <c r="D1375" s="9" t="s">
        <v>2527</v>
      </c>
      <c r="E1375" s="10" t="str">
        <f>HYPERLINK("https://twitter.com/LReehten/status/722512901928579072","722512901928579072")</f>
        <v>722512901928579072</v>
      </c>
      <c r="F1375" s="11" t="s">
        <v>20</v>
      </c>
      <c r="G1375" s="11">
        <v>2334</v>
      </c>
      <c r="H1375" s="11">
        <v>2836</v>
      </c>
      <c r="I1375" s="11">
        <v>6</v>
      </c>
      <c r="J1375" s="11">
        <v>0</v>
      </c>
      <c r="K1375" s="11" t="s">
        <v>21</v>
      </c>
      <c r="L1375" s="7">
        <v>41618.817071759258</v>
      </c>
      <c r="M1375" s="12"/>
      <c r="N1375" s="12" t="s">
        <v>2000</v>
      </c>
      <c r="O1375" s="10" t="str">
        <f t="shared" si="155"/>
        <v>View</v>
      </c>
      <c r="P1375" s="11"/>
    </row>
    <row r="1376" spans="1:16" ht="12.75" x14ac:dyDescent="0.35">
      <c r="A1376" s="7">
        <v>42480.056435185186</v>
      </c>
      <c r="B1376" s="8" t="str">
        <f t="shared" si="154"/>
        <v>@LReehten</v>
      </c>
      <c r="C1376" s="9" t="s">
        <v>1998</v>
      </c>
      <c r="D1376" s="9" t="s">
        <v>2476</v>
      </c>
      <c r="E1376" s="10" t="str">
        <f>HYPERLINK("https://twitter.com/LReehten/status/722512910325575680","722512910325575680")</f>
        <v>722512910325575680</v>
      </c>
      <c r="F1376" s="11" t="s">
        <v>20</v>
      </c>
      <c r="G1376" s="11">
        <v>2334</v>
      </c>
      <c r="H1376" s="11">
        <v>2836</v>
      </c>
      <c r="I1376" s="11">
        <v>3</v>
      </c>
      <c r="J1376" s="11">
        <v>0</v>
      </c>
      <c r="K1376" s="11" t="s">
        <v>21</v>
      </c>
      <c r="L1376" s="7">
        <v>41618.817071759258</v>
      </c>
      <c r="M1376" s="12"/>
      <c r="N1376" s="12" t="s">
        <v>2000</v>
      </c>
      <c r="O1376" s="10" t="str">
        <f t="shared" si="155"/>
        <v>View</v>
      </c>
      <c r="P1376" s="11"/>
    </row>
    <row r="1377" spans="1:16" ht="12.75" x14ac:dyDescent="0.35">
      <c r="A1377" s="7">
        <v>42480.056643518517</v>
      </c>
      <c r="B1377" s="8" t="str">
        <f t="shared" si="154"/>
        <v>@LReehten</v>
      </c>
      <c r="C1377" s="9" t="s">
        <v>1998</v>
      </c>
      <c r="D1377" s="9" t="s">
        <v>2219</v>
      </c>
      <c r="E1377" s="10" t="str">
        <f>HYPERLINK("https://twitter.com/LReehten/status/722512986313723904","722512986313723904")</f>
        <v>722512986313723904</v>
      </c>
      <c r="F1377" s="11" t="s">
        <v>20</v>
      </c>
      <c r="G1377" s="11">
        <v>2334</v>
      </c>
      <c r="H1377" s="11">
        <v>2836</v>
      </c>
      <c r="I1377" s="11">
        <v>7</v>
      </c>
      <c r="J1377" s="11">
        <v>0</v>
      </c>
      <c r="K1377" s="11" t="s">
        <v>21</v>
      </c>
      <c r="L1377" s="7">
        <v>41618.817071759258</v>
      </c>
      <c r="M1377" s="12"/>
      <c r="N1377" s="12" t="s">
        <v>2000</v>
      </c>
      <c r="O1377" s="10" t="str">
        <f t="shared" si="155"/>
        <v>View</v>
      </c>
      <c r="P1377" s="11"/>
    </row>
    <row r="1378" spans="1:16" ht="12.75" x14ac:dyDescent="0.35">
      <c r="A1378" s="7">
        <v>42480.056724537033</v>
      </c>
      <c r="B1378" s="8" t="str">
        <f>HYPERLINK("https://twitter.com/INDIZbot","@INDIZbot")</f>
        <v>@INDIZbot</v>
      </c>
      <c r="C1378" s="9" t="s">
        <v>61</v>
      </c>
      <c r="D1378" s="9" t="s">
        <v>2713</v>
      </c>
      <c r="E1378" s="10" t="str">
        <f>HYPERLINK("https://twitter.com/INDIZbot/status/722513014981861376","722513014981861376")</f>
        <v>722513014981861376</v>
      </c>
      <c r="F1378" s="11" t="s">
        <v>62</v>
      </c>
      <c r="G1378" s="11">
        <v>1762</v>
      </c>
      <c r="H1378" s="11">
        <v>481</v>
      </c>
      <c r="I1378" s="11">
        <v>1</v>
      </c>
      <c r="J1378" s="11">
        <v>0</v>
      </c>
      <c r="K1378" s="11" t="s">
        <v>21</v>
      </c>
      <c r="L1378" s="7">
        <v>42267.011921296296</v>
      </c>
      <c r="M1378" s="12"/>
      <c r="N1378" s="12" t="s">
        <v>63</v>
      </c>
      <c r="O1378" s="10" t="str">
        <f>HYPERLINK("https://pbs.twimg.com/profile_images/645716711723925506/t5G0qOS6_normal.jpg","View")</f>
        <v>View</v>
      </c>
      <c r="P1378" s="11"/>
    </row>
    <row r="1379" spans="1:16" ht="12.75" x14ac:dyDescent="0.35">
      <c r="A1379" s="7">
        <v>42480.057592592595</v>
      </c>
      <c r="B1379" s="8" t="str">
        <f t="shared" ref="B1379:B1387" si="156">HYPERLINK("https://twitter.com/LReehten","@LReehten")</f>
        <v>@LReehten</v>
      </c>
      <c r="C1379" s="9" t="s">
        <v>1998</v>
      </c>
      <c r="D1379" s="9" t="s">
        <v>1769</v>
      </c>
      <c r="E1379" s="10" t="str">
        <f>HYPERLINK("https://twitter.com/LReehten/status/722513332297736193","722513332297736193")</f>
        <v>722513332297736193</v>
      </c>
      <c r="F1379" s="11" t="s">
        <v>20</v>
      </c>
      <c r="G1379" s="11">
        <v>2334</v>
      </c>
      <c r="H1379" s="11">
        <v>2836</v>
      </c>
      <c r="I1379" s="11">
        <v>6</v>
      </c>
      <c r="J1379" s="11">
        <v>0</v>
      </c>
      <c r="K1379" s="11" t="s">
        <v>21</v>
      </c>
      <c r="L1379" s="7">
        <v>41618.817071759258</v>
      </c>
      <c r="M1379" s="12"/>
      <c r="N1379" s="12" t="s">
        <v>2000</v>
      </c>
      <c r="O1379" s="10" t="str">
        <f t="shared" ref="O1379:O1387" si="157">HYPERLINK("https://pbs.twimg.com/profile_images/623849156159868928/BetFDR_i_normal.jpg","View")</f>
        <v>View</v>
      </c>
      <c r="P1379" s="11"/>
    </row>
    <row r="1380" spans="1:16" ht="12.75" x14ac:dyDescent="0.35">
      <c r="A1380" s="7">
        <v>42480.058287037042</v>
      </c>
      <c r="B1380" s="8" t="str">
        <f t="shared" si="156"/>
        <v>@LReehten</v>
      </c>
      <c r="C1380" s="9" t="s">
        <v>1998</v>
      </c>
      <c r="D1380" s="9" t="s">
        <v>2714</v>
      </c>
      <c r="E1380" s="10" t="str">
        <f>HYPERLINK("https://twitter.com/LReehten/status/722513584207564801","722513584207564801")</f>
        <v>722513584207564801</v>
      </c>
      <c r="F1380" s="11" t="s">
        <v>20</v>
      </c>
      <c r="G1380" s="11">
        <v>2334</v>
      </c>
      <c r="H1380" s="11">
        <v>2836</v>
      </c>
      <c r="I1380" s="11">
        <v>0</v>
      </c>
      <c r="J1380" s="11">
        <v>0</v>
      </c>
      <c r="K1380" s="11" t="s">
        <v>21</v>
      </c>
      <c r="L1380" s="7">
        <v>41618.817071759258</v>
      </c>
      <c r="M1380" s="12"/>
      <c r="N1380" s="12" t="s">
        <v>2000</v>
      </c>
      <c r="O1380" s="10" t="str">
        <f t="shared" si="157"/>
        <v>View</v>
      </c>
      <c r="P1380" s="11"/>
    </row>
    <row r="1381" spans="1:16" ht="12.75" x14ac:dyDescent="0.35">
      <c r="A1381" s="7">
        <v>42480.060312500005</v>
      </c>
      <c r="B1381" s="8" t="str">
        <f t="shared" si="156"/>
        <v>@LReehten</v>
      </c>
      <c r="C1381" s="9" t="s">
        <v>1998</v>
      </c>
      <c r="D1381" s="9" t="s">
        <v>2701</v>
      </c>
      <c r="E1381" s="10" t="str">
        <f>HYPERLINK("https://twitter.com/LReehten/status/722514318772871168","722514318772871168")</f>
        <v>722514318772871168</v>
      </c>
      <c r="F1381" s="11" t="s">
        <v>20</v>
      </c>
      <c r="G1381" s="11">
        <v>2334</v>
      </c>
      <c r="H1381" s="11">
        <v>2836</v>
      </c>
      <c r="I1381" s="11">
        <v>2</v>
      </c>
      <c r="J1381" s="11">
        <v>0</v>
      </c>
      <c r="K1381" s="11" t="s">
        <v>21</v>
      </c>
      <c r="L1381" s="7">
        <v>41618.817071759258</v>
      </c>
      <c r="M1381" s="12"/>
      <c r="N1381" s="12" t="s">
        <v>2000</v>
      </c>
      <c r="O1381" s="10" t="str">
        <f t="shared" si="157"/>
        <v>View</v>
      </c>
      <c r="P1381" s="11"/>
    </row>
    <row r="1382" spans="1:16" ht="12.75" x14ac:dyDescent="0.35">
      <c r="A1382" s="7">
        <v>42480.06049768519</v>
      </c>
      <c r="B1382" s="8" t="str">
        <f t="shared" si="156"/>
        <v>@LReehten</v>
      </c>
      <c r="C1382" s="9" t="s">
        <v>1998</v>
      </c>
      <c r="D1382" s="9" t="s">
        <v>2371</v>
      </c>
      <c r="E1382" s="10" t="str">
        <f>HYPERLINK("https://twitter.com/LReehten/status/722514382589190144","722514382589190144")</f>
        <v>722514382589190144</v>
      </c>
      <c r="F1382" s="11" t="s">
        <v>20</v>
      </c>
      <c r="G1382" s="11">
        <v>2334</v>
      </c>
      <c r="H1382" s="11">
        <v>2836</v>
      </c>
      <c r="I1382" s="11">
        <v>4</v>
      </c>
      <c r="J1382" s="11">
        <v>0</v>
      </c>
      <c r="K1382" s="11" t="s">
        <v>21</v>
      </c>
      <c r="L1382" s="7">
        <v>41618.817071759258</v>
      </c>
      <c r="M1382" s="12"/>
      <c r="N1382" s="12" t="s">
        <v>2000</v>
      </c>
      <c r="O1382" s="10" t="str">
        <f t="shared" si="157"/>
        <v>View</v>
      </c>
      <c r="P1382" s="11"/>
    </row>
    <row r="1383" spans="1:16" ht="12.75" x14ac:dyDescent="0.35">
      <c r="A1383" s="7">
        <v>42480.060648148152</v>
      </c>
      <c r="B1383" s="8" t="str">
        <f t="shared" si="156"/>
        <v>@LReehten</v>
      </c>
      <c r="C1383" s="9" t="s">
        <v>1998</v>
      </c>
      <c r="D1383" s="9" t="s">
        <v>2715</v>
      </c>
      <c r="E1383" s="10" t="str">
        <f>HYPERLINK("https://twitter.com/LReehten/status/722514437463220226","722514437463220226")</f>
        <v>722514437463220226</v>
      </c>
      <c r="F1383" s="11" t="s">
        <v>20</v>
      </c>
      <c r="G1383" s="11">
        <v>2334</v>
      </c>
      <c r="H1383" s="11">
        <v>2836</v>
      </c>
      <c r="I1383" s="11">
        <v>5</v>
      </c>
      <c r="J1383" s="11">
        <v>0</v>
      </c>
      <c r="K1383" s="11" t="s">
        <v>21</v>
      </c>
      <c r="L1383" s="7">
        <v>41618.817071759258</v>
      </c>
      <c r="M1383" s="12"/>
      <c r="N1383" s="12" t="s">
        <v>2000</v>
      </c>
      <c r="O1383" s="10" t="str">
        <f t="shared" si="157"/>
        <v>View</v>
      </c>
      <c r="P1383" s="11"/>
    </row>
    <row r="1384" spans="1:16" ht="12.75" x14ac:dyDescent="0.35">
      <c r="A1384" s="7">
        <v>42480.060833333337</v>
      </c>
      <c r="B1384" s="8" t="str">
        <f t="shared" si="156"/>
        <v>@LReehten</v>
      </c>
      <c r="C1384" s="9" t="s">
        <v>1998</v>
      </c>
      <c r="D1384" s="9" t="s">
        <v>2687</v>
      </c>
      <c r="E1384" s="10" t="str">
        <f>HYPERLINK("https://twitter.com/LReehten/status/722514507755556868","722514507755556868")</f>
        <v>722514507755556868</v>
      </c>
      <c r="F1384" s="11" t="s">
        <v>20</v>
      </c>
      <c r="G1384" s="11">
        <v>2334</v>
      </c>
      <c r="H1384" s="11">
        <v>2836</v>
      </c>
      <c r="I1384" s="11">
        <v>3</v>
      </c>
      <c r="J1384" s="11">
        <v>0</v>
      </c>
      <c r="K1384" s="11" t="s">
        <v>21</v>
      </c>
      <c r="L1384" s="7">
        <v>41618.817071759258</v>
      </c>
      <c r="M1384" s="12"/>
      <c r="N1384" s="12" t="s">
        <v>2000</v>
      </c>
      <c r="O1384" s="10" t="str">
        <f t="shared" si="157"/>
        <v>View</v>
      </c>
      <c r="P1384" s="11"/>
    </row>
    <row r="1385" spans="1:16" ht="12.75" x14ac:dyDescent="0.35">
      <c r="A1385" s="7">
        <v>42480.061064814814</v>
      </c>
      <c r="B1385" s="8" t="str">
        <f t="shared" si="156"/>
        <v>@LReehten</v>
      </c>
      <c r="C1385" s="9" t="s">
        <v>1998</v>
      </c>
      <c r="D1385" s="9" t="s">
        <v>2626</v>
      </c>
      <c r="E1385" s="10" t="str">
        <f>HYPERLINK("https://twitter.com/LReehten/status/722514589842321411","722514589842321411")</f>
        <v>722514589842321411</v>
      </c>
      <c r="F1385" s="11" t="s">
        <v>20</v>
      </c>
      <c r="G1385" s="11">
        <v>2334</v>
      </c>
      <c r="H1385" s="11">
        <v>2836</v>
      </c>
      <c r="I1385" s="11">
        <v>8</v>
      </c>
      <c r="J1385" s="11">
        <v>0</v>
      </c>
      <c r="K1385" s="11" t="s">
        <v>21</v>
      </c>
      <c r="L1385" s="7">
        <v>41618.817071759258</v>
      </c>
      <c r="M1385" s="12"/>
      <c r="N1385" s="12" t="s">
        <v>2000</v>
      </c>
      <c r="O1385" s="10" t="str">
        <f t="shared" si="157"/>
        <v>View</v>
      </c>
      <c r="P1385" s="11"/>
    </row>
    <row r="1386" spans="1:16" ht="12.75" x14ac:dyDescent="0.35">
      <c r="A1386" s="7">
        <v>42480.064525462964</v>
      </c>
      <c r="B1386" s="8" t="str">
        <f t="shared" si="156"/>
        <v>@LReehten</v>
      </c>
      <c r="C1386" s="9" t="s">
        <v>1998</v>
      </c>
      <c r="D1386" s="9" t="s">
        <v>2296</v>
      </c>
      <c r="E1386" s="10" t="str">
        <f>HYPERLINK("https://twitter.com/LReehten/status/722515843406503937","722515843406503937")</f>
        <v>722515843406503937</v>
      </c>
      <c r="F1386" s="11" t="s">
        <v>20</v>
      </c>
      <c r="G1386" s="11">
        <v>2334</v>
      </c>
      <c r="H1386" s="11">
        <v>2836</v>
      </c>
      <c r="I1386" s="11">
        <v>5</v>
      </c>
      <c r="J1386" s="11">
        <v>0</v>
      </c>
      <c r="K1386" s="11" t="s">
        <v>21</v>
      </c>
      <c r="L1386" s="7">
        <v>41618.817071759258</v>
      </c>
      <c r="M1386" s="12"/>
      <c r="N1386" s="12" t="s">
        <v>2000</v>
      </c>
      <c r="O1386" s="10" t="str">
        <f t="shared" si="157"/>
        <v>View</v>
      </c>
      <c r="P1386" s="11"/>
    </row>
    <row r="1387" spans="1:16" ht="12.75" x14ac:dyDescent="0.35">
      <c r="A1387" s="7">
        <v>42480.065937499996</v>
      </c>
      <c r="B1387" s="8" t="str">
        <f t="shared" si="156"/>
        <v>@LReehten</v>
      </c>
      <c r="C1387" s="9" t="s">
        <v>1998</v>
      </c>
      <c r="D1387" s="9" t="s">
        <v>2716</v>
      </c>
      <c r="E1387" s="10" t="str">
        <f>HYPERLINK("https://twitter.com/LReehten/status/722516353798840326","722516353798840326")</f>
        <v>722516353798840326</v>
      </c>
      <c r="F1387" s="11" t="s">
        <v>20</v>
      </c>
      <c r="G1387" s="11">
        <v>2334</v>
      </c>
      <c r="H1387" s="11">
        <v>2836</v>
      </c>
      <c r="I1387" s="11">
        <v>2</v>
      </c>
      <c r="J1387" s="11">
        <v>0</v>
      </c>
      <c r="K1387" s="11" t="s">
        <v>21</v>
      </c>
      <c r="L1387" s="7">
        <v>41618.817071759258</v>
      </c>
      <c r="M1387" s="12"/>
      <c r="N1387" s="12" t="s">
        <v>2000</v>
      </c>
      <c r="O1387" s="10" t="str">
        <f t="shared" si="157"/>
        <v>View</v>
      </c>
      <c r="P1387" s="11"/>
    </row>
    <row r="1388" spans="1:16" ht="12.75" x14ac:dyDescent="0.35">
      <c r="A1388" s="7">
        <v>42480.065983796296</v>
      </c>
      <c r="B1388" s="8" t="str">
        <f>HYPERLINK("https://twitter.com/kommoptimierer","@kommoptimierer")</f>
        <v>@kommoptimierer</v>
      </c>
      <c r="C1388" s="9" t="s">
        <v>270</v>
      </c>
      <c r="D1388" s="9" t="s">
        <v>691</v>
      </c>
      <c r="E1388" s="10" t="str">
        <f>HYPERLINK("https://twitter.com/kommoptimierer/status/722516371846914049","722516371846914049")</f>
        <v>722516371846914049</v>
      </c>
      <c r="F1388" s="11" t="s">
        <v>272</v>
      </c>
      <c r="G1388" s="11">
        <v>1347</v>
      </c>
      <c r="H1388" s="11">
        <v>1753</v>
      </c>
      <c r="I1388" s="11">
        <v>0</v>
      </c>
      <c r="J1388" s="11">
        <v>0</v>
      </c>
      <c r="K1388" s="11" t="s">
        <v>21</v>
      </c>
      <c r="L1388" s="7">
        <v>39986.860358796301</v>
      </c>
      <c r="M1388" s="12" t="s">
        <v>273</v>
      </c>
      <c r="N1388" s="12" t="s">
        <v>274</v>
      </c>
      <c r="O1388" s="10" t="str">
        <f>HYPERLINK("https://pbs.twimg.com/profile_images/541146126158536704/IYardufS_normal.jpeg","View")</f>
        <v>View</v>
      </c>
      <c r="P1388" s="11"/>
    </row>
    <row r="1389" spans="1:16" ht="12.75" x14ac:dyDescent="0.35">
      <c r="A1389" s="7">
        <v>42480.066192129627</v>
      </c>
      <c r="B1389" s="8" t="str">
        <f t="shared" ref="B1389:B1393" si="158">HYPERLINK("https://twitter.com/LReehten","@LReehten")</f>
        <v>@LReehten</v>
      </c>
      <c r="C1389" s="9" t="s">
        <v>1998</v>
      </c>
      <c r="D1389" s="9" t="s">
        <v>2717</v>
      </c>
      <c r="E1389" s="10" t="str">
        <f>HYPERLINK("https://twitter.com/LReehten/status/722516449269542913","722516449269542913")</f>
        <v>722516449269542913</v>
      </c>
      <c r="F1389" s="11" t="s">
        <v>20</v>
      </c>
      <c r="G1389" s="11">
        <v>2334</v>
      </c>
      <c r="H1389" s="11">
        <v>2836</v>
      </c>
      <c r="I1389" s="11">
        <v>2</v>
      </c>
      <c r="J1389" s="11">
        <v>0</v>
      </c>
      <c r="K1389" s="11" t="s">
        <v>21</v>
      </c>
      <c r="L1389" s="7">
        <v>41618.817071759258</v>
      </c>
      <c r="M1389" s="12"/>
      <c r="N1389" s="12" t="s">
        <v>2000</v>
      </c>
      <c r="O1389" s="10" t="str">
        <f t="shared" ref="O1389:O1393" si="159">HYPERLINK("https://pbs.twimg.com/profile_images/623849156159868928/BetFDR_i_normal.jpg","View")</f>
        <v>View</v>
      </c>
      <c r="P1389" s="11"/>
    </row>
    <row r="1390" spans="1:16" ht="12.75" x14ac:dyDescent="0.35">
      <c r="A1390" s="7">
        <v>42480.066261574073</v>
      </c>
      <c r="B1390" s="8" t="str">
        <f t="shared" si="158"/>
        <v>@LReehten</v>
      </c>
      <c r="C1390" s="9" t="s">
        <v>1998</v>
      </c>
      <c r="D1390" s="9" t="s">
        <v>2718</v>
      </c>
      <c r="E1390" s="10" t="str">
        <f>HYPERLINK("https://twitter.com/LReehten/status/722516473642659840","722516473642659840")</f>
        <v>722516473642659840</v>
      </c>
      <c r="F1390" s="11" t="s">
        <v>20</v>
      </c>
      <c r="G1390" s="11">
        <v>2334</v>
      </c>
      <c r="H1390" s="11">
        <v>2836</v>
      </c>
      <c r="I1390" s="11">
        <v>3</v>
      </c>
      <c r="J1390" s="11">
        <v>0</v>
      </c>
      <c r="K1390" s="11" t="s">
        <v>21</v>
      </c>
      <c r="L1390" s="7">
        <v>41618.817071759258</v>
      </c>
      <c r="M1390" s="12"/>
      <c r="N1390" s="12" t="s">
        <v>2000</v>
      </c>
      <c r="O1390" s="10" t="str">
        <f t="shared" si="159"/>
        <v>View</v>
      </c>
      <c r="P1390" s="11"/>
    </row>
    <row r="1391" spans="1:16" ht="12.75" x14ac:dyDescent="0.35">
      <c r="A1391" s="7">
        <v>42480.066331018519</v>
      </c>
      <c r="B1391" s="8" t="str">
        <f t="shared" si="158"/>
        <v>@LReehten</v>
      </c>
      <c r="C1391" s="9" t="s">
        <v>1998</v>
      </c>
      <c r="D1391" s="9" t="s">
        <v>2719</v>
      </c>
      <c r="E1391" s="10" t="str">
        <f>HYPERLINK("https://twitter.com/LReehten/status/722516497801879552","722516497801879552")</f>
        <v>722516497801879552</v>
      </c>
      <c r="F1391" s="11" t="s">
        <v>20</v>
      </c>
      <c r="G1391" s="11">
        <v>2334</v>
      </c>
      <c r="H1391" s="11">
        <v>2836</v>
      </c>
      <c r="I1391" s="11">
        <v>2</v>
      </c>
      <c r="J1391" s="11">
        <v>0</v>
      </c>
      <c r="K1391" s="11" t="s">
        <v>21</v>
      </c>
      <c r="L1391" s="7">
        <v>41618.817071759258</v>
      </c>
      <c r="M1391" s="12"/>
      <c r="N1391" s="12" t="s">
        <v>2000</v>
      </c>
      <c r="O1391" s="10" t="str">
        <f t="shared" si="159"/>
        <v>View</v>
      </c>
      <c r="P1391" s="11"/>
    </row>
    <row r="1392" spans="1:16" ht="12.75" x14ac:dyDescent="0.35">
      <c r="A1392" s="7">
        <v>42480.066562499997</v>
      </c>
      <c r="B1392" s="8" t="str">
        <f t="shared" si="158"/>
        <v>@LReehten</v>
      </c>
      <c r="C1392" s="9" t="s">
        <v>1998</v>
      </c>
      <c r="D1392" s="9" t="s">
        <v>2720</v>
      </c>
      <c r="E1392" s="10" t="str">
        <f>HYPERLINK("https://twitter.com/LReehten/status/722516580760952833","722516580760952833")</f>
        <v>722516580760952833</v>
      </c>
      <c r="F1392" s="11" t="s">
        <v>20</v>
      </c>
      <c r="G1392" s="11">
        <v>2334</v>
      </c>
      <c r="H1392" s="11">
        <v>2836</v>
      </c>
      <c r="I1392" s="11">
        <v>2</v>
      </c>
      <c r="J1392" s="11">
        <v>0</v>
      </c>
      <c r="K1392" s="11" t="s">
        <v>21</v>
      </c>
      <c r="L1392" s="7">
        <v>41618.817071759258</v>
      </c>
      <c r="M1392" s="12"/>
      <c r="N1392" s="12" t="s">
        <v>2000</v>
      </c>
      <c r="O1392" s="10" t="str">
        <f t="shared" si="159"/>
        <v>View</v>
      </c>
      <c r="P1392" s="11"/>
    </row>
    <row r="1393" spans="1:16" ht="12.75" x14ac:dyDescent="0.35">
      <c r="A1393" s="7">
        <v>42480.066724537042</v>
      </c>
      <c r="B1393" s="8" t="str">
        <f t="shared" si="158"/>
        <v>@LReehten</v>
      </c>
      <c r="C1393" s="9" t="s">
        <v>1998</v>
      </c>
      <c r="D1393" s="9" t="s">
        <v>2721</v>
      </c>
      <c r="E1393" s="10" t="str">
        <f>HYPERLINK("https://twitter.com/LReehten/status/722516640869576704","722516640869576704")</f>
        <v>722516640869576704</v>
      </c>
      <c r="F1393" s="11" t="s">
        <v>20</v>
      </c>
      <c r="G1393" s="11">
        <v>2334</v>
      </c>
      <c r="H1393" s="11">
        <v>2836</v>
      </c>
      <c r="I1393" s="11">
        <v>6</v>
      </c>
      <c r="J1393" s="11">
        <v>0</v>
      </c>
      <c r="K1393" s="11" t="s">
        <v>21</v>
      </c>
      <c r="L1393" s="7">
        <v>41618.817071759258</v>
      </c>
      <c r="M1393" s="12"/>
      <c r="N1393" s="12" t="s">
        <v>2000</v>
      </c>
      <c r="O1393" s="10" t="str">
        <f t="shared" si="159"/>
        <v>View</v>
      </c>
      <c r="P1393" s="11"/>
    </row>
    <row r="1394" spans="1:16" ht="12.75" x14ac:dyDescent="0.35">
      <c r="A1394" s="7">
        <v>42480.070243055554</v>
      </c>
      <c r="B1394" s="8" t="str">
        <f>HYPERLINK("https://twitter.com/INDIZbot","@INDIZbot")</f>
        <v>@INDIZbot</v>
      </c>
      <c r="C1394" s="9" t="s">
        <v>61</v>
      </c>
      <c r="D1394" s="9" t="s">
        <v>2721</v>
      </c>
      <c r="E1394" s="10" t="str">
        <f>HYPERLINK("https://twitter.com/INDIZbot/status/722517914449010688","722517914449010688")</f>
        <v>722517914449010688</v>
      </c>
      <c r="F1394" s="11" t="s">
        <v>62</v>
      </c>
      <c r="G1394" s="11">
        <v>1762</v>
      </c>
      <c r="H1394" s="11">
        <v>481</v>
      </c>
      <c r="I1394" s="11">
        <v>6</v>
      </c>
      <c r="J1394" s="11">
        <v>0</v>
      </c>
      <c r="K1394" s="11" t="s">
        <v>21</v>
      </c>
      <c r="L1394" s="7">
        <v>42267.011921296296</v>
      </c>
      <c r="M1394" s="12"/>
      <c r="N1394" s="12" t="s">
        <v>63</v>
      </c>
      <c r="O1394" s="10" t="str">
        <f>HYPERLINK("https://pbs.twimg.com/profile_images/645716711723925506/t5G0qOS6_normal.jpg","View")</f>
        <v>View</v>
      </c>
      <c r="P1394" s="11"/>
    </row>
    <row r="1395" spans="1:16" ht="12.75" x14ac:dyDescent="0.35">
      <c r="A1395" s="7">
        <v>42480.070439814815</v>
      </c>
      <c r="B1395" s="8" t="str">
        <f>HYPERLINK("https://twitter.com/LNI40","@LNI40")</f>
        <v>@LNI40</v>
      </c>
      <c r="C1395" s="9" t="s">
        <v>1888</v>
      </c>
      <c r="D1395" s="9" t="s">
        <v>2721</v>
      </c>
      <c r="E1395" s="10" t="str">
        <f>HYPERLINK("https://twitter.com/LNI40/status/722517986360324096","722517986360324096")</f>
        <v>722517986360324096</v>
      </c>
      <c r="F1395" s="11" t="s">
        <v>31</v>
      </c>
      <c r="G1395" s="11">
        <v>36</v>
      </c>
      <c r="H1395" s="11">
        <v>229</v>
      </c>
      <c r="I1395" s="11">
        <v>6</v>
      </c>
      <c r="J1395" s="11">
        <v>0</v>
      </c>
      <c r="K1395" s="11" t="s">
        <v>21</v>
      </c>
      <c r="L1395" s="7">
        <v>42477.465578703705</v>
      </c>
      <c r="M1395" s="12" t="s">
        <v>227</v>
      </c>
      <c r="N1395" s="12" t="s">
        <v>1889</v>
      </c>
      <c r="O1395" s="10" t="str">
        <f>HYPERLINK("https://pbs.twimg.com/profile_images/722098538604281856/CcBxk1_M_normal.jpg","View")</f>
        <v>View</v>
      </c>
      <c r="P1395" s="11"/>
    </row>
    <row r="1396" spans="1:16" ht="12.75" x14ac:dyDescent="0.35">
      <c r="A1396" s="7">
        <v>42480.070601851854</v>
      </c>
      <c r="B1396" s="8" t="str">
        <f t="shared" ref="B1396:B1398" si="160">HYPERLINK("https://twitter.com/INDIZbot","@INDIZbot")</f>
        <v>@INDIZbot</v>
      </c>
      <c r="C1396" s="9" t="s">
        <v>61</v>
      </c>
      <c r="D1396" s="9" t="s">
        <v>2720</v>
      </c>
      <c r="E1396" s="10" t="str">
        <f>HYPERLINK("https://twitter.com/INDIZbot/status/722518046888353793","722518046888353793")</f>
        <v>722518046888353793</v>
      </c>
      <c r="F1396" s="11" t="s">
        <v>62</v>
      </c>
      <c r="G1396" s="11">
        <v>1762</v>
      </c>
      <c r="H1396" s="11">
        <v>481</v>
      </c>
      <c r="I1396" s="11">
        <v>2</v>
      </c>
      <c r="J1396" s="11">
        <v>0</v>
      </c>
      <c r="K1396" s="11" t="s">
        <v>21</v>
      </c>
      <c r="L1396" s="7">
        <v>42267.011921296296</v>
      </c>
      <c r="M1396" s="12"/>
      <c r="N1396" s="12" t="s">
        <v>63</v>
      </c>
      <c r="O1396" s="10" t="str">
        <f t="shared" ref="O1396:O1398" si="161">HYPERLINK("https://pbs.twimg.com/profile_images/645716711723925506/t5G0qOS6_normal.jpg","View")</f>
        <v>View</v>
      </c>
      <c r="P1396" s="11"/>
    </row>
    <row r="1397" spans="1:16" ht="12.75" x14ac:dyDescent="0.35">
      <c r="A1397" s="7">
        <v>42480.071018518516</v>
      </c>
      <c r="B1397" s="8" t="str">
        <f t="shared" si="160"/>
        <v>@INDIZbot</v>
      </c>
      <c r="C1397" s="9" t="s">
        <v>61</v>
      </c>
      <c r="D1397" s="9" t="s">
        <v>2719</v>
      </c>
      <c r="E1397" s="10" t="str">
        <f>HYPERLINK("https://twitter.com/INDIZbot/status/722518197174407168","722518197174407168")</f>
        <v>722518197174407168</v>
      </c>
      <c r="F1397" s="11" t="s">
        <v>62</v>
      </c>
      <c r="G1397" s="11">
        <v>1762</v>
      </c>
      <c r="H1397" s="11">
        <v>481</v>
      </c>
      <c r="I1397" s="11">
        <v>2</v>
      </c>
      <c r="J1397" s="11">
        <v>0</v>
      </c>
      <c r="K1397" s="11" t="s">
        <v>21</v>
      </c>
      <c r="L1397" s="7">
        <v>42267.011921296296</v>
      </c>
      <c r="M1397" s="12"/>
      <c r="N1397" s="12" t="s">
        <v>63</v>
      </c>
      <c r="O1397" s="10" t="str">
        <f t="shared" si="161"/>
        <v>View</v>
      </c>
      <c r="P1397" s="11"/>
    </row>
    <row r="1398" spans="1:16" ht="12.75" x14ac:dyDescent="0.35">
      <c r="A1398" s="7">
        <v>42480.07136574074</v>
      </c>
      <c r="B1398" s="8" t="str">
        <f t="shared" si="160"/>
        <v>@INDIZbot</v>
      </c>
      <c r="C1398" s="9" t="s">
        <v>61</v>
      </c>
      <c r="D1398" s="9" t="s">
        <v>2718</v>
      </c>
      <c r="E1398" s="10" t="str">
        <f>HYPERLINK("https://twitter.com/INDIZbot/status/722518321661349890","722518321661349890")</f>
        <v>722518321661349890</v>
      </c>
      <c r="F1398" s="11" t="s">
        <v>62</v>
      </c>
      <c r="G1398" s="11">
        <v>1762</v>
      </c>
      <c r="H1398" s="11">
        <v>481</v>
      </c>
      <c r="I1398" s="11">
        <v>3</v>
      </c>
      <c r="J1398" s="11">
        <v>0</v>
      </c>
      <c r="K1398" s="11" t="s">
        <v>21</v>
      </c>
      <c r="L1398" s="7">
        <v>42267.011921296296</v>
      </c>
      <c r="M1398" s="12"/>
      <c r="N1398" s="12" t="s">
        <v>63</v>
      </c>
      <c r="O1398" s="10" t="str">
        <f t="shared" si="161"/>
        <v>View</v>
      </c>
      <c r="P1398" s="11"/>
    </row>
    <row r="1399" spans="1:16" ht="12.75" x14ac:dyDescent="0.35">
      <c r="A1399" s="7">
        <v>42480.072685185187</v>
      </c>
      <c r="B1399" s="8" t="str">
        <f>HYPERLINK("https://twitter.com/catkinEU","@catkinEU")</f>
        <v>@catkinEU</v>
      </c>
      <c r="C1399" s="9" t="s">
        <v>781</v>
      </c>
      <c r="D1399" s="9" t="s">
        <v>2722</v>
      </c>
      <c r="E1399" s="10" t="str">
        <f>HYPERLINK("https://twitter.com/catkinEU/status/722518798717317120","722518798717317120")</f>
        <v>722518798717317120</v>
      </c>
      <c r="F1399" s="11" t="s">
        <v>29</v>
      </c>
      <c r="G1399" s="11">
        <v>403</v>
      </c>
      <c r="H1399" s="11">
        <v>541</v>
      </c>
      <c r="I1399" s="11">
        <v>1</v>
      </c>
      <c r="J1399" s="11">
        <v>0</v>
      </c>
      <c r="K1399" s="11" t="s">
        <v>21</v>
      </c>
      <c r="L1399" s="7">
        <v>42153.955763888887</v>
      </c>
      <c r="M1399" s="12"/>
      <c r="N1399" s="12" t="s">
        <v>782</v>
      </c>
      <c r="O1399" s="10" t="str">
        <f>HYPERLINK("https://pbs.twimg.com/profile_images/604338428227010560/6jzSa8us_normal.png","View")</f>
        <v>View</v>
      </c>
      <c r="P1399" s="11"/>
    </row>
    <row r="1400" spans="1:16" ht="12.75" x14ac:dyDescent="0.35">
      <c r="A1400" s="7">
        <v>42480.089085648149</v>
      </c>
      <c r="B1400" s="8" t="str">
        <f>HYPERLINK("https://twitter.com/textilmode","@textilmode")</f>
        <v>@textilmode</v>
      </c>
      <c r="C1400" s="9" t="s">
        <v>2723</v>
      </c>
      <c r="D1400" s="9" t="s">
        <v>2691</v>
      </c>
      <c r="E1400" s="10" t="str">
        <f>HYPERLINK("https://twitter.com/textilmode/status/722524744554266628","722524744554266628")</f>
        <v>722524744554266628</v>
      </c>
      <c r="F1400" s="11" t="s">
        <v>20</v>
      </c>
      <c r="G1400" s="11">
        <v>115</v>
      </c>
      <c r="H1400" s="11">
        <v>89</v>
      </c>
      <c r="I1400" s="11">
        <v>4</v>
      </c>
      <c r="J1400" s="11">
        <v>0</v>
      </c>
      <c r="K1400" s="11" t="s">
        <v>21</v>
      </c>
      <c r="L1400" s="7">
        <v>42186.597280092596</v>
      </c>
      <c r="M1400" s="12" t="s">
        <v>116</v>
      </c>
      <c r="N1400" s="12" t="s">
        <v>2724</v>
      </c>
      <c r="O1400" s="10" t="str">
        <f>HYPERLINK("https://pbs.twimg.com/profile_images/696642630881513472/pM-gTDgI_normal.jpg","View")</f>
        <v>View</v>
      </c>
      <c r="P1400" s="11"/>
    </row>
    <row r="1401" spans="1:16" ht="12.75" x14ac:dyDescent="0.35">
      <c r="A1401" s="7">
        <v>42480.099756944444</v>
      </c>
      <c r="B1401" s="8" t="str">
        <f>HYPERLINK("https://twitter.com/fannyfromSWE","@fannyfromSWE")</f>
        <v>@fannyfromSWE</v>
      </c>
      <c r="C1401" s="9" t="s">
        <v>2725</v>
      </c>
      <c r="D1401" s="9" t="s">
        <v>1115</v>
      </c>
      <c r="E1401" s="10" t="str">
        <f>HYPERLINK("https://twitter.com/fannyfromSWE/status/722528609647337473","722528609647337473")</f>
        <v>722528609647337473</v>
      </c>
      <c r="F1401" s="11" t="s">
        <v>25</v>
      </c>
      <c r="G1401" s="11">
        <v>147</v>
      </c>
      <c r="H1401" s="11">
        <v>191</v>
      </c>
      <c r="I1401" s="11">
        <v>14</v>
      </c>
      <c r="J1401" s="11">
        <v>0</v>
      </c>
      <c r="K1401" s="11" t="s">
        <v>21</v>
      </c>
      <c r="L1401" s="7">
        <v>41200.248495370368</v>
      </c>
      <c r="M1401" s="12" t="s">
        <v>2726</v>
      </c>
      <c r="N1401" s="12" t="s">
        <v>2727</v>
      </c>
      <c r="O1401" s="10" t="str">
        <f>HYPERLINK("https://pbs.twimg.com/profile_images/711593602414219264/aaplvKIP_normal.jpg","View")</f>
        <v>View</v>
      </c>
      <c r="P1401" s="11"/>
    </row>
    <row r="1402" spans="1:16" ht="12.75" x14ac:dyDescent="0.35">
      <c r="A1402" s="7">
        <v>42480.104120370372</v>
      </c>
      <c r="B1402" s="8" t="str">
        <f>HYPERLINK("https://twitter.com/MelitaDelic","@MelitaDelic")</f>
        <v>@MelitaDelic</v>
      </c>
      <c r="C1402" s="9" t="s">
        <v>2728</v>
      </c>
      <c r="D1402" s="9" t="s">
        <v>1904</v>
      </c>
      <c r="E1402" s="10" t="str">
        <f>HYPERLINK("https://twitter.com/MelitaDelic/status/722530192820985857","722530192820985857")</f>
        <v>722530192820985857</v>
      </c>
      <c r="F1402" s="11" t="s">
        <v>31</v>
      </c>
      <c r="G1402" s="11">
        <v>193</v>
      </c>
      <c r="H1402" s="11">
        <v>204</v>
      </c>
      <c r="I1402" s="11">
        <v>18</v>
      </c>
      <c r="J1402" s="11">
        <v>0</v>
      </c>
      <c r="K1402" s="11" t="s">
        <v>21</v>
      </c>
      <c r="L1402" s="7">
        <v>40961.566469907411</v>
      </c>
      <c r="M1402" s="12" t="s">
        <v>157</v>
      </c>
      <c r="N1402" s="12" t="s">
        <v>2729</v>
      </c>
      <c r="O1402" s="10" t="str">
        <f>HYPERLINK("https://pbs.twimg.com/profile_images/578646264901955584/8ueJh3EI_normal.jpeg","View")</f>
        <v>View</v>
      </c>
      <c r="P1402" s="11"/>
    </row>
    <row r="1403" spans="1:16" ht="12.75" x14ac:dyDescent="0.35">
      <c r="A1403" s="7">
        <v>42480.105138888888</v>
      </c>
      <c r="B1403" s="8" t="str">
        <f>HYPERLINK("https://twitter.com/INDIZbot","@INDIZbot")</f>
        <v>@INDIZbot</v>
      </c>
      <c r="C1403" s="9" t="s">
        <v>61</v>
      </c>
      <c r="D1403" s="9" t="s">
        <v>2691</v>
      </c>
      <c r="E1403" s="10" t="str">
        <f>HYPERLINK("https://twitter.com/INDIZbot/status/722530561542250497","722530561542250497")</f>
        <v>722530561542250497</v>
      </c>
      <c r="F1403" s="11" t="s">
        <v>62</v>
      </c>
      <c r="G1403" s="11">
        <v>1762</v>
      </c>
      <c r="H1403" s="11">
        <v>481</v>
      </c>
      <c r="I1403" s="11">
        <v>4</v>
      </c>
      <c r="J1403" s="11">
        <v>0</v>
      </c>
      <c r="K1403" s="11" t="s">
        <v>21</v>
      </c>
      <c r="L1403" s="7">
        <v>42267.011921296296</v>
      </c>
      <c r="M1403" s="12"/>
      <c r="N1403" s="12" t="s">
        <v>63</v>
      </c>
      <c r="O1403" s="10" t="str">
        <f>HYPERLINK("https://pbs.twimg.com/profile_images/645716711723925506/t5G0qOS6_normal.jpg","View")</f>
        <v>View</v>
      </c>
      <c r="P1403" s="11"/>
    </row>
    <row r="1404" spans="1:16" ht="12.75" x14ac:dyDescent="0.35">
      <c r="A1404" s="7">
        <v>42480.11414351852</v>
      </c>
      <c r="B1404" s="8" t="str">
        <f>HYPERLINK("https://twitter.com/SASCHAKAUS1","@SASCHAKAUS1")</f>
        <v>@SASCHAKAUS1</v>
      </c>
      <c r="C1404" s="9" t="s">
        <v>2730</v>
      </c>
      <c r="D1404" s="9" t="s">
        <v>1145</v>
      </c>
      <c r="E1404" s="10" t="str">
        <f>HYPERLINK("https://twitter.com/SASCHAKAUS1/status/722533826233307136","722533826233307136")</f>
        <v>722533826233307136</v>
      </c>
      <c r="F1404" s="11" t="s">
        <v>31</v>
      </c>
      <c r="G1404" s="11">
        <v>66</v>
      </c>
      <c r="H1404" s="11">
        <v>93</v>
      </c>
      <c r="I1404" s="11">
        <v>4</v>
      </c>
      <c r="J1404" s="11">
        <v>0</v>
      </c>
      <c r="K1404" s="11" t="s">
        <v>21</v>
      </c>
      <c r="L1404" s="7">
        <v>41012.521724537037</v>
      </c>
      <c r="M1404" s="12" t="s">
        <v>2731</v>
      </c>
      <c r="N1404" s="12" t="s">
        <v>2732</v>
      </c>
      <c r="O1404" s="10" t="str">
        <f>HYPERLINK("https://pbs.twimg.com/profile_images/507446718355759104/Hjza08vg_normal.jpeg","View")</f>
        <v>View</v>
      </c>
      <c r="P1404" s="11"/>
    </row>
    <row r="1405" spans="1:16" ht="12.75" x14ac:dyDescent="0.35">
      <c r="A1405" s="7">
        <v>42480.114386574074</v>
      </c>
      <c r="B1405" s="8" t="str">
        <f>HYPERLINK("https://twitter.com/wmaxx_consultig","@wmaxx_consultig")</f>
        <v>@wmaxx_consultig</v>
      </c>
      <c r="C1405" s="9" t="s">
        <v>2467</v>
      </c>
      <c r="D1405" s="9" t="s">
        <v>2733</v>
      </c>
      <c r="E1405" s="10" t="str">
        <f>HYPERLINK("https://twitter.com/wmaxx_consultig/status/722533914217201664","722533914217201664")</f>
        <v>722533914217201664</v>
      </c>
      <c r="F1405" s="11" t="s">
        <v>20</v>
      </c>
      <c r="G1405" s="11">
        <v>14</v>
      </c>
      <c r="H1405" s="11">
        <v>63</v>
      </c>
      <c r="I1405" s="11">
        <v>0</v>
      </c>
      <c r="J1405" s="11">
        <v>0</v>
      </c>
      <c r="K1405" s="11" t="s">
        <v>21</v>
      </c>
      <c r="L1405" s="7">
        <v>42426.6175462963</v>
      </c>
      <c r="M1405" s="12" t="s">
        <v>2469</v>
      </c>
      <c r="N1405" s="12" t="s">
        <v>2470</v>
      </c>
      <c r="O1405" s="10" t="str">
        <f>HYPERLINK("https://pbs.twimg.com/profile_images/703148147543920640/eaxyCVcC_normal.jpg","View")</f>
        <v>View</v>
      </c>
      <c r="P1405" s="11"/>
    </row>
    <row r="1406" spans="1:16" ht="12.75" x14ac:dyDescent="0.35">
      <c r="A1406" s="7">
        <v>42480.117384259254</v>
      </c>
      <c r="B1406" s="8" t="str">
        <f>HYPERLINK("https://twitter.com/WSWMUC","@WSWMUC")</f>
        <v>@WSWMUC</v>
      </c>
      <c r="C1406" s="9" t="s">
        <v>164</v>
      </c>
      <c r="D1406" s="9" t="s">
        <v>2734</v>
      </c>
      <c r="E1406" s="10" t="str">
        <f>HYPERLINK("https://twitter.com/WSWMUC/status/722534998893576192","722534998893576192")</f>
        <v>722534998893576192</v>
      </c>
      <c r="F1406" s="11" t="s">
        <v>31</v>
      </c>
      <c r="G1406" s="11">
        <v>1604</v>
      </c>
      <c r="H1406" s="11">
        <v>2224</v>
      </c>
      <c r="I1406" s="11">
        <v>2</v>
      </c>
      <c r="J1406" s="11">
        <v>1</v>
      </c>
      <c r="K1406" s="11" t="s">
        <v>21</v>
      </c>
      <c r="L1406" s="7">
        <v>41446.59679398148</v>
      </c>
      <c r="M1406" s="12" t="s">
        <v>166</v>
      </c>
      <c r="N1406" s="12" t="s">
        <v>167</v>
      </c>
      <c r="O1406" s="10" t="str">
        <f>HYPERLINK("https://pbs.twimg.com/profile_images/524295003107885059/1ADGv6Ps_normal.png","View")</f>
        <v>View</v>
      </c>
      <c r="P1406" s="11"/>
    </row>
    <row r="1407" spans="1:16" ht="12.75" x14ac:dyDescent="0.35">
      <c r="A1407" s="7">
        <v>42480.140821759254</v>
      </c>
      <c r="B1407" s="8" t="str">
        <f>HYPERLINK("https://twitter.com/INDIZbot","@INDIZbot")</f>
        <v>@INDIZbot</v>
      </c>
      <c r="C1407" s="9" t="s">
        <v>61</v>
      </c>
      <c r="D1407" s="9" t="s">
        <v>2735</v>
      </c>
      <c r="E1407" s="10" t="str">
        <f>HYPERLINK("https://twitter.com/INDIZbot/status/722543491600027648","722543491600027648")</f>
        <v>722543491600027648</v>
      </c>
      <c r="F1407" s="11" t="s">
        <v>62</v>
      </c>
      <c r="G1407" s="11">
        <v>1762</v>
      </c>
      <c r="H1407" s="11">
        <v>481</v>
      </c>
      <c r="I1407" s="11">
        <v>2</v>
      </c>
      <c r="J1407" s="11">
        <v>0</v>
      </c>
      <c r="K1407" s="11" t="s">
        <v>21</v>
      </c>
      <c r="L1407" s="7">
        <v>42267.011921296296</v>
      </c>
      <c r="M1407" s="12"/>
      <c r="N1407" s="12" t="s">
        <v>63</v>
      </c>
      <c r="O1407" s="10" t="str">
        <f>HYPERLINK("https://pbs.twimg.com/profile_images/645716711723925506/t5G0qOS6_normal.jpg","View")</f>
        <v>View</v>
      </c>
      <c r="P1407" s="11"/>
    </row>
    <row r="1408" spans="1:16" ht="12.75" x14ac:dyDescent="0.35">
      <c r="A1408" s="7">
        <v>42480.144756944443</v>
      </c>
      <c r="B1408" s="8" t="str">
        <f>HYPERLINK("https://twitter.com/Geschnattere","@Geschnattere")</f>
        <v>@Geschnattere</v>
      </c>
      <c r="C1408" s="9" t="s">
        <v>577</v>
      </c>
      <c r="D1408" s="9" t="s">
        <v>2735</v>
      </c>
      <c r="E1408" s="10" t="str">
        <f>HYPERLINK("https://twitter.com/Geschnattere/status/722544918938415104","722544918938415104")</f>
        <v>722544918938415104</v>
      </c>
      <c r="F1408" s="11" t="s">
        <v>578</v>
      </c>
      <c r="G1408" s="11">
        <v>192</v>
      </c>
      <c r="H1408" s="11">
        <v>360</v>
      </c>
      <c r="I1408" s="11">
        <v>2</v>
      </c>
      <c r="J1408" s="11">
        <v>0</v>
      </c>
      <c r="K1408" s="11" t="s">
        <v>21</v>
      </c>
      <c r="L1408" s="7">
        <v>42392.975821759261</v>
      </c>
      <c r="M1408" s="12"/>
      <c r="N1408" s="12"/>
      <c r="O1408" s="10" t="str">
        <f>HYPERLINK("https://pbs.twimg.com/profile_images/690957065490161664/Nat2upS4_normal.jpg","View")</f>
        <v>View</v>
      </c>
      <c r="P1408" s="11"/>
    </row>
    <row r="1409" spans="1:16" ht="12.75" x14ac:dyDescent="0.35">
      <c r="A1409" s="7">
        <v>42480.15247685185</v>
      </c>
      <c r="B1409" s="8" t="str">
        <f>HYPERLINK("https://twitter.com/akwyz","@akwyz")</f>
        <v>@akwyz</v>
      </c>
      <c r="C1409" s="9" t="s">
        <v>2736</v>
      </c>
      <c r="D1409" s="9" t="s">
        <v>2680</v>
      </c>
      <c r="E1409" s="10" t="str">
        <f>HYPERLINK("https://twitter.com/akwyz/status/722547717621346306","722547717621346306")</f>
        <v>722547717621346306</v>
      </c>
      <c r="F1409" s="11" t="s">
        <v>25</v>
      </c>
      <c r="G1409" s="11">
        <v>18992</v>
      </c>
      <c r="H1409" s="11">
        <v>14742</v>
      </c>
      <c r="I1409" s="11">
        <v>5</v>
      </c>
      <c r="J1409" s="11">
        <v>0</v>
      </c>
      <c r="K1409" s="11" t="s">
        <v>21</v>
      </c>
      <c r="L1409" s="7">
        <v>39838.729930555557</v>
      </c>
      <c r="M1409" s="12" t="s">
        <v>2737</v>
      </c>
      <c r="N1409" s="12" t="s">
        <v>2738</v>
      </c>
      <c r="O1409" s="10" t="str">
        <f>HYPERLINK("https://pbs.twimg.com/profile_images/721423009114931200/0w9BDsO3_normal.jpg","View")</f>
        <v>View</v>
      </c>
      <c r="P1409" s="11"/>
    </row>
    <row r="1410" spans="1:16" ht="12.75" x14ac:dyDescent="0.35">
      <c r="A1410" s="7">
        <v>42480.167743055557</v>
      </c>
      <c r="B1410" s="8" t="str">
        <f>HYPERLINK("https://twitter.com/fduesterbeck","@fduesterbeck")</f>
        <v>@fduesterbeck</v>
      </c>
      <c r="C1410" s="9" t="s">
        <v>2739</v>
      </c>
      <c r="D1410" s="9" t="s">
        <v>2740</v>
      </c>
      <c r="E1410" s="10" t="str">
        <f>HYPERLINK("https://twitter.com/fduesterbeck/status/722553248536727552","722553248536727552")</f>
        <v>722553248536727552</v>
      </c>
      <c r="F1410" s="11" t="s">
        <v>31</v>
      </c>
      <c r="G1410" s="11">
        <v>159</v>
      </c>
      <c r="H1410" s="11">
        <v>105</v>
      </c>
      <c r="I1410" s="11">
        <v>2</v>
      </c>
      <c r="J1410" s="11">
        <v>0</v>
      </c>
      <c r="K1410" s="11" t="s">
        <v>21</v>
      </c>
      <c r="L1410" s="7">
        <v>41918.555104166662</v>
      </c>
      <c r="M1410" s="12" t="s">
        <v>2741</v>
      </c>
      <c r="N1410" s="12" t="s">
        <v>2742</v>
      </c>
      <c r="O1410" s="10" t="str">
        <f>HYPERLINK("https://pbs.twimg.com/profile_images/520223489299472385/NEgWPMTC_normal.png","View")</f>
        <v>View</v>
      </c>
      <c r="P1410" s="11"/>
    </row>
    <row r="1411" spans="1:16" ht="12.75" x14ac:dyDescent="0.35">
      <c r="A1411" s="7">
        <v>42480.174409722225</v>
      </c>
      <c r="B1411" s="8" t="str">
        <f>HYPERLINK("https://twitter.com/INDIZbot","@INDIZbot")</f>
        <v>@INDIZbot</v>
      </c>
      <c r="C1411" s="9" t="s">
        <v>61</v>
      </c>
      <c r="D1411" s="9" t="s">
        <v>2743</v>
      </c>
      <c r="E1411" s="10" t="str">
        <f>HYPERLINK("https://twitter.com/INDIZbot/status/722555662954315776","722555662954315776")</f>
        <v>722555662954315776</v>
      </c>
      <c r="F1411" s="11" t="s">
        <v>62</v>
      </c>
      <c r="G1411" s="11">
        <v>1762</v>
      </c>
      <c r="H1411" s="11">
        <v>481</v>
      </c>
      <c r="I1411" s="11">
        <v>2</v>
      </c>
      <c r="J1411" s="11">
        <v>0</v>
      </c>
      <c r="K1411" s="11" t="s">
        <v>21</v>
      </c>
      <c r="L1411" s="7">
        <v>42267.011921296296</v>
      </c>
      <c r="M1411" s="12"/>
      <c r="N1411" s="12" t="s">
        <v>63</v>
      </c>
      <c r="O1411" s="10" t="str">
        <f>HYPERLINK("https://pbs.twimg.com/profile_images/645716711723925506/t5G0qOS6_normal.jpg","View")</f>
        <v>View</v>
      </c>
      <c r="P1411" s="11"/>
    </row>
    <row r="1412" spans="1:16" ht="12.75" x14ac:dyDescent="0.35">
      <c r="A1412" s="7">
        <v>42480.192361111112</v>
      </c>
      <c r="B1412" s="8" t="str">
        <f>HYPERLINK("https://twitter.com/H_IT_D","@H_IT_D")</f>
        <v>@H_IT_D</v>
      </c>
      <c r="C1412" s="9" t="s">
        <v>159</v>
      </c>
      <c r="D1412" s="9" t="s">
        <v>2744</v>
      </c>
      <c r="E1412" s="10" t="str">
        <f>HYPERLINK("https://twitter.com/H_IT_D/status/722562170156781569","722562170156781569")</f>
        <v>722562170156781569</v>
      </c>
      <c r="F1412" s="11" t="s">
        <v>161</v>
      </c>
      <c r="G1412" s="11">
        <v>463</v>
      </c>
      <c r="H1412" s="11">
        <v>467</v>
      </c>
      <c r="I1412" s="11">
        <v>1</v>
      </c>
      <c r="J1412" s="11">
        <v>0</v>
      </c>
      <c r="K1412" s="11" t="s">
        <v>21</v>
      </c>
      <c r="L1412" s="7">
        <v>40723.867673611108</v>
      </c>
      <c r="M1412" s="12" t="s">
        <v>162</v>
      </c>
      <c r="N1412" s="12" t="s">
        <v>163</v>
      </c>
      <c r="O1412" s="10" t="str">
        <f>HYPERLINK("https://pbs.twimg.com/profile_images/662723326096224256/5V4KH9_O_normal.jpg","View")</f>
        <v>View</v>
      </c>
      <c r="P1412" s="11"/>
    </row>
    <row r="1413" spans="1:16" ht="12.75" x14ac:dyDescent="0.35">
      <c r="A1413" s="7">
        <v>42480.195474537039</v>
      </c>
      <c r="B1413" s="8" t="str">
        <f>HYPERLINK("https://twitter.com/INDIZbot","@INDIZbot")</f>
        <v>@INDIZbot</v>
      </c>
      <c r="C1413" s="9" t="s">
        <v>61</v>
      </c>
      <c r="D1413" s="9" t="s">
        <v>2745</v>
      </c>
      <c r="E1413" s="10" t="str">
        <f>HYPERLINK("https://twitter.com/INDIZbot/status/722563296872833024","722563296872833024")</f>
        <v>722563296872833024</v>
      </c>
      <c r="F1413" s="11" t="s">
        <v>62</v>
      </c>
      <c r="G1413" s="11">
        <v>1762</v>
      </c>
      <c r="H1413" s="11">
        <v>481</v>
      </c>
      <c r="I1413" s="11">
        <v>1</v>
      </c>
      <c r="J1413" s="11">
        <v>0</v>
      </c>
      <c r="K1413" s="11" t="s">
        <v>21</v>
      </c>
      <c r="L1413" s="7">
        <v>42267.011921296296</v>
      </c>
      <c r="M1413" s="12"/>
      <c r="N1413" s="12" t="s">
        <v>63</v>
      </c>
      <c r="O1413" s="10" t="str">
        <f>HYPERLINK("https://pbs.twimg.com/profile_images/645716711723925506/t5G0qOS6_normal.jpg","View")</f>
        <v>View</v>
      </c>
      <c r="P1413" s="11"/>
    </row>
    <row r="1414" spans="1:16" ht="12.75" x14ac:dyDescent="0.35">
      <c r="A1414" s="7">
        <v>42480.361157407402</v>
      </c>
      <c r="B1414" s="8" t="str">
        <f>HYPERLINK("https://twitter.com/DrAlfOldman","@DrAlfOldman")</f>
        <v>@DrAlfOldman</v>
      </c>
      <c r="C1414" s="9" t="s">
        <v>2746</v>
      </c>
      <c r="D1414" s="9" t="s">
        <v>2680</v>
      </c>
      <c r="E1414" s="10" t="str">
        <f>HYPERLINK("https://twitter.com/DrAlfOldman/status/722623341182320640","722623341182320640")</f>
        <v>722623341182320640</v>
      </c>
      <c r="F1414" s="11" t="s">
        <v>20</v>
      </c>
      <c r="G1414" s="11">
        <v>4507</v>
      </c>
      <c r="H1414" s="11">
        <v>130</v>
      </c>
      <c r="I1414" s="11">
        <v>5</v>
      </c>
      <c r="J1414" s="11">
        <v>0</v>
      </c>
      <c r="K1414" s="11" t="s">
        <v>21</v>
      </c>
      <c r="L1414" s="7">
        <v>40189.909861111111</v>
      </c>
      <c r="M1414" s="12" t="s">
        <v>2747</v>
      </c>
      <c r="N1414" s="12" t="s">
        <v>2748</v>
      </c>
      <c r="O1414" s="10" t="str">
        <f>HYPERLINK("https://pbs.twimg.com/profile_images/1186482171/DSC_0008_edited_1_normal.jpg","View")</f>
        <v>View</v>
      </c>
      <c r="P1414" s="11"/>
    </row>
    <row r="1415" spans="1:16" ht="12.75" x14ac:dyDescent="0.35">
      <c r="A1415" s="7">
        <v>42480.376516203702</v>
      </c>
      <c r="B1415" s="8" t="str">
        <f>HYPERLINK("https://twitter.com/H_IT_D","@H_IT_D")</f>
        <v>@H_IT_D</v>
      </c>
      <c r="C1415" s="9" t="s">
        <v>159</v>
      </c>
      <c r="D1415" s="9" t="s">
        <v>2749</v>
      </c>
      <c r="E1415" s="10" t="str">
        <f>HYPERLINK("https://twitter.com/H_IT_D/status/722628903714467840","722628903714467840")</f>
        <v>722628903714467840</v>
      </c>
      <c r="F1415" s="11" t="s">
        <v>161</v>
      </c>
      <c r="G1415" s="11">
        <v>463</v>
      </c>
      <c r="H1415" s="11">
        <v>467</v>
      </c>
      <c r="I1415" s="11">
        <v>1</v>
      </c>
      <c r="J1415" s="11">
        <v>0</v>
      </c>
      <c r="K1415" s="11" t="s">
        <v>21</v>
      </c>
      <c r="L1415" s="7">
        <v>40723.867673611108</v>
      </c>
      <c r="M1415" s="12" t="s">
        <v>162</v>
      </c>
      <c r="N1415" s="12" t="s">
        <v>163</v>
      </c>
      <c r="O1415" s="10" t="str">
        <f>HYPERLINK("https://pbs.twimg.com/profile_images/662723326096224256/5V4KH9_O_normal.jpg","View")</f>
        <v>View</v>
      </c>
      <c r="P1415" s="11"/>
    </row>
    <row r="1416" spans="1:16" ht="12.75" x14ac:dyDescent="0.35">
      <c r="A1416" s="7">
        <v>42480.396909722222</v>
      </c>
      <c r="B1416" s="8" t="str">
        <f>HYPERLINK("https://twitter.com/INDIZbot","@INDIZbot")</f>
        <v>@INDIZbot</v>
      </c>
      <c r="C1416" s="9" t="s">
        <v>61</v>
      </c>
      <c r="D1416" s="9" t="s">
        <v>2750</v>
      </c>
      <c r="E1416" s="10" t="str">
        <f>HYPERLINK("https://twitter.com/INDIZbot/status/722636295147757571","722636295147757571")</f>
        <v>722636295147757571</v>
      </c>
      <c r="F1416" s="11" t="s">
        <v>62</v>
      </c>
      <c r="G1416" s="11">
        <v>1762</v>
      </c>
      <c r="H1416" s="11">
        <v>481</v>
      </c>
      <c r="I1416" s="11">
        <v>1</v>
      </c>
      <c r="J1416" s="11">
        <v>0</v>
      </c>
      <c r="K1416" s="11" t="s">
        <v>21</v>
      </c>
      <c r="L1416" s="7">
        <v>42267.011921296296</v>
      </c>
      <c r="M1416" s="12"/>
      <c r="N1416" s="12" t="s">
        <v>63</v>
      </c>
      <c r="O1416" s="10" t="str">
        <f>HYPERLINK("https://pbs.twimg.com/profile_images/645716711723925506/t5G0qOS6_normal.jpg","View")</f>
        <v>View</v>
      </c>
      <c r="P1416" s="11"/>
    </row>
    <row r="1417" spans="1:16" ht="12.75" x14ac:dyDescent="0.35">
      <c r="A1417" s="7">
        <v>42480.413275462968</v>
      </c>
      <c r="B1417" s="8" t="str">
        <f>HYPERLINK("https://twitter.com/Jo_H123","@Jo_H123")</f>
        <v>@Jo_H123</v>
      </c>
      <c r="C1417" s="9" t="s">
        <v>1056</v>
      </c>
      <c r="D1417" s="9" t="s">
        <v>2751</v>
      </c>
      <c r="E1417" s="10" t="str">
        <f>HYPERLINK("https://twitter.com/Jo_H123/status/722642225847525376","722642225847525376")</f>
        <v>722642225847525376</v>
      </c>
      <c r="F1417" s="11" t="s">
        <v>25</v>
      </c>
      <c r="G1417" s="11">
        <v>487</v>
      </c>
      <c r="H1417" s="11">
        <v>510</v>
      </c>
      <c r="I1417" s="11">
        <v>4</v>
      </c>
      <c r="J1417" s="11">
        <v>4</v>
      </c>
      <c r="K1417" s="11" t="s">
        <v>21</v>
      </c>
      <c r="L1417" s="7">
        <v>41955.805868055555</v>
      </c>
      <c r="M1417" s="12" t="s">
        <v>1058</v>
      </c>
      <c r="N1417" s="12" t="s">
        <v>1059</v>
      </c>
      <c r="O1417" s="10" t="str">
        <f>HYPERLINK("https://pbs.twimg.com/profile_images/532532270788128768/ubrFTMd7_normal.jpeg","View")</f>
        <v>View</v>
      </c>
      <c r="P1417" s="11"/>
    </row>
    <row r="1418" spans="1:16" ht="12.75" x14ac:dyDescent="0.35">
      <c r="A1418" s="7">
        <v>42480.417708333334</v>
      </c>
      <c r="B1418" s="8" t="str">
        <f>HYPERLINK("https://twitter.com/INDIZbot","@INDIZbot")</f>
        <v>@INDIZbot</v>
      </c>
      <c r="C1418" s="9" t="s">
        <v>61</v>
      </c>
      <c r="D1418" s="9" t="s">
        <v>2752</v>
      </c>
      <c r="E1418" s="10" t="str">
        <f>HYPERLINK("https://twitter.com/INDIZbot/status/722643833788493825","722643833788493825")</f>
        <v>722643833788493825</v>
      </c>
      <c r="F1418" s="11" t="s">
        <v>62</v>
      </c>
      <c r="G1418" s="11">
        <v>1762</v>
      </c>
      <c r="H1418" s="11">
        <v>481</v>
      </c>
      <c r="I1418" s="11">
        <v>4</v>
      </c>
      <c r="J1418" s="11">
        <v>0</v>
      </c>
      <c r="K1418" s="11" t="s">
        <v>21</v>
      </c>
      <c r="L1418" s="7">
        <v>42267.011921296296</v>
      </c>
      <c r="M1418" s="12"/>
      <c r="N1418" s="12" t="s">
        <v>63</v>
      </c>
      <c r="O1418" s="10" t="str">
        <f>HYPERLINK("https://pbs.twimg.com/profile_images/645716711723925506/t5G0qOS6_normal.jpg","View")</f>
        <v>View</v>
      </c>
      <c r="P1418" s="11"/>
    </row>
    <row r="1419" spans="1:16" ht="12.75" x14ac:dyDescent="0.35">
      <c r="A1419" s="7">
        <v>42480.429178240738</v>
      </c>
      <c r="B1419" s="8" t="str">
        <f>HYPERLINK("https://twitter.com/QuickFindsIn","@QuickFindsIn")</f>
        <v>@QuickFindsIn</v>
      </c>
      <c r="C1419" s="9" t="s">
        <v>208</v>
      </c>
      <c r="D1419" s="9" t="s">
        <v>2753</v>
      </c>
      <c r="E1419" s="10" t="str">
        <f>HYPERLINK("https://twitter.com/QuickFindsIn/status/722647989265805312","722647989265805312")</f>
        <v>722647989265805312</v>
      </c>
      <c r="F1419" s="11" t="s">
        <v>210</v>
      </c>
      <c r="G1419" s="11">
        <v>1895</v>
      </c>
      <c r="H1419" s="11">
        <v>2758</v>
      </c>
      <c r="I1419" s="11">
        <v>0</v>
      </c>
      <c r="J1419" s="11">
        <v>0</v>
      </c>
      <c r="K1419" s="11" t="s">
        <v>21</v>
      </c>
      <c r="L1419" s="7">
        <v>42069.582048611112</v>
      </c>
      <c r="M1419" s="12" t="s">
        <v>211</v>
      </c>
      <c r="N1419" s="12" t="s">
        <v>212</v>
      </c>
      <c r="O1419" s="10" t="str">
        <f>HYPERLINK("https://pbs.twimg.com/profile_images/591951396217327616/HbcCX2zX_normal.png","View")</f>
        <v>View</v>
      </c>
      <c r="P1419" s="11"/>
    </row>
    <row r="1420" spans="1:16" ht="12.75" x14ac:dyDescent="0.35">
      <c r="A1420" s="7">
        <v>42480.429768518516</v>
      </c>
      <c r="B1420" s="8" t="str">
        <f>HYPERLINK("https://twitter.com/PourLesPatrons","@PourLesPatrons")</f>
        <v>@PourLesPatrons</v>
      </c>
      <c r="C1420" s="9" t="s">
        <v>2754</v>
      </c>
      <c r="D1420" s="9" t="s">
        <v>2755</v>
      </c>
      <c r="E1420" s="10" t="str">
        <f>HYPERLINK("https://twitter.com/PourLesPatrons/status/722648203703808001","722648203703808001")</f>
        <v>722648203703808001</v>
      </c>
      <c r="F1420" s="11" t="s">
        <v>25</v>
      </c>
      <c r="G1420" s="11">
        <v>1469</v>
      </c>
      <c r="H1420" s="11">
        <v>979</v>
      </c>
      <c r="I1420" s="11">
        <v>0</v>
      </c>
      <c r="J1420" s="11">
        <v>0</v>
      </c>
      <c r="K1420" s="11" t="s">
        <v>21</v>
      </c>
      <c r="L1420" s="7">
        <v>41337.166087962964</v>
      </c>
      <c r="M1420" s="12" t="s">
        <v>88</v>
      </c>
      <c r="N1420" s="12" t="s">
        <v>2756</v>
      </c>
      <c r="O1420" s="10" t="str">
        <f>HYPERLINK("https://pbs.twimg.com/profile_images/680696942163300352/dT4ULAXJ_normal.jpg","View")</f>
        <v>View</v>
      </c>
      <c r="P1420" s="11"/>
    </row>
    <row r="1421" spans="1:16" ht="12.75" x14ac:dyDescent="0.35">
      <c r="A1421" s="7">
        <v>42480.430613425924</v>
      </c>
      <c r="B1421" s="8" t="str">
        <f>HYPERLINK("https://twitter.com/rszilinski","@rszilinski")</f>
        <v>@rszilinski</v>
      </c>
      <c r="C1421" s="9" t="s">
        <v>2757</v>
      </c>
      <c r="D1421" s="9" t="s">
        <v>2752</v>
      </c>
      <c r="E1421" s="10" t="str">
        <f>HYPERLINK("https://twitter.com/rszilinski/status/722648509867012097","722648509867012097")</f>
        <v>722648509867012097</v>
      </c>
      <c r="F1421" s="11" t="s">
        <v>31</v>
      </c>
      <c r="G1421" s="11">
        <v>394</v>
      </c>
      <c r="H1421" s="11">
        <v>369</v>
      </c>
      <c r="I1421" s="11">
        <v>4</v>
      </c>
      <c r="J1421" s="11">
        <v>0</v>
      </c>
      <c r="K1421" s="11" t="s">
        <v>21</v>
      </c>
      <c r="L1421" s="7">
        <v>39864.988842592589</v>
      </c>
      <c r="M1421" s="12" t="s">
        <v>2758</v>
      </c>
      <c r="N1421" s="12" t="s">
        <v>2759</v>
      </c>
      <c r="O1421" s="10" t="str">
        <f>HYPERLINK("https://pbs.twimg.com/profile_images/611852434609184769/qSWdBcwR_normal.jpg","View")</f>
        <v>View</v>
      </c>
      <c r="P1421" s="11"/>
    </row>
    <row r="1422" spans="1:16" ht="12.75" x14ac:dyDescent="0.35">
      <c r="A1422" s="7">
        <v>42480.431250000001</v>
      </c>
      <c r="B1422" s="8" t="str">
        <f>HYPERLINK("https://twitter.com/ptrs_stein","@ptrs_stein")</f>
        <v>@ptrs_stein</v>
      </c>
      <c r="C1422" s="9" t="s">
        <v>2760</v>
      </c>
      <c r="D1422" s="9" t="s">
        <v>2761</v>
      </c>
      <c r="E1422" s="10" t="str">
        <f>HYPERLINK("https://twitter.com/ptrs_stein/status/722648739131846656","722648739131846656")</f>
        <v>722648739131846656</v>
      </c>
      <c r="F1422" s="11" t="s">
        <v>2762</v>
      </c>
      <c r="G1422" s="11">
        <v>96</v>
      </c>
      <c r="H1422" s="11">
        <v>408</v>
      </c>
      <c r="I1422" s="11">
        <v>1</v>
      </c>
      <c r="J1422" s="11">
        <v>2</v>
      </c>
      <c r="K1422" s="11" t="s">
        <v>21</v>
      </c>
      <c r="L1422" s="7">
        <v>41295.000185185185</v>
      </c>
      <c r="M1422" s="12" t="s">
        <v>2763</v>
      </c>
      <c r="N1422" s="12" t="s">
        <v>2764</v>
      </c>
      <c r="O1422" s="10" t="str">
        <f>HYPERLINK("https://pbs.twimg.com/profile_images/700346204509577216/nSIe2P5__normal.jpg","View")</f>
        <v>View</v>
      </c>
      <c r="P1422" s="11"/>
    </row>
    <row r="1423" spans="1:16" ht="12.75" x14ac:dyDescent="0.35">
      <c r="A1423" s="7">
        <v>42480.44017361111</v>
      </c>
      <c r="B1423" s="8" t="str">
        <f>HYPERLINK("https://twitter.com/mediengerecht","@mediengerecht")</f>
        <v>@mediengerecht</v>
      </c>
      <c r="C1423" s="9" t="s">
        <v>1777</v>
      </c>
      <c r="D1423" s="9" t="s">
        <v>2765</v>
      </c>
      <c r="E1423" s="10" t="str">
        <f>HYPERLINK("https://twitter.com/mediengerecht/status/722651972252409859","722651972252409859")</f>
        <v>722651972252409859</v>
      </c>
      <c r="F1423" s="11" t="s">
        <v>774</v>
      </c>
      <c r="G1423" s="11">
        <v>636</v>
      </c>
      <c r="H1423" s="11">
        <v>461</v>
      </c>
      <c r="I1423" s="11">
        <v>0</v>
      </c>
      <c r="J1423" s="11">
        <v>1</v>
      </c>
      <c r="K1423" s="11" t="s">
        <v>21</v>
      </c>
      <c r="L1423" s="7">
        <v>39984.900891203702</v>
      </c>
      <c r="M1423" s="12"/>
      <c r="N1423" s="12" t="s">
        <v>1779</v>
      </c>
      <c r="O1423" s="10" t="str">
        <f>HYPERLINK("https://pbs.twimg.com/profile_images/706494867204120576/F1LJZI55_normal.jpg","View")</f>
        <v>View</v>
      </c>
      <c r="P1423" s="11"/>
    </row>
    <row r="1424" spans="1:16" ht="12.75" x14ac:dyDescent="0.35">
      <c r="A1424" s="7">
        <v>42480.44222222222</v>
      </c>
      <c r="B1424" s="8" t="str">
        <f>HYPERLINK("https://twitter.com/DKEAktuell","@DKEAktuell")</f>
        <v>@DKEAktuell</v>
      </c>
      <c r="C1424" s="9" t="s">
        <v>1289</v>
      </c>
      <c r="D1424" s="9" t="s">
        <v>2766</v>
      </c>
      <c r="E1424" s="10" t="str">
        <f>HYPERLINK("https://twitter.com/DKEAktuell/status/722652718368747520","722652718368747520")</f>
        <v>722652718368747520</v>
      </c>
      <c r="F1424" s="11" t="s">
        <v>31</v>
      </c>
      <c r="G1424" s="11">
        <v>572</v>
      </c>
      <c r="H1424" s="11">
        <v>525</v>
      </c>
      <c r="I1424" s="11">
        <v>1</v>
      </c>
      <c r="J1424" s="11">
        <v>2</v>
      </c>
      <c r="K1424" s="11" t="s">
        <v>21</v>
      </c>
      <c r="L1424" s="7">
        <v>41764.84847222222</v>
      </c>
      <c r="M1424" s="12" t="s">
        <v>1290</v>
      </c>
      <c r="N1424" s="12" t="s">
        <v>1291</v>
      </c>
      <c r="O1424" s="10" t="str">
        <f>HYPERLINK("https://pbs.twimg.com/profile_images/465817969902092288/sEIgw9Gb_normal.jpeg","View")</f>
        <v>View</v>
      </c>
      <c r="P1424" s="11"/>
    </row>
    <row r="1425" spans="1:16" ht="12.75" x14ac:dyDescent="0.35">
      <c r="A1425" s="7">
        <v>42480.442604166667</v>
      </c>
      <c r="B1425" s="8" t="str">
        <f t="shared" ref="B1425:B1426" si="162">HYPERLINK("https://twitter.com/LNI40","@LNI40")</f>
        <v>@LNI40</v>
      </c>
      <c r="C1425" s="9" t="s">
        <v>1888</v>
      </c>
      <c r="D1425" s="9" t="s">
        <v>2752</v>
      </c>
      <c r="E1425" s="10" t="str">
        <f>HYPERLINK("https://twitter.com/LNI40/status/722652856768151553","722652856768151553")</f>
        <v>722652856768151553</v>
      </c>
      <c r="F1425" s="11" t="s">
        <v>31</v>
      </c>
      <c r="G1425" s="11">
        <v>36</v>
      </c>
      <c r="H1425" s="11">
        <v>229</v>
      </c>
      <c r="I1425" s="11">
        <v>4</v>
      </c>
      <c r="J1425" s="11">
        <v>0</v>
      </c>
      <c r="K1425" s="11" t="s">
        <v>21</v>
      </c>
      <c r="L1425" s="7">
        <v>42477.465578703705</v>
      </c>
      <c r="M1425" s="12" t="s">
        <v>227</v>
      </c>
      <c r="N1425" s="12" t="s">
        <v>1889</v>
      </c>
      <c r="O1425" s="10" t="str">
        <f t="shared" ref="O1425:O1426" si="163">HYPERLINK("https://pbs.twimg.com/profile_images/722098538604281856/CcBxk1_M_normal.jpg","View")</f>
        <v>View</v>
      </c>
      <c r="P1425" s="11"/>
    </row>
    <row r="1426" spans="1:16" ht="12.75" x14ac:dyDescent="0.35">
      <c r="A1426" s="7">
        <v>42480.446423611109</v>
      </c>
      <c r="B1426" s="8" t="str">
        <f t="shared" si="162"/>
        <v>@LNI40</v>
      </c>
      <c r="C1426" s="9" t="s">
        <v>1888</v>
      </c>
      <c r="D1426" s="9" t="s">
        <v>2767</v>
      </c>
      <c r="E1426" s="10" t="str">
        <f>HYPERLINK("https://twitter.com/LNI40/status/722654236908064768","722654236908064768")</f>
        <v>722654236908064768</v>
      </c>
      <c r="F1426" s="11" t="s">
        <v>31</v>
      </c>
      <c r="G1426" s="11">
        <v>36</v>
      </c>
      <c r="H1426" s="11">
        <v>229</v>
      </c>
      <c r="I1426" s="11">
        <v>1</v>
      </c>
      <c r="J1426" s="11">
        <v>0</v>
      </c>
      <c r="K1426" s="11" t="s">
        <v>21</v>
      </c>
      <c r="L1426" s="7">
        <v>42477.465578703705</v>
      </c>
      <c r="M1426" s="12" t="s">
        <v>227</v>
      </c>
      <c r="N1426" s="12" t="s">
        <v>1889</v>
      </c>
      <c r="O1426" s="10" t="str">
        <f t="shared" si="163"/>
        <v>View</v>
      </c>
      <c r="P1426" s="11"/>
    </row>
    <row r="1427" spans="1:16" ht="12.75" x14ac:dyDescent="0.35">
      <c r="A1427" s="7">
        <v>42480.465347222227</v>
      </c>
      <c r="B1427" s="8" t="str">
        <f>HYPERLINK("https://twitter.com/ROKAutomationAT","@ROKAutomationAT")</f>
        <v>@ROKAutomationAT</v>
      </c>
      <c r="C1427" s="9" t="s">
        <v>416</v>
      </c>
      <c r="D1427" s="9" t="s">
        <v>2768</v>
      </c>
      <c r="E1427" s="10" t="str">
        <f>HYPERLINK("https://twitter.com/ROKAutomationAT/status/722661096008654848","722661096008654848")</f>
        <v>722661096008654848</v>
      </c>
      <c r="F1427" s="11" t="s">
        <v>418</v>
      </c>
      <c r="G1427" s="11">
        <v>1727</v>
      </c>
      <c r="H1427" s="11">
        <v>1481</v>
      </c>
      <c r="I1427" s="11">
        <v>1</v>
      </c>
      <c r="J1427" s="11">
        <v>0</v>
      </c>
      <c r="K1427" s="11" t="s">
        <v>21</v>
      </c>
      <c r="L1427" s="7">
        <v>41003.844143518516</v>
      </c>
      <c r="M1427" s="12" t="s">
        <v>947</v>
      </c>
      <c r="N1427" s="12" t="s">
        <v>2318</v>
      </c>
      <c r="O1427" s="10" t="str">
        <f>HYPERLINK("https://pbs.twimg.com/profile_images/494911375034945537/txB_J-VC_normal.jpeg","View")</f>
        <v>View</v>
      </c>
      <c r="P1427" s="11"/>
    </row>
    <row r="1428" spans="1:16" ht="12.75" x14ac:dyDescent="0.35">
      <c r="A1428" s="7">
        <v>42480.465347222227</v>
      </c>
      <c r="B1428" s="8" t="str">
        <f>HYPERLINK("https://twitter.com/ROKAutomationDE","@ROKAutomationDE")</f>
        <v>@ROKAutomationDE</v>
      </c>
      <c r="C1428" s="9" t="s">
        <v>416</v>
      </c>
      <c r="D1428" s="9" t="s">
        <v>2769</v>
      </c>
      <c r="E1428" s="10" t="str">
        <f>HYPERLINK("https://twitter.com/ROKAutomationDE/status/722661097799593984","722661097799593984")</f>
        <v>722661097799593984</v>
      </c>
      <c r="F1428" s="11" t="s">
        <v>418</v>
      </c>
      <c r="G1428" s="11">
        <v>1728</v>
      </c>
      <c r="H1428" s="11">
        <v>831</v>
      </c>
      <c r="I1428" s="11">
        <v>2</v>
      </c>
      <c r="J1428" s="11">
        <v>0</v>
      </c>
      <c r="K1428" s="11" t="s">
        <v>21</v>
      </c>
      <c r="L1428" s="7">
        <v>40785.656261574077</v>
      </c>
      <c r="M1428" s="12" t="s">
        <v>581</v>
      </c>
      <c r="N1428" s="12" t="s">
        <v>2320</v>
      </c>
      <c r="O1428" s="10" t="str">
        <f>HYPERLINK("https://pbs.twimg.com/profile_images/495214827963297793/ZW7qWnoK_normal.jpeg","View")</f>
        <v>View</v>
      </c>
      <c r="P1428" s="11"/>
    </row>
    <row r="1429" spans="1:16" ht="12.75" x14ac:dyDescent="0.35">
      <c r="A1429" s="7">
        <v>42480.465358796297</v>
      </c>
      <c r="B1429" s="8" t="str">
        <f>HYPERLINK("https://twitter.com/ROKAutoCHDE","@ROKAutoCHDE")</f>
        <v>@ROKAutoCHDE</v>
      </c>
      <c r="C1429" s="9" t="s">
        <v>416</v>
      </c>
      <c r="D1429" s="9" t="s">
        <v>2770</v>
      </c>
      <c r="E1429" s="10" t="str">
        <f>HYPERLINK("https://twitter.com/ROKAutoCHDE/status/722661102551724034","722661102551724034")</f>
        <v>722661102551724034</v>
      </c>
      <c r="F1429" s="11" t="s">
        <v>418</v>
      </c>
      <c r="G1429" s="11">
        <v>1142</v>
      </c>
      <c r="H1429" s="11">
        <v>621</v>
      </c>
      <c r="I1429" s="11">
        <v>2</v>
      </c>
      <c r="J1429" s="11">
        <v>0</v>
      </c>
      <c r="K1429" s="11" t="s">
        <v>21</v>
      </c>
      <c r="L1429" s="7">
        <v>41004.694085648152</v>
      </c>
      <c r="M1429" s="12" t="s">
        <v>478</v>
      </c>
      <c r="N1429" s="12" t="s">
        <v>2322</v>
      </c>
      <c r="O1429" s="10" t="str">
        <f>HYPERLINK("https://pbs.twimg.com/profile_images/498942077325963264/l5q550Kh_normal.jpeg","View")</f>
        <v>View</v>
      </c>
      <c r="P1429" s="11"/>
    </row>
    <row r="1430" spans="1:16" ht="12.75" x14ac:dyDescent="0.35">
      <c r="A1430" s="7">
        <v>42480.466087962966</v>
      </c>
      <c r="B1430" s="8" t="str">
        <f t="shared" ref="B1430:B1432" si="164">HYPERLINK("https://twitter.com/INDIZbot","@INDIZbot")</f>
        <v>@INDIZbot</v>
      </c>
      <c r="C1430" s="9" t="s">
        <v>61</v>
      </c>
      <c r="D1430" s="9" t="s">
        <v>2771</v>
      </c>
      <c r="E1430" s="10" t="str">
        <f>HYPERLINK("https://twitter.com/INDIZbot/status/722661364917997568","722661364917997568")</f>
        <v>722661364917997568</v>
      </c>
      <c r="F1430" s="11" t="s">
        <v>62</v>
      </c>
      <c r="G1430" s="11">
        <v>1762</v>
      </c>
      <c r="H1430" s="11">
        <v>481</v>
      </c>
      <c r="I1430" s="11">
        <v>2</v>
      </c>
      <c r="J1430" s="11">
        <v>0</v>
      </c>
      <c r="K1430" s="11" t="s">
        <v>21</v>
      </c>
      <c r="L1430" s="7">
        <v>42267.011921296296</v>
      </c>
      <c r="M1430" s="12"/>
      <c r="N1430" s="12" t="s">
        <v>63</v>
      </c>
      <c r="O1430" s="10" t="str">
        <f t="shared" ref="O1430:O1432" si="165">HYPERLINK("https://pbs.twimg.com/profile_images/645716711723925506/t5G0qOS6_normal.jpg","View")</f>
        <v>View</v>
      </c>
      <c r="P1430" s="11"/>
    </row>
    <row r="1431" spans="1:16" ht="12.75" x14ac:dyDescent="0.35">
      <c r="A1431" s="7">
        <v>42480.466400462959</v>
      </c>
      <c r="B1431" s="8" t="str">
        <f t="shared" si="164"/>
        <v>@INDIZbot</v>
      </c>
      <c r="C1431" s="9" t="s">
        <v>61</v>
      </c>
      <c r="D1431" s="9" t="s">
        <v>2772</v>
      </c>
      <c r="E1431" s="10" t="str">
        <f>HYPERLINK("https://twitter.com/INDIZbot/status/722661478453616640","722661478453616640")</f>
        <v>722661478453616640</v>
      </c>
      <c r="F1431" s="11" t="s">
        <v>62</v>
      </c>
      <c r="G1431" s="11">
        <v>1762</v>
      </c>
      <c r="H1431" s="11">
        <v>481</v>
      </c>
      <c r="I1431" s="11">
        <v>2</v>
      </c>
      <c r="J1431" s="11">
        <v>0</v>
      </c>
      <c r="K1431" s="11" t="s">
        <v>21</v>
      </c>
      <c r="L1431" s="7">
        <v>42267.011921296296</v>
      </c>
      <c r="M1431" s="12"/>
      <c r="N1431" s="12" t="s">
        <v>63</v>
      </c>
      <c r="O1431" s="10" t="str">
        <f t="shared" si="165"/>
        <v>View</v>
      </c>
      <c r="P1431" s="11"/>
    </row>
    <row r="1432" spans="1:16" ht="12.75" x14ac:dyDescent="0.35">
      <c r="A1432" s="7">
        <v>42480.46675925926</v>
      </c>
      <c r="B1432" s="8" t="str">
        <f t="shared" si="164"/>
        <v>@INDIZbot</v>
      </c>
      <c r="C1432" s="9" t="s">
        <v>61</v>
      </c>
      <c r="D1432" s="9" t="s">
        <v>2773</v>
      </c>
      <c r="E1432" s="10" t="str">
        <f>HYPERLINK("https://twitter.com/INDIZbot/status/722661610049912836","722661610049912836")</f>
        <v>722661610049912836</v>
      </c>
      <c r="F1432" s="11" t="s">
        <v>62</v>
      </c>
      <c r="G1432" s="11">
        <v>1762</v>
      </c>
      <c r="H1432" s="11">
        <v>481</v>
      </c>
      <c r="I1432" s="11">
        <v>1</v>
      </c>
      <c r="J1432" s="11">
        <v>0</v>
      </c>
      <c r="K1432" s="11" t="s">
        <v>21</v>
      </c>
      <c r="L1432" s="7">
        <v>42267.011921296296</v>
      </c>
      <c r="M1432" s="12"/>
      <c r="N1432" s="12" t="s">
        <v>63</v>
      </c>
      <c r="O1432" s="10" t="str">
        <f t="shared" si="165"/>
        <v>View</v>
      </c>
      <c r="P1432" s="11"/>
    </row>
    <row r="1433" spans="1:16" ht="12.75" x14ac:dyDescent="0.35">
      <c r="A1433" s="7">
        <v>42480.473935185189</v>
      </c>
      <c r="B1433" s="8" t="str">
        <f>HYPERLINK("https://twitter.com/MarioReinsch","@MarioReinsch")</f>
        <v>@MarioReinsch</v>
      </c>
      <c r="C1433" s="9" t="s">
        <v>109</v>
      </c>
      <c r="D1433" s="9" t="s">
        <v>2774</v>
      </c>
      <c r="E1433" s="10" t="str">
        <f>HYPERLINK("https://twitter.com/MarioReinsch/status/722664207683084288","722664207683084288")</f>
        <v>722664207683084288</v>
      </c>
      <c r="F1433" s="11" t="s">
        <v>25</v>
      </c>
      <c r="G1433" s="11">
        <v>203</v>
      </c>
      <c r="H1433" s="11">
        <v>455</v>
      </c>
      <c r="I1433" s="11">
        <v>3</v>
      </c>
      <c r="J1433" s="11">
        <v>1</v>
      </c>
      <c r="K1433" s="11" t="s">
        <v>21</v>
      </c>
      <c r="L1433" s="7">
        <v>41858.737534722226</v>
      </c>
      <c r="M1433" s="12" t="s">
        <v>111</v>
      </c>
      <c r="N1433" s="12" t="s">
        <v>112</v>
      </c>
      <c r="O1433" s="10" t="str">
        <f>HYPERLINK("https://pbs.twimg.com/profile_images/560799766007664640/lsjqv0TW_normal.jpeg","View")</f>
        <v>View</v>
      </c>
      <c r="P1433" s="11"/>
    </row>
    <row r="1434" spans="1:16" ht="12.75" x14ac:dyDescent="0.35">
      <c r="A1434" s="7">
        <v>42480.474270833336</v>
      </c>
      <c r="B1434" s="8" t="str">
        <f>HYPERLINK("https://twitter.com/IoTMinded","@IoTMinded")</f>
        <v>@IoTMinded</v>
      </c>
      <c r="C1434" s="9" t="s">
        <v>435</v>
      </c>
      <c r="D1434" s="9" t="s">
        <v>2775</v>
      </c>
      <c r="E1434" s="10" t="str">
        <f>HYPERLINK("https://twitter.com/IoTMinded/status/722664329728946177","722664329728946177")</f>
        <v>722664329728946177</v>
      </c>
      <c r="F1434" s="11" t="s">
        <v>437</v>
      </c>
      <c r="G1434" s="11">
        <v>1102</v>
      </c>
      <c r="H1434" s="11">
        <v>656</v>
      </c>
      <c r="I1434" s="11">
        <v>3</v>
      </c>
      <c r="J1434" s="11">
        <v>0</v>
      </c>
      <c r="K1434" s="11" t="s">
        <v>21</v>
      </c>
      <c r="L1434" s="7">
        <v>40085.127789351856</v>
      </c>
      <c r="M1434" s="12"/>
      <c r="N1434" s="12" t="s">
        <v>438</v>
      </c>
      <c r="O1434" s="10" t="str">
        <f>HYPERLINK("https://pbs.twimg.com/profile_images/603699032804859904/lb5IMG5x_normal.jpg","View")</f>
        <v>View</v>
      </c>
      <c r="P1434" s="11"/>
    </row>
    <row r="1435" spans="1:16" ht="12.75" x14ac:dyDescent="0.35">
      <c r="A1435" s="7">
        <v>42480.487222222218</v>
      </c>
      <c r="B1435" s="8" t="str">
        <f>HYPERLINK("https://twitter.com/Gruendercoaches","@Gruendercoaches")</f>
        <v>@Gruendercoaches</v>
      </c>
      <c r="C1435" s="9" t="s">
        <v>987</v>
      </c>
      <c r="D1435" s="9" t="s">
        <v>2691</v>
      </c>
      <c r="E1435" s="10" t="str">
        <f>HYPERLINK("https://twitter.com/Gruendercoaches/status/722669022249160705","722669022249160705")</f>
        <v>722669022249160705</v>
      </c>
      <c r="F1435" s="11" t="s">
        <v>20</v>
      </c>
      <c r="G1435" s="11">
        <v>4951</v>
      </c>
      <c r="H1435" s="11">
        <v>1604</v>
      </c>
      <c r="I1435" s="11">
        <v>4</v>
      </c>
      <c r="J1435" s="11">
        <v>0</v>
      </c>
      <c r="K1435" s="11" t="s">
        <v>21</v>
      </c>
      <c r="L1435" s="7">
        <v>40865.780300925922</v>
      </c>
      <c r="M1435" s="12" t="s">
        <v>218</v>
      </c>
      <c r="N1435" s="12" t="s">
        <v>988</v>
      </c>
      <c r="O1435" s="10" t="str">
        <f>HYPERLINK("https://pbs.twimg.com/profile_images/561208179355185153/11KDu7Gt_normal.png","View")</f>
        <v>View</v>
      </c>
      <c r="P1435" s="11"/>
    </row>
    <row r="1436" spans="1:16" ht="12.75" x14ac:dyDescent="0.35">
      <c r="A1436" s="7">
        <v>42480.499340277776</v>
      </c>
      <c r="B1436" s="8" t="str">
        <f>HYPERLINK("https://twitter.com/MarioReinsch","@MarioReinsch")</f>
        <v>@MarioReinsch</v>
      </c>
      <c r="C1436" s="9" t="s">
        <v>109</v>
      </c>
      <c r="D1436" s="9" t="s">
        <v>2776</v>
      </c>
      <c r="E1436" s="10" t="str">
        <f>HYPERLINK("https://twitter.com/MarioReinsch/status/722673415153401857","722673415153401857")</f>
        <v>722673415153401857</v>
      </c>
      <c r="F1436" s="11" t="s">
        <v>25</v>
      </c>
      <c r="G1436" s="11">
        <v>203</v>
      </c>
      <c r="H1436" s="11">
        <v>455</v>
      </c>
      <c r="I1436" s="11">
        <v>4</v>
      </c>
      <c r="J1436" s="11">
        <v>2</v>
      </c>
      <c r="K1436" s="11" t="s">
        <v>21</v>
      </c>
      <c r="L1436" s="7">
        <v>41858.737534722226</v>
      </c>
      <c r="M1436" s="12" t="s">
        <v>111</v>
      </c>
      <c r="N1436" s="12" t="s">
        <v>112</v>
      </c>
      <c r="O1436" s="10" t="str">
        <f>HYPERLINK("https://pbs.twimg.com/profile_images/560799766007664640/lsjqv0TW_normal.jpeg","View")</f>
        <v>View</v>
      </c>
      <c r="P1436" s="11"/>
    </row>
    <row r="1437" spans="1:16" ht="12.75" x14ac:dyDescent="0.35">
      <c r="A1437" s="7">
        <v>42480.50100694444</v>
      </c>
      <c r="B1437" s="8" t="str">
        <f>HYPERLINK("https://twitter.com/IoTMinded","@IoTMinded")</f>
        <v>@IoTMinded</v>
      </c>
      <c r="C1437" s="9" t="s">
        <v>435</v>
      </c>
      <c r="D1437" s="9" t="s">
        <v>2777</v>
      </c>
      <c r="E1437" s="10" t="str">
        <f>HYPERLINK("https://twitter.com/IoTMinded/status/722674020290859008","722674020290859008")</f>
        <v>722674020290859008</v>
      </c>
      <c r="F1437" s="11" t="s">
        <v>437</v>
      </c>
      <c r="G1437" s="11">
        <v>1102</v>
      </c>
      <c r="H1437" s="11">
        <v>656</v>
      </c>
      <c r="I1437" s="11">
        <v>4</v>
      </c>
      <c r="J1437" s="11">
        <v>0</v>
      </c>
      <c r="K1437" s="11" t="s">
        <v>21</v>
      </c>
      <c r="L1437" s="7">
        <v>40085.127789351856</v>
      </c>
      <c r="M1437" s="12"/>
      <c r="N1437" s="12" t="s">
        <v>438</v>
      </c>
      <c r="O1437" s="10" t="str">
        <f>HYPERLINK("https://pbs.twimg.com/profile_images/603699032804859904/lb5IMG5x_normal.jpg","View")</f>
        <v>View</v>
      </c>
      <c r="P1437" s="11"/>
    </row>
    <row r="1438" spans="1:16" ht="12.75" x14ac:dyDescent="0.35">
      <c r="A1438" s="7">
        <v>42480.504953703705</v>
      </c>
      <c r="B1438" s="8" t="str">
        <f>HYPERLINK("https://twitter.com/Atos_DE","@Atos_DE")</f>
        <v>@Atos_DE</v>
      </c>
      <c r="C1438" s="9" t="s">
        <v>2778</v>
      </c>
      <c r="D1438" s="9" t="s">
        <v>2779</v>
      </c>
      <c r="E1438" s="10" t="str">
        <f>HYPERLINK("https://twitter.com/Atos_DE/status/722675451567673344","722675451567673344")</f>
        <v>722675451567673344</v>
      </c>
      <c r="F1438" s="11" t="s">
        <v>25</v>
      </c>
      <c r="G1438" s="11">
        <v>1348</v>
      </c>
      <c r="H1438" s="11">
        <v>108</v>
      </c>
      <c r="I1438" s="11">
        <v>1</v>
      </c>
      <c r="J1438" s="11">
        <v>1</v>
      </c>
      <c r="K1438" s="11" t="s">
        <v>21</v>
      </c>
      <c r="L1438" s="7">
        <v>40022.808344907404</v>
      </c>
      <c r="M1438" s="12" t="s">
        <v>2780</v>
      </c>
      <c r="N1438" s="12" t="s">
        <v>2781</v>
      </c>
      <c r="O1438" s="10" t="str">
        <f>HYPERLINK("https://pbs.twimg.com/profile_images/668712795677028352/uUXoP0Hd_normal.jpg","View")</f>
        <v>View</v>
      </c>
      <c r="P1438" s="11"/>
    </row>
    <row r="1439" spans="1:16" ht="12.75" x14ac:dyDescent="0.35">
      <c r="A1439" s="7">
        <v>42480.506840277776</v>
      </c>
      <c r="B1439" s="8" t="str">
        <f>HYPERLINK("https://twitter.com/MarioReinsch","@MarioReinsch")</f>
        <v>@MarioReinsch</v>
      </c>
      <c r="C1439" s="9" t="s">
        <v>109</v>
      </c>
      <c r="D1439" s="9" t="s">
        <v>2782</v>
      </c>
      <c r="E1439" s="10" t="str">
        <f>HYPERLINK("https://twitter.com/MarioReinsch/status/722676134912114688","722676134912114688")</f>
        <v>722676134912114688</v>
      </c>
      <c r="F1439" s="11" t="s">
        <v>25</v>
      </c>
      <c r="G1439" s="11">
        <v>203</v>
      </c>
      <c r="H1439" s="11">
        <v>455</v>
      </c>
      <c r="I1439" s="11">
        <v>1</v>
      </c>
      <c r="J1439" s="11">
        <v>0</v>
      </c>
      <c r="K1439" s="11" t="s">
        <v>21</v>
      </c>
      <c r="L1439" s="7">
        <v>41858.737534722226</v>
      </c>
      <c r="M1439" s="12" t="s">
        <v>111</v>
      </c>
      <c r="N1439" s="12" t="s">
        <v>112</v>
      </c>
      <c r="O1439" s="10" t="str">
        <f>HYPERLINK("https://pbs.twimg.com/profile_images/560799766007664640/lsjqv0TW_normal.jpeg","View")</f>
        <v>View</v>
      </c>
      <c r="P1439" s="11"/>
    </row>
    <row r="1440" spans="1:16" ht="12.75" x14ac:dyDescent="0.35">
      <c r="A1440" s="7">
        <v>42480.507743055554</v>
      </c>
      <c r="B1440" s="8" t="str">
        <f>HYPERLINK("https://twitter.com/INDIZbot","@INDIZbot")</f>
        <v>@INDIZbot</v>
      </c>
      <c r="C1440" s="9" t="s">
        <v>61</v>
      </c>
      <c r="D1440" s="9" t="s">
        <v>2783</v>
      </c>
      <c r="E1440" s="10" t="str">
        <f>HYPERLINK("https://twitter.com/INDIZbot/status/722676460864016384","722676460864016384")</f>
        <v>722676460864016384</v>
      </c>
      <c r="F1440" s="11" t="s">
        <v>62</v>
      </c>
      <c r="G1440" s="11">
        <v>1762</v>
      </c>
      <c r="H1440" s="11">
        <v>481</v>
      </c>
      <c r="I1440" s="11">
        <v>1</v>
      </c>
      <c r="J1440" s="11">
        <v>0</v>
      </c>
      <c r="K1440" s="11" t="s">
        <v>21</v>
      </c>
      <c r="L1440" s="7">
        <v>42267.011921296296</v>
      </c>
      <c r="M1440" s="12"/>
      <c r="N1440" s="12" t="s">
        <v>63</v>
      </c>
      <c r="O1440" s="10" t="str">
        <f>HYPERLINK("https://pbs.twimg.com/profile_images/645716711723925506/t5G0qOS6_normal.jpg","View")</f>
        <v>View</v>
      </c>
      <c r="P1440" s="11"/>
    </row>
    <row r="1441" spans="1:16" ht="12.75" x14ac:dyDescent="0.35">
      <c r="A1441" s="7">
        <v>42480.507893518516</v>
      </c>
      <c r="B1441" s="8" t="str">
        <f>HYPERLINK("https://twitter.com/KerstinvonAppen","@KerstinvonAppen")</f>
        <v>@KerstinvonAppen</v>
      </c>
      <c r="C1441" s="9" t="s">
        <v>2784</v>
      </c>
      <c r="D1441" s="9" t="s">
        <v>2785</v>
      </c>
      <c r="E1441" s="10" t="str">
        <f>HYPERLINK("https://twitter.com/KerstinvonAppen/status/722676516514099201","722676516514099201")</f>
        <v>722676516514099201</v>
      </c>
      <c r="F1441" s="11" t="s">
        <v>25</v>
      </c>
      <c r="G1441" s="11">
        <v>1646</v>
      </c>
      <c r="H1441" s="11">
        <v>1476</v>
      </c>
      <c r="I1441" s="11">
        <v>0</v>
      </c>
      <c r="J1441" s="11">
        <v>0</v>
      </c>
      <c r="K1441" s="11" t="s">
        <v>21</v>
      </c>
      <c r="L1441" s="7">
        <v>39979.030115740738</v>
      </c>
      <c r="M1441" s="12" t="s">
        <v>227</v>
      </c>
      <c r="N1441" s="12" t="s">
        <v>2786</v>
      </c>
      <c r="O1441" s="10" t="str">
        <f>HYPERLINK("https://pbs.twimg.com/profile_images/2983973431/ac73bb40073113ce27fc21f14aedb165_normal.jpeg","View")</f>
        <v>View</v>
      </c>
      <c r="P1441" s="11"/>
    </row>
    <row r="1442" spans="1:16" ht="12.75" x14ac:dyDescent="0.35">
      <c r="A1442" s="7">
        <v>42480.508437500001</v>
      </c>
      <c r="B1442" s="8" t="str">
        <f>HYPERLINK("https://twitter.com/INDIZbot","@INDIZbot")</f>
        <v>@INDIZbot</v>
      </c>
      <c r="C1442" s="9" t="s">
        <v>61</v>
      </c>
      <c r="D1442" s="9" t="s">
        <v>2787</v>
      </c>
      <c r="E1442" s="10" t="str">
        <f>HYPERLINK("https://twitter.com/INDIZbot/status/722676710861336576","722676710861336576")</f>
        <v>722676710861336576</v>
      </c>
      <c r="F1442" s="11" t="s">
        <v>62</v>
      </c>
      <c r="G1442" s="11">
        <v>1762</v>
      </c>
      <c r="H1442" s="11">
        <v>481</v>
      </c>
      <c r="I1442" s="11">
        <v>1</v>
      </c>
      <c r="J1442" s="11">
        <v>0</v>
      </c>
      <c r="K1442" s="11" t="s">
        <v>21</v>
      </c>
      <c r="L1442" s="7">
        <v>42267.011921296296</v>
      </c>
      <c r="M1442" s="12"/>
      <c r="N1442" s="12" t="s">
        <v>63</v>
      </c>
      <c r="O1442" s="10" t="str">
        <f>HYPERLINK("https://pbs.twimg.com/profile_images/645716711723925506/t5G0qOS6_normal.jpg","View")</f>
        <v>View</v>
      </c>
      <c r="P1442" s="11"/>
    </row>
    <row r="1443" spans="1:16" ht="12.75" x14ac:dyDescent="0.35">
      <c r="A1443" s="7">
        <v>42480.509097222224</v>
      </c>
      <c r="B1443" s="8" t="str">
        <f>HYPERLINK("https://twitter.com/LReehten","@LReehten")</f>
        <v>@LReehten</v>
      </c>
      <c r="C1443" s="9" t="s">
        <v>1998</v>
      </c>
      <c r="D1443" s="9" t="s">
        <v>2788</v>
      </c>
      <c r="E1443" s="10" t="str">
        <f>HYPERLINK("https://twitter.com/LReehten/status/722676951417253889","722676951417253889")</f>
        <v>722676951417253889</v>
      </c>
      <c r="F1443" s="11" t="s">
        <v>25</v>
      </c>
      <c r="G1443" s="11">
        <v>2334</v>
      </c>
      <c r="H1443" s="11">
        <v>2836</v>
      </c>
      <c r="I1443" s="11">
        <v>0</v>
      </c>
      <c r="J1443" s="11">
        <v>0</v>
      </c>
      <c r="K1443" s="11" t="s">
        <v>21</v>
      </c>
      <c r="L1443" s="7">
        <v>41618.817071759258</v>
      </c>
      <c r="M1443" s="12"/>
      <c r="N1443" s="12" t="s">
        <v>2000</v>
      </c>
      <c r="O1443" s="10" t="str">
        <f>HYPERLINK("https://pbs.twimg.com/profile_images/623849156159868928/BetFDR_i_normal.jpg","View")</f>
        <v>View</v>
      </c>
      <c r="P1443" s="11"/>
    </row>
    <row r="1444" spans="1:16" ht="12.75" x14ac:dyDescent="0.35">
      <c r="A1444" s="7">
        <v>42480.511157407411</v>
      </c>
      <c r="B1444" s="8" t="str">
        <f>HYPERLINK("https://twitter.com/H_IT_D","@H_IT_D")</f>
        <v>@H_IT_D</v>
      </c>
      <c r="C1444" s="9" t="s">
        <v>159</v>
      </c>
      <c r="D1444" s="9" t="s">
        <v>2789</v>
      </c>
      <c r="E1444" s="10" t="str">
        <f>HYPERLINK("https://twitter.com/H_IT_D/status/722677698531893249","722677698531893249")</f>
        <v>722677698531893249</v>
      </c>
      <c r="F1444" s="11" t="s">
        <v>161</v>
      </c>
      <c r="G1444" s="11">
        <v>463</v>
      </c>
      <c r="H1444" s="11">
        <v>467</v>
      </c>
      <c r="I1444" s="11">
        <v>0</v>
      </c>
      <c r="J1444" s="11">
        <v>0</v>
      </c>
      <c r="K1444" s="11" t="s">
        <v>21</v>
      </c>
      <c r="L1444" s="7">
        <v>40723.867673611108</v>
      </c>
      <c r="M1444" s="12" t="s">
        <v>162</v>
      </c>
      <c r="N1444" s="12" t="s">
        <v>163</v>
      </c>
      <c r="O1444" s="10" t="str">
        <f>HYPERLINK("https://pbs.twimg.com/profile_images/662723326096224256/5V4KH9_O_normal.jpg","View")</f>
        <v>View</v>
      </c>
      <c r="P1444" s="11"/>
    </row>
    <row r="1445" spans="1:16" ht="12.75" x14ac:dyDescent="0.35">
      <c r="A1445" s="7">
        <v>42480.51189814815</v>
      </c>
      <c r="B1445" s="8" t="str">
        <f t="shared" ref="B1445:B1446" si="166">HYPERLINK("https://twitter.com/MindCommerce","@MindCommerce")</f>
        <v>@MindCommerce</v>
      </c>
      <c r="C1445" s="9" t="s">
        <v>1242</v>
      </c>
      <c r="D1445" s="9" t="s">
        <v>2775</v>
      </c>
      <c r="E1445" s="10" t="str">
        <f>HYPERLINK("https://twitter.com/MindCommerce/status/722677968154271745","722677968154271745")</f>
        <v>722677968154271745</v>
      </c>
      <c r="F1445" s="11" t="s">
        <v>437</v>
      </c>
      <c r="G1445" s="11">
        <v>1189</v>
      </c>
      <c r="H1445" s="11">
        <v>427</v>
      </c>
      <c r="I1445" s="11">
        <v>3</v>
      </c>
      <c r="J1445" s="11">
        <v>0</v>
      </c>
      <c r="K1445" s="11" t="s">
        <v>21</v>
      </c>
      <c r="L1445" s="7">
        <v>40577.150787037041</v>
      </c>
      <c r="M1445" s="12"/>
      <c r="N1445" s="12" t="s">
        <v>1244</v>
      </c>
      <c r="O1445" s="10" t="str">
        <f t="shared" ref="O1445:O1446" si="167">HYPERLINK("https://pbs.twimg.com/profile_images/548030384030507008/utABqhj9_normal.png","View")</f>
        <v>View</v>
      </c>
      <c r="P1445" s="11"/>
    </row>
    <row r="1446" spans="1:16" ht="12.75" x14ac:dyDescent="0.35">
      <c r="A1446" s="7">
        <v>42480.51190972222</v>
      </c>
      <c r="B1446" s="8" t="str">
        <f t="shared" si="166"/>
        <v>@MindCommerce</v>
      </c>
      <c r="C1446" s="9" t="s">
        <v>1242</v>
      </c>
      <c r="D1446" s="9" t="s">
        <v>2777</v>
      </c>
      <c r="E1446" s="10" t="str">
        <f>HYPERLINK("https://twitter.com/MindCommerce/status/722677969186119683","722677969186119683")</f>
        <v>722677969186119683</v>
      </c>
      <c r="F1446" s="11" t="s">
        <v>437</v>
      </c>
      <c r="G1446" s="11">
        <v>1189</v>
      </c>
      <c r="H1446" s="11">
        <v>427</v>
      </c>
      <c r="I1446" s="11">
        <v>4</v>
      </c>
      <c r="J1446" s="11">
        <v>0</v>
      </c>
      <c r="K1446" s="11" t="s">
        <v>21</v>
      </c>
      <c r="L1446" s="7">
        <v>40577.150787037041</v>
      </c>
      <c r="M1446" s="12"/>
      <c r="N1446" s="12" t="s">
        <v>1244</v>
      </c>
      <c r="O1446" s="10" t="str">
        <f t="shared" si="167"/>
        <v>View</v>
      </c>
      <c r="P1446" s="11"/>
    </row>
    <row r="1447" spans="1:16" ht="12.75" x14ac:dyDescent="0.35">
      <c r="A1447" s="7">
        <v>42480.513391203705</v>
      </c>
      <c r="B1447" s="8" t="str">
        <f>HYPERLINK("https://twitter.com/SMWA_SN","@SMWA_SN")</f>
        <v>@SMWA_SN</v>
      </c>
      <c r="C1447" s="9" t="s">
        <v>2790</v>
      </c>
      <c r="D1447" s="9" t="s">
        <v>2791</v>
      </c>
      <c r="E1447" s="10" t="str">
        <f>HYPERLINK("https://twitter.com/SMWA_SN/status/722678508934311938","722678508934311938")</f>
        <v>722678508934311938</v>
      </c>
      <c r="F1447" s="11" t="s">
        <v>31</v>
      </c>
      <c r="G1447" s="11">
        <v>511</v>
      </c>
      <c r="H1447" s="11">
        <v>194</v>
      </c>
      <c r="I1447" s="11">
        <v>1</v>
      </c>
      <c r="J1447" s="11">
        <v>1</v>
      </c>
      <c r="K1447" s="11" t="s">
        <v>21</v>
      </c>
      <c r="L1447" s="7">
        <v>42135.584247685183</v>
      </c>
      <c r="M1447" s="12" t="s">
        <v>2792</v>
      </c>
      <c r="N1447" s="12" t="s">
        <v>2793</v>
      </c>
      <c r="O1447" s="10" t="str">
        <f>HYPERLINK("https://pbs.twimg.com/profile_images/597697532958011392/kZeBXJZV_normal.png","View")</f>
        <v>View</v>
      </c>
      <c r="P1447" s="11"/>
    </row>
    <row r="1448" spans="1:16" ht="12.75" x14ac:dyDescent="0.35">
      <c r="A1448" s="7">
        <v>42480.515150462961</v>
      </c>
      <c r="B1448" s="8" t="str">
        <f>HYPERLINK("https://twitter.com/AnamariaCorca","@AnamariaCorca")</f>
        <v>@AnamariaCorca</v>
      </c>
      <c r="C1448" s="9" t="s">
        <v>2794</v>
      </c>
      <c r="D1448" s="9" t="s">
        <v>2680</v>
      </c>
      <c r="E1448" s="10" t="str">
        <f>HYPERLINK("https://twitter.com/AnamariaCorca/status/722679142739808256","722679142739808256")</f>
        <v>722679142739808256</v>
      </c>
      <c r="F1448" s="11" t="s">
        <v>20</v>
      </c>
      <c r="G1448" s="11">
        <v>281</v>
      </c>
      <c r="H1448" s="11">
        <v>216</v>
      </c>
      <c r="I1448" s="11">
        <v>5</v>
      </c>
      <c r="J1448" s="11">
        <v>0</v>
      </c>
      <c r="K1448" s="11" t="s">
        <v>21</v>
      </c>
      <c r="L1448" s="7">
        <v>40615.166041666671</v>
      </c>
      <c r="M1448" s="12" t="s">
        <v>2350</v>
      </c>
      <c r="N1448" s="12" t="s">
        <v>2795</v>
      </c>
      <c r="O1448" s="10" t="str">
        <f>HYPERLINK("https://pbs.twimg.com/profile_images/721970316742889472/JiHP1kkE_normal.jpg","View")</f>
        <v>View</v>
      </c>
      <c r="P1448" s="11"/>
    </row>
    <row r="1449" spans="1:16" ht="12.75" x14ac:dyDescent="0.35">
      <c r="A1449" s="7">
        <v>42480.516851851848</v>
      </c>
      <c r="B1449" s="8" t="str">
        <f>HYPERLINK("https://twitter.com/JBause","@JBause")</f>
        <v>@JBause</v>
      </c>
      <c r="C1449" s="9" t="s">
        <v>2796</v>
      </c>
      <c r="D1449" s="9" t="s">
        <v>2772</v>
      </c>
      <c r="E1449" s="10" t="str">
        <f>HYPERLINK("https://twitter.com/JBause/status/722679759667392513","722679759667392513")</f>
        <v>722679759667392513</v>
      </c>
      <c r="F1449" s="11" t="s">
        <v>31</v>
      </c>
      <c r="G1449" s="11">
        <v>226</v>
      </c>
      <c r="H1449" s="11">
        <v>211</v>
      </c>
      <c r="I1449" s="11">
        <v>2</v>
      </c>
      <c r="J1449" s="11">
        <v>0</v>
      </c>
      <c r="K1449" s="11" t="s">
        <v>21</v>
      </c>
      <c r="L1449" s="7">
        <v>39969.877164351856</v>
      </c>
      <c r="M1449" s="12" t="s">
        <v>2797</v>
      </c>
      <c r="N1449" s="12" t="s">
        <v>2798</v>
      </c>
      <c r="O1449" s="10" t="str">
        <f>HYPERLINK("https://pbs.twimg.com/profile_images/615223235827900416/r0xU5jIu_normal.jpg","View")</f>
        <v>View</v>
      </c>
      <c r="P1449" s="11"/>
    </row>
    <row r="1450" spans="1:16" ht="12.75" x14ac:dyDescent="0.35">
      <c r="A1450" s="7">
        <v>42480.520937499998</v>
      </c>
      <c r="B1450" s="8" t="str">
        <f>HYPERLINK("https://twitter.com/VDMAonline","@VDMAonline")</f>
        <v>@VDMAonline</v>
      </c>
      <c r="C1450" s="9" t="s">
        <v>191</v>
      </c>
      <c r="D1450" s="9" t="s">
        <v>2799</v>
      </c>
      <c r="E1450" s="10" t="str">
        <f>HYPERLINK("https://twitter.com/VDMAonline/status/722681243289059328","722681243289059328")</f>
        <v>722681243289059328</v>
      </c>
      <c r="F1450" s="11" t="s">
        <v>115</v>
      </c>
      <c r="G1450" s="11">
        <v>6793</v>
      </c>
      <c r="H1450" s="11">
        <v>4</v>
      </c>
      <c r="I1450" s="11">
        <v>4</v>
      </c>
      <c r="J1450" s="11">
        <v>2</v>
      </c>
      <c r="K1450" s="11" t="s">
        <v>21</v>
      </c>
      <c r="L1450" s="7">
        <v>39932.616342592592</v>
      </c>
      <c r="M1450" s="12" t="s">
        <v>49</v>
      </c>
      <c r="N1450" s="12" t="s">
        <v>193</v>
      </c>
      <c r="O1450" s="10" t="str">
        <f>HYPERLINK("https://pbs.twimg.com/profile_images/609375510158774272/P5glOk4b_normal.jpg","View")</f>
        <v>View</v>
      </c>
      <c r="P1450" s="11"/>
    </row>
    <row r="1451" spans="1:16" ht="12.75" x14ac:dyDescent="0.35">
      <c r="A1451" s="7">
        <v>42480.521631944444</v>
      </c>
      <c r="B1451" s="8" t="str">
        <f>HYPERLINK("https://twitter.com/INDIZbot","@INDIZbot")</f>
        <v>@INDIZbot</v>
      </c>
      <c r="C1451" s="9" t="s">
        <v>61</v>
      </c>
      <c r="D1451" s="9" t="s">
        <v>2800</v>
      </c>
      <c r="E1451" s="10" t="str">
        <f>HYPERLINK("https://twitter.com/INDIZbot/status/722681493777223680","722681493777223680")</f>
        <v>722681493777223680</v>
      </c>
      <c r="F1451" s="11" t="s">
        <v>62</v>
      </c>
      <c r="G1451" s="11">
        <v>1762</v>
      </c>
      <c r="H1451" s="11">
        <v>481</v>
      </c>
      <c r="I1451" s="11">
        <v>4</v>
      </c>
      <c r="J1451" s="11">
        <v>0</v>
      </c>
      <c r="K1451" s="11" t="s">
        <v>21</v>
      </c>
      <c r="L1451" s="7">
        <v>42267.011921296296</v>
      </c>
      <c r="M1451" s="12"/>
      <c r="N1451" s="12" t="s">
        <v>63</v>
      </c>
      <c r="O1451" s="10" t="str">
        <f>HYPERLINK("https://pbs.twimg.com/profile_images/645716711723925506/t5G0qOS6_normal.jpg","View")</f>
        <v>View</v>
      </c>
      <c r="P1451" s="11"/>
    </row>
    <row r="1452" spans="1:16" ht="12.75" x14ac:dyDescent="0.35">
      <c r="A1452" s="7">
        <v>42480.524363425924</v>
      </c>
      <c r="B1452" s="8" t="str">
        <f>HYPERLINK("https://twitter.com/ROKAutomationUK","@ROKAutomationUK")</f>
        <v>@ROKAutomationUK</v>
      </c>
      <c r="C1452" s="9" t="s">
        <v>416</v>
      </c>
      <c r="D1452" s="9" t="s">
        <v>2801</v>
      </c>
      <c r="E1452" s="10" t="str">
        <f>HYPERLINK("https://twitter.com/ROKAutomationUK/status/722682484270436352","722682484270436352")</f>
        <v>722682484270436352</v>
      </c>
      <c r="F1452" s="11" t="s">
        <v>418</v>
      </c>
      <c r="G1452" s="11">
        <v>3188</v>
      </c>
      <c r="H1452" s="11">
        <v>847</v>
      </c>
      <c r="I1452" s="11">
        <v>1</v>
      </c>
      <c r="J1452" s="11">
        <v>2</v>
      </c>
      <c r="K1452" s="11" t="s">
        <v>21</v>
      </c>
      <c r="L1452" s="7">
        <v>40886.893634259257</v>
      </c>
      <c r="M1452" s="12" t="s">
        <v>419</v>
      </c>
      <c r="N1452" s="12" t="s">
        <v>420</v>
      </c>
      <c r="O1452" s="10" t="str">
        <f>HYPERLINK("https://pbs.twimg.com/profile_images/502402188295946240/rN3wbNyn_normal.jpeg","View")</f>
        <v>View</v>
      </c>
      <c r="P1452" s="11"/>
    </row>
    <row r="1453" spans="1:16" ht="12.75" x14ac:dyDescent="0.35">
      <c r="A1453" s="7">
        <v>42480.527002314819</v>
      </c>
      <c r="B1453" s="8" t="str">
        <f>HYPERLINK("https://twitter.com/AltenaTCS","@AltenaTCS")</f>
        <v>@AltenaTCS</v>
      </c>
      <c r="C1453" s="9" t="s">
        <v>2178</v>
      </c>
      <c r="D1453" s="9" t="s">
        <v>2802</v>
      </c>
      <c r="E1453" s="10" t="str">
        <f>HYPERLINK("https://twitter.com/AltenaTCS/status/722683440794058752","722683440794058752")</f>
        <v>722683440794058752</v>
      </c>
      <c r="F1453" s="11" t="s">
        <v>25</v>
      </c>
      <c r="G1453" s="11">
        <v>49</v>
      </c>
      <c r="H1453" s="11">
        <v>143</v>
      </c>
      <c r="I1453" s="11">
        <v>0</v>
      </c>
      <c r="J1453" s="11">
        <v>0</v>
      </c>
      <c r="K1453" s="11" t="s">
        <v>21</v>
      </c>
      <c r="L1453" s="7">
        <v>41645.649027777778</v>
      </c>
      <c r="M1453" s="12" t="s">
        <v>2181</v>
      </c>
      <c r="N1453" s="12" t="s">
        <v>2182</v>
      </c>
      <c r="O1453" s="10" t="str">
        <f>HYPERLINK("https://pbs.twimg.com/profile_images/709648582048157696/BnZ5RzQA_normal.jpg","View")</f>
        <v>View</v>
      </c>
      <c r="P1453" s="11"/>
    </row>
    <row r="1454" spans="1:16" ht="12.75" x14ac:dyDescent="0.35">
      <c r="A1454" s="7">
        <v>42480.527291666665</v>
      </c>
      <c r="B1454" s="8" t="str">
        <f>HYPERLINK("https://twitter.com/LReehten","@LReehten")</f>
        <v>@LReehten</v>
      </c>
      <c r="C1454" s="9" t="s">
        <v>1998</v>
      </c>
      <c r="D1454" s="9" t="s">
        <v>2268</v>
      </c>
      <c r="E1454" s="10" t="str">
        <f>HYPERLINK("https://twitter.com/LReehten/status/722683543437078528","722683543437078528")</f>
        <v>722683543437078528</v>
      </c>
      <c r="F1454" s="11" t="s">
        <v>29</v>
      </c>
      <c r="G1454" s="11">
        <v>2334</v>
      </c>
      <c r="H1454" s="11">
        <v>2836</v>
      </c>
      <c r="I1454" s="11">
        <v>4</v>
      </c>
      <c r="J1454" s="11">
        <v>0</v>
      </c>
      <c r="K1454" s="11" t="s">
        <v>21</v>
      </c>
      <c r="L1454" s="7">
        <v>41618.817071759258</v>
      </c>
      <c r="M1454" s="12"/>
      <c r="N1454" s="12" t="s">
        <v>2000</v>
      </c>
      <c r="O1454" s="10" t="str">
        <f>HYPERLINK("https://pbs.twimg.com/profile_images/623849156159868928/BetFDR_i_normal.jpg","View")</f>
        <v>View</v>
      </c>
      <c r="P1454" s="11"/>
    </row>
    <row r="1455" spans="1:16" ht="12.75" x14ac:dyDescent="0.35">
      <c r="A1455" s="7">
        <v>42480.530115740738</v>
      </c>
      <c r="B1455" s="8" t="str">
        <f>HYPERLINK("https://twitter.com/enormgruen","@enormgruen")</f>
        <v>@enormgruen</v>
      </c>
      <c r="C1455" s="9" t="s">
        <v>2803</v>
      </c>
      <c r="D1455" s="9" t="s">
        <v>2721</v>
      </c>
      <c r="E1455" s="10" t="str">
        <f>HYPERLINK("https://twitter.com/enormgruen/status/722684566608207872","722684566608207872")</f>
        <v>722684566608207872</v>
      </c>
      <c r="F1455" s="11" t="s">
        <v>25</v>
      </c>
      <c r="G1455" s="11">
        <v>1266</v>
      </c>
      <c r="H1455" s="11">
        <v>1266</v>
      </c>
      <c r="I1455" s="11">
        <v>6</v>
      </c>
      <c r="J1455" s="11">
        <v>0</v>
      </c>
      <c r="K1455" s="11" t="s">
        <v>21</v>
      </c>
      <c r="L1455" s="7">
        <v>40494.55641203704</v>
      </c>
      <c r="M1455" s="12" t="s">
        <v>581</v>
      </c>
      <c r="N1455" s="12" t="s">
        <v>2804</v>
      </c>
      <c r="O1455" s="10" t="str">
        <f>HYPERLINK("https://pbs.twimg.com/profile_images/3314186245/f45276fa4db865a49c10f61c9208d980_normal.jpeg","View")</f>
        <v>View</v>
      </c>
      <c r="P1455" s="11"/>
    </row>
    <row r="1456" spans="1:16" ht="12.75" x14ac:dyDescent="0.35">
      <c r="A1456" s="7">
        <v>42480.530428240745</v>
      </c>
      <c r="B1456" s="8" t="str">
        <f>HYPERLINK("https://twitter.com/tuevnord","@tuevnord")</f>
        <v>@tuevnord</v>
      </c>
      <c r="C1456" s="9" t="s">
        <v>1583</v>
      </c>
      <c r="D1456" s="9" t="s">
        <v>1803</v>
      </c>
      <c r="E1456" s="10" t="str">
        <f>HYPERLINK("https://twitter.com/tuevnord/status/722684679720198145","722684679720198145")</f>
        <v>722684679720198145</v>
      </c>
      <c r="F1456" s="11" t="s">
        <v>25</v>
      </c>
      <c r="G1456" s="11">
        <v>711</v>
      </c>
      <c r="H1456" s="11">
        <v>461</v>
      </c>
      <c r="I1456" s="11">
        <v>11</v>
      </c>
      <c r="J1456" s="11">
        <v>0</v>
      </c>
      <c r="K1456" s="11" t="s">
        <v>21</v>
      </c>
      <c r="L1456" s="7">
        <v>39864.594178240739</v>
      </c>
      <c r="M1456" s="12" t="s">
        <v>1584</v>
      </c>
      <c r="N1456" s="12" t="s">
        <v>1585</v>
      </c>
      <c r="O1456" s="10" t="str">
        <f>HYPERLINK("https://pbs.twimg.com/profile_images/378800000104294821/5a742075b9441c9de8a86c75a712b0c7_normal.png","View")</f>
        <v>View</v>
      </c>
      <c r="P1456" s="11"/>
    </row>
    <row r="1457" spans="1:16" ht="12.75" x14ac:dyDescent="0.35">
      <c r="A1457" s="7">
        <v>42480.531666666662</v>
      </c>
      <c r="B1457" s="8" t="str">
        <f>HYPERLINK("https://twitter.com/LesolSA","@LesolSA")</f>
        <v>@LesolSA</v>
      </c>
      <c r="C1457" s="9" t="s">
        <v>2805</v>
      </c>
      <c r="D1457" s="9" t="s">
        <v>2702</v>
      </c>
      <c r="E1457" s="10" t="str">
        <f>HYPERLINK("https://twitter.com/LesolSA/status/722685128829485056","722685128829485056")</f>
        <v>722685128829485056</v>
      </c>
      <c r="F1457" s="11" t="s">
        <v>25</v>
      </c>
      <c r="G1457" s="11">
        <v>436</v>
      </c>
      <c r="H1457" s="11">
        <v>1254</v>
      </c>
      <c r="I1457" s="11">
        <v>4</v>
      </c>
      <c r="J1457" s="11">
        <v>0</v>
      </c>
      <c r="K1457" s="11" t="s">
        <v>21</v>
      </c>
      <c r="L1457" s="7">
        <v>41754.809247685189</v>
      </c>
      <c r="M1457" s="12" t="s">
        <v>2806</v>
      </c>
      <c r="N1457" s="12" t="s">
        <v>2807</v>
      </c>
      <c r="O1457" s="10" t="str">
        <f>HYPERLINK("https://pbs.twimg.com/profile_images/459694932437905408/94eTYt-R_normal.jpeg","View")</f>
        <v>View</v>
      </c>
      <c r="P1457" s="11"/>
    </row>
    <row r="1458" spans="1:16" ht="12.75" x14ac:dyDescent="0.35">
      <c r="A1458" s="7">
        <v>42480.534803240742</v>
      </c>
      <c r="B1458" s="8" t="str">
        <f>HYPERLINK("https://twitter.com/PASSnews","@PASSnews")</f>
        <v>@PASSnews</v>
      </c>
      <c r="C1458" s="9" t="s">
        <v>261</v>
      </c>
      <c r="D1458" s="9" t="s">
        <v>2808</v>
      </c>
      <c r="E1458" s="10" t="str">
        <f>HYPERLINK("https://twitter.com/PASSnews/status/722686265653460993","722686265653460993")</f>
        <v>722686265653460993</v>
      </c>
      <c r="F1458" s="11" t="s">
        <v>115</v>
      </c>
      <c r="G1458" s="11">
        <v>680</v>
      </c>
      <c r="H1458" s="11">
        <v>666</v>
      </c>
      <c r="I1458" s="11">
        <v>4</v>
      </c>
      <c r="J1458" s="11">
        <v>2</v>
      </c>
      <c r="K1458" s="11" t="s">
        <v>21</v>
      </c>
      <c r="L1458" s="7">
        <v>39990.109155092592</v>
      </c>
      <c r="M1458" s="12" t="s">
        <v>121</v>
      </c>
      <c r="N1458" s="12" t="s">
        <v>262</v>
      </c>
      <c r="O1458" s="10" t="str">
        <f>HYPERLINK("https://pbs.twimg.com/profile_images/378800000181509745/cc2ac55b1f8cf6de6ab7c9ea96eae6fa_normal.png","View")</f>
        <v>View</v>
      </c>
      <c r="P1458" s="11"/>
    </row>
    <row r="1459" spans="1:16" ht="12.75" x14ac:dyDescent="0.35">
      <c r="A1459" s="7">
        <v>42480.535520833335</v>
      </c>
      <c r="B1459" s="8" t="str">
        <f>HYPERLINK("https://twitter.com/INDIZbot","@INDIZbot")</f>
        <v>@INDIZbot</v>
      </c>
      <c r="C1459" s="9" t="s">
        <v>61</v>
      </c>
      <c r="D1459" s="9" t="s">
        <v>2809</v>
      </c>
      <c r="E1459" s="10" t="str">
        <f>HYPERLINK("https://twitter.com/INDIZbot/status/722686526577053696","722686526577053696")</f>
        <v>722686526577053696</v>
      </c>
      <c r="F1459" s="11" t="s">
        <v>62</v>
      </c>
      <c r="G1459" s="11">
        <v>1762</v>
      </c>
      <c r="H1459" s="11">
        <v>481</v>
      </c>
      <c r="I1459" s="11">
        <v>4</v>
      </c>
      <c r="J1459" s="11">
        <v>0</v>
      </c>
      <c r="K1459" s="11" t="s">
        <v>21</v>
      </c>
      <c r="L1459" s="7">
        <v>42267.011921296296</v>
      </c>
      <c r="M1459" s="12"/>
      <c r="N1459" s="12" t="s">
        <v>63</v>
      </c>
      <c r="O1459" s="10" t="str">
        <f>HYPERLINK("https://pbs.twimg.com/profile_images/645716711723925506/t5G0qOS6_normal.jpg","View")</f>
        <v>View</v>
      </c>
      <c r="P1459" s="11"/>
    </row>
    <row r="1460" spans="1:16" ht="12.75" x14ac:dyDescent="0.35">
      <c r="A1460" s="7">
        <v>42480.535763888889</v>
      </c>
      <c r="B1460" s="8" t="str">
        <f>HYPERLINK("https://twitter.com/DeFrEnTck","@DeFrEnTck")</f>
        <v>@DeFrEnTck</v>
      </c>
      <c r="C1460" s="9" t="s">
        <v>2810</v>
      </c>
      <c r="D1460" s="9" t="s">
        <v>2811</v>
      </c>
      <c r="E1460" s="10" t="str">
        <f>HYPERLINK("https://twitter.com/DeFrEnTck/status/722686616280686593","722686616280686593")</f>
        <v>722686616280686593</v>
      </c>
      <c r="F1460" s="11" t="s">
        <v>25</v>
      </c>
      <c r="G1460" s="11">
        <v>49</v>
      </c>
      <c r="H1460" s="11">
        <v>52</v>
      </c>
      <c r="I1460" s="11">
        <v>0</v>
      </c>
      <c r="J1460" s="11">
        <v>1</v>
      </c>
      <c r="K1460" s="11" t="s">
        <v>21</v>
      </c>
      <c r="L1460" s="7">
        <v>41193.068356481483</v>
      </c>
      <c r="M1460" s="12" t="s">
        <v>2812</v>
      </c>
      <c r="N1460" s="12" t="s">
        <v>2813</v>
      </c>
      <c r="O1460" s="10" t="str">
        <f>HYPERLINK("https://pbs.twimg.com/profile_images/2702974391/60b31d0c74e75deaec394e26d67e7fe5_normal.jpeg","View")</f>
        <v>View</v>
      </c>
      <c r="P1460" s="11"/>
    </row>
    <row r="1461" spans="1:16" ht="12.75" x14ac:dyDescent="0.35">
      <c r="A1461" s="7">
        <v>42480.536319444444</v>
      </c>
      <c r="B1461" s="8" t="str">
        <f>HYPERLINK("https://twitter.com/HECGmbH","@HECGmbH")</f>
        <v>@HECGmbH</v>
      </c>
      <c r="C1461" s="9" t="s">
        <v>2814</v>
      </c>
      <c r="D1461" s="9" t="s">
        <v>2743</v>
      </c>
      <c r="E1461" s="10" t="str">
        <f>HYPERLINK("https://twitter.com/HECGmbH/status/722686814767726592","722686814767726592")</f>
        <v>722686814767726592</v>
      </c>
      <c r="F1461" s="11" t="s">
        <v>31</v>
      </c>
      <c r="G1461" s="11">
        <v>54</v>
      </c>
      <c r="H1461" s="11">
        <v>15</v>
      </c>
      <c r="I1461" s="11">
        <v>2</v>
      </c>
      <c r="J1461" s="11">
        <v>0</v>
      </c>
      <c r="K1461" s="11" t="s">
        <v>21</v>
      </c>
      <c r="L1461" s="7">
        <v>42068.823206018518</v>
      </c>
      <c r="M1461" s="12" t="s">
        <v>2741</v>
      </c>
      <c r="N1461" s="12" t="s">
        <v>2815</v>
      </c>
      <c r="O1461" s="10" t="str">
        <f>HYPERLINK("https://pbs.twimg.com/profile_images/573489564871888896/kGBNOLsh_normal.png","View")</f>
        <v>View</v>
      </c>
      <c r="P1461" s="11"/>
    </row>
    <row r="1462" spans="1:16" ht="12.75" x14ac:dyDescent="0.35">
      <c r="A1462" s="7">
        <v>42480.536412037036</v>
      </c>
      <c r="B1462" s="8" t="str">
        <f>HYPERLINK("https://twitter.com/cmichoudpro","@cmichoudpro")</f>
        <v>@cmichoudpro</v>
      </c>
      <c r="C1462" s="9" t="s">
        <v>2816</v>
      </c>
      <c r="D1462" s="9" t="s">
        <v>2817</v>
      </c>
      <c r="E1462" s="10" t="str">
        <f>HYPERLINK("https://twitter.com/cmichoudpro/status/722686849395855362","722686849395855362")</f>
        <v>722686849395855362</v>
      </c>
      <c r="F1462" s="11" t="s">
        <v>25</v>
      </c>
      <c r="G1462" s="11">
        <v>200</v>
      </c>
      <c r="H1462" s="11">
        <v>411</v>
      </c>
      <c r="I1462" s="11">
        <v>0</v>
      </c>
      <c r="J1462" s="11">
        <v>1</v>
      </c>
      <c r="K1462" s="11" t="s">
        <v>21</v>
      </c>
      <c r="L1462" s="7">
        <v>42009.661782407406</v>
      </c>
      <c r="M1462" s="12"/>
      <c r="N1462" s="12"/>
      <c r="O1462" s="10" t="str">
        <f>HYPERLINK("https://pbs.twimg.com/profile_images/552048904053600256/eiO-AN6c_normal.jpeg","View")</f>
        <v>View</v>
      </c>
      <c r="P1462" s="11"/>
    </row>
    <row r="1463" spans="1:16" ht="12.75" x14ac:dyDescent="0.35">
      <c r="A1463" s="7">
        <v>42480.536875000005</v>
      </c>
      <c r="B1463" s="8" t="str">
        <f>HYPERLINK("https://twitter.com/bigdata_insider","@bigdata_insider")</f>
        <v>@bigdata_insider</v>
      </c>
      <c r="C1463" s="9" t="s">
        <v>2818</v>
      </c>
      <c r="D1463" s="9" t="s">
        <v>2819</v>
      </c>
      <c r="E1463" s="10" t="str">
        <f>HYPERLINK("https://twitter.com/bigdata_insider/status/722687015536472064","722687015536472064")</f>
        <v>722687015536472064</v>
      </c>
      <c r="F1463" s="11" t="s">
        <v>25</v>
      </c>
      <c r="G1463" s="11">
        <v>1231</v>
      </c>
      <c r="H1463" s="11">
        <v>1782</v>
      </c>
      <c r="I1463" s="11">
        <v>0</v>
      </c>
      <c r="J1463" s="11">
        <v>0</v>
      </c>
      <c r="K1463" s="11" t="s">
        <v>21</v>
      </c>
      <c r="L1463" s="7">
        <v>41820.673807870371</v>
      </c>
      <c r="M1463" s="12" t="s">
        <v>102</v>
      </c>
      <c r="N1463" s="12" t="s">
        <v>2820</v>
      </c>
      <c r="O1463" s="10" t="str">
        <f>HYPERLINK("https://pbs.twimg.com/profile_images/494807363572875265/EUm9CELG_normal.jpeg","View")</f>
        <v>View</v>
      </c>
      <c r="P1463" s="11"/>
    </row>
    <row r="1464" spans="1:16" ht="12.75" x14ac:dyDescent="0.35">
      <c r="A1464" s="7">
        <v>42480.539930555555</v>
      </c>
      <c r="B1464" s="8" t="str">
        <f>HYPERLINK("https://twitter.com/itsOWL_Cluster","@itsOWL_Cluster")</f>
        <v>@itsOWL_Cluster</v>
      </c>
      <c r="C1464" s="9" t="s">
        <v>2440</v>
      </c>
      <c r="D1464" s="9" t="s">
        <v>2821</v>
      </c>
      <c r="E1464" s="10" t="str">
        <f>HYPERLINK("https://twitter.com/itsOWL_Cluster/status/722688124443340801","722688124443340801")</f>
        <v>722688124443340801</v>
      </c>
      <c r="F1464" s="11" t="s">
        <v>25</v>
      </c>
      <c r="G1464" s="11">
        <v>375</v>
      </c>
      <c r="H1464" s="11">
        <v>359</v>
      </c>
      <c r="I1464" s="11">
        <v>2</v>
      </c>
      <c r="J1464" s="11">
        <v>0</v>
      </c>
      <c r="K1464" s="11" t="s">
        <v>21</v>
      </c>
      <c r="L1464" s="7">
        <v>41289.849050925928</v>
      </c>
      <c r="M1464" s="12" t="s">
        <v>2442</v>
      </c>
      <c r="N1464" s="12" t="s">
        <v>2443</v>
      </c>
      <c r="O1464" s="10" t="str">
        <f>HYPERLINK("https://pbs.twimg.com/profile_images/3542998130/5e65449daa56d18e9aab7f6535dc25fc_normal.jpeg","View")</f>
        <v>View</v>
      </c>
      <c r="P1464" s="11"/>
    </row>
    <row r="1465" spans="1:16" ht="12.75" x14ac:dyDescent="0.35">
      <c r="A1465" s="7">
        <v>42480.54105324074</v>
      </c>
      <c r="B1465" s="8" t="str">
        <f>HYPERLINK("https://twitter.com/laszloetesi","@laszloetesi")</f>
        <v>@laszloetesi</v>
      </c>
      <c r="C1465" s="9" t="s">
        <v>2822</v>
      </c>
      <c r="D1465" s="9" t="s">
        <v>2823</v>
      </c>
      <c r="E1465" s="10" t="str">
        <f>HYPERLINK("https://twitter.com/laszloetesi/status/722688532314243072","722688532314243072")</f>
        <v>722688532314243072</v>
      </c>
      <c r="F1465" s="11" t="s">
        <v>25</v>
      </c>
      <c r="G1465" s="11">
        <v>70</v>
      </c>
      <c r="H1465" s="11">
        <v>163</v>
      </c>
      <c r="I1465" s="11">
        <v>4</v>
      </c>
      <c r="J1465" s="11">
        <v>1</v>
      </c>
      <c r="K1465" s="11" t="s">
        <v>21</v>
      </c>
      <c r="L1465" s="7">
        <v>41896.106678240743</v>
      </c>
      <c r="M1465" s="12" t="s">
        <v>2824</v>
      </c>
      <c r="N1465" s="12" t="s">
        <v>2825</v>
      </c>
      <c r="O1465" s="10" t="str">
        <f>HYPERLINK("https://pbs.twimg.com/profile_images/657109140414844928/O0pxlAW0_normal.png","View")</f>
        <v>View</v>
      </c>
      <c r="P1465" s="11"/>
    </row>
    <row r="1466" spans="1:16" ht="12.75" x14ac:dyDescent="0.35">
      <c r="A1466" s="7">
        <v>42480.541932870372</v>
      </c>
      <c r="B1466" s="8" t="str">
        <f>HYPERLINK("https://twitter.com/HOHMANN_Chris","@HOHMANN_Chris")</f>
        <v>@HOHMANN_Chris</v>
      </c>
      <c r="C1466" s="9" t="s">
        <v>2826</v>
      </c>
      <c r="D1466" s="9" t="s">
        <v>2827</v>
      </c>
      <c r="E1466" s="10" t="str">
        <f>HYPERLINK("https://twitter.com/HOHMANN_Chris/status/722688848980013056","722688848980013056")</f>
        <v>722688848980013056</v>
      </c>
      <c r="F1466" s="11" t="s">
        <v>39</v>
      </c>
      <c r="G1466" s="11">
        <v>1422</v>
      </c>
      <c r="H1466" s="11">
        <v>783</v>
      </c>
      <c r="I1466" s="11">
        <v>1</v>
      </c>
      <c r="J1466" s="11">
        <v>2</v>
      </c>
      <c r="K1466" s="11" t="s">
        <v>21</v>
      </c>
      <c r="L1466" s="7">
        <v>41335.99459490741</v>
      </c>
      <c r="M1466" s="12" t="s">
        <v>45</v>
      </c>
      <c r="N1466" s="12" t="s">
        <v>2828</v>
      </c>
      <c r="O1466" s="10" t="str">
        <f>HYPERLINK("https://pbs.twimg.com/profile_images/713694636490039296/ykcgR5ct_normal.jpg","View")</f>
        <v>View</v>
      </c>
      <c r="P1466" s="11"/>
    </row>
    <row r="1467" spans="1:16" ht="12.75" x14ac:dyDescent="0.35">
      <c r="A1467" s="7">
        <v>42480.543263888889</v>
      </c>
      <c r="B1467" s="8" t="str">
        <f>HYPERLINK("https://twitter.com/INDIZbot","@INDIZbot")</f>
        <v>@INDIZbot</v>
      </c>
      <c r="C1467" s="9" t="s">
        <v>61</v>
      </c>
      <c r="D1467" s="9" t="s">
        <v>2829</v>
      </c>
      <c r="E1467" s="10" t="str">
        <f>HYPERLINK("https://twitter.com/INDIZbot/status/722689333791207424","722689333791207424")</f>
        <v>722689333791207424</v>
      </c>
      <c r="F1467" s="11" t="s">
        <v>62</v>
      </c>
      <c r="G1467" s="11">
        <v>1762</v>
      </c>
      <c r="H1467" s="11">
        <v>481</v>
      </c>
      <c r="I1467" s="11">
        <v>4</v>
      </c>
      <c r="J1467" s="11">
        <v>0</v>
      </c>
      <c r="K1467" s="11" t="s">
        <v>21</v>
      </c>
      <c r="L1467" s="7">
        <v>42267.011921296296</v>
      </c>
      <c r="M1467" s="12"/>
      <c r="N1467" s="12" t="s">
        <v>63</v>
      </c>
      <c r="O1467" s="10" t="str">
        <f>HYPERLINK("https://pbs.twimg.com/profile_images/645716711723925506/t5G0qOS6_normal.jpg","View")</f>
        <v>View</v>
      </c>
      <c r="P1467" s="11"/>
    </row>
    <row r="1468" spans="1:16" ht="12.75" x14ac:dyDescent="0.35">
      <c r="A1468" s="7">
        <v>42480.543506944443</v>
      </c>
      <c r="B1468" s="8" t="str">
        <f>HYPERLINK("https://twitter.com/genuanews","@genuanews")</f>
        <v>@genuanews</v>
      </c>
      <c r="C1468" s="9" t="s">
        <v>1843</v>
      </c>
      <c r="D1468" s="9" t="s">
        <v>2830</v>
      </c>
      <c r="E1468" s="10" t="str">
        <f>HYPERLINK("https://twitter.com/genuanews/status/722689421682876416","722689421682876416")</f>
        <v>722689421682876416</v>
      </c>
      <c r="F1468" s="11" t="s">
        <v>25</v>
      </c>
      <c r="G1468" s="11">
        <v>425</v>
      </c>
      <c r="H1468" s="11">
        <v>741</v>
      </c>
      <c r="I1468" s="11">
        <v>2</v>
      </c>
      <c r="J1468" s="11">
        <v>1</v>
      </c>
      <c r="K1468" s="11" t="s">
        <v>21</v>
      </c>
      <c r="L1468" s="7">
        <v>40732.798425925925</v>
      </c>
      <c r="M1468" s="12" t="s">
        <v>92</v>
      </c>
      <c r="N1468" s="12" t="s">
        <v>1845</v>
      </c>
      <c r="O1468" s="10" t="str">
        <f>HYPERLINK("https://pbs.twimg.com/profile_images/2576159086/x3og0hhz2d60d9embrsg_normal.jpeg","View")</f>
        <v>View</v>
      </c>
      <c r="P1468" s="11"/>
    </row>
    <row r="1469" spans="1:16" ht="12.75" x14ac:dyDescent="0.35">
      <c r="A1469" s="7">
        <v>42480.54383101852</v>
      </c>
      <c r="B1469" s="8" t="str">
        <f>HYPERLINK("https://twitter.com/guido_be","@guido_be")</f>
        <v>@guido_be</v>
      </c>
      <c r="C1469" s="9" t="s">
        <v>2831</v>
      </c>
      <c r="D1469" s="9" t="s">
        <v>2832</v>
      </c>
      <c r="E1469" s="10" t="str">
        <f>HYPERLINK("https://twitter.com/guido_be/status/722689536308940800","722689536308940800")</f>
        <v>722689536308940800</v>
      </c>
      <c r="F1469" s="11" t="s">
        <v>25</v>
      </c>
      <c r="G1469" s="11">
        <v>465</v>
      </c>
      <c r="H1469" s="11">
        <v>2061</v>
      </c>
      <c r="I1469" s="11">
        <v>0</v>
      </c>
      <c r="J1469" s="11">
        <v>0</v>
      </c>
      <c r="K1469" s="11" t="s">
        <v>21</v>
      </c>
      <c r="L1469" s="7">
        <v>40524.709918981483</v>
      </c>
      <c r="M1469" s="12" t="s">
        <v>2833</v>
      </c>
      <c r="N1469" s="12" t="s">
        <v>2834</v>
      </c>
      <c r="O1469" s="10" t="str">
        <f>HYPERLINK("https://pbs.twimg.com/profile_images/484964124443807744/0CuOxx2p_normal.jpeg","View")</f>
        <v>View</v>
      </c>
      <c r="P1469" s="11"/>
    </row>
    <row r="1470" spans="1:16" ht="12.75" x14ac:dyDescent="0.35">
      <c r="A1470" s="7">
        <v>42480.54409722222</v>
      </c>
      <c r="B1470" s="8" t="str">
        <f>HYPERLINK("https://twitter.com/ConstanzeKrehl","@ConstanzeKrehl")</f>
        <v>@ConstanzeKrehl</v>
      </c>
      <c r="C1470" s="9" t="s">
        <v>2835</v>
      </c>
      <c r="D1470" s="9" t="s">
        <v>2626</v>
      </c>
      <c r="E1470" s="10" t="str">
        <f>HYPERLINK("https://twitter.com/ConstanzeKrehl/status/722689632916389888","722689632916389888")</f>
        <v>722689632916389888</v>
      </c>
      <c r="F1470" s="11" t="s">
        <v>20</v>
      </c>
      <c r="G1470" s="11">
        <v>898</v>
      </c>
      <c r="H1470" s="11">
        <v>111</v>
      </c>
      <c r="I1470" s="11">
        <v>8</v>
      </c>
      <c r="J1470" s="11">
        <v>0</v>
      </c>
      <c r="K1470" s="11" t="s">
        <v>21</v>
      </c>
      <c r="L1470" s="7">
        <v>41703.750405092593</v>
      </c>
      <c r="M1470" s="12" t="s">
        <v>277</v>
      </c>
      <c r="N1470" s="12" t="s">
        <v>2836</v>
      </c>
      <c r="O1470" s="10" t="str">
        <f>HYPERLINK("https://pbs.twimg.com/profile_images/441190745840422914/Bq4NcGNl_normal.jpeg","View")</f>
        <v>View</v>
      </c>
      <c r="P1470" s="11"/>
    </row>
    <row r="1471" spans="1:16" ht="12.75" x14ac:dyDescent="0.35">
      <c r="A1471" s="7">
        <v>42480.544525462959</v>
      </c>
      <c r="B1471" s="8" t="str">
        <f>HYPERLINK("https://twitter.com/IccNewsKultur","@IccNewsKultur")</f>
        <v>@IccNewsKultur</v>
      </c>
      <c r="C1471" s="9" t="s">
        <v>2837</v>
      </c>
      <c r="D1471" s="9" t="s">
        <v>2838</v>
      </c>
      <c r="E1471" s="10" t="str">
        <f>HYPERLINK("https://twitter.com/IccNewsKultur/status/722689787916918784","722689787916918784")</f>
        <v>722689787916918784</v>
      </c>
      <c r="F1471" s="11" t="s">
        <v>25</v>
      </c>
      <c r="G1471" s="11">
        <v>1558</v>
      </c>
      <c r="H1471" s="11">
        <v>46</v>
      </c>
      <c r="I1471" s="11">
        <v>0</v>
      </c>
      <c r="J1471" s="11">
        <v>2</v>
      </c>
      <c r="K1471" s="11" t="s">
        <v>21</v>
      </c>
      <c r="L1471" s="7">
        <v>41365.750798611109</v>
      </c>
      <c r="M1471" s="12"/>
      <c r="N1471" s="12" t="s">
        <v>2839</v>
      </c>
      <c r="O1471" s="10" t="str">
        <f>HYPERLINK("https://pbs.twimg.com/profile_images/699190600441196544/rwgvvgML_normal.jpg","View")</f>
        <v>View</v>
      </c>
      <c r="P1471" s="11"/>
    </row>
    <row r="1472" spans="1:16" ht="12.75" x14ac:dyDescent="0.35">
      <c r="A1472" s="7">
        <v>42480.545601851853</v>
      </c>
      <c r="B1472" s="8" t="str">
        <f>HYPERLINK("https://twitter.com/tresmo360","@tresmo360")</f>
        <v>@tresmo360</v>
      </c>
      <c r="C1472" s="9" t="s">
        <v>100</v>
      </c>
      <c r="D1472" s="9" t="s">
        <v>2840</v>
      </c>
      <c r="E1472" s="10" t="str">
        <f>HYPERLINK("https://twitter.com/tresmo360/status/722690181648752640","722690181648752640")</f>
        <v>722690181648752640</v>
      </c>
      <c r="F1472" s="11" t="s">
        <v>31</v>
      </c>
      <c r="G1472" s="11">
        <v>369</v>
      </c>
      <c r="H1472" s="11">
        <v>741</v>
      </c>
      <c r="I1472" s="11">
        <v>2</v>
      </c>
      <c r="J1472" s="11">
        <v>0</v>
      </c>
      <c r="K1472" s="11" t="s">
        <v>21</v>
      </c>
      <c r="L1472" s="7">
        <v>42160.745358796295</v>
      </c>
      <c r="M1472" s="12" t="s">
        <v>102</v>
      </c>
      <c r="N1472" s="12" t="s">
        <v>103</v>
      </c>
      <c r="O1472" s="10" t="str">
        <f>HYPERLINK("https://pbs.twimg.com/profile_images/606807918776877056/jQQIX31i_normal.png","View")</f>
        <v>View</v>
      </c>
      <c r="P1472" s="11"/>
    </row>
    <row r="1473" spans="1:16" ht="12.75" x14ac:dyDescent="0.35">
      <c r="A1473" s="7">
        <v>42480.54688657407</v>
      </c>
      <c r="B1473" s="8" t="str">
        <f>HYPERLINK("https://twitter.com/Bitkom","@Bitkom")</f>
        <v>@Bitkom</v>
      </c>
      <c r="C1473" s="9" t="s">
        <v>216</v>
      </c>
      <c r="D1473" s="9" t="s">
        <v>2841</v>
      </c>
      <c r="E1473" s="10" t="str">
        <f>HYPERLINK("https://twitter.com/Bitkom/status/722690643475197954","722690643475197954")</f>
        <v>722690643475197954</v>
      </c>
      <c r="F1473" s="11" t="s">
        <v>25</v>
      </c>
      <c r="G1473" s="11">
        <v>21088</v>
      </c>
      <c r="H1473" s="11">
        <v>3258</v>
      </c>
      <c r="I1473" s="11">
        <v>5</v>
      </c>
      <c r="J1473" s="11">
        <v>5</v>
      </c>
      <c r="K1473" s="11" t="s">
        <v>21</v>
      </c>
      <c r="L1473" s="7">
        <v>39757.913229166668</v>
      </c>
      <c r="M1473" s="12" t="s">
        <v>218</v>
      </c>
      <c r="N1473" s="12" t="s">
        <v>219</v>
      </c>
      <c r="O1473" s="10" t="str">
        <f>HYPERLINK("https://pbs.twimg.com/profile_images/615797525040136192/CKF9-v_o_normal.jpg","View")</f>
        <v>View</v>
      </c>
      <c r="P1473" s="11"/>
    </row>
    <row r="1474" spans="1:16" ht="12.75" x14ac:dyDescent="0.35">
      <c r="A1474" s="7">
        <v>42480.550185185188</v>
      </c>
      <c r="B1474" s="8" t="str">
        <f>HYPERLINK("https://twitter.com/equeoGmbH","@equeoGmbH")</f>
        <v>@equeoGmbH</v>
      </c>
      <c r="C1474" s="9" t="s">
        <v>2842</v>
      </c>
      <c r="D1474" s="9" t="s">
        <v>2829</v>
      </c>
      <c r="E1474" s="10" t="str">
        <f>HYPERLINK("https://twitter.com/equeoGmbH/status/722691839527096320","722691839527096320")</f>
        <v>722691839527096320</v>
      </c>
      <c r="F1474" s="11" t="s">
        <v>25</v>
      </c>
      <c r="G1474" s="11">
        <v>227</v>
      </c>
      <c r="H1474" s="11">
        <v>353</v>
      </c>
      <c r="I1474" s="11">
        <v>4</v>
      </c>
      <c r="J1474" s="11">
        <v>0</v>
      </c>
      <c r="K1474" s="11" t="s">
        <v>21</v>
      </c>
      <c r="L1474" s="7">
        <v>42024.736875000002</v>
      </c>
      <c r="M1474" s="12" t="s">
        <v>218</v>
      </c>
      <c r="N1474" s="12" t="s">
        <v>2843</v>
      </c>
      <c r="O1474" s="10" t="str">
        <f>HYPERLINK("https://pbs.twimg.com/profile_images/557511432153993216/NBgQ5LsI_normal.jpeg","View")</f>
        <v>View</v>
      </c>
      <c r="P1474" s="11"/>
    </row>
    <row r="1475" spans="1:16" ht="12.75" x14ac:dyDescent="0.35">
      <c r="A1475" s="7">
        <v>42480.551701388889</v>
      </c>
      <c r="B1475" s="8" t="str">
        <f t="shared" ref="B1475:B1476" si="168">HYPERLINK("https://twitter.com/HTxAlive","@HTxAlive")</f>
        <v>@HTxAlive</v>
      </c>
      <c r="C1475" s="9" t="s">
        <v>2844</v>
      </c>
      <c r="D1475" s="9" t="s">
        <v>2845</v>
      </c>
      <c r="E1475" s="10" t="str">
        <f>HYPERLINK("https://twitter.com/HTxAlive/status/722692391401078785","722692391401078785")</f>
        <v>722692391401078785</v>
      </c>
      <c r="F1475" s="11" t="s">
        <v>20</v>
      </c>
      <c r="G1475" s="11">
        <v>42</v>
      </c>
      <c r="H1475" s="11">
        <v>5</v>
      </c>
      <c r="I1475" s="11">
        <v>1</v>
      </c>
      <c r="J1475" s="11">
        <v>0</v>
      </c>
      <c r="K1475" s="11" t="s">
        <v>21</v>
      </c>
      <c r="L1475" s="7">
        <v>42432.556180555555</v>
      </c>
      <c r="M1475" s="12" t="s">
        <v>2846</v>
      </c>
      <c r="N1475" s="12" t="s">
        <v>2847</v>
      </c>
      <c r="O1475" s="10" t="str">
        <f t="shared" ref="O1475:O1476" si="169">HYPERLINK("https://pbs.twimg.com/profile_images/705302839937990656/1KfW5-Ht_normal.jpg","View")</f>
        <v>View</v>
      </c>
      <c r="P1475" s="11"/>
    </row>
    <row r="1476" spans="1:16" ht="12.75" x14ac:dyDescent="0.35">
      <c r="A1476" s="7">
        <v>42480.55333333333</v>
      </c>
      <c r="B1476" s="8" t="str">
        <f t="shared" si="168"/>
        <v>@HTxAlive</v>
      </c>
      <c r="C1476" s="9" t="s">
        <v>2844</v>
      </c>
      <c r="D1476" s="9" t="s">
        <v>2848</v>
      </c>
      <c r="E1476" s="10" t="str">
        <f>HYPERLINK("https://twitter.com/HTxAlive/status/722692980658827264","722692980658827264")</f>
        <v>722692980658827264</v>
      </c>
      <c r="F1476" s="11" t="s">
        <v>20</v>
      </c>
      <c r="G1476" s="11">
        <v>42</v>
      </c>
      <c r="H1476" s="11">
        <v>5</v>
      </c>
      <c r="I1476" s="11">
        <v>0</v>
      </c>
      <c r="J1476" s="11">
        <v>0</v>
      </c>
      <c r="K1476" s="11" t="s">
        <v>21</v>
      </c>
      <c r="L1476" s="7">
        <v>42432.556180555555</v>
      </c>
      <c r="M1476" s="12" t="s">
        <v>2846</v>
      </c>
      <c r="N1476" s="12" t="s">
        <v>2847</v>
      </c>
      <c r="O1476" s="10" t="str">
        <f t="shared" si="169"/>
        <v>View</v>
      </c>
      <c r="P1476" s="10" t="str">
        <f>HYPERLINK("http://ctrlq.org/maps/address/#52.5057218,13.2747609","Map")</f>
        <v>Map</v>
      </c>
    </row>
    <row r="1477" spans="1:16" ht="12.75" x14ac:dyDescent="0.35">
      <c r="A1477" s="7">
        <v>42480.556180555555</v>
      </c>
      <c r="B1477" s="8" t="str">
        <f>HYPERLINK("https://twitter.com/charlotte_hager","@charlotte_hager")</f>
        <v>@charlotte_hager</v>
      </c>
      <c r="C1477" s="9" t="s">
        <v>2849</v>
      </c>
      <c r="D1477" s="9" t="s">
        <v>2850</v>
      </c>
      <c r="E1477" s="10" t="str">
        <f>HYPERLINK("https://twitter.com/charlotte_hager/status/722694014286303232","722694014286303232")</f>
        <v>722694014286303232</v>
      </c>
      <c r="F1477" s="11" t="s">
        <v>31</v>
      </c>
      <c r="G1477" s="11">
        <v>112</v>
      </c>
      <c r="H1477" s="11">
        <v>140</v>
      </c>
      <c r="I1477" s="11">
        <v>0</v>
      </c>
      <c r="J1477" s="11">
        <v>0</v>
      </c>
      <c r="K1477" s="11" t="s">
        <v>21</v>
      </c>
      <c r="L1477" s="7">
        <v>41689.609166666669</v>
      </c>
      <c r="M1477" s="12" t="s">
        <v>2851</v>
      </c>
      <c r="N1477" s="12" t="s">
        <v>2852</v>
      </c>
      <c r="O1477" s="10" t="str">
        <f>HYPERLINK("https://pbs.twimg.com/profile_images/653152998374383616/eoBtv3l7_normal.jpg","View")</f>
        <v>View</v>
      </c>
      <c r="P1477" s="11"/>
    </row>
    <row r="1478" spans="1:16" ht="12.75" x14ac:dyDescent="0.35">
      <c r="A1478" s="7">
        <v>42480.558136574073</v>
      </c>
      <c r="B1478" s="8" t="str">
        <f>HYPERLINK("https://twitter.com/TLutzky","@TLutzky")</f>
        <v>@TLutzky</v>
      </c>
      <c r="C1478" s="9" t="s">
        <v>2853</v>
      </c>
      <c r="D1478" s="9" t="s">
        <v>2800</v>
      </c>
      <c r="E1478" s="10" t="str">
        <f>HYPERLINK("https://twitter.com/TLutzky/status/722694721110478849","722694721110478849")</f>
        <v>722694721110478849</v>
      </c>
      <c r="F1478" s="11" t="s">
        <v>31</v>
      </c>
      <c r="G1478" s="11">
        <v>25</v>
      </c>
      <c r="H1478" s="11">
        <v>75</v>
      </c>
      <c r="I1478" s="11">
        <v>4</v>
      </c>
      <c r="J1478" s="11">
        <v>0</v>
      </c>
      <c r="K1478" s="11" t="s">
        <v>21</v>
      </c>
      <c r="L1478" s="7">
        <v>41942.008715277778</v>
      </c>
      <c r="M1478" s="12" t="s">
        <v>406</v>
      </c>
      <c r="N1478" s="12" t="s">
        <v>2854</v>
      </c>
      <c r="O1478" s="10" t="str">
        <f>HYPERLINK("https://pbs.twimg.com/profile_images/639760528215285760/XWLagToM_normal.jpg","View")</f>
        <v>View</v>
      </c>
      <c r="P1478" s="11"/>
    </row>
    <row r="1479" spans="1:16" ht="12.75" x14ac:dyDescent="0.35">
      <c r="A1479" s="7">
        <v>42480.562175925923</v>
      </c>
      <c r="B1479" s="8" t="str">
        <f>HYPERLINK("https://twitter.com/hjvsch","@hjvsch")</f>
        <v>@hjvsch</v>
      </c>
      <c r="C1479" s="9" t="s">
        <v>480</v>
      </c>
      <c r="D1479" s="9" t="s">
        <v>2809</v>
      </c>
      <c r="E1479" s="10" t="str">
        <f>HYPERLINK("https://twitter.com/hjvsch/status/722696188303175680","722696188303175680")</f>
        <v>722696188303175680</v>
      </c>
      <c r="F1479" s="11" t="s">
        <v>31</v>
      </c>
      <c r="G1479" s="11">
        <v>903</v>
      </c>
      <c r="H1479" s="11">
        <v>1360</v>
      </c>
      <c r="I1479" s="11">
        <v>4</v>
      </c>
      <c r="J1479" s="11">
        <v>0</v>
      </c>
      <c r="K1479" s="11" t="s">
        <v>21</v>
      </c>
      <c r="L1479" s="7">
        <v>42430.610173611116</v>
      </c>
      <c r="M1479" s="12" t="s">
        <v>481</v>
      </c>
      <c r="N1479" s="12" t="s">
        <v>482</v>
      </c>
      <c r="O1479" s="10" t="str">
        <f>HYPERLINK("https://pbs.twimg.com/profile_images/704596570717683712/S63wpVif_normal.jpg","View")</f>
        <v>View</v>
      </c>
      <c r="P1479" s="11"/>
    </row>
    <row r="1480" spans="1:16" ht="12.75" x14ac:dyDescent="0.35">
      <c r="A1480" s="7">
        <v>42480.562743055554</v>
      </c>
      <c r="B1480" s="8" t="str">
        <f>HYPERLINK("https://twitter.com/automatisierer","@automatisierer")</f>
        <v>@automatisierer</v>
      </c>
      <c r="C1480" s="9" t="s">
        <v>2855</v>
      </c>
      <c r="D1480" s="9" t="s">
        <v>2856</v>
      </c>
      <c r="E1480" s="10" t="str">
        <f>HYPERLINK("https://twitter.com/automatisierer/status/722696390024032256","722696390024032256")</f>
        <v>722696390024032256</v>
      </c>
      <c r="F1480" s="11" t="s">
        <v>29</v>
      </c>
      <c r="G1480" s="11">
        <v>534</v>
      </c>
      <c r="H1480" s="11">
        <v>130</v>
      </c>
      <c r="I1480" s="11">
        <v>2</v>
      </c>
      <c r="J1480" s="11">
        <v>0</v>
      </c>
      <c r="K1480" s="11" t="s">
        <v>21</v>
      </c>
      <c r="L1480" s="7">
        <v>39983.487222222218</v>
      </c>
      <c r="M1480" s="12" t="s">
        <v>2857</v>
      </c>
      <c r="N1480" s="12"/>
      <c r="O1480" s="10" t="str">
        <f>HYPERLINK("https://pbs.twimg.com/profile_images/378989830/Reinhard-Portrait_normal.jpg","View")</f>
        <v>View</v>
      </c>
      <c r="P1480" s="11"/>
    </row>
    <row r="1481" spans="1:16" ht="12.75" x14ac:dyDescent="0.35">
      <c r="A1481" s="7">
        <v>42480.562800925924</v>
      </c>
      <c r="B1481" s="8" t="str">
        <f>HYPERLINK("https://twitter.com/genuanews","@genuanews")</f>
        <v>@genuanews</v>
      </c>
      <c r="C1481" s="9" t="s">
        <v>1843</v>
      </c>
      <c r="D1481" s="9" t="s">
        <v>2858</v>
      </c>
      <c r="E1481" s="10" t="str">
        <f>HYPERLINK("https://twitter.com/genuanews/status/722696413994426369","722696413994426369")</f>
        <v>722696413994426369</v>
      </c>
      <c r="F1481" s="11" t="s">
        <v>25</v>
      </c>
      <c r="G1481" s="11">
        <v>425</v>
      </c>
      <c r="H1481" s="11">
        <v>741</v>
      </c>
      <c r="I1481" s="11">
        <v>0</v>
      </c>
      <c r="J1481" s="11">
        <v>1</v>
      </c>
      <c r="K1481" s="11" t="s">
        <v>21</v>
      </c>
      <c r="L1481" s="7">
        <v>40732.798425925925</v>
      </c>
      <c r="M1481" s="12" t="s">
        <v>92</v>
      </c>
      <c r="N1481" s="12" t="s">
        <v>1845</v>
      </c>
      <c r="O1481" s="10" t="str">
        <f>HYPERLINK("https://pbs.twimg.com/profile_images/2576159086/x3og0hhz2d60d9embrsg_normal.jpeg","View")</f>
        <v>View</v>
      </c>
      <c r="P1481" s="11"/>
    </row>
    <row r="1482" spans="1:16" ht="12.75" x14ac:dyDescent="0.35">
      <c r="A1482" s="7">
        <v>42480.56486111111</v>
      </c>
      <c r="B1482" s="8" t="str">
        <f>HYPERLINK("https://twitter.com/Alex_Stocker","@Alex_Stocker")</f>
        <v>@Alex_Stocker</v>
      </c>
      <c r="C1482" s="9" t="s">
        <v>2859</v>
      </c>
      <c r="D1482" s="9" t="s">
        <v>2860</v>
      </c>
      <c r="E1482" s="10" t="str">
        <f>HYPERLINK("https://twitter.com/Alex_Stocker/status/722697160836440064","722697160836440064")</f>
        <v>722697160836440064</v>
      </c>
      <c r="F1482" s="11" t="s">
        <v>1997</v>
      </c>
      <c r="G1482" s="11">
        <v>2406</v>
      </c>
      <c r="H1482" s="11">
        <v>1809</v>
      </c>
      <c r="I1482" s="11">
        <v>3</v>
      </c>
      <c r="J1482" s="11">
        <v>3</v>
      </c>
      <c r="K1482" s="11" t="s">
        <v>21</v>
      </c>
      <c r="L1482" s="7">
        <v>39958.707442129627</v>
      </c>
      <c r="M1482" s="12" t="s">
        <v>2861</v>
      </c>
      <c r="N1482" s="12" t="s">
        <v>2862</v>
      </c>
      <c r="O1482" s="10" t="str">
        <f>HYPERLINK("https://pbs.twimg.com/profile_images/568238852/astocker_normal.png","View")</f>
        <v>View</v>
      </c>
      <c r="P1482" s="11"/>
    </row>
    <row r="1483" spans="1:16" ht="12.75" x14ac:dyDescent="0.35">
      <c r="A1483" s="7">
        <v>42480.56549768518</v>
      </c>
      <c r="B1483" s="8" t="str">
        <f>HYPERLINK("https://twitter.com/ANIS_RO","@ANIS_RO")</f>
        <v>@ANIS_RO</v>
      </c>
      <c r="C1483" s="9" t="s">
        <v>2863</v>
      </c>
      <c r="D1483" s="9" t="s">
        <v>2325</v>
      </c>
      <c r="E1483" s="10" t="str">
        <f>HYPERLINK("https://twitter.com/ANIS_RO/status/722697391137243138","722697391137243138")</f>
        <v>722697391137243138</v>
      </c>
      <c r="F1483" s="11" t="s">
        <v>20</v>
      </c>
      <c r="G1483" s="11">
        <v>810</v>
      </c>
      <c r="H1483" s="11">
        <v>213</v>
      </c>
      <c r="I1483" s="11">
        <v>14</v>
      </c>
      <c r="J1483" s="11">
        <v>0</v>
      </c>
      <c r="K1483" s="11" t="s">
        <v>21</v>
      </c>
      <c r="L1483" s="7">
        <v>39759.961793981478</v>
      </c>
      <c r="M1483" s="12" t="s">
        <v>2864</v>
      </c>
      <c r="N1483" s="12" t="s">
        <v>2865</v>
      </c>
      <c r="O1483" s="10" t="str">
        <f>HYPERLINK("https://pbs.twimg.com/profile_images/378800000613624199/4e7df2f6ed26025ae62df3645a2dc6e0_normal.png","View")</f>
        <v>View</v>
      </c>
      <c r="P1483" s="11"/>
    </row>
    <row r="1484" spans="1:16" ht="12.75" x14ac:dyDescent="0.35">
      <c r="A1484" s="7">
        <v>42480.565902777773</v>
      </c>
      <c r="B1484" s="8" t="str">
        <f>HYPERLINK("https://twitter.com/eacorg","@eacorg")</f>
        <v>@eacorg</v>
      </c>
      <c r="C1484" s="9" t="s">
        <v>2866</v>
      </c>
      <c r="D1484" s="9" t="s">
        <v>2867</v>
      </c>
      <c r="E1484" s="10" t="str">
        <f>HYPERLINK("https://twitter.com/eacorg/status/722697536234983424","722697536234983424")</f>
        <v>722697536234983424</v>
      </c>
      <c r="F1484" s="11" t="s">
        <v>31</v>
      </c>
      <c r="G1484" s="11">
        <v>415</v>
      </c>
      <c r="H1484" s="11">
        <v>256</v>
      </c>
      <c r="I1484" s="11">
        <v>3</v>
      </c>
      <c r="J1484" s="11">
        <v>0</v>
      </c>
      <c r="K1484" s="11" t="s">
        <v>21</v>
      </c>
      <c r="L1484" s="7">
        <v>40200.647673611107</v>
      </c>
      <c r="M1484" s="12" t="s">
        <v>236</v>
      </c>
      <c r="N1484" s="12" t="s">
        <v>2868</v>
      </c>
      <c r="O1484" s="10" t="str">
        <f>HYPERLINK("https://pbs.twimg.com/profile_images/707826907/Uwe-Weber-2010-redux_normal.jpg","View")</f>
        <v>View</v>
      </c>
      <c r="P1484" s="11"/>
    </row>
    <row r="1485" spans="1:16" ht="12.75" x14ac:dyDescent="0.35">
      <c r="A1485" s="7">
        <v>42480.566018518519</v>
      </c>
      <c r="B1485" s="8" t="str">
        <f>HYPERLINK("https://twitter.com/Standards_More","@Standards_More")</f>
        <v>@Standards_More</v>
      </c>
      <c r="C1485" s="9" t="s">
        <v>2869</v>
      </c>
      <c r="D1485" s="9" t="s">
        <v>2870</v>
      </c>
      <c r="E1485" s="10" t="str">
        <f>HYPERLINK("https://twitter.com/Standards_More/status/722697578354196480","722697578354196480")</f>
        <v>722697578354196480</v>
      </c>
      <c r="F1485" s="11" t="s">
        <v>25</v>
      </c>
      <c r="G1485" s="11">
        <v>232</v>
      </c>
      <c r="H1485" s="11">
        <v>420</v>
      </c>
      <c r="I1485" s="11">
        <v>3</v>
      </c>
      <c r="J1485" s="11">
        <v>0</v>
      </c>
      <c r="K1485" s="11" t="s">
        <v>21</v>
      </c>
      <c r="L1485" s="7">
        <v>40952.811423611114</v>
      </c>
      <c r="M1485" s="12" t="s">
        <v>2871</v>
      </c>
      <c r="N1485" s="12" t="s">
        <v>2872</v>
      </c>
      <c r="O1485" s="10" t="str">
        <f>HYPERLINK("https://pbs.twimg.com/profile_images/1824628700/SAM-Logo_2007_post_normal.jpg","View")</f>
        <v>View</v>
      </c>
      <c r="P1485" s="11"/>
    </row>
    <row r="1486" spans="1:16" ht="12.75" x14ac:dyDescent="0.35">
      <c r="A1486" s="7">
        <v>42480.56649305555</v>
      </c>
      <c r="B1486" s="8" t="str">
        <f t="shared" ref="B1486:B1488" si="170">HYPERLINK("https://twitter.com/Tiba_Schweiz","@Tiba_Schweiz")</f>
        <v>@Tiba_Schweiz</v>
      </c>
      <c r="C1486" s="9" t="s">
        <v>1378</v>
      </c>
      <c r="D1486" s="9" t="s">
        <v>2856</v>
      </c>
      <c r="E1486" s="10" t="str">
        <f>HYPERLINK("https://twitter.com/Tiba_Schweiz/status/722697751167963136","722697751167963136")</f>
        <v>722697751167963136</v>
      </c>
      <c r="F1486" s="11" t="s">
        <v>39</v>
      </c>
      <c r="G1486" s="11">
        <v>68</v>
      </c>
      <c r="H1486" s="11">
        <v>82</v>
      </c>
      <c r="I1486" s="11">
        <v>2</v>
      </c>
      <c r="J1486" s="11">
        <v>0</v>
      </c>
      <c r="K1486" s="11" t="s">
        <v>21</v>
      </c>
      <c r="L1486" s="7">
        <v>42432.471689814818</v>
      </c>
      <c r="M1486" s="12" t="s">
        <v>1379</v>
      </c>
      <c r="N1486" s="12" t="s">
        <v>1380</v>
      </c>
      <c r="O1486" s="10" t="str">
        <f t="shared" ref="O1486:O1488" si="171">HYPERLINK("https://pbs.twimg.com/profile_images/705270537073852416/CZoAp0su_normal.jpg","View")</f>
        <v>View</v>
      </c>
      <c r="P1486" s="11"/>
    </row>
    <row r="1487" spans="1:16" ht="12.75" x14ac:dyDescent="0.35">
      <c r="A1487" s="7">
        <v>42480.566516203704</v>
      </c>
      <c r="B1487" s="8" t="str">
        <f t="shared" si="170"/>
        <v>@Tiba_Schweiz</v>
      </c>
      <c r="C1487" s="9" t="s">
        <v>1378</v>
      </c>
      <c r="D1487" s="9" t="s">
        <v>2809</v>
      </c>
      <c r="E1487" s="10" t="str">
        <f>HYPERLINK("https://twitter.com/Tiba_Schweiz/status/722697758713507841","722697758713507841")</f>
        <v>722697758713507841</v>
      </c>
      <c r="F1487" s="11" t="s">
        <v>39</v>
      </c>
      <c r="G1487" s="11">
        <v>68</v>
      </c>
      <c r="H1487" s="11">
        <v>82</v>
      </c>
      <c r="I1487" s="11">
        <v>4</v>
      </c>
      <c r="J1487" s="11">
        <v>0</v>
      </c>
      <c r="K1487" s="11" t="s">
        <v>21</v>
      </c>
      <c r="L1487" s="7">
        <v>42432.471689814818</v>
      </c>
      <c r="M1487" s="12" t="s">
        <v>1379</v>
      </c>
      <c r="N1487" s="12" t="s">
        <v>1380</v>
      </c>
      <c r="O1487" s="10" t="str">
        <f t="shared" si="171"/>
        <v>View</v>
      </c>
      <c r="P1487" s="11"/>
    </row>
    <row r="1488" spans="1:16" ht="12.75" x14ac:dyDescent="0.35">
      <c r="A1488" s="7">
        <v>42480.566770833335</v>
      </c>
      <c r="B1488" s="8" t="str">
        <f t="shared" si="170"/>
        <v>@Tiba_Schweiz</v>
      </c>
      <c r="C1488" s="9" t="s">
        <v>1378</v>
      </c>
      <c r="D1488" s="9" t="s">
        <v>2626</v>
      </c>
      <c r="E1488" s="10" t="str">
        <f>HYPERLINK("https://twitter.com/Tiba_Schweiz/status/722697853253132289","722697853253132289")</f>
        <v>722697853253132289</v>
      </c>
      <c r="F1488" s="11" t="s">
        <v>39</v>
      </c>
      <c r="G1488" s="11">
        <v>68</v>
      </c>
      <c r="H1488" s="11">
        <v>82</v>
      </c>
      <c r="I1488" s="11">
        <v>8</v>
      </c>
      <c r="J1488" s="11">
        <v>0</v>
      </c>
      <c r="K1488" s="11" t="s">
        <v>21</v>
      </c>
      <c r="L1488" s="7">
        <v>42432.471689814818</v>
      </c>
      <c r="M1488" s="12" t="s">
        <v>1379</v>
      </c>
      <c r="N1488" s="12" t="s">
        <v>1380</v>
      </c>
      <c r="O1488" s="10" t="str">
        <f t="shared" si="171"/>
        <v>View</v>
      </c>
      <c r="P1488" s="11"/>
    </row>
    <row r="1489" spans="1:16" ht="12.75" x14ac:dyDescent="0.35">
      <c r="A1489" s="7">
        <v>42480.568333333329</v>
      </c>
      <c r="B1489" s="8" t="str">
        <f>HYPERLINK("https://twitter.com/Westfalenlob","@Westfalenlob")</f>
        <v>@Westfalenlob</v>
      </c>
      <c r="C1489" s="9" t="s">
        <v>2873</v>
      </c>
      <c r="D1489" s="9" t="s">
        <v>2874</v>
      </c>
      <c r="E1489" s="10" t="str">
        <f>HYPERLINK("https://twitter.com/Westfalenlob/status/722698417357635584","722698417357635584")</f>
        <v>722698417357635584</v>
      </c>
      <c r="F1489" s="11" t="s">
        <v>25</v>
      </c>
      <c r="G1489" s="11">
        <v>1356</v>
      </c>
      <c r="H1489" s="11">
        <v>1045</v>
      </c>
      <c r="I1489" s="11">
        <v>2</v>
      </c>
      <c r="J1489" s="11">
        <v>0</v>
      </c>
      <c r="K1489" s="11" t="s">
        <v>21</v>
      </c>
      <c r="L1489" s="7">
        <v>40681.639884259261</v>
      </c>
      <c r="M1489" s="12" t="s">
        <v>2875</v>
      </c>
      <c r="N1489" s="12" t="s">
        <v>2876</v>
      </c>
      <c r="O1489" s="10" t="str">
        <f>HYPERLINK("https://pbs.twimg.com/profile_images/1363489885/WestfalenUndRoss_normal.jpg","View")</f>
        <v>View</v>
      </c>
      <c r="P1489" s="11"/>
    </row>
    <row r="1490" spans="1:16" ht="12.75" x14ac:dyDescent="0.35">
      <c r="A1490" s="7">
        <v>42480.568819444445</v>
      </c>
      <c r="B1490" s="8" t="str">
        <f>HYPERLINK("https://twitter.com/Restaurator_Tom","@Restaurator_Tom")</f>
        <v>@Restaurator_Tom</v>
      </c>
      <c r="C1490" s="9" t="s">
        <v>2877</v>
      </c>
      <c r="D1490" s="9" t="s">
        <v>1904</v>
      </c>
      <c r="E1490" s="10" t="str">
        <f>HYPERLINK("https://twitter.com/Restaurator_Tom/status/722698593656782848","722698593656782848")</f>
        <v>722698593656782848</v>
      </c>
      <c r="F1490" s="10" t="s">
        <v>2878</v>
      </c>
      <c r="G1490" s="11">
        <v>184</v>
      </c>
      <c r="H1490" s="11">
        <v>195</v>
      </c>
      <c r="I1490" s="11">
        <v>18</v>
      </c>
      <c r="J1490" s="11">
        <v>0</v>
      </c>
      <c r="K1490" s="11" t="s">
        <v>21</v>
      </c>
      <c r="L1490" s="7">
        <v>42312.485532407409</v>
      </c>
      <c r="M1490" s="12" t="s">
        <v>2879</v>
      </c>
      <c r="N1490" s="12" t="s">
        <v>2880</v>
      </c>
      <c r="O1490" s="10" t="str">
        <f>HYPERLINK("https://pbs.twimg.com/profile_images/705317885430751232/jLPYL-U3_normal.jpg","View")</f>
        <v>View</v>
      </c>
      <c r="P1490" s="11"/>
    </row>
    <row r="1491" spans="1:16" ht="12.75" x14ac:dyDescent="0.35">
      <c r="A1491" s="7">
        <v>42480.570856481485</v>
      </c>
      <c r="B1491" s="8" t="str">
        <f>HYPERLINK("https://twitter.com/thilodotzel","@thilodotzel")</f>
        <v>@thilodotzel</v>
      </c>
      <c r="C1491" s="9" t="s">
        <v>2881</v>
      </c>
      <c r="D1491" s="9" t="s">
        <v>2882</v>
      </c>
      <c r="E1491" s="10" t="str">
        <f>HYPERLINK("https://twitter.com/thilodotzel/status/722699333284589568","722699333284589568")</f>
        <v>722699333284589568</v>
      </c>
      <c r="F1491" s="10" t="s">
        <v>1435</v>
      </c>
      <c r="G1491" s="11">
        <v>800</v>
      </c>
      <c r="H1491" s="11">
        <v>2237</v>
      </c>
      <c r="I1491" s="11">
        <v>1</v>
      </c>
      <c r="J1491" s="11">
        <v>0</v>
      </c>
      <c r="K1491" s="11" t="s">
        <v>21</v>
      </c>
      <c r="L1491" s="7">
        <v>39972.785752314812</v>
      </c>
      <c r="M1491" s="12" t="s">
        <v>121</v>
      </c>
      <c r="N1491" s="12" t="s">
        <v>2883</v>
      </c>
      <c r="O1491" s="10" t="str">
        <f>HYPERLINK("https://pbs.twimg.com/profile_images/717293785496100864/tZBjA_R8_normal.jpg","View")</f>
        <v>View</v>
      </c>
      <c r="P1491" s="11"/>
    </row>
    <row r="1492" spans="1:16" ht="12.75" x14ac:dyDescent="0.35">
      <c r="A1492" s="7">
        <v>42480.571111111116</v>
      </c>
      <c r="B1492" s="8" t="str">
        <f>HYPERLINK("https://twitter.com/FHNWTechnik","@FHNWTechnik")</f>
        <v>@FHNWTechnik</v>
      </c>
      <c r="C1492" s="9" t="s">
        <v>2884</v>
      </c>
      <c r="D1492" s="9" t="s">
        <v>2829</v>
      </c>
      <c r="E1492" s="10" t="str">
        <f>HYPERLINK("https://twitter.com/FHNWTechnik/status/722699424099647488","722699424099647488")</f>
        <v>722699424099647488</v>
      </c>
      <c r="F1492" s="11" t="s">
        <v>25</v>
      </c>
      <c r="G1492" s="11">
        <v>233</v>
      </c>
      <c r="H1492" s="11">
        <v>148</v>
      </c>
      <c r="I1492" s="11">
        <v>4</v>
      </c>
      <c r="J1492" s="11">
        <v>0</v>
      </c>
      <c r="K1492" s="11" t="s">
        <v>21</v>
      </c>
      <c r="L1492" s="7">
        <v>42313.568645833337</v>
      </c>
      <c r="M1492" s="12" t="s">
        <v>2885</v>
      </c>
      <c r="N1492" s="12" t="s">
        <v>2886</v>
      </c>
      <c r="O1492" s="10" t="str">
        <f>HYPERLINK("https://pbs.twimg.com/profile_images/662199310969360384/A66r-VNa_normal.jpg","View")</f>
        <v>View</v>
      </c>
      <c r="P1492" s="11"/>
    </row>
    <row r="1493" spans="1:16" ht="12.75" x14ac:dyDescent="0.35">
      <c r="A1493" s="7">
        <v>42480.571250000001</v>
      </c>
      <c r="B1493" s="8" t="str">
        <f>HYPERLINK("https://twitter.com/Pointernil","@Pointernil")</f>
        <v>@Pointernil</v>
      </c>
      <c r="C1493" s="9" t="s">
        <v>2887</v>
      </c>
      <c r="D1493" s="9" t="s">
        <v>2888</v>
      </c>
      <c r="E1493" s="10" t="str">
        <f>HYPERLINK("https://twitter.com/Pointernil/status/722699473831505922","722699473831505922")</f>
        <v>722699473831505922</v>
      </c>
      <c r="F1493" s="11" t="s">
        <v>25</v>
      </c>
      <c r="G1493" s="11">
        <v>101</v>
      </c>
      <c r="H1493" s="11">
        <v>486</v>
      </c>
      <c r="I1493" s="11">
        <v>0</v>
      </c>
      <c r="J1493" s="11">
        <v>0</v>
      </c>
      <c r="K1493" s="11" t="s">
        <v>21</v>
      </c>
      <c r="L1493" s="7">
        <v>39546.59337962963</v>
      </c>
      <c r="M1493" s="12" t="s">
        <v>2889</v>
      </c>
      <c r="N1493" s="12" t="s">
        <v>2890</v>
      </c>
      <c r="O1493" s="10" t="str">
        <f>HYPERLINK("https://pbs.twimg.com/profile_images/662965789750784001/iRHsNe6D_normal.png","View")</f>
        <v>View</v>
      </c>
      <c r="P1493" s="11"/>
    </row>
    <row r="1494" spans="1:16" ht="12.75" x14ac:dyDescent="0.35">
      <c r="A1494" s="7">
        <v>42480.57194444444</v>
      </c>
      <c r="B1494" s="8" t="str">
        <f>HYPERLINK("https://twitter.com/iotsecurity2","@iotsecurity2")</f>
        <v>@iotsecurity2</v>
      </c>
      <c r="C1494" s="9" t="s">
        <v>149</v>
      </c>
      <c r="D1494" s="9" t="s">
        <v>2891</v>
      </c>
      <c r="E1494" s="10" t="str">
        <f>HYPERLINK("https://twitter.com/iotsecurity2/status/722699726131437568","722699726131437568")</f>
        <v>722699726131437568</v>
      </c>
      <c r="F1494" s="11" t="s">
        <v>150</v>
      </c>
      <c r="G1494" s="11">
        <v>1277</v>
      </c>
      <c r="H1494" s="11">
        <v>38</v>
      </c>
      <c r="I1494" s="11">
        <v>1</v>
      </c>
      <c r="J1494" s="11">
        <v>0</v>
      </c>
      <c r="K1494" s="11" t="s">
        <v>21</v>
      </c>
      <c r="L1494" s="7">
        <v>42420.891481481478</v>
      </c>
      <c r="M1494" s="12"/>
      <c r="N1494" s="12"/>
      <c r="O1494" s="10" t="str">
        <f>HYPERLINK("https://abs.twimg.com/sticky/default_profile_images/default_profile_3_normal.png","View")</f>
        <v>View</v>
      </c>
      <c r="P1494" s="11"/>
    </row>
    <row r="1495" spans="1:16" ht="12.75" x14ac:dyDescent="0.35">
      <c r="A1495" s="7">
        <v>42480.573761574073</v>
      </c>
      <c r="B1495" s="8" t="str">
        <f>HYPERLINK("https://twitter.com/personalmagazin","@personalmagazin")</f>
        <v>@personalmagazin</v>
      </c>
      <c r="C1495" s="9" t="s">
        <v>2892</v>
      </c>
      <c r="D1495" s="9" t="s">
        <v>2893</v>
      </c>
      <c r="E1495" s="10" t="str">
        <f>HYPERLINK("https://twitter.com/personalmagazin/status/722700385102798848","722700385102798848")</f>
        <v>722700385102798848</v>
      </c>
      <c r="F1495" s="11" t="s">
        <v>2894</v>
      </c>
      <c r="G1495" s="11">
        <v>6261</v>
      </c>
      <c r="H1495" s="11">
        <v>991</v>
      </c>
      <c r="I1495" s="11">
        <v>6</v>
      </c>
      <c r="J1495" s="11">
        <v>0</v>
      </c>
      <c r="K1495" s="11" t="s">
        <v>21</v>
      </c>
      <c r="L1495" s="7">
        <v>39989.584641203706</v>
      </c>
      <c r="M1495" s="12" t="s">
        <v>1207</v>
      </c>
      <c r="N1495" s="12" t="s">
        <v>2895</v>
      </c>
      <c r="O1495" s="10" t="str">
        <f>HYPERLINK("https://pbs.twimg.com/profile_images/443336398787977216/P5ha3qOJ_normal.jpeg","View")</f>
        <v>View</v>
      </c>
      <c r="P1495" s="11"/>
    </row>
    <row r="1496" spans="1:16" ht="12.75" x14ac:dyDescent="0.35">
      <c r="A1496" s="7">
        <v>42480.574618055558</v>
      </c>
      <c r="B1496" s="8" t="str">
        <f>HYPERLINK("https://twitter.com/KUKA_Presse","@KUKA_Presse")</f>
        <v>@KUKA_Presse</v>
      </c>
      <c r="C1496" s="9" t="s">
        <v>2896</v>
      </c>
      <c r="D1496" s="9" t="s">
        <v>2897</v>
      </c>
      <c r="E1496" s="10" t="str">
        <f>HYPERLINK("https://twitter.com/KUKA_Presse/status/722700694206197761","722700694206197761")</f>
        <v>722700694206197761</v>
      </c>
      <c r="F1496" s="11" t="s">
        <v>2213</v>
      </c>
      <c r="G1496" s="11">
        <v>56</v>
      </c>
      <c r="H1496" s="11">
        <v>73</v>
      </c>
      <c r="I1496" s="11">
        <v>0</v>
      </c>
      <c r="J1496" s="11">
        <v>0</v>
      </c>
      <c r="K1496" s="11" t="s">
        <v>21</v>
      </c>
      <c r="L1496" s="7">
        <v>42404.688784722224</v>
      </c>
      <c r="M1496" s="12" t="s">
        <v>2898</v>
      </c>
      <c r="N1496" s="12" t="s">
        <v>2899</v>
      </c>
      <c r="O1496" s="10" t="str">
        <f>HYPERLINK("https://pbs.twimg.com/profile_images/702049280098443264/NIaxL0xT_normal.png","View")</f>
        <v>View</v>
      </c>
      <c r="P1496" s="11"/>
    </row>
    <row r="1497" spans="1:16" ht="12.75" x14ac:dyDescent="0.35">
      <c r="A1497" s="7">
        <v>42480.574641203704</v>
      </c>
      <c r="B1497" s="8" t="str">
        <f>HYPERLINK("https://twitter.com/tobias_goers","@tobias_goers")</f>
        <v>@tobias_goers</v>
      </c>
      <c r="C1497" s="9" t="s">
        <v>1020</v>
      </c>
      <c r="D1497" s="9" t="s">
        <v>2900</v>
      </c>
      <c r="E1497" s="10" t="str">
        <f>HYPERLINK("https://twitter.com/tobias_goers/status/722700704960417792","722700704960417792")</f>
        <v>722700704960417792</v>
      </c>
      <c r="F1497" s="11" t="s">
        <v>25</v>
      </c>
      <c r="G1497" s="11">
        <v>649</v>
      </c>
      <c r="H1497" s="11">
        <v>1310</v>
      </c>
      <c r="I1497" s="11">
        <v>6</v>
      </c>
      <c r="J1497" s="11">
        <v>0</v>
      </c>
      <c r="K1497" s="11" t="s">
        <v>21</v>
      </c>
      <c r="L1497" s="7">
        <v>42195.589988425927</v>
      </c>
      <c r="M1497" s="12" t="s">
        <v>549</v>
      </c>
      <c r="N1497" s="12" t="s">
        <v>1022</v>
      </c>
      <c r="O1497" s="10" t="str">
        <f>HYPERLINK("https://pbs.twimg.com/profile_images/619429467434434560/ywWYiH5V_normal.jpg","View")</f>
        <v>View</v>
      </c>
      <c r="P1497" s="11"/>
    </row>
    <row r="1498" spans="1:16" ht="12.75" x14ac:dyDescent="0.35">
      <c r="A1498" s="7">
        <v>42480.575775462959</v>
      </c>
      <c r="B1498" s="8" t="str">
        <f>HYPERLINK("https://twitter.com/MEBerufe_Info","@MEBerufe_Info")</f>
        <v>@MEBerufe_Info</v>
      </c>
      <c r="C1498" s="9" t="s">
        <v>2901</v>
      </c>
      <c r="D1498" s="9" t="s">
        <v>2900</v>
      </c>
      <c r="E1498" s="10" t="str">
        <f>HYPERLINK("https://twitter.com/MEBerufe_Info/status/722701114941050880","722701114941050880")</f>
        <v>722701114941050880</v>
      </c>
      <c r="F1498" s="11" t="s">
        <v>25</v>
      </c>
      <c r="G1498" s="11">
        <v>2465</v>
      </c>
      <c r="H1498" s="11">
        <v>177</v>
      </c>
      <c r="I1498" s="11">
        <v>6</v>
      </c>
      <c r="J1498" s="11">
        <v>0</v>
      </c>
      <c r="K1498" s="11" t="s">
        <v>21</v>
      </c>
      <c r="L1498" s="7">
        <v>40182.633993055555</v>
      </c>
      <c r="M1498" s="12" t="s">
        <v>2902</v>
      </c>
      <c r="N1498" s="12" t="s">
        <v>2903</v>
      </c>
      <c r="O1498" s="10" t="str">
        <f>HYPERLINK("https://pbs.twimg.com/profile_images/486853008827744257/3Bhu5CbU_normal.jpeg","View")</f>
        <v>View</v>
      </c>
      <c r="P1498" s="11"/>
    </row>
    <row r="1499" spans="1:16" ht="12.75" x14ac:dyDescent="0.35">
      <c r="A1499" s="7">
        <v>42480.575868055559</v>
      </c>
      <c r="B1499" s="8" t="str">
        <f>HYPERLINK("https://twitter.com/onlinebynature","@onlinebynature")</f>
        <v>@onlinebynature</v>
      </c>
      <c r="C1499" s="9" t="s">
        <v>2904</v>
      </c>
      <c r="D1499" s="9" t="s">
        <v>2905</v>
      </c>
      <c r="E1499" s="10" t="str">
        <f>HYPERLINK("https://twitter.com/onlinebynature/status/722701148193480704","722701148193480704")</f>
        <v>722701148193480704</v>
      </c>
      <c r="F1499" s="11" t="s">
        <v>115</v>
      </c>
      <c r="G1499" s="11">
        <v>1001</v>
      </c>
      <c r="H1499" s="11">
        <v>587</v>
      </c>
      <c r="I1499" s="11">
        <v>1</v>
      </c>
      <c r="J1499" s="11">
        <v>0</v>
      </c>
      <c r="K1499" s="11" t="s">
        <v>21</v>
      </c>
      <c r="L1499" s="7">
        <v>39714.897141203706</v>
      </c>
      <c r="M1499" s="12" t="s">
        <v>2906</v>
      </c>
      <c r="N1499" s="12" t="s">
        <v>2907</v>
      </c>
      <c r="O1499" s="10" t="str">
        <f>HYPERLINK("https://pbs.twimg.com/profile_images/603837616006569984/XWtLqpC6_normal.png","View")</f>
        <v>View</v>
      </c>
      <c r="P1499" s="11"/>
    </row>
    <row r="1500" spans="1:16" ht="12.75" x14ac:dyDescent="0.35">
      <c r="A1500" s="7">
        <v>42480.576249999998</v>
      </c>
      <c r="B1500" s="8" t="str">
        <f>HYPERLINK("https://twitter.com/Gruendercoaches","@Gruendercoaches")</f>
        <v>@Gruendercoaches</v>
      </c>
      <c r="C1500" s="9" t="s">
        <v>987</v>
      </c>
      <c r="D1500" s="9" t="s">
        <v>2908</v>
      </c>
      <c r="E1500" s="10" t="str">
        <f>HYPERLINK("https://twitter.com/Gruendercoaches/status/722701288098676737","722701288098676737")</f>
        <v>722701288098676737</v>
      </c>
      <c r="F1500" s="11" t="s">
        <v>20</v>
      </c>
      <c r="G1500" s="11">
        <v>4951</v>
      </c>
      <c r="H1500" s="11">
        <v>1604</v>
      </c>
      <c r="I1500" s="11">
        <v>5</v>
      </c>
      <c r="J1500" s="11">
        <v>0</v>
      </c>
      <c r="K1500" s="11" t="s">
        <v>21</v>
      </c>
      <c r="L1500" s="7">
        <v>40865.780300925922</v>
      </c>
      <c r="M1500" s="12" t="s">
        <v>218</v>
      </c>
      <c r="N1500" s="12" t="s">
        <v>988</v>
      </c>
      <c r="O1500" s="10" t="str">
        <f>HYPERLINK("https://pbs.twimg.com/profile_images/561208179355185153/11KDu7Gt_normal.png","View")</f>
        <v>View</v>
      </c>
      <c r="P1500" s="11"/>
    </row>
    <row r="1501" spans="1:16" ht="12.75" x14ac:dyDescent="0.35">
      <c r="A1501" s="7">
        <v>42480.57649305556</v>
      </c>
      <c r="B1501" s="8" t="str">
        <f>HYPERLINK("https://twitter.com/ZVEIorg","@ZVEIorg")</f>
        <v>@ZVEIorg</v>
      </c>
      <c r="C1501" s="9" t="s">
        <v>390</v>
      </c>
      <c r="D1501" s="9" t="s">
        <v>2909</v>
      </c>
      <c r="E1501" s="10" t="str">
        <f>HYPERLINK("https://twitter.com/ZVEIorg/status/722701375403069440","722701375403069440")</f>
        <v>722701375403069440</v>
      </c>
      <c r="F1501" s="11" t="s">
        <v>25</v>
      </c>
      <c r="G1501" s="11">
        <v>2546</v>
      </c>
      <c r="H1501" s="11">
        <v>581</v>
      </c>
      <c r="I1501" s="11">
        <v>12</v>
      </c>
      <c r="J1501" s="11">
        <v>9</v>
      </c>
      <c r="K1501" s="11" t="s">
        <v>21</v>
      </c>
      <c r="L1501" s="7">
        <v>41247.641875000001</v>
      </c>
      <c r="M1501" s="12" t="s">
        <v>392</v>
      </c>
      <c r="N1501" s="12" t="s">
        <v>393</v>
      </c>
      <c r="O1501" s="10" t="str">
        <f>HYPERLINK("https://pbs.twimg.com/profile_images/479147477975588864/z94n3mRF_normal.jpeg","View")</f>
        <v>View</v>
      </c>
      <c r="P1501" s="11"/>
    </row>
    <row r="1502" spans="1:16" ht="12.75" x14ac:dyDescent="0.35">
      <c r="A1502" s="7">
        <v>42480.57880787037</v>
      </c>
      <c r="B1502" s="8" t="str">
        <f>HYPERLINK("https://twitter.com/acquisa","@acquisa")</f>
        <v>@acquisa</v>
      </c>
      <c r="C1502" s="9" t="s">
        <v>2910</v>
      </c>
      <c r="D1502" s="9" t="s">
        <v>2900</v>
      </c>
      <c r="E1502" s="10" t="str">
        <f>HYPERLINK("https://twitter.com/acquisa/status/722702212602978304","722702212602978304")</f>
        <v>722702212602978304</v>
      </c>
      <c r="F1502" s="11" t="s">
        <v>25</v>
      </c>
      <c r="G1502" s="11">
        <v>11664</v>
      </c>
      <c r="H1502" s="11">
        <v>9934</v>
      </c>
      <c r="I1502" s="11">
        <v>6</v>
      </c>
      <c r="J1502" s="11">
        <v>0</v>
      </c>
      <c r="K1502" s="11" t="s">
        <v>21</v>
      </c>
      <c r="L1502" s="7">
        <v>39919.816562499997</v>
      </c>
      <c r="M1502" s="12" t="s">
        <v>1207</v>
      </c>
      <c r="N1502" s="12" t="s">
        <v>2911</v>
      </c>
      <c r="O1502" s="10" t="str">
        <f>HYPERLINK("https://pbs.twimg.com/profile_images/676371978190610433/e2DDyqhy_normal.png","View")</f>
        <v>View</v>
      </c>
      <c r="P1502" s="11"/>
    </row>
    <row r="1503" spans="1:16" ht="12.75" x14ac:dyDescent="0.35">
      <c r="A1503" s="7">
        <v>42480.579328703709</v>
      </c>
      <c r="B1503" s="8" t="str">
        <f>HYPERLINK("https://twitter.com/Digitalwandel","@Digitalwandel")</f>
        <v>@Digitalwandel</v>
      </c>
      <c r="C1503" s="9" t="s">
        <v>2912</v>
      </c>
      <c r="D1503" s="9" t="s">
        <v>2874</v>
      </c>
      <c r="E1503" s="10" t="str">
        <f>HYPERLINK("https://twitter.com/Digitalwandel/status/722702403926147072","722702403926147072")</f>
        <v>722702403926147072</v>
      </c>
      <c r="F1503" s="11" t="s">
        <v>29</v>
      </c>
      <c r="G1503" s="11">
        <v>53</v>
      </c>
      <c r="H1503" s="11">
        <v>135</v>
      </c>
      <c r="I1503" s="11">
        <v>2</v>
      </c>
      <c r="J1503" s="11">
        <v>0</v>
      </c>
      <c r="K1503" s="11" t="s">
        <v>21</v>
      </c>
      <c r="L1503" s="7">
        <v>42346.647013888884</v>
      </c>
      <c r="M1503" s="12" t="s">
        <v>2913</v>
      </c>
      <c r="N1503" s="12" t="s">
        <v>2914</v>
      </c>
      <c r="O1503" s="10" t="str">
        <f>HYPERLINK("https://pbs.twimg.com/profile_images/674519613540028416/q2O0J-Hi_normal.jpg","View")</f>
        <v>View</v>
      </c>
      <c r="P1503" s="11"/>
    </row>
    <row r="1504" spans="1:16" ht="12.75" x14ac:dyDescent="0.35">
      <c r="A1504" s="7">
        <v>42480.580081018517</v>
      </c>
      <c r="B1504" s="8" t="str">
        <f>HYPERLINK("https://twitter.com/d4t4v1z","@d4t4v1z")</f>
        <v>@d4t4v1z</v>
      </c>
      <c r="C1504" s="9" t="s">
        <v>2915</v>
      </c>
      <c r="D1504" s="9" t="s">
        <v>2908</v>
      </c>
      <c r="E1504" s="10" t="str">
        <f>HYPERLINK("https://twitter.com/d4t4v1z/status/722702674194538496","722702674194538496")</f>
        <v>722702674194538496</v>
      </c>
      <c r="F1504" s="11" t="s">
        <v>59</v>
      </c>
      <c r="G1504" s="11">
        <v>172</v>
      </c>
      <c r="H1504" s="11">
        <v>98</v>
      </c>
      <c r="I1504" s="11">
        <v>5</v>
      </c>
      <c r="J1504" s="11">
        <v>0</v>
      </c>
      <c r="K1504" s="11" t="s">
        <v>21</v>
      </c>
      <c r="L1504" s="7">
        <v>41808.126539351855</v>
      </c>
      <c r="M1504" s="12" t="s">
        <v>2916</v>
      </c>
      <c r="N1504" s="12" t="s">
        <v>2917</v>
      </c>
      <c r="O1504" s="10" t="str">
        <f>HYPERLINK("https://pbs.twimg.com/profile_images/688820224167145472/kdbI9It6_normal.png","View")</f>
        <v>View</v>
      </c>
      <c r="P1504" s="11"/>
    </row>
    <row r="1505" spans="1:16" ht="12.75" x14ac:dyDescent="0.35">
      <c r="A1505" s="7">
        <v>42480.580266203702</v>
      </c>
      <c r="B1505" s="8" t="str">
        <f>HYPERLINK("https://twitter.com/BSAHbiz","@BSAHbiz")</f>
        <v>@BSAHbiz</v>
      </c>
      <c r="C1505" s="9" t="s">
        <v>2918</v>
      </c>
      <c r="D1505" s="9" t="s">
        <v>2771</v>
      </c>
      <c r="E1505" s="10" t="str">
        <f>HYPERLINK("https://twitter.com/BSAHbiz/status/722702739994714112","722702739994714112")</f>
        <v>722702739994714112</v>
      </c>
      <c r="F1505" s="11" t="s">
        <v>31</v>
      </c>
      <c r="G1505" s="11">
        <v>27</v>
      </c>
      <c r="H1505" s="11">
        <v>39</v>
      </c>
      <c r="I1505" s="11">
        <v>2</v>
      </c>
      <c r="J1505" s="11">
        <v>0</v>
      </c>
      <c r="K1505" s="11" t="s">
        <v>21</v>
      </c>
      <c r="L1505" s="7">
        <v>40211.75916666667</v>
      </c>
      <c r="M1505" s="12" t="s">
        <v>2919</v>
      </c>
      <c r="N1505" s="12" t="s">
        <v>2920</v>
      </c>
      <c r="O1505" s="10" t="str">
        <f>HYPERLINK("https://pbs.twimg.com/profile_images/709479158489948161/NxFpURG3_normal.jpg","View")</f>
        <v>View</v>
      </c>
      <c r="P1505" s="11"/>
    </row>
    <row r="1506" spans="1:16" ht="12.75" x14ac:dyDescent="0.35">
      <c r="A1506" s="7">
        <v>42480.581053240741</v>
      </c>
      <c r="B1506" s="8" t="str">
        <f>HYPERLINK("https://twitter.com/tuevnord","@tuevnord")</f>
        <v>@tuevnord</v>
      </c>
      <c r="C1506" s="9" t="s">
        <v>1583</v>
      </c>
      <c r="D1506" s="9" t="s">
        <v>2900</v>
      </c>
      <c r="E1506" s="10" t="str">
        <f>HYPERLINK("https://twitter.com/tuevnord/status/722703028122468352","722703028122468352")</f>
        <v>722703028122468352</v>
      </c>
      <c r="F1506" s="11" t="s">
        <v>39</v>
      </c>
      <c r="G1506" s="11">
        <v>711</v>
      </c>
      <c r="H1506" s="11">
        <v>461</v>
      </c>
      <c r="I1506" s="11">
        <v>6</v>
      </c>
      <c r="J1506" s="11">
        <v>0</v>
      </c>
      <c r="K1506" s="11" t="s">
        <v>21</v>
      </c>
      <c r="L1506" s="7">
        <v>39864.594178240739</v>
      </c>
      <c r="M1506" s="12" t="s">
        <v>1584</v>
      </c>
      <c r="N1506" s="12" t="s">
        <v>1585</v>
      </c>
      <c r="O1506" s="10" t="str">
        <f>HYPERLINK("https://pbs.twimg.com/profile_images/378800000104294821/5a742075b9441c9de8a86c75a712b0c7_normal.png","View")</f>
        <v>View</v>
      </c>
      <c r="P1506" s="11"/>
    </row>
    <row r="1507" spans="1:16" ht="12.75" x14ac:dyDescent="0.35">
      <c r="A1507" s="7">
        <v>42480.581493055557</v>
      </c>
      <c r="B1507" s="8" t="str">
        <f>HYPERLINK("https://twitter.com/MarianKoeller","@MarianKoeller")</f>
        <v>@MarianKoeller</v>
      </c>
      <c r="C1507" s="9" t="s">
        <v>849</v>
      </c>
      <c r="D1507" s="9" t="s">
        <v>2921</v>
      </c>
      <c r="E1507" s="10" t="str">
        <f>HYPERLINK("https://twitter.com/MarianKoeller/status/722703185773768704","722703185773768704")</f>
        <v>722703185773768704</v>
      </c>
      <c r="F1507" s="11" t="s">
        <v>2922</v>
      </c>
      <c r="G1507" s="11">
        <v>94</v>
      </c>
      <c r="H1507" s="11">
        <v>115</v>
      </c>
      <c r="I1507" s="11">
        <v>2</v>
      </c>
      <c r="J1507" s="11">
        <v>3</v>
      </c>
      <c r="K1507" s="11" t="s">
        <v>21</v>
      </c>
      <c r="L1507" s="7">
        <v>42328.736504629633</v>
      </c>
      <c r="M1507" s="12" t="s">
        <v>851</v>
      </c>
      <c r="N1507" s="12" t="s">
        <v>852</v>
      </c>
      <c r="O1507" s="10" t="str">
        <f>HYPERLINK("https://pbs.twimg.com/profile_images/701004613206433792/o4DJfA8-_normal.jpg","View")</f>
        <v>View</v>
      </c>
      <c r="P1507" s="11"/>
    </row>
    <row r="1508" spans="1:16" ht="12.75" x14ac:dyDescent="0.35">
      <c r="A1508" s="7">
        <v>42480.582511574074</v>
      </c>
      <c r="B1508" s="8" t="str">
        <f>HYPERLINK("https://twitter.com/GOettingerEU","@GOettingerEU")</f>
        <v>@GOettingerEU</v>
      </c>
      <c r="C1508" s="9" t="s">
        <v>2314</v>
      </c>
      <c r="D1508" s="9" t="s">
        <v>2923</v>
      </c>
      <c r="E1508" s="10" t="str">
        <f>HYPERLINK("https://twitter.com/GOettingerEU/status/722703555640041472","722703555640041472")</f>
        <v>722703555640041472</v>
      </c>
      <c r="F1508" s="11" t="s">
        <v>39</v>
      </c>
      <c r="G1508" s="11">
        <v>37347</v>
      </c>
      <c r="H1508" s="11">
        <v>1048</v>
      </c>
      <c r="I1508" s="11">
        <v>3</v>
      </c>
      <c r="J1508" s="11">
        <v>6</v>
      </c>
      <c r="K1508" s="11" t="s">
        <v>21</v>
      </c>
      <c r="L1508" s="7">
        <v>41191.789942129632</v>
      </c>
      <c r="M1508" s="12"/>
      <c r="N1508" s="12" t="s">
        <v>2316</v>
      </c>
      <c r="O1508" s="10" t="str">
        <f>HYPERLINK("https://pbs.twimg.com/profile_images/2698310449/0da9a659e7a30abe7633746b7ada9ef7_normal.jpeg","View")</f>
        <v>View</v>
      </c>
      <c r="P1508" s="11"/>
    </row>
    <row r="1509" spans="1:16" ht="12.75" x14ac:dyDescent="0.35">
      <c r="A1509" s="7">
        <v>42480.584374999999</v>
      </c>
      <c r="B1509" s="8" t="str">
        <f t="shared" ref="B1509:B1510" si="172">HYPERLINK("https://twitter.com/INDIZbot","@INDIZbot")</f>
        <v>@INDIZbot</v>
      </c>
      <c r="C1509" s="9" t="s">
        <v>61</v>
      </c>
      <c r="D1509" s="9" t="s">
        <v>2924</v>
      </c>
      <c r="E1509" s="10" t="str">
        <f>HYPERLINK("https://twitter.com/INDIZbot/status/722704229077491716","722704229077491716")</f>
        <v>722704229077491716</v>
      </c>
      <c r="F1509" s="11" t="s">
        <v>62</v>
      </c>
      <c r="G1509" s="11">
        <v>1762</v>
      </c>
      <c r="H1509" s="11">
        <v>481</v>
      </c>
      <c r="I1509" s="11">
        <v>3</v>
      </c>
      <c r="J1509" s="11">
        <v>0</v>
      </c>
      <c r="K1509" s="11" t="s">
        <v>21</v>
      </c>
      <c r="L1509" s="7">
        <v>42267.011921296296</v>
      </c>
      <c r="M1509" s="12"/>
      <c r="N1509" s="12" t="s">
        <v>63</v>
      </c>
      <c r="O1509" s="10" t="str">
        <f t="shared" ref="O1509:O1510" si="173">HYPERLINK("https://pbs.twimg.com/profile_images/645716711723925506/t5G0qOS6_normal.jpg","View")</f>
        <v>View</v>
      </c>
      <c r="P1509" s="11"/>
    </row>
    <row r="1510" spans="1:16" ht="12.75" x14ac:dyDescent="0.35">
      <c r="A1510" s="7">
        <v>42480.585162037038</v>
      </c>
      <c r="B1510" s="8" t="str">
        <f t="shared" si="172"/>
        <v>@INDIZbot</v>
      </c>
      <c r="C1510" s="9" t="s">
        <v>61</v>
      </c>
      <c r="D1510" s="9" t="s">
        <v>2925</v>
      </c>
      <c r="E1510" s="10" t="str">
        <f>HYPERLINK("https://twitter.com/INDIZbot/status/722704514562830336","722704514562830336")</f>
        <v>722704514562830336</v>
      </c>
      <c r="F1510" s="11" t="s">
        <v>62</v>
      </c>
      <c r="G1510" s="11">
        <v>1762</v>
      </c>
      <c r="H1510" s="11">
        <v>481</v>
      </c>
      <c r="I1510" s="11">
        <v>2</v>
      </c>
      <c r="J1510" s="11">
        <v>0</v>
      </c>
      <c r="K1510" s="11" t="s">
        <v>21</v>
      </c>
      <c r="L1510" s="7">
        <v>42267.011921296296</v>
      </c>
      <c r="M1510" s="12"/>
      <c r="N1510" s="12" t="s">
        <v>63</v>
      </c>
      <c r="O1510" s="10" t="str">
        <f t="shared" si="173"/>
        <v>View</v>
      </c>
      <c r="P1510" s="11"/>
    </row>
    <row r="1511" spans="1:16" ht="12.75" x14ac:dyDescent="0.35">
      <c r="A1511" s="7">
        <v>42480.58594907407</v>
      </c>
      <c r="B1511" s="8" t="str">
        <f>HYPERLINK("https://twitter.com/AltenaTCS","@AltenaTCS")</f>
        <v>@AltenaTCS</v>
      </c>
      <c r="C1511" s="9" t="s">
        <v>2178</v>
      </c>
      <c r="D1511" s="9" t="s">
        <v>2926</v>
      </c>
      <c r="E1511" s="10" t="str">
        <f>HYPERLINK("https://twitter.com/AltenaTCS/status/722704802858344448","722704802858344448")</f>
        <v>722704802858344448</v>
      </c>
      <c r="F1511" s="11" t="s">
        <v>2180</v>
      </c>
      <c r="G1511" s="11">
        <v>49</v>
      </c>
      <c r="H1511" s="11">
        <v>143</v>
      </c>
      <c r="I1511" s="11">
        <v>0</v>
      </c>
      <c r="J1511" s="11">
        <v>0</v>
      </c>
      <c r="K1511" s="11" t="s">
        <v>21</v>
      </c>
      <c r="L1511" s="7">
        <v>41645.649027777778</v>
      </c>
      <c r="M1511" s="12" t="s">
        <v>2181</v>
      </c>
      <c r="N1511" s="12" t="s">
        <v>2182</v>
      </c>
      <c r="O1511" s="10" t="str">
        <f>HYPERLINK("https://pbs.twimg.com/profile_images/709648582048157696/BnZ5RzQA_normal.jpg","View")</f>
        <v>View</v>
      </c>
      <c r="P1511" s="11"/>
    </row>
    <row r="1512" spans="1:16" ht="12.75" x14ac:dyDescent="0.35">
      <c r="A1512" s="7">
        <v>42480.586122685185</v>
      </c>
      <c r="B1512" s="8" t="str">
        <f>HYPERLINK("https://twitter.com/conosco","@conosco")</f>
        <v>@conosco</v>
      </c>
      <c r="C1512" s="9" t="s">
        <v>1052</v>
      </c>
      <c r="D1512" s="9" t="s">
        <v>2927</v>
      </c>
      <c r="E1512" s="10" t="str">
        <f>HYPERLINK("https://twitter.com/conosco/status/722704864136929280","722704864136929280")</f>
        <v>722704864136929280</v>
      </c>
      <c r="F1512" s="11" t="s">
        <v>115</v>
      </c>
      <c r="G1512" s="11">
        <v>1015</v>
      </c>
      <c r="H1512" s="11">
        <v>1897</v>
      </c>
      <c r="I1512" s="11">
        <v>0</v>
      </c>
      <c r="J1512" s="11">
        <v>2</v>
      </c>
      <c r="K1512" s="11" t="s">
        <v>21</v>
      </c>
      <c r="L1512" s="7">
        <v>39560.746261574073</v>
      </c>
      <c r="M1512" s="12" t="s">
        <v>121</v>
      </c>
      <c r="N1512" s="12" t="s">
        <v>1054</v>
      </c>
      <c r="O1512" s="10" t="str">
        <f>HYPERLINK("https://pbs.twimg.com/profile_images/459441279181398016/MmGzaeIu_normal.jpeg","View")</f>
        <v>View</v>
      </c>
      <c r="P1512" s="11"/>
    </row>
    <row r="1513" spans="1:16" ht="12.75" x14ac:dyDescent="0.35">
      <c r="A1513" s="7">
        <v>42480.586875000001</v>
      </c>
      <c r="B1513" s="8" t="str">
        <f>HYPERLINK("https://twitter.com/MEArbeitgeber","@MEArbeitgeber")</f>
        <v>@MEArbeitgeber</v>
      </c>
      <c r="C1513" s="9" t="s">
        <v>873</v>
      </c>
      <c r="D1513" s="9" t="s">
        <v>2928</v>
      </c>
      <c r="E1513" s="10" t="str">
        <f>HYPERLINK("https://twitter.com/MEArbeitgeber/status/722705135252729857","722705135252729857")</f>
        <v>722705135252729857</v>
      </c>
      <c r="F1513" s="11" t="s">
        <v>39</v>
      </c>
      <c r="G1513" s="11">
        <v>2496</v>
      </c>
      <c r="H1513" s="11">
        <v>1025</v>
      </c>
      <c r="I1513" s="11">
        <v>2</v>
      </c>
      <c r="J1513" s="11">
        <v>0</v>
      </c>
      <c r="K1513" s="11" t="s">
        <v>21</v>
      </c>
      <c r="L1513" s="7">
        <v>39905.720543981479</v>
      </c>
      <c r="M1513" s="12" t="s">
        <v>875</v>
      </c>
      <c r="N1513" s="12" t="s">
        <v>876</v>
      </c>
      <c r="O1513" s="10" t="str">
        <f>HYPERLINK("https://pbs.twimg.com/profile_images/572722352144666624/2G6VnJJx_normal.jpeg","View")</f>
        <v>View</v>
      </c>
      <c r="P1513" s="11"/>
    </row>
    <row r="1514" spans="1:16" ht="12.75" x14ac:dyDescent="0.35">
      <c r="A1514" s="7">
        <v>42480.586875000001</v>
      </c>
      <c r="B1514" s="8" t="str">
        <f>HYPERLINK("https://twitter.com/Gesamtmetall","@Gesamtmetall")</f>
        <v>@Gesamtmetall</v>
      </c>
      <c r="C1514" s="9" t="s">
        <v>877</v>
      </c>
      <c r="D1514" s="9" t="s">
        <v>2929</v>
      </c>
      <c r="E1514" s="10" t="str">
        <f>HYPERLINK("https://twitter.com/Gesamtmetall/status/722705137299546112","722705137299546112")</f>
        <v>722705137299546112</v>
      </c>
      <c r="F1514" s="11" t="s">
        <v>39</v>
      </c>
      <c r="G1514" s="11">
        <v>1457</v>
      </c>
      <c r="H1514" s="11">
        <v>283</v>
      </c>
      <c r="I1514" s="11">
        <v>0</v>
      </c>
      <c r="J1514" s="11">
        <v>0</v>
      </c>
      <c r="K1514" s="11" t="s">
        <v>21</v>
      </c>
      <c r="L1514" s="7">
        <v>39946.496504629627</v>
      </c>
      <c r="M1514" s="12" t="s">
        <v>218</v>
      </c>
      <c r="N1514" s="12" t="s">
        <v>879</v>
      </c>
      <c r="O1514" s="10" t="str">
        <f>HYPERLINK("https://pbs.twimg.com/profile_images/572721926804488192/AGAGHTgy_normal.jpeg","View")</f>
        <v>View</v>
      </c>
      <c r="P1514" s="11"/>
    </row>
    <row r="1515" spans="1:16" ht="12.75" x14ac:dyDescent="0.35">
      <c r="A1515" s="7">
        <v>42480.587060185186</v>
      </c>
      <c r="B1515" s="8" t="str">
        <f>HYPERLINK("https://twitter.com/Bitkom_I40","@Bitkom_I40")</f>
        <v>@Bitkom_I40</v>
      </c>
      <c r="C1515" s="9" t="s">
        <v>1857</v>
      </c>
      <c r="D1515" s="9" t="s">
        <v>2908</v>
      </c>
      <c r="E1515" s="10" t="str">
        <f>HYPERLINK("https://twitter.com/Bitkom_I40/status/722705204609753089","722705204609753089")</f>
        <v>722705204609753089</v>
      </c>
      <c r="F1515" s="11" t="s">
        <v>115</v>
      </c>
      <c r="G1515" s="11">
        <v>754</v>
      </c>
      <c r="H1515" s="11">
        <v>44</v>
      </c>
      <c r="I1515" s="11">
        <v>5</v>
      </c>
      <c r="J1515" s="11">
        <v>0</v>
      </c>
      <c r="K1515" s="11" t="s">
        <v>21</v>
      </c>
      <c r="L1515" s="7">
        <v>41613.773194444446</v>
      </c>
      <c r="M1515" s="12" t="s">
        <v>218</v>
      </c>
      <c r="N1515" s="12" t="s">
        <v>1860</v>
      </c>
      <c r="O1515" s="10" t="str">
        <f>HYPERLINK("https://pbs.twimg.com/profile_images/723407487395713024/0hZv7R8S_normal.jpg","View")</f>
        <v>View</v>
      </c>
      <c r="P1515" s="11"/>
    </row>
    <row r="1516" spans="1:16" ht="12.75" x14ac:dyDescent="0.35">
      <c r="A1516" s="7">
        <v>42480.587245370371</v>
      </c>
      <c r="B1516" s="8" t="str">
        <f>HYPERLINK("https://twitter.com/JoernDettmer83","@JoernDettmer83")</f>
        <v>@JoernDettmer83</v>
      </c>
      <c r="C1516" s="9" t="s">
        <v>2930</v>
      </c>
      <c r="D1516" s="9" t="s">
        <v>2840</v>
      </c>
      <c r="E1516" s="10" t="str">
        <f>HYPERLINK("https://twitter.com/JoernDettmer83/status/722705270607097856","722705270607097856")</f>
        <v>722705270607097856</v>
      </c>
      <c r="F1516" s="11" t="s">
        <v>1491</v>
      </c>
      <c r="G1516" s="11">
        <v>86</v>
      </c>
      <c r="H1516" s="11">
        <v>273</v>
      </c>
      <c r="I1516" s="11">
        <v>2</v>
      </c>
      <c r="J1516" s="11">
        <v>0</v>
      </c>
      <c r="K1516" s="11" t="s">
        <v>21</v>
      </c>
      <c r="L1516" s="7">
        <v>42254.001099537039</v>
      </c>
      <c r="M1516" s="12" t="s">
        <v>2931</v>
      </c>
      <c r="N1516" s="12" t="s">
        <v>2932</v>
      </c>
      <c r="O1516" s="10" t="str">
        <f>HYPERLINK("https://pbs.twimg.com/profile_images/640594106796908544/q8Ef1oCL_normal.jpg","View")</f>
        <v>View</v>
      </c>
      <c r="P1516" s="11"/>
    </row>
    <row r="1517" spans="1:16" ht="12.75" x14ac:dyDescent="0.35">
      <c r="A1517" s="7">
        <v>42480.588414351849</v>
      </c>
      <c r="B1517" s="8" t="str">
        <f>HYPERLINK("https://twitter.com/Bitkom","@Bitkom")</f>
        <v>@Bitkom</v>
      </c>
      <c r="C1517" s="9" t="s">
        <v>216</v>
      </c>
      <c r="D1517" s="9" t="s">
        <v>2933</v>
      </c>
      <c r="E1517" s="10" t="str">
        <f>HYPERLINK("https://twitter.com/Bitkom/status/722705695712407552","722705695712407552")</f>
        <v>722705695712407552</v>
      </c>
      <c r="F1517" s="11" t="s">
        <v>25</v>
      </c>
      <c r="G1517" s="11">
        <v>21088</v>
      </c>
      <c r="H1517" s="11">
        <v>3258</v>
      </c>
      <c r="I1517" s="11">
        <v>21</v>
      </c>
      <c r="J1517" s="11">
        <v>14</v>
      </c>
      <c r="K1517" s="11" t="s">
        <v>21</v>
      </c>
      <c r="L1517" s="7">
        <v>39757.913229166668</v>
      </c>
      <c r="M1517" s="12" t="s">
        <v>218</v>
      </c>
      <c r="N1517" s="12" t="s">
        <v>219</v>
      </c>
      <c r="O1517" s="10" t="str">
        <f>HYPERLINK("https://pbs.twimg.com/profile_images/615797525040136192/CKF9-v_o_normal.jpg","View")</f>
        <v>View</v>
      </c>
      <c r="P1517" s="11"/>
    </row>
    <row r="1518" spans="1:16" ht="12.75" x14ac:dyDescent="0.35">
      <c r="A1518" s="7">
        <v>42480.589872685188</v>
      </c>
      <c r="B1518" s="8" t="str">
        <f>HYPERLINK("https://twitter.com/MarianKoeller","@MarianKoeller")</f>
        <v>@MarianKoeller</v>
      </c>
      <c r="C1518" s="9" t="s">
        <v>849</v>
      </c>
      <c r="D1518" s="9" t="s">
        <v>2934</v>
      </c>
      <c r="E1518" s="10" t="str">
        <f>HYPERLINK("https://twitter.com/MarianKoeller/status/722706221933981696","722706221933981696")</f>
        <v>722706221933981696</v>
      </c>
      <c r="F1518" s="11" t="s">
        <v>2922</v>
      </c>
      <c r="G1518" s="11">
        <v>94</v>
      </c>
      <c r="H1518" s="11">
        <v>115</v>
      </c>
      <c r="I1518" s="11">
        <v>0</v>
      </c>
      <c r="J1518" s="11">
        <v>0</v>
      </c>
      <c r="K1518" s="11" t="s">
        <v>21</v>
      </c>
      <c r="L1518" s="7">
        <v>42328.736504629633</v>
      </c>
      <c r="M1518" s="12" t="s">
        <v>851</v>
      </c>
      <c r="N1518" s="12" t="s">
        <v>852</v>
      </c>
      <c r="O1518" s="10" t="str">
        <f>HYPERLINK("https://pbs.twimg.com/profile_images/701004613206433792/o4DJfA8-_normal.jpg","View")</f>
        <v>View</v>
      </c>
      <c r="P1518" s="11"/>
    </row>
    <row r="1519" spans="1:16" ht="12.75" x14ac:dyDescent="0.35">
      <c r="A1519" s="7">
        <v>42480.590092592596</v>
      </c>
      <c r="B1519" s="8" t="str">
        <f>HYPERLINK("https://twitter.com/MartinAtICSag","@MartinAtICSag")</f>
        <v>@MartinAtICSag</v>
      </c>
      <c r="C1519" s="9" t="s">
        <v>2935</v>
      </c>
      <c r="D1519" s="9" t="s">
        <v>2936</v>
      </c>
      <c r="E1519" s="10" t="str">
        <f>HYPERLINK("https://twitter.com/MartinAtICSag/status/722706302816927749","722706302816927749")</f>
        <v>722706302816927749</v>
      </c>
      <c r="F1519" s="11" t="s">
        <v>25</v>
      </c>
      <c r="G1519" s="11">
        <v>13</v>
      </c>
      <c r="H1519" s="11">
        <v>15</v>
      </c>
      <c r="I1519" s="11">
        <v>0</v>
      </c>
      <c r="J1519" s="11">
        <v>1</v>
      </c>
      <c r="K1519" s="11" t="s">
        <v>21</v>
      </c>
      <c r="L1519" s="7">
        <v>41824.909131944441</v>
      </c>
      <c r="M1519" s="12"/>
      <c r="N1519" s="12"/>
      <c r="O1519" s="10" t="str">
        <f>HYPERLINK("https://pbs.twimg.com/profile_images/707099011698835456/DLltMEAE_normal.jpg","View")</f>
        <v>View</v>
      </c>
      <c r="P1519" s="11"/>
    </row>
    <row r="1520" spans="1:16" ht="12.75" x14ac:dyDescent="0.35">
      <c r="A1520" s="7">
        <v>42480.590243055558</v>
      </c>
      <c r="B1520" s="8" t="str">
        <f>HYPERLINK("https://twitter.com/schroederluegde","@schroederluegde")</f>
        <v>@schroederluegde</v>
      </c>
      <c r="C1520" s="9" t="s">
        <v>2937</v>
      </c>
      <c r="D1520" s="9" t="s">
        <v>2938</v>
      </c>
      <c r="E1520" s="10" t="str">
        <f>HYPERLINK("https://twitter.com/schroederluegde/status/722706357917478913","722706357917478913")</f>
        <v>722706357917478913</v>
      </c>
      <c r="F1520" s="11" t="s">
        <v>31</v>
      </c>
      <c r="G1520" s="11">
        <v>208</v>
      </c>
      <c r="H1520" s="11">
        <v>638</v>
      </c>
      <c r="I1520" s="11">
        <v>12</v>
      </c>
      <c r="J1520" s="11">
        <v>0</v>
      </c>
      <c r="K1520" s="11" t="s">
        <v>21</v>
      </c>
      <c r="L1520" s="7">
        <v>41049.693888888891</v>
      </c>
      <c r="M1520" s="12" t="s">
        <v>2939</v>
      </c>
      <c r="N1520" s="12" t="s">
        <v>2940</v>
      </c>
      <c r="O1520" s="10" t="str">
        <f>HYPERLINK("https://pbs.twimg.com/profile_images/378800000461229603/54dcc490f17c8812011cde76385f9b9d_normal.jpeg","View")</f>
        <v>View</v>
      </c>
      <c r="P1520" s="11"/>
    </row>
    <row r="1521" spans="1:16" ht="12.75" x14ac:dyDescent="0.35">
      <c r="A1521" s="7">
        <v>42480.590462962966</v>
      </c>
      <c r="B1521" s="8" t="str">
        <f>HYPERLINK("https://twitter.com/CSC_DE","@CSC_DE")</f>
        <v>@CSC_DE</v>
      </c>
      <c r="C1521" s="9" t="s">
        <v>2941</v>
      </c>
      <c r="D1521" s="9" t="s">
        <v>2942</v>
      </c>
      <c r="E1521" s="10" t="str">
        <f>HYPERLINK("https://twitter.com/CSC_DE/status/722706438276136961","722706438276136961")</f>
        <v>722706438276136961</v>
      </c>
      <c r="F1521" s="11" t="s">
        <v>39</v>
      </c>
      <c r="G1521" s="11">
        <v>842</v>
      </c>
      <c r="H1521" s="11">
        <v>227</v>
      </c>
      <c r="I1521" s="11">
        <v>0</v>
      </c>
      <c r="J1521" s="11">
        <v>0</v>
      </c>
      <c r="K1521" s="11" t="s">
        <v>21</v>
      </c>
      <c r="L1521" s="7">
        <v>40480.642384259263</v>
      </c>
      <c r="M1521" s="12" t="s">
        <v>2943</v>
      </c>
      <c r="N1521" s="12" t="s">
        <v>2944</v>
      </c>
      <c r="O1521" s="10" t="str">
        <f>HYPERLINK("https://pbs.twimg.com/profile_images/567361028199940096/6Yeb6Avd_normal.jpeg","View")</f>
        <v>View</v>
      </c>
      <c r="P1521" s="11"/>
    </row>
    <row r="1522" spans="1:16" ht="12.75" x14ac:dyDescent="0.35">
      <c r="A1522" s="7">
        <v>42480.592766203699</v>
      </c>
      <c r="B1522" s="8" t="str">
        <f>HYPERLINK("https://twitter.com/ElkeStei","@ElkeStei")</f>
        <v>@ElkeStei</v>
      </c>
      <c r="C1522" s="9" t="s">
        <v>2945</v>
      </c>
      <c r="D1522" s="9" t="s">
        <v>2924</v>
      </c>
      <c r="E1522" s="10" t="str">
        <f>HYPERLINK("https://twitter.com/ElkeStei/status/722707272124796928","722707272124796928")</f>
        <v>722707272124796928</v>
      </c>
      <c r="F1522" s="11" t="s">
        <v>31</v>
      </c>
      <c r="G1522" s="11">
        <v>403</v>
      </c>
      <c r="H1522" s="11">
        <v>228</v>
      </c>
      <c r="I1522" s="11">
        <v>3</v>
      </c>
      <c r="J1522" s="11">
        <v>0</v>
      </c>
      <c r="K1522" s="11" t="s">
        <v>21</v>
      </c>
      <c r="L1522" s="7">
        <v>42045.180844907409</v>
      </c>
      <c r="M1522" s="12"/>
      <c r="N1522" s="12" t="s">
        <v>2946</v>
      </c>
      <c r="O1522" s="10" t="str">
        <f>HYPERLINK("https://pbs.twimg.com/profile_images/617379223972499456/mB9LBMsl_normal.jpg","View")</f>
        <v>View</v>
      </c>
      <c r="P1522" s="11"/>
    </row>
    <row r="1523" spans="1:16" ht="12.75" x14ac:dyDescent="0.35">
      <c r="A1523" s="7">
        <v>42480.593668981484</v>
      </c>
      <c r="B1523" s="8" t="str">
        <f>HYPERLINK("https://twitter.com/DKEAktuell","@DKEAktuell")</f>
        <v>@DKEAktuell</v>
      </c>
      <c r="C1523" s="9" t="s">
        <v>1289</v>
      </c>
      <c r="D1523" s="9" t="s">
        <v>2947</v>
      </c>
      <c r="E1523" s="10" t="str">
        <f>HYPERLINK("https://twitter.com/DKEAktuell/status/722707600899497984","722707600899497984")</f>
        <v>722707600899497984</v>
      </c>
      <c r="F1523" s="11" t="s">
        <v>268</v>
      </c>
      <c r="G1523" s="11">
        <v>572</v>
      </c>
      <c r="H1523" s="11">
        <v>525</v>
      </c>
      <c r="I1523" s="11">
        <v>21</v>
      </c>
      <c r="J1523" s="11">
        <v>0</v>
      </c>
      <c r="K1523" s="11" t="s">
        <v>21</v>
      </c>
      <c r="L1523" s="7">
        <v>41764.84847222222</v>
      </c>
      <c r="M1523" s="12" t="s">
        <v>1290</v>
      </c>
      <c r="N1523" s="12" t="s">
        <v>1291</v>
      </c>
      <c r="O1523" s="10" t="str">
        <f>HYPERLINK("https://pbs.twimg.com/profile_images/465817969902092288/sEIgw9Gb_normal.jpeg","View")</f>
        <v>View</v>
      </c>
      <c r="P1523" s="11"/>
    </row>
    <row r="1524" spans="1:16" ht="12.75" x14ac:dyDescent="0.35">
      <c r="A1524" s="7">
        <v>42480.594189814816</v>
      </c>
      <c r="B1524" s="8" t="str">
        <f>HYPERLINK("https://twitter.com/AltenaTCS","@AltenaTCS")</f>
        <v>@AltenaTCS</v>
      </c>
      <c r="C1524" s="9" t="s">
        <v>2178</v>
      </c>
      <c r="D1524" s="9" t="s">
        <v>2948</v>
      </c>
      <c r="E1524" s="10" t="str">
        <f>HYPERLINK("https://twitter.com/AltenaTCS/status/722707787491446784","722707787491446784")</f>
        <v>722707787491446784</v>
      </c>
      <c r="F1524" s="11" t="s">
        <v>25</v>
      </c>
      <c r="G1524" s="11">
        <v>49</v>
      </c>
      <c r="H1524" s="11">
        <v>143</v>
      </c>
      <c r="I1524" s="11">
        <v>2</v>
      </c>
      <c r="J1524" s="11">
        <v>0</v>
      </c>
      <c r="K1524" s="11" t="s">
        <v>21</v>
      </c>
      <c r="L1524" s="7">
        <v>41645.649027777778</v>
      </c>
      <c r="M1524" s="12" t="s">
        <v>2181</v>
      </c>
      <c r="N1524" s="12" t="s">
        <v>2182</v>
      </c>
      <c r="O1524" s="10" t="str">
        <f>HYPERLINK("https://pbs.twimg.com/profile_images/709648582048157696/BnZ5RzQA_normal.jpg","View")</f>
        <v>View</v>
      </c>
      <c r="P1524" s="11"/>
    </row>
    <row r="1525" spans="1:16" ht="12.75" x14ac:dyDescent="0.35">
      <c r="A1525" s="7">
        <v>42480.594224537039</v>
      </c>
      <c r="B1525" s="8" t="str">
        <f>HYPERLINK("https://twitter.com/GermanIOD","@GermanIOD")</f>
        <v>@GermanIOD</v>
      </c>
      <c r="C1525" s="9" t="s">
        <v>2949</v>
      </c>
      <c r="D1525" s="9" t="s">
        <v>2687</v>
      </c>
      <c r="E1525" s="10" t="str">
        <f>HYPERLINK("https://twitter.com/GermanIOD/status/722707802272215040","722707802272215040")</f>
        <v>722707802272215040</v>
      </c>
      <c r="F1525" s="11" t="s">
        <v>25</v>
      </c>
      <c r="G1525" s="11">
        <v>214</v>
      </c>
      <c r="H1525" s="11">
        <v>322</v>
      </c>
      <c r="I1525" s="11">
        <v>3</v>
      </c>
      <c r="J1525" s="11">
        <v>0</v>
      </c>
      <c r="K1525" s="11" t="s">
        <v>21</v>
      </c>
      <c r="L1525" s="7">
        <v>42245.884421296301</v>
      </c>
      <c r="M1525" s="12" t="s">
        <v>116</v>
      </c>
      <c r="N1525" s="12" t="s">
        <v>2950</v>
      </c>
      <c r="O1525" s="10" t="str">
        <f>HYPERLINK("https://pbs.twimg.com/profile_images/637652033793851392/sK5pDpLB_normal.png","View")</f>
        <v>View</v>
      </c>
      <c r="P1525" s="11"/>
    </row>
    <row r="1526" spans="1:16" ht="12.75" x14ac:dyDescent="0.35">
      <c r="A1526" s="7">
        <v>42480.594456018516</v>
      </c>
      <c r="B1526" s="8" t="str">
        <f>HYPERLINK("https://twitter.com/croXXing_IBD","@croXXing_IBD")</f>
        <v>@croXXing_IBD</v>
      </c>
      <c r="C1526" s="9" t="s">
        <v>252</v>
      </c>
      <c r="D1526" s="9" t="s">
        <v>2951</v>
      </c>
      <c r="E1526" s="10" t="str">
        <f>HYPERLINK("https://twitter.com/croXXing_IBD/status/722707882232430593","722707882232430593")</f>
        <v>722707882232430593</v>
      </c>
      <c r="F1526" s="11" t="s">
        <v>222</v>
      </c>
      <c r="G1526" s="11">
        <v>40</v>
      </c>
      <c r="H1526" s="11">
        <v>137</v>
      </c>
      <c r="I1526" s="11">
        <v>0</v>
      </c>
      <c r="J1526" s="11">
        <v>0</v>
      </c>
      <c r="K1526" s="11" t="s">
        <v>21</v>
      </c>
      <c r="L1526" s="7">
        <v>42140.148263888885</v>
      </c>
      <c r="M1526" s="12" t="s">
        <v>223</v>
      </c>
      <c r="N1526" s="12" t="s">
        <v>254</v>
      </c>
      <c r="O1526" s="10" t="str">
        <f>HYPERLINK("https://pbs.twimg.com/profile_images/600279861282869249/IpIJ3MKX_normal.png","View")</f>
        <v>View</v>
      </c>
      <c r="P1526" s="11"/>
    </row>
    <row r="1527" spans="1:16" ht="12.75" x14ac:dyDescent="0.35">
      <c r="A1527" s="7">
        <v>42480.594687500001</v>
      </c>
      <c r="B1527" s="8" t="str">
        <f>HYPERLINK("https://twitter.com/ElkeStei","@ElkeStei")</f>
        <v>@ElkeStei</v>
      </c>
      <c r="C1527" s="9" t="s">
        <v>2945</v>
      </c>
      <c r="D1527" s="9" t="s">
        <v>2809</v>
      </c>
      <c r="E1527" s="10" t="str">
        <f>HYPERLINK("https://twitter.com/ElkeStei/status/722707966525337600","722707966525337600")</f>
        <v>722707966525337600</v>
      </c>
      <c r="F1527" s="11" t="s">
        <v>31</v>
      </c>
      <c r="G1527" s="11">
        <v>403</v>
      </c>
      <c r="H1527" s="11">
        <v>228</v>
      </c>
      <c r="I1527" s="11">
        <v>4</v>
      </c>
      <c r="J1527" s="11">
        <v>0</v>
      </c>
      <c r="K1527" s="11" t="s">
        <v>21</v>
      </c>
      <c r="L1527" s="7">
        <v>42045.180844907409</v>
      </c>
      <c r="M1527" s="12"/>
      <c r="N1527" s="12" t="s">
        <v>2946</v>
      </c>
      <c r="O1527" s="10" t="str">
        <f>HYPERLINK("https://pbs.twimg.com/profile_images/617379223972499456/mB9LBMsl_normal.jpg","View")</f>
        <v>View</v>
      </c>
      <c r="P1527" s="11"/>
    </row>
    <row r="1528" spans="1:16" ht="12.75" x14ac:dyDescent="0.35">
      <c r="A1528" s="7">
        <v>42480.595266203702</v>
      </c>
      <c r="B1528" s="8" t="str">
        <f t="shared" ref="B1528:B1529" si="174">HYPERLINK("https://twitter.com/DKEAktuell","@DKEAktuell")</f>
        <v>@DKEAktuell</v>
      </c>
      <c r="C1528" s="9" t="s">
        <v>1289</v>
      </c>
      <c r="D1528" s="9" t="s">
        <v>2938</v>
      </c>
      <c r="E1528" s="10" t="str">
        <f>HYPERLINK("https://twitter.com/DKEAktuell/status/722708179830837249","722708179830837249")</f>
        <v>722708179830837249</v>
      </c>
      <c r="F1528" s="11" t="s">
        <v>268</v>
      </c>
      <c r="G1528" s="11">
        <v>572</v>
      </c>
      <c r="H1528" s="11">
        <v>525</v>
      </c>
      <c r="I1528" s="11">
        <v>12</v>
      </c>
      <c r="J1528" s="11">
        <v>0</v>
      </c>
      <c r="K1528" s="11" t="s">
        <v>21</v>
      </c>
      <c r="L1528" s="7">
        <v>41764.84847222222</v>
      </c>
      <c r="M1528" s="12" t="s">
        <v>1290</v>
      </c>
      <c r="N1528" s="12" t="s">
        <v>1291</v>
      </c>
      <c r="O1528" s="10" t="str">
        <f t="shared" ref="O1528:O1529" si="175">HYPERLINK("https://pbs.twimg.com/profile_images/465817969902092288/sEIgw9Gb_normal.jpeg","View")</f>
        <v>View</v>
      </c>
      <c r="P1528" s="11"/>
    </row>
    <row r="1529" spans="1:16" ht="12.75" x14ac:dyDescent="0.35">
      <c r="A1529" s="7">
        <v>42480.595937499995</v>
      </c>
      <c r="B1529" s="8" t="str">
        <f t="shared" si="174"/>
        <v>@DKEAktuell</v>
      </c>
      <c r="C1529" s="9" t="s">
        <v>1289</v>
      </c>
      <c r="D1529" s="9" t="s">
        <v>2870</v>
      </c>
      <c r="E1529" s="10" t="str">
        <f>HYPERLINK("https://twitter.com/DKEAktuell/status/722708420474900480","722708420474900480")</f>
        <v>722708420474900480</v>
      </c>
      <c r="F1529" s="11" t="s">
        <v>268</v>
      </c>
      <c r="G1529" s="11">
        <v>572</v>
      </c>
      <c r="H1529" s="11">
        <v>525</v>
      </c>
      <c r="I1529" s="11">
        <v>3</v>
      </c>
      <c r="J1529" s="11">
        <v>0</v>
      </c>
      <c r="K1529" s="11" t="s">
        <v>21</v>
      </c>
      <c r="L1529" s="7">
        <v>41764.84847222222</v>
      </c>
      <c r="M1529" s="12" t="s">
        <v>1290</v>
      </c>
      <c r="N1529" s="12" t="s">
        <v>1291</v>
      </c>
      <c r="O1529" s="10" t="str">
        <f t="shared" si="175"/>
        <v>View</v>
      </c>
      <c r="P1529" s="11"/>
    </row>
    <row r="1530" spans="1:16" ht="12.75" x14ac:dyDescent="0.35">
      <c r="A1530" s="7">
        <v>42480.597291666665</v>
      </c>
      <c r="B1530" s="8" t="str">
        <f>HYPERLINK("https://twitter.com/catkinEU","@catkinEU")</f>
        <v>@catkinEU</v>
      </c>
      <c r="C1530" s="9" t="s">
        <v>781</v>
      </c>
      <c r="D1530" s="9" t="s">
        <v>2947</v>
      </c>
      <c r="E1530" s="10" t="str">
        <f>HYPERLINK("https://twitter.com/catkinEU/status/722708910604468225","722708910604468225")</f>
        <v>722708910604468225</v>
      </c>
      <c r="F1530" s="11" t="s">
        <v>29</v>
      </c>
      <c r="G1530" s="11">
        <v>403</v>
      </c>
      <c r="H1530" s="11">
        <v>541</v>
      </c>
      <c r="I1530" s="11">
        <v>21</v>
      </c>
      <c r="J1530" s="11">
        <v>0</v>
      </c>
      <c r="K1530" s="11" t="s">
        <v>21</v>
      </c>
      <c r="L1530" s="7">
        <v>42153.955763888887</v>
      </c>
      <c r="M1530" s="12"/>
      <c r="N1530" s="12" t="s">
        <v>782</v>
      </c>
      <c r="O1530" s="10" t="str">
        <f>HYPERLINK("https://pbs.twimg.com/profile_images/604338428227010560/6jzSa8us_normal.png","View")</f>
        <v>View</v>
      </c>
      <c r="P1530" s="11"/>
    </row>
    <row r="1531" spans="1:16" ht="12.75" x14ac:dyDescent="0.35">
      <c r="A1531" s="7">
        <v>42480.597581018519</v>
      </c>
      <c r="B1531" s="8" t="str">
        <f>HYPERLINK("https://twitter.com/ROKAutomationDE","@ROKAutomationDE")</f>
        <v>@ROKAutomationDE</v>
      </c>
      <c r="C1531" s="9" t="s">
        <v>416</v>
      </c>
      <c r="D1531" s="9" t="s">
        <v>2952</v>
      </c>
      <c r="E1531" s="10" t="str">
        <f>HYPERLINK("https://twitter.com/ROKAutomationDE/status/722709015940198401","722709015940198401")</f>
        <v>722709015940198401</v>
      </c>
      <c r="F1531" s="11" t="s">
        <v>25</v>
      </c>
      <c r="G1531" s="11">
        <v>1728</v>
      </c>
      <c r="H1531" s="11">
        <v>831</v>
      </c>
      <c r="I1531" s="11">
        <v>1</v>
      </c>
      <c r="J1531" s="11">
        <v>0</v>
      </c>
      <c r="K1531" s="11" t="s">
        <v>21</v>
      </c>
      <c r="L1531" s="7">
        <v>40785.656261574077</v>
      </c>
      <c r="M1531" s="12" t="s">
        <v>581</v>
      </c>
      <c r="N1531" s="12" t="s">
        <v>2320</v>
      </c>
      <c r="O1531" s="10" t="str">
        <f>HYPERLINK("https://pbs.twimg.com/profile_images/495214827963297793/ZW7qWnoK_normal.jpeg","View")</f>
        <v>View</v>
      </c>
      <c r="P1531" s="11"/>
    </row>
    <row r="1532" spans="1:16" ht="12.75" x14ac:dyDescent="0.35">
      <c r="A1532" s="7">
        <v>42480.598009259258</v>
      </c>
      <c r="B1532" s="8" t="str">
        <f>HYPERLINK("https://twitter.com/ITK_OWL","@ITK_OWL")</f>
        <v>@ITK_OWL</v>
      </c>
      <c r="C1532" s="9" t="s">
        <v>220</v>
      </c>
      <c r="D1532" s="9" t="s">
        <v>2953</v>
      </c>
      <c r="E1532" s="10" t="str">
        <f>HYPERLINK("https://twitter.com/ITK_OWL/status/722709172450627584","722709172450627584")</f>
        <v>722709172450627584</v>
      </c>
      <c r="F1532" s="11" t="s">
        <v>222</v>
      </c>
      <c r="G1532" s="11">
        <v>199</v>
      </c>
      <c r="H1532" s="11">
        <v>389</v>
      </c>
      <c r="I1532" s="11">
        <v>1</v>
      </c>
      <c r="J1532" s="11">
        <v>0</v>
      </c>
      <c r="K1532" s="11" t="s">
        <v>21</v>
      </c>
      <c r="L1532" s="7">
        <v>42146.57880787037</v>
      </c>
      <c r="M1532" s="12" t="s">
        <v>223</v>
      </c>
      <c r="N1532" s="12" t="s">
        <v>224</v>
      </c>
      <c r="O1532" s="10" t="str">
        <f>HYPERLINK("https://pbs.twimg.com/profile_images/601673968551075840/MnulnKkj_normal.png","View")</f>
        <v>View</v>
      </c>
      <c r="P1532" s="11"/>
    </row>
    <row r="1533" spans="1:16" ht="12.75" x14ac:dyDescent="0.35">
      <c r="A1533" s="7">
        <v>42480.598020833335</v>
      </c>
      <c r="B1533" s="8" t="str">
        <f t="shared" ref="B1533:B1534" si="176">HYPERLINK("https://twitter.com/INDIZbot","@INDIZbot")</f>
        <v>@INDIZbot</v>
      </c>
      <c r="C1533" s="9" t="s">
        <v>61</v>
      </c>
      <c r="D1533" s="9" t="s">
        <v>2954</v>
      </c>
      <c r="E1533" s="10" t="str">
        <f>HYPERLINK("https://twitter.com/INDIZbot/status/722709174090604544","722709174090604544")</f>
        <v>722709174090604544</v>
      </c>
      <c r="F1533" s="11" t="s">
        <v>62</v>
      </c>
      <c r="G1533" s="11">
        <v>1762</v>
      </c>
      <c r="H1533" s="11">
        <v>481</v>
      </c>
      <c r="I1533" s="11">
        <v>1</v>
      </c>
      <c r="J1533" s="11">
        <v>0</v>
      </c>
      <c r="K1533" s="11" t="s">
        <v>21</v>
      </c>
      <c r="L1533" s="7">
        <v>42267.011921296296</v>
      </c>
      <c r="M1533" s="12"/>
      <c r="N1533" s="12" t="s">
        <v>63</v>
      </c>
      <c r="O1533" s="10" t="str">
        <f t="shared" ref="O1533:O1534" si="177">HYPERLINK("https://pbs.twimg.com/profile_images/645716711723925506/t5G0qOS6_normal.jpg","View")</f>
        <v>View</v>
      </c>
      <c r="P1533" s="11"/>
    </row>
    <row r="1534" spans="1:16" ht="12.75" x14ac:dyDescent="0.35">
      <c r="A1534" s="7">
        <v>42480.598171296297</v>
      </c>
      <c r="B1534" s="8" t="str">
        <f t="shared" si="176"/>
        <v>@INDIZbot</v>
      </c>
      <c r="C1534" s="9" t="s">
        <v>61</v>
      </c>
      <c r="D1534" s="9" t="s">
        <v>2947</v>
      </c>
      <c r="E1534" s="10" t="str">
        <f>HYPERLINK("https://twitter.com/INDIZbot/status/722709231863009280","722709231863009280")</f>
        <v>722709231863009280</v>
      </c>
      <c r="F1534" s="11" t="s">
        <v>62</v>
      </c>
      <c r="G1534" s="11">
        <v>1762</v>
      </c>
      <c r="H1534" s="11">
        <v>481</v>
      </c>
      <c r="I1534" s="11">
        <v>21</v>
      </c>
      <c r="J1534" s="11">
        <v>0</v>
      </c>
      <c r="K1534" s="11" t="s">
        <v>21</v>
      </c>
      <c r="L1534" s="7">
        <v>42267.011921296296</v>
      </c>
      <c r="M1534" s="12"/>
      <c r="N1534" s="12" t="s">
        <v>63</v>
      </c>
      <c r="O1534" s="10" t="str">
        <f t="shared" si="177"/>
        <v>View</v>
      </c>
      <c r="P1534" s="11"/>
    </row>
    <row r="1535" spans="1:16" ht="12.75" x14ac:dyDescent="0.35">
      <c r="A1535" s="7">
        <v>42480.598194444443</v>
      </c>
      <c r="B1535" s="8" t="str">
        <f>HYPERLINK("https://twitter.com/detecon","@detecon")</f>
        <v>@detecon</v>
      </c>
      <c r="C1535" s="9" t="s">
        <v>2955</v>
      </c>
      <c r="D1535" s="9" t="s">
        <v>2947</v>
      </c>
      <c r="E1535" s="10" t="str">
        <f>HYPERLINK("https://twitter.com/detecon/status/722709238695477248","722709238695477248")</f>
        <v>722709238695477248</v>
      </c>
      <c r="F1535" s="11" t="s">
        <v>31</v>
      </c>
      <c r="G1535" s="11">
        <v>232</v>
      </c>
      <c r="H1535" s="11">
        <v>108</v>
      </c>
      <c r="I1535" s="11">
        <v>21</v>
      </c>
      <c r="J1535" s="11">
        <v>0</v>
      </c>
      <c r="K1535" s="11" t="s">
        <v>21</v>
      </c>
      <c r="L1535" s="7">
        <v>42221.88795138889</v>
      </c>
      <c r="M1535" s="12" t="s">
        <v>2956</v>
      </c>
      <c r="N1535" s="12" t="s">
        <v>2957</v>
      </c>
      <c r="O1535" s="10" t="str">
        <f>HYPERLINK("https://pbs.twimg.com/profile_images/628961922659024897/KgqlciRo_normal.jpg","View")</f>
        <v>View</v>
      </c>
      <c r="P1535" s="11"/>
    </row>
    <row r="1536" spans="1:16" ht="12.75" x14ac:dyDescent="0.35">
      <c r="A1536" s="7">
        <v>42480.59851851852</v>
      </c>
      <c r="B1536" s="8" t="str">
        <f>HYPERLINK("https://twitter.com/mluebbecke","@mluebbecke")</f>
        <v>@mluebbecke</v>
      </c>
      <c r="C1536" s="9" t="s">
        <v>2958</v>
      </c>
      <c r="D1536" s="9" t="s">
        <v>2959</v>
      </c>
      <c r="E1536" s="10" t="str">
        <f>HYPERLINK("https://twitter.com/mluebbecke/status/722709354974199808","722709354974199808")</f>
        <v>722709354974199808</v>
      </c>
      <c r="F1536" s="11" t="s">
        <v>25</v>
      </c>
      <c r="G1536" s="11">
        <v>2773</v>
      </c>
      <c r="H1536" s="11">
        <v>594</v>
      </c>
      <c r="I1536" s="11">
        <v>3</v>
      </c>
      <c r="J1536" s="11">
        <v>0</v>
      </c>
      <c r="K1536" s="11" t="s">
        <v>21</v>
      </c>
      <c r="L1536" s="7">
        <v>39982.033564814818</v>
      </c>
      <c r="M1536" s="12" t="s">
        <v>184</v>
      </c>
      <c r="N1536" s="12" t="s">
        <v>2960</v>
      </c>
      <c r="O1536" s="10" t="str">
        <f>HYPERLINK("https://pbs.twimg.com/profile_images/648632901307867136/wbuESpIn_normal.jpg","View")</f>
        <v>View</v>
      </c>
      <c r="P1536" s="11"/>
    </row>
    <row r="1537" spans="1:16" ht="12.75" x14ac:dyDescent="0.35">
      <c r="A1537" s="7">
        <v>42480.598530092597</v>
      </c>
      <c r="B1537" s="8" t="str">
        <f>HYPERLINK("https://twitter.com/GlobalSign_DE","@GlobalSign_DE")</f>
        <v>@GlobalSign_DE</v>
      </c>
      <c r="C1537" s="9" t="s">
        <v>2961</v>
      </c>
      <c r="D1537" s="9" t="s">
        <v>2962</v>
      </c>
      <c r="E1537" s="10" t="str">
        <f>HYPERLINK("https://twitter.com/GlobalSign_DE/status/722709360678465537","722709360678465537")</f>
        <v>722709360678465537</v>
      </c>
      <c r="F1537" s="11" t="s">
        <v>115</v>
      </c>
      <c r="G1537" s="11">
        <v>146</v>
      </c>
      <c r="H1537" s="11">
        <v>113</v>
      </c>
      <c r="I1537" s="11">
        <v>1</v>
      </c>
      <c r="J1537" s="11">
        <v>0</v>
      </c>
      <c r="K1537" s="11" t="s">
        <v>21</v>
      </c>
      <c r="L1537" s="7">
        <v>40343.773530092592</v>
      </c>
      <c r="M1537" s="12"/>
      <c r="N1537" s="12" t="s">
        <v>2963</v>
      </c>
      <c r="O1537" s="10" t="str">
        <f>HYPERLINK("https://pbs.twimg.com/profile_images/553512307108487168/beYdeI1p_normal.png","View")</f>
        <v>View</v>
      </c>
      <c r="P1537" s="11"/>
    </row>
    <row r="1538" spans="1:16" ht="12.75" x14ac:dyDescent="0.35">
      <c r="A1538" s="7">
        <v>42480.598530092597</v>
      </c>
      <c r="B1538" s="8" t="str">
        <f>HYPERLINK("https://twitter.com/KPMG_DE","@KPMG_DE")</f>
        <v>@KPMG_DE</v>
      </c>
      <c r="C1538" s="9" t="s">
        <v>129</v>
      </c>
      <c r="D1538" s="9" t="s">
        <v>2908</v>
      </c>
      <c r="E1538" s="10" t="str">
        <f>HYPERLINK("https://twitter.com/KPMG_DE/status/722709360913289219","722709360913289219")</f>
        <v>722709360913289219</v>
      </c>
      <c r="F1538" s="11" t="s">
        <v>25</v>
      </c>
      <c r="G1538" s="11">
        <v>7632</v>
      </c>
      <c r="H1538" s="11">
        <v>1297</v>
      </c>
      <c r="I1538" s="11">
        <v>5</v>
      </c>
      <c r="J1538" s="11">
        <v>0</v>
      </c>
      <c r="K1538" s="11" t="s">
        <v>21</v>
      </c>
      <c r="L1538" s="7">
        <v>39937.687476851854</v>
      </c>
      <c r="M1538" s="12" t="s">
        <v>92</v>
      </c>
      <c r="N1538" s="12" t="s">
        <v>131</v>
      </c>
      <c r="O1538" s="10" t="str">
        <f>HYPERLINK("https://pbs.twimg.com/profile_images/672817485134045185/q-VTXmOg_normal.jpg","View")</f>
        <v>View</v>
      </c>
      <c r="P1538" s="11"/>
    </row>
    <row r="1539" spans="1:16" ht="12.75" x14ac:dyDescent="0.35">
      <c r="A1539" s="7">
        <v>42480.598553240736</v>
      </c>
      <c r="B1539" s="8" t="str">
        <f>HYPERLINK("https://twitter.com/INDIZbot","@INDIZbot")</f>
        <v>@INDIZbot</v>
      </c>
      <c r="C1539" s="9" t="s">
        <v>61</v>
      </c>
      <c r="D1539" s="9" t="s">
        <v>2870</v>
      </c>
      <c r="E1539" s="10" t="str">
        <f>HYPERLINK("https://twitter.com/INDIZbot/status/722709369352298496","722709369352298496")</f>
        <v>722709369352298496</v>
      </c>
      <c r="F1539" s="11" t="s">
        <v>62</v>
      </c>
      <c r="G1539" s="11">
        <v>1762</v>
      </c>
      <c r="H1539" s="11">
        <v>481</v>
      </c>
      <c r="I1539" s="11">
        <v>3</v>
      </c>
      <c r="J1539" s="11">
        <v>0</v>
      </c>
      <c r="K1539" s="11" t="s">
        <v>21</v>
      </c>
      <c r="L1539" s="7">
        <v>42267.011921296296</v>
      </c>
      <c r="M1539" s="12"/>
      <c r="N1539" s="12" t="s">
        <v>63</v>
      </c>
      <c r="O1539" s="10" t="str">
        <f>HYPERLINK("https://pbs.twimg.com/profile_images/645716711723925506/t5G0qOS6_normal.jpg","View")</f>
        <v>View</v>
      </c>
      <c r="P1539" s="11"/>
    </row>
    <row r="1540" spans="1:16" ht="12.75" x14ac:dyDescent="0.35">
      <c r="A1540" s="7">
        <v>42480.598750000005</v>
      </c>
      <c r="B1540" s="8" t="str">
        <f>HYPERLINK("https://twitter.com/BitkomResearch","@BitkomResearch")</f>
        <v>@BitkomResearch</v>
      </c>
      <c r="C1540" s="9" t="s">
        <v>238</v>
      </c>
      <c r="D1540" s="9" t="s">
        <v>2964</v>
      </c>
      <c r="E1540" s="10" t="str">
        <f>HYPERLINK("https://twitter.com/BitkomResearch/status/722709438352777216","722709438352777216")</f>
        <v>722709438352777216</v>
      </c>
      <c r="F1540" s="11" t="s">
        <v>25</v>
      </c>
      <c r="G1540" s="11">
        <v>7067</v>
      </c>
      <c r="H1540" s="11">
        <v>6781</v>
      </c>
      <c r="I1540" s="11">
        <v>12</v>
      </c>
      <c r="J1540" s="11">
        <v>6</v>
      </c>
      <c r="K1540" s="11" t="s">
        <v>21</v>
      </c>
      <c r="L1540" s="7">
        <v>42227.56631944445</v>
      </c>
      <c r="M1540" s="12" t="s">
        <v>116</v>
      </c>
      <c r="N1540" s="12" t="s">
        <v>240</v>
      </c>
      <c r="O1540" s="10" t="str">
        <f>HYPERLINK("https://pbs.twimg.com/profile_images/631021673857290240/dsNYkRwd_normal.jpg","View")</f>
        <v>View</v>
      </c>
      <c r="P1540" s="11"/>
    </row>
    <row r="1541" spans="1:16" ht="12.75" x14ac:dyDescent="0.35">
      <c r="A1541" s="7">
        <v>42480.598819444444</v>
      </c>
      <c r="B1541" s="8" t="str">
        <f>HYPERLINK("https://twitter.com/INDIZbot","@INDIZbot")</f>
        <v>@INDIZbot</v>
      </c>
      <c r="C1541" s="9" t="s">
        <v>61</v>
      </c>
      <c r="D1541" s="9" t="s">
        <v>2938</v>
      </c>
      <c r="E1541" s="10" t="str">
        <f>HYPERLINK("https://twitter.com/INDIZbot/status/722709464143544320","722709464143544320")</f>
        <v>722709464143544320</v>
      </c>
      <c r="F1541" s="11" t="s">
        <v>62</v>
      </c>
      <c r="G1541" s="11">
        <v>1762</v>
      </c>
      <c r="H1541" s="11">
        <v>481</v>
      </c>
      <c r="I1541" s="11">
        <v>12</v>
      </c>
      <c r="J1541" s="11">
        <v>0</v>
      </c>
      <c r="K1541" s="11" t="s">
        <v>21</v>
      </c>
      <c r="L1541" s="7">
        <v>42267.011921296296</v>
      </c>
      <c r="M1541" s="12"/>
      <c r="N1541" s="12" t="s">
        <v>63</v>
      </c>
      <c r="O1541" s="10" t="str">
        <f>HYPERLINK("https://pbs.twimg.com/profile_images/645716711723925506/t5G0qOS6_normal.jpg","View")</f>
        <v>View</v>
      </c>
      <c r="P1541" s="11"/>
    </row>
    <row r="1542" spans="1:16" ht="12.75" x14ac:dyDescent="0.35">
      <c r="A1542" s="7">
        <v>42480.598819444444</v>
      </c>
      <c r="B1542" s="8" t="str">
        <f>HYPERLINK("https://twitter.com/DKEAktuell","@DKEAktuell")</f>
        <v>@DKEAktuell</v>
      </c>
      <c r="C1542" s="9" t="s">
        <v>1289</v>
      </c>
      <c r="D1542" s="9" t="s">
        <v>2800</v>
      </c>
      <c r="E1542" s="10" t="str">
        <f>HYPERLINK("https://twitter.com/DKEAktuell/status/722709467272507392","722709467272507392")</f>
        <v>722709467272507392</v>
      </c>
      <c r="F1542" s="11" t="s">
        <v>268</v>
      </c>
      <c r="G1542" s="11">
        <v>572</v>
      </c>
      <c r="H1542" s="11">
        <v>525</v>
      </c>
      <c r="I1542" s="11">
        <v>4</v>
      </c>
      <c r="J1542" s="11">
        <v>0</v>
      </c>
      <c r="K1542" s="11" t="s">
        <v>21</v>
      </c>
      <c r="L1542" s="7">
        <v>41764.84847222222</v>
      </c>
      <c r="M1542" s="12" t="s">
        <v>1290</v>
      </c>
      <c r="N1542" s="12" t="s">
        <v>1291</v>
      </c>
      <c r="O1542" s="10" t="str">
        <f>HYPERLINK("https://pbs.twimg.com/profile_images/465817969902092288/sEIgw9Gb_normal.jpeg","View")</f>
        <v>View</v>
      </c>
      <c r="P1542" s="11"/>
    </row>
    <row r="1543" spans="1:16" ht="12.75" x14ac:dyDescent="0.35">
      <c r="A1543" s="7">
        <v>42480.599143518513</v>
      </c>
      <c r="B1543" s="8" t="str">
        <f>HYPERLINK("https://twitter.com/sensorplustest","@sensorplustest")</f>
        <v>@sensorplustest</v>
      </c>
      <c r="C1543" s="9" t="s">
        <v>886</v>
      </c>
      <c r="D1543" s="9" t="s">
        <v>2938</v>
      </c>
      <c r="E1543" s="10" t="str">
        <f>HYPERLINK("https://twitter.com/sensorplustest/status/722709581227495426","722709581227495426")</f>
        <v>722709581227495426</v>
      </c>
      <c r="F1543" s="11" t="s">
        <v>39</v>
      </c>
      <c r="G1543" s="11">
        <v>414</v>
      </c>
      <c r="H1543" s="11">
        <v>182</v>
      </c>
      <c r="I1543" s="11">
        <v>12</v>
      </c>
      <c r="J1543" s="11">
        <v>0</v>
      </c>
      <c r="K1543" s="11" t="s">
        <v>21</v>
      </c>
      <c r="L1543" s="7">
        <v>41318.824606481481</v>
      </c>
      <c r="M1543" s="12" t="s">
        <v>887</v>
      </c>
      <c r="N1543" s="12" t="s">
        <v>888</v>
      </c>
      <c r="O1543" s="10" t="str">
        <f>HYPERLINK("https://pbs.twimg.com/profile_images/378800000664327316/6a5c3a2d43525a9b5044906960528925_normal.jpeg","View")</f>
        <v>View</v>
      </c>
      <c r="P1543" s="11"/>
    </row>
    <row r="1544" spans="1:16" ht="12.75" x14ac:dyDescent="0.35">
      <c r="A1544" s="7">
        <v>42480.599791666667</v>
      </c>
      <c r="B1544" s="8" t="str">
        <f>HYPERLINK("https://twitter.com/DKEAktuell","@DKEAktuell")</f>
        <v>@DKEAktuell</v>
      </c>
      <c r="C1544" s="9" t="s">
        <v>1289</v>
      </c>
      <c r="D1544" s="9" t="s">
        <v>2965</v>
      </c>
      <c r="E1544" s="10" t="str">
        <f>HYPERLINK("https://twitter.com/DKEAktuell/status/722709816590917632","722709816590917632")</f>
        <v>722709816590917632</v>
      </c>
      <c r="F1544" s="11" t="s">
        <v>268</v>
      </c>
      <c r="G1544" s="11">
        <v>572</v>
      </c>
      <c r="H1544" s="11">
        <v>525</v>
      </c>
      <c r="I1544" s="11">
        <v>12</v>
      </c>
      <c r="J1544" s="11">
        <v>0</v>
      </c>
      <c r="K1544" s="11" t="s">
        <v>21</v>
      </c>
      <c r="L1544" s="7">
        <v>41764.84847222222</v>
      </c>
      <c r="M1544" s="12" t="s">
        <v>1290</v>
      </c>
      <c r="N1544" s="12" t="s">
        <v>1291</v>
      </c>
      <c r="O1544" s="10" t="str">
        <f>HYPERLINK("https://pbs.twimg.com/profile_images/465817969902092288/sEIgw9Gb_normal.jpeg","View")</f>
        <v>View</v>
      </c>
      <c r="P1544" s="11"/>
    </row>
    <row r="1545" spans="1:16" ht="12.75" x14ac:dyDescent="0.35">
      <c r="A1545" s="7">
        <v>42480.60056712963</v>
      </c>
      <c r="B1545" s="8" t="str">
        <f>HYPERLINK("https://twitter.com/IEBook","@IEBook")</f>
        <v>@IEBook</v>
      </c>
      <c r="C1545" s="9" t="s">
        <v>2966</v>
      </c>
      <c r="D1545" s="9" t="s">
        <v>2967</v>
      </c>
      <c r="E1545" s="10" t="str">
        <f>HYPERLINK("https://twitter.com/IEBook/status/722710099463159809","722710099463159809")</f>
        <v>722710099463159809</v>
      </c>
      <c r="F1545" s="11" t="s">
        <v>25</v>
      </c>
      <c r="G1545" s="11">
        <v>1757</v>
      </c>
      <c r="H1545" s="11">
        <v>46</v>
      </c>
      <c r="I1545" s="11">
        <v>1</v>
      </c>
      <c r="J1545" s="11">
        <v>0</v>
      </c>
      <c r="K1545" s="11" t="s">
        <v>21</v>
      </c>
      <c r="L1545" s="7">
        <v>40073.879814814813</v>
      </c>
      <c r="M1545" s="12"/>
      <c r="N1545" s="12" t="s">
        <v>2968</v>
      </c>
      <c r="O1545" s="10" t="str">
        <f>HYPERLINK("https://pbs.twimg.com/profile_images/718453542210703360/gxKMOQIw_normal.jpg","View")</f>
        <v>View</v>
      </c>
      <c r="P1545" s="11"/>
    </row>
    <row r="1546" spans="1:16" ht="12.75" x14ac:dyDescent="0.35">
      <c r="A1546" s="7">
        <v>42480.600578703699</v>
      </c>
      <c r="B1546" s="8" t="str">
        <f>HYPERLINK("https://twitter.com/pbo","@pbo")</f>
        <v>@pbo</v>
      </c>
      <c r="C1546" s="9" t="s">
        <v>2969</v>
      </c>
      <c r="D1546" s="9" t="s">
        <v>2965</v>
      </c>
      <c r="E1546" s="10" t="str">
        <f>HYPERLINK("https://twitter.com/pbo/status/722710100864081920","722710100864081920")</f>
        <v>722710100864081920</v>
      </c>
      <c r="F1546" s="11" t="s">
        <v>20</v>
      </c>
      <c r="G1546" s="11">
        <v>2454</v>
      </c>
      <c r="H1546" s="11">
        <v>498</v>
      </c>
      <c r="I1546" s="11">
        <v>12</v>
      </c>
      <c r="J1546" s="11">
        <v>0</v>
      </c>
      <c r="K1546" s="11" t="s">
        <v>21</v>
      </c>
      <c r="L1546" s="7">
        <v>39373.558645833335</v>
      </c>
      <c r="M1546" s="12" t="s">
        <v>2970</v>
      </c>
      <c r="N1546" s="12" t="s">
        <v>2971</v>
      </c>
      <c r="O1546" s="10" t="str">
        <f>HYPERLINK("https://pbs.twimg.com/profile_images/479147167316447232/wjLq1bNw_normal.jpeg","View")</f>
        <v>View</v>
      </c>
      <c r="P1546" s="11"/>
    </row>
    <row r="1547" spans="1:16" ht="12.75" x14ac:dyDescent="0.35">
      <c r="A1547" s="7">
        <v>42480.600671296299</v>
      </c>
      <c r="B1547" s="8" t="str">
        <f>HYPERLINK("https://twitter.com/petra_wilmering","@petra_wilmering")</f>
        <v>@petra_wilmering</v>
      </c>
      <c r="C1547" s="9" t="s">
        <v>2972</v>
      </c>
      <c r="D1547" s="9" t="s">
        <v>2965</v>
      </c>
      <c r="E1547" s="10" t="str">
        <f>HYPERLINK("https://twitter.com/petra_wilmering/status/722710134556880896","722710134556880896")</f>
        <v>722710134556880896</v>
      </c>
      <c r="F1547" s="11" t="s">
        <v>25</v>
      </c>
      <c r="G1547" s="11">
        <v>321</v>
      </c>
      <c r="H1547" s="11">
        <v>584</v>
      </c>
      <c r="I1547" s="11">
        <v>12</v>
      </c>
      <c r="J1547" s="11">
        <v>0</v>
      </c>
      <c r="K1547" s="11" t="s">
        <v>21</v>
      </c>
      <c r="L1547" s="7">
        <v>41039.640960648147</v>
      </c>
      <c r="M1547" s="12" t="s">
        <v>2973</v>
      </c>
      <c r="N1547" s="12" t="s">
        <v>2974</v>
      </c>
      <c r="O1547" s="10" t="str">
        <f>HYPERLINK("https://pbs.twimg.com/profile_images/701776100779827200/U7ye1yMv_normal.jpg","View")</f>
        <v>View</v>
      </c>
      <c r="P1547" s="11"/>
    </row>
    <row r="1548" spans="1:16" ht="12.75" x14ac:dyDescent="0.35">
      <c r="A1548" s="7">
        <v>42480.600972222222</v>
      </c>
      <c r="B1548" s="8" t="str">
        <f>HYPERLINK("https://twitter.com/cemanews","@cemanews")</f>
        <v>@cemanews</v>
      </c>
      <c r="C1548" s="9" t="s">
        <v>2975</v>
      </c>
      <c r="D1548" s="9" t="s">
        <v>2947</v>
      </c>
      <c r="E1548" s="10" t="str">
        <f>HYPERLINK("https://twitter.com/cemanews/status/722710245265514497","722710245265514497")</f>
        <v>722710245265514497</v>
      </c>
      <c r="F1548" s="11" t="s">
        <v>25</v>
      </c>
      <c r="G1548" s="11">
        <v>378</v>
      </c>
      <c r="H1548" s="11">
        <v>148</v>
      </c>
      <c r="I1548" s="11">
        <v>21</v>
      </c>
      <c r="J1548" s="11">
        <v>0</v>
      </c>
      <c r="K1548" s="11" t="s">
        <v>21</v>
      </c>
      <c r="L1548" s="7">
        <v>40014.630659722221</v>
      </c>
      <c r="M1548" s="12" t="s">
        <v>2976</v>
      </c>
      <c r="N1548" s="12" t="s">
        <v>2977</v>
      </c>
      <c r="O1548" s="10" t="str">
        <f>HYPERLINK("https://pbs.twimg.com/profile_images/324344932/cemaQuadrat5x5_normal.jpg","View")</f>
        <v>View</v>
      </c>
      <c r="P1548" s="11"/>
    </row>
    <row r="1549" spans="1:16" ht="12.75" x14ac:dyDescent="0.35">
      <c r="A1549" s="7">
        <v>42480.601041666669</v>
      </c>
      <c r="B1549" s="8" t="str">
        <f>HYPERLINK("https://twitter.com/INAUTOMATION","@INAUTOMATION")</f>
        <v>@INAUTOMATION</v>
      </c>
      <c r="C1549" s="9" t="s">
        <v>2978</v>
      </c>
      <c r="D1549" s="9" t="s">
        <v>2979</v>
      </c>
      <c r="E1549" s="10" t="str">
        <f>HYPERLINK("https://twitter.com/INAUTOMATION/status/722710270611689472","722710270611689472")</f>
        <v>722710270611689472</v>
      </c>
      <c r="F1549" s="11" t="s">
        <v>25</v>
      </c>
      <c r="G1549" s="11">
        <v>1267</v>
      </c>
      <c r="H1549" s="11">
        <v>433</v>
      </c>
      <c r="I1549" s="11">
        <v>7</v>
      </c>
      <c r="J1549" s="11">
        <v>1</v>
      </c>
      <c r="K1549" s="11" t="s">
        <v>21</v>
      </c>
      <c r="L1549" s="7">
        <v>40920.845081018517</v>
      </c>
      <c r="M1549" s="12" t="s">
        <v>2980</v>
      </c>
      <c r="N1549" s="12" t="s">
        <v>2981</v>
      </c>
      <c r="O1549" s="10" t="str">
        <f>HYPERLINK("https://pbs.twimg.com/profile_images/448785638809026560/0Q5iF41s_normal.png","View")</f>
        <v>View</v>
      </c>
      <c r="P1549" s="11"/>
    </row>
    <row r="1550" spans="1:16" ht="12.75" x14ac:dyDescent="0.35">
      <c r="A1550" s="7">
        <v>42480.601423611108</v>
      </c>
      <c r="B1550" s="8" t="str">
        <f>HYPERLINK("https://twitter.com/Bitkom_I40","@Bitkom_I40")</f>
        <v>@Bitkom_I40</v>
      </c>
      <c r="C1550" s="9" t="s">
        <v>1857</v>
      </c>
      <c r="D1550" s="9" t="s">
        <v>2947</v>
      </c>
      <c r="E1550" s="10" t="str">
        <f>HYPERLINK("https://twitter.com/Bitkom_I40/status/722710407052455941","722710407052455941")</f>
        <v>722710407052455941</v>
      </c>
      <c r="F1550" s="11" t="s">
        <v>115</v>
      </c>
      <c r="G1550" s="11">
        <v>754</v>
      </c>
      <c r="H1550" s="11">
        <v>44</v>
      </c>
      <c r="I1550" s="11">
        <v>21</v>
      </c>
      <c r="J1550" s="11">
        <v>0</v>
      </c>
      <c r="K1550" s="11" t="s">
        <v>21</v>
      </c>
      <c r="L1550" s="7">
        <v>41613.773194444446</v>
      </c>
      <c r="M1550" s="12" t="s">
        <v>218</v>
      </c>
      <c r="N1550" s="12" t="s">
        <v>1860</v>
      </c>
      <c r="O1550" s="10" t="str">
        <f>HYPERLINK("https://pbs.twimg.com/profile_images/723407487395713024/0hZv7R8S_normal.jpg","View")</f>
        <v>View</v>
      </c>
      <c r="P1550" s="11"/>
    </row>
    <row r="1551" spans="1:16" ht="12.75" x14ac:dyDescent="0.35">
      <c r="A1551" s="7">
        <v>42480.601770833338</v>
      </c>
      <c r="B1551" s="8" t="str">
        <f>HYPERLINK("https://twitter.com/DerKonstrukteu","@DerKonstrukteu")</f>
        <v>@DerKonstrukteu</v>
      </c>
      <c r="C1551" s="9" t="s">
        <v>2098</v>
      </c>
      <c r="D1551" s="9" t="s">
        <v>2982</v>
      </c>
      <c r="E1551" s="10" t="str">
        <f>HYPERLINK("https://twitter.com/DerKonstrukteu/status/722710535230369792","722710535230369792")</f>
        <v>722710535230369792</v>
      </c>
      <c r="F1551" s="11" t="s">
        <v>25</v>
      </c>
      <c r="G1551" s="11">
        <v>1142</v>
      </c>
      <c r="H1551" s="11">
        <v>610</v>
      </c>
      <c r="I1551" s="11">
        <v>7</v>
      </c>
      <c r="J1551" s="11">
        <v>0</v>
      </c>
      <c r="K1551" s="11" t="s">
        <v>21</v>
      </c>
      <c r="L1551" s="7">
        <v>41612.809548611112</v>
      </c>
      <c r="M1551" s="12" t="s">
        <v>2100</v>
      </c>
      <c r="N1551" s="12" t="s">
        <v>2101</v>
      </c>
      <c r="O1551" s="10" t="str">
        <f>HYPERLINK("https://pbs.twimg.com/profile_images/448785978165968896/SQOcI8cJ_normal.png","View")</f>
        <v>View</v>
      </c>
      <c r="P1551" s="11"/>
    </row>
    <row r="1552" spans="1:16" ht="12.75" x14ac:dyDescent="0.35">
      <c r="A1552" s="7">
        <v>42480.6018287037</v>
      </c>
      <c r="B1552" s="8" t="str">
        <f>HYPERLINK("https://twitter.com/HESSENMETALL","@HESSENMETALL")</f>
        <v>@HESSENMETALL</v>
      </c>
      <c r="C1552" s="9" t="s">
        <v>2983</v>
      </c>
      <c r="D1552" s="9" t="s">
        <v>2984</v>
      </c>
      <c r="E1552" s="10" t="str">
        <f>HYPERLINK("https://twitter.com/HESSENMETALL/status/722710556126396416","722710556126396416")</f>
        <v>722710556126396416</v>
      </c>
      <c r="F1552" s="11" t="s">
        <v>39</v>
      </c>
      <c r="G1552" s="11">
        <v>201</v>
      </c>
      <c r="H1552" s="11">
        <v>149</v>
      </c>
      <c r="I1552" s="11">
        <v>0</v>
      </c>
      <c r="J1552" s="11">
        <v>0</v>
      </c>
      <c r="K1552" s="11" t="s">
        <v>21</v>
      </c>
      <c r="L1552" s="7">
        <v>41830.710995370369</v>
      </c>
      <c r="M1552" s="12" t="s">
        <v>1290</v>
      </c>
      <c r="N1552" s="12" t="s">
        <v>2985</v>
      </c>
      <c r="O1552" s="10" t="str">
        <f>HYPERLINK("https://pbs.twimg.com/profile_images/573131119459090433/chvdSZ_E_normal.png","View")</f>
        <v>View</v>
      </c>
      <c r="P1552" s="11"/>
    </row>
    <row r="1553" spans="1:16" ht="12.75" x14ac:dyDescent="0.35">
      <c r="A1553" s="7">
        <v>42480.601956018523</v>
      </c>
      <c r="B1553" s="8" t="str">
        <f>HYPERLINK("https://twitter.com/KaiKeppner","@KaiKeppner")</f>
        <v>@KaiKeppner</v>
      </c>
      <c r="C1553" s="9" t="s">
        <v>1840</v>
      </c>
      <c r="D1553" s="9" t="s">
        <v>2965</v>
      </c>
      <c r="E1553" s="10" t="str">
        <f>HYPERLINK("https://twitter.com/KaiKeppner/status/722710600686690305","722710600686690305")</f>
        <v>722710600686690305</v>
      </c>
      <c r="F1553" s="11" t="s">
        <v>25</v>
      </c>
      <c r="G1553" s="11">
        <v>1011</v>
      </c>
      <c r="H1553" s="11">
        <v>1268</v>
      </c>
      <c r="I1553" s="11">
        <v>12</v>
      </c>
      <c r="J1553" s="11">
        <v>0</v>
      </c>
      <c r="K1553" s="11" t="s">
        <v>21</v>
      </c>
      <c r="L1553" s="7">
        <v>41590.701886574076</v>
      </c>
      <c r="M1553" s="12" t="s">
        <v>184</v>
      </c>
      <c r="N1553" s="12" t="s">
        <v>1842</v>
      </c>
      <c r="O1553" s="10" t="str">
        <f>HYPERLINK("https://pbs.twimg.com/profile_images/378800000730169702/55f82a9488f9b8b9ad44de17e41286d4_normal.jpeg","View")</f>
        <v>View</v>
      </c>
      <c r="P1553" s="11"/>
    </row>
    <row r="1554" spans="1:16" ht="12.75" x14ac:dyDescent="0.35">
      <c r="A1554" s="7">
        <v>42480.602164351847</v>
      </c>
      <c r="B1554" s="8" t="str">
        <f>HYPERLINK("https://twitter.com/antriebstech","@antriebstech")</f>
        <v>@antriebstech</v>
      </c>
      <c r="C1554" s="9" t="s">
        <v>2986</v>
      </c>
      <c r="D1554" s="9" t="s">
        <v>2982</v>
      </c>
      <c r="E1554" s="10" t="str">
        <f>HYPERLINK("https://twitter.com/antriebstech/status/722710676402257922","722710676402257922")</f>
        <v>722710676402257922</v>
      </c>
      <c r="F1554" s="11" t="s">
        <v>25</v>
      </c>
      <c r="G1554" s="11">
        <v>673</v>
      </c>
      <c r="H1554" s="11">
        <v>219</v>
      </c>
      <c r="I1554" s="11">
        <v>7</v>
      </c>
      <c r="J1554" s="11">
        <v>0</v>
      </c>
      <c r="K1554" s="11" t="s">
        <v>21</v>
      </c>
      <c r="L1554" s="7">
        <v>41478.786249999997</v>
      </c>
      <c r="M1554" s="12" t="s">
        <v>2980</v>
      </c>
      <c r="N1554" s="12" t="s">
        <v>2987</v>
      </c>
      <c r="O1554" s="10" t="str">
        <f>HYPERLINK("https://pbs.twimg.com/profile_images/448784906177372160/yjjDD_wt_normal.png","View")</f>
        <v>View</v>
      </c>
      <c r="P1554" s="11"/>
    </row>
    <row r="1555" spans="1:16" ht="12.75" x14ac:dyDescent="0.35">
      <c r="A1555" s="7">
        <v>42480.602650462963</v>
      </c>
      <c r="B1555" s="8" t="str">
        <f>HYPERLINK("https://twitter.com/OP_Magazin","@OP_Magazin")</f>
        <v>@OP_Magazin</v>
      </c>
      <c r="C1555" s="9" t="s">
        <v>2311</v>
      </c>
      <c r="D1555" s="9" t="s">
        <v>2982</v>
      </c>
      <c r="E1555" s="10" t="str">
        <f>HYPERLINK("https://twitter.com/OP_Magazin/status/722710852802113536","722710852802113536")</f>
        <v>722710852802113536</v>
      </c>
      <c r="F1555" s="11" t="s">
        <v>25</v>
      </c>
      <c r="G1555" s="11">
        <v>291</v>
      </c>
      <c r="H1555" s="11">
        <v>778</v>
      </c>
      <c r="I1555" s="11">
        <v>7</v>
      </c>
      <c r="J1555" s="11">
        <v>0</v>
      </c>
      <c r="K1555" s="11" t="s">
        <v>21</v>
      </c>
      <c r="L1555" s="7">
        <v>41612.853506944448</v>
      </c>
      <c r="M1555" s="12" t="s">
        <v>2312</v>
      </c>
      <c r="N1555" s="12" t="s">
        <v>2313</v>
      </c>
      <c r="O1555" s="10" t="str">
        <f>HYPERLINK("https://pbs.twimg.com/profile_images/689824323767500800/bE2B56AT_normal.png","View")</f>
        <v>View</v>
      </c>
      <c r="P1555" s="11"/>
    </row>
    <row r="1556" spans="1:16" ht="12.75" x14ac:dyDescent="0.35">
      <c r="A1556" s="7">
        <v>42480.602986111116</v>
      </c>
      <c r="B1556" s="8" t="str">
        <f>HYPERLINK("https://twitter.com/Mobile_Maschine","@Mobile_Maschine")</f>
        <v>@Mobile_Maschine</v>
      </c>
      <c r="C1556" s="9" t="s">
        <v>2988</v>
      </c>
      <c r="D1556" s="9" t="s">
        <v>2982</v>
      </c>
      <c r="E1556" s="10" t="str">
        <f>HYPERLINK("https://twitter.com/Mobile_Maschine/status/722710976152387585","722710976152387585")</f>
        <v>722710976152387585</v>
      </c>
      <c r="F1556" s="11" t="s">
        <v>25</v>
      </c>
      <c r="G1556" s="11">
        <v>371</v>
      </c>
      <c r="H1556" s="11">
        <v>564</v>
      </c>
      <c r="I1556" s="11">
        <v>7</v>
      </c>
      <c r="J1556" s="11">
        <v>0</v>
      </c>
      <c r="K1556" s="11" t="s">
        <v>21</v>
      </c>
      <c r="L1556" s="7">
        <v>41612.839641203704</v>
      </c>
      <c r="M1556" s="12" t="s">
        <v>2100</v>
      </c>
      <c r="N1556" s="12" t="s">
        <v>2989</v>
      </c>
      <c r="O1556" s="10" t="str">
        <f>HYPERLINK("https://pbs.twimg.com/profile_images/448786401576759298/xZYSAb67_normal.png","View")</f>
        <v>View</v>
      </c>
      <c r="P1556" s="11"/>
    </row>
    <row r="1557" spans="1:16" ht="12.75" x14ac:dyDescent="0.35">
      <c r="A1557" s="7">
        <v>42480.603321759263</v>
      </c>
      <c r="B1557" s="8" t="str">
        <f>HYPERLINK("https://twitter.com/wertfinder","@wertfinder")</f>
        <v>@wertfinder</v>
      </c>
      <c r="C1557" s="9" t="s">
        <v>2990</v>
      </c>
      <c r="D1557" s="9" t="s">
        <v>2947</v>
      </c>
      <c r="E1557" s="10" t="str">
        <f>HYPERLINK("https://twitter.com/wertfinder/status/722711095836860418","722711095836860418")</f>
        <v>722711095836860418</v>
      </c>
      <c r="F1557" s="11" t="s">
        <v>25</v>
      </c>
      <c r="G1557" s="11">
        <v>74</v>
      </c>
      <c r="H1557" s="11">
        <v>137</v>
      </c>
      <c r="I1557" s="11">
        <v>21</v>
      </c>
      <c r="J1557" s="11">
        <v>0</v>
      </c>
      <c r="K1557" s="11" t="s">
        <v>21</v>
      </c>
      <c r="L1557" s="7">
        <v>41026.623981481483</v>
      </c>
      <c r="M1557" s="12" t="s">
        <v>895</v>
      </c>
      <c r="N1557" s="12" t="s">
        <v>2991</v>
      </c>
      <c r="O1557" s="10" t="str">
        <f>HYPERLINK("https://pbs.twimg.com/profile_images/416624713788452864/4sW9fFDD_normal.jpeg","View")</f>
        <v>View</v>
      </c>
      <c r="P1557" s="11"/>
    </row>
    <row r="1558" spans="1:16" ht="12.75" x14ac:dyDescent="0.35">
      <c r="A1558" s="7">
        <v>42480.60428240741</v>
      </c>
      <c r="B1558" s="8" t="str">
        <f>HYPERLINK("https://twitter.com/verlinked","@verlinked")</f>
        <v>@verlinked</v>
      </c>
      <c r="C1558" s="9" t="s">
        <v>263</v>
      </c>
      <c r="D1558" s="9" t="s">
        <v>2992</v>
      </c>
      <c r="E1558" s="10" t="str">
        <f>HYPERLINK("https://twitter.com/verlinked/status/722711446862192640","722711446862192640")</f>
        <v>722711446862192640</v>
      </c>
      <c r="F1558" s="11" t="s">
        <v>115</v>
      </c>
      <c r="G1558" s="11">
        <v>600</v>
      </c>
      <c r="H1558" s="11">
        <v>1201</v>
      </c>
      <c r="I1558" s="11">
        <v>1</v>
      </c>
      <c r="J1558" s="11">
        <v>0</v>
      </c>
      <c r="K1558" s="11" t="s">
        <v>21</v>
      </c>
      <c r="L1558" s="7">
        <v>41463.077627314815</v>
      </c>
      <c r="M1558" s="12" t="s">
        <v>265</v>
      </c>
      <c r="N1558" s="12" t="s">
        <v>266</v>
      </c>
      <c r="O1558" s="10" t="str">
        <f>HYPERLINK("https://pbs.twimg.com/profile_images/722385992343285760/ww8YLZ2q_normal.jpg","View")</f>
        <v>View</v>
      </c>
      <c r="P1558" s="11"/>
    </row>
    <row r="1559" spans="1:16" ht="12.75" x14ac:dyDescent="0.35">
      <c r="A1559" s="7">
        <v>42480.604351851856</v>
      </c>
      <c r="B1559" s="8" t="str">
        <f>HYPERLINK("https://twitter.com/kommoptimierer","@kommoptimierer")</f>
        <v>@kommoptimierer</v>
      </c>
      <c r="C1559" s="9" t="s">
        <v>270</v>
      </c>
      <c r="D1559" s="9" t="s">
        <v>271</v>
      </c>
      <c r="E1559" s="10" t="str">
        <f>HYPERLINK("https://twitter.com/kommoptimierer/status/722711471302512640","722711471302512640")</f>
        <v>722711471302512640</v>
      </c>
      <c r="F1559" s="11" t="s">
        <v>272</v>
      </c>
      <c r="G1559" s="11">
        <v>1347</v>
      </c>
      <c r="H1559" s="11">
        <v>1753</v>
      </c>
      <c r="I1559" s="11">
        <v>1</v>
      </c>
      <c r="J1559" s="11">
        <v>0</v>
      </c>
      <c r="K1559" s="11" t="s">
        <v>21</v>
      </c>
      <c r="L1559" s="7">
        <v>39986.860358796301</v>
      </c>
      <c r="M1559" s="12" t="s">
        <v>273</v>
      </c>
      <c r="N1559" s="12" t="s">
        <v>274</v>
      </c>
      <c r="O1559" s="10" t="str">
        <f>HYPERLINK("https://pbs.twimg.com/profile_images/541146126158536704/IYardufS_normal.jpeg","View")</f>
        <v>View</v>
      </c>
      <c r="P1559" s="11"/>
    </row>
    <row r="1560" spans="1:16" ht="12.75" x14ac:dyDescent="0.35">
      <c r="A1560" s="7">
        <v>42480.604421296295</v>
      </c>
      <c r="B1560" s="8" t="str">
        <f>HYPERLINK("https://twitter.com/karl__maurer","@karl__maurer")</f>
        <v>@karl__maurer</v>
      </c>
      <c r="C1560" s="9" t="s">
        <v>2993</v>
      </c>
      <c r="D1560" s="9" t="s">
        <v>2994</v>
      </c>
      <c r="E1560" s="10" t="str">
        <f>HYPERLINK("https://twitter.com/karl__maurer/status/722711496745226241","722711496745226241")</f>
        <v>722711496745226241</v>
      </c>
      <c r="F1560" s="11" t="s">
        <v>25</v>
      </c>
      <c r="G1560" s="11">
        <v>1008</v>
      </c>
      <c r="H1560" s="11">
        <v>3306</v>
      </c>
      <c r="I1560" s="11">
        <v>1</v>
      </c>
      <c r="J1560" s="11">
        <v>1</v>
      </c>
      <c r="K1560" s="11" t="s">
        <v>21</v>
      </c>
      <c r="L1560" s="7">
        <v>41190.089155092595</v>
      </c>
      <c r="M1560" s="12" t="s">
        <v>406</v>
      </c>
      <c r="N1560" s="12" t="s">
        <v>2995</v>
      </c>
      <c r="O1560" s="10" t="str">
        <f>HYPERLINK("https://pbs.twimg.com/profile_images/702515686623600640/uy75x3mT_normal.jpg","View")</f>
        <v>View</v>
      </c>
      <c r="P1560" s="11"/>
    </row>
    <row r="1561" spans="1:16" ht="12.75" x14ac:dyDescent="0.35">
      <c r="A1561" s="7">
        <v>42480.604675925926</v>
      </c>
      <c r="B1561" s="8" t="str">
        <f>HYPERLINK("https://twitter.com/brill_stefan","@brill_stefan")</f>
        <v>@brill_stefan</v>
      </c>
      <c r="C1561" s="9" t="s">
        <v>641</v>
      </c>
      <c r="D1561" s="9" t="s">
        <v>2938</v>
      </c>
      <c r="E1561" s="10" t="str">
        <f>HYPERLINK("https://twitter.com/brill_stefan/status/722711587027607553","722711587027607553")</f>
        <v>722711587027607553</v>
      </c>
      <c r="F1561" s="11" t="s">
        <v>25</v>
      </c>
      <c r="G1561" s="11">
        <v>100</v>
      </c>
      <c r="H1561" s="11">
        <v>268</v>
      </c>
      <c r="I1561" s="11">
        <v>12</v>
      </c>
      <c r="J1561" s="11">
        <v>0</v>
      </c>
      <c r="K1561" s="11" t="s">
        <v>21</v>
      </c>
      <c r="L1561" s="7">
        <v>42136.926412037035</v>
      </c>
      <c r="M1561" s="12" t="s">
        <v>643</v>
      </c>
      <c r="N1561" s="12" t="s">
        <v>644</v>
      </c>
      <c r="O1561" s="10" t="str">
        <f>HYPERLINK("https://pbs.twimg.com/profile_images/598166829174005760/M39Pe098_normal.jpg","View")</f>
        <v>View</v>
      </c>
      <c r="P1561" s="11"/>
    </row>
    <row r="1562" spans="1:16" ht="12.75" x14ac:dyDescent="0.35">
      <c r="A1562" s="7">
        <v>42480.605104166665</v>
      </c>
      <c r="B1562" s="8" t="str">
        <f>HYPERLINK("https://twitter.com/lutzrach","@lutzrach")</f>
        <v>@lutzrach</v>
      </c>
      <c r="C1562" s="9" t="s">
        <v>1909</v>
      </c>
      <c r="D1562" s="9" t="s">
        <v>2982</v>
      </c>
      <c r="E1562" s="10" t="str">
        <f>HYPERLINK("https://twitter.com/lutzrach/status/722711741059219456","722711741059219456")</f>
        <v>722711741059219456</v>
      </c>
      <c r="F1562" s="11" t="s">
        <v>25</v>
      </c>
      <c r="G1562" s="11">
        <v>196</v>
      </c>
      <c r="H1562" s="11">
        <v>647</v>
      </c>
      <c r="I1562" s="11">
        <v>7</v>
      </c>
      <c r="J1562" s="11">
        <v>0</v>
      </c>
      <c r="K1562" s="11" t="s">
        <v>21</v>
      </c>
      <c r="L1562" s="7">
        <v>39924.669305555552</v>
      </c>
      <c r="M1562" s="12" t="s">
        <v>1910</v>
      </c>
      <c r="N1562" s="12" t="s">
        <v>1911</v>
      </c>
      <c r="O1562" s="10" t="str">
        <f>HYPERLINK("https://pbs.twimg.com/profile_images/720402539955560448/s_pUNvlD_normal.jpg","View")</f>
        <v>View</v>
      </c>
      <c r="P1562" s="11"/>
    </row>
    <row r="1563" spans="1:16" ht="12.75" x14ac:dyDescent="0.35">
      <c r="A1563" s="7">
        <v>42480.60533564815</v>
      </c>
      <c r="B1563" s="8" t="str">
        <f t="shared" ref="B1563:B1565" si="178">HYPERLINK("https://twitter.com/INDIZbot","@INDIZbot")</f>
        <v>@INDIZbot</v>
      </c>
      <c r="C1563" s="9" t="s">
        <v>61</v>
      </c>
      <c r="D1563" s="9" t="s">
        <v>2996</v>
      </c>
      <c r="E1563" s="10" t="str">
        <f>HYPERLINK("https://twitter.com/INDIZbot/status/722711828506271744","722711828506271744")</f>
        <v>722711828506271744</v>
      </c>
      <c r="F1563" s="11" t="s">
        <v>62</v>
      </c>
      <c r="G1563" s="11">
        <v>1762</v>
      </c>
      <c r="H1563" s="11">
        <v>481</v>
      </c>
      <c r="I1563" s="11">
        <v>1</v>
      </c>
      <c r="J1563" s="11">
        <v>0</v>
      </c>
      <c r="K1563" s="11" t="s">
        <v>21</v>
      </c>
      <c r="L1563" s="7">
        <v>42267.011921296296</v>
      </c>
      <c r="M1563" s="12"/>
      <c r="N1563" s="12" t="s">
        <v>63</v>
      </c>
      <c r="O1563" s="10" t="str">
        <f t="shared" ref="O1563:O1565" si="179">HYPERLINK("https://pbs.twimg.com/profile_images/645716711723925506/t5G0qOS6_normal.jpg","View")</f>
        <v>View</v>
      </c>
      <c r="P1563" s="11"/>
    </row>
    <row r="1564" spans="1:16" ht="12.75" x14ac:dyDescent="0.35">
      <c r="A1564" s="7">
        <v>42480.605706018519</v>
      </c>
      <c r="B1564" s="8" t="str">
        <f t="shared" si="178"/>
        <v>@INDIZbot</v>
      </c>
      <c r="C1564" s="9" t="s">
        <v>61</v>
      </c>
      <c r="D1564" s="9" t="s">
        <v>275</v>
      </c>
      <c r="E1564" s="10" t="str">
        <f>HYPERLINK("https://twitter.com/INDIZbot/status/722711963009163264","722711963009163264")</f>
        <v>722711963009163264</v>
      </c>
      <c r="F1564" s="11" t="s">
        <v>62</v>
      </c>
      <c r="G1564" s="11">
        <v>1762</v>
      </c>
      <c r="H1564" s="11">
        <v>481</v>
      </c>
      <c r="I1564" s="11">
        <v>1</v>
      </c>
      <c r="J1564" s="11">
        <v>0</v>
      </c>
      <c r="K1564" s="11" t="s">
        <v>21</v>
      </c>
      <c r="L1564" s="7">
        <v>42267.011921296296</v>
      </c>
      <c r="M1564" s="12"/>
      <c r="N1564" s="12" t="s">
        <v>63</v>
      </c>
      <c r="O1564" s="10" t="str">
        <f t="shared" si="179"/>
        <v>View</v>
      </c>
      <c r="P1564" s="11"/>
    </row>
    <row r="1565" spans="1:16" ht="12.75" x14ac:dyDescent="0.35">
      <c r="A1565" s="7">
        <v>42480.605879629627</v>
      </c>
      <c r="B1565" s="8" t="str">
        <f t="shared" si="178"/>
        <v>@INDIZbot</v>
      </c>
      <c r="C1565" s="9" t="s">
        <v>61</v>
      </c>
      <c r="D1565" s="9" t="s">
        <v>2997</v>
      </c>
      <c r="E1565" s="10" t="str">
        <f>HYPERLINK("https://twitter.com/INDIZbot/status/722712025667866624","722712025667866624")</f>
        <v>722712025667866624</v>
      </c>
      <c r="F1565" s="11" t="s">
        <v>62</v>
      </c>
      <c r="G1565" s="11">
        <v>1762</v>
      </c>
      <c r="H1565" s="11">
        <v>481</v>
      </c>
      <c r="I1565" s="11">
        <v>1</v>
      </c>
      <c r="J1565" s="11">
        <v>0</v>
      </c>
      <c r="K1565" s="11" t="s">
        <v>21</v>
      </c>
      <c r="L1565" s="7">
        <v>42267.011921296296</v>
      </c>
      <c r="M1565" s="12"/>
      <c r="N1565" s="12" t="s">
        <v>63</v>
      </c>
      <c r="O1565" s="10" t="str">
        <f t="shared" si="179"/>
        <v>View</v>
      </c>
      <c r="P1565" s="11"/>
    </row>
    <row r="1566" spans="1:16" ht="12.75" x14ac:dyDescent="0.35">
      <c r="A1566" s="7">
        <v>42480.608622685184</v>
      </c>
      <c r="B1566" s="8" t="str">
        <f>HYPERLINK("https://twitter.com/christianzeller","@christianzeller")</f>
        <v>@christianzeller</v>
      </c>
      <c r="C1566" s="9" t="s">
        <v>2998</v>
      </c>
      <c r="D1566" s="9" t="s">
        <v>2999</v>
      </c>
      <c r="E1566" s="10" t="str">
        <f>HYPERLINK("https://twitter.com/christianzeller/status/722713019806007296","722713019806007296")</f>
        <v>722713019806007296</v>
      </c>
      <c r="F1566" s="11" t="s">
        <v>222</v>
      </c>
      <c r="G1566" s="11">
        <v>44</v>
      </c>
      <c r="H1566" s="11">
        <v>143</v>
      </c>
      <c r="I1566" s="11">
        <v>0</v>
      </c>
      <c r="J1566" s="11">
        <v>1</v>
      </c>
      <c r="K1566" s="11" t="s">
        <v>21</v>
      </c>
      <c r="L1566" s="7">
        <v>39913.746527777781</v>
      </c>
      <c r="M1566" s="12"/>
      <c r="N1566" s="12"/>
      <c r="O1566" s="10" t="str">
        <f>HYPERLINK("https://pbs.twimg.com/profile_images/680807468964950017/8kwIv81h_normal.jpg","View")</f>
        <v>View</v>
      </c>
      <c r="P1566" s="11"/>
    </row>
    <row r="1567" spans="1:16" ht="12.75" x14ac:dyDescent="0.35">
      <c r="A1567" s="7">
        <v>42480.610358796301</v>
      </c>
      <c r="B1567" s="8" t="str">
        <f>HYPERLINK("https://twitter.com/cerratlan","@cerratlan")</f>
        <v>@cerratlan</v>
      </c>
      <c r="C1567" s="9" t="s">
        <v>3000</v>
      </c>
      <c r="D1567" s="9" t="s">
        <v>3001</v>
      </c>
      <c r="E1567" s="10" t="str">
        <f>HYPERLINK("https://twitter.com/cerratlan/status/722713648653824000","722713648653824000")</f>
        <v>722713648653824000</v>
      </c>
      <c r="F1567" s="11" t="s">
        <v>31</v>
      </c>
      <c r="G1567" s="11">
        <v>39</v>
      </c>
      <c r="H1567" s="11">
        <v>138</v>
      </c>
      <c r="I1567" s="11">
        <v>1</v>
      </c>
      <c r="J1567" s="11">
        <v>0</v>
      </c>
      <c r="K1567" s="11" t="s">
        <v>21</v>
      </c>
      <c r="L1567" s="7">
        <v>40324.13212962963</v>
      </c>
      <c r="M1567" s="12" t="s">
        <v>3002</v>
      </c>
      <c r="N1567" s="12" t="s">
        <v>3003</v>
      </c>
      <c r="O1567" s="10" t="str">
        <f>HYPERLINK("https://pbs.twimg.com/profile_images/689489673270509572/SdYuHEEE_normal.jpg","View")</f>
        <v>View</v>
      </c>
      <c r="P1567" s="11"/>
    </row>
    <row r="1568" spans="1:16" ht="12.75" x14ac:dyDescent="0.35">
      <c r="A1568" s="7">
        <v>42480.612789351857</v>
      </c>
      <c r="B1568" s="8" t="str">
        <f>HYPERLINK("https://twitter.com/Industrie_40","@Industrie_40")</f>
        <v>@Industrie_40</v>
      </c>
      <c r="C1568" s="9" t="s">
        <v>3004</v>
      </c>
      <c r="D1568" s="9" t="s">
        <v>3005</v>
      </c>
      <c r="E1568" s="10" t="str">
        <f>HYPERLINK("https://twitter.com/Industrie_40/status/722714528136458240","722714528136458240")</f>
        <v>722714528136458240</v>
      </c>
      <c r="F1568" s="11" t="s">
        <v>25</v>
      </c>
      <c r="G1568" s="11">
        <v>2832</v>
      </c>
      <c r="H1568" s="11">
        <v>702</v>
      </c>
      <c r="I1568" s="11">
        <v>1</v>
      </c>
      <c r="J1568" s="11">
        <v>3</v>
      </c>
      <c r="K1568" s="11" t="s">
        <v>21</v>
      </c>
      <c r="L1568" s="7">
        <v>41286.662754629629</v>
      </c>
      <c r="M1568" s="12"/>
      <c r="N1568" s="12" t="s">
        <v>3006</v>
      </c>
      <c r="O1568" s="10" t="str">
        <f>HYPERLINK("https://pbs.twimg.com/profile_images/3187517551/d49d77b3273cb499285ee666e06418f8_normal.jpeg","View")</f>
        <v>View</v>
      </c>
      <c r="P1568" s="11"/>
    </row>
    <row r="1569" spans="1:16" ht="12.75" x14ac:dyDescent="0.35">
      <c r="A1569" s="7">
        <v>42480.612824074073</v>
      </c>
      <c r="B1569" s="8" t="str">
        <f>HYPERLINK("https://twitter.com/christophsmuell","@christophsmuell")</f>
        <v>@christophsmuell</v>
      </c>
      <c r="C1569" s="9" t="s">
        <v>3007</v>
      </c>
      <c r="D1569" s="9" t="s">
        <v>2938</v>
      </c>
      <c r="E1569" s="10" t="str">
        <f>HYPERLINK("https://twitter.com/christophsmuell/status/722714541541498881","722714541541498881")</f>
        <v>722714541541498881</v>
      </c>
      <c r="F1569" s="11" t="s">
        <v>31</v>
      </c>
      <c r="G1569" s="11">
        <v>15</v>
      </c>
      <c r="H1569" s="11">
        <v>70</v>
      </c>
      <c r="I1569" s="11">
        <v>12</v>
      </c>
      <c r="J1569" s="11">
        <v>0</v>
      </c>
      <c r="K1569" s="11" t="s">
        <v>21</v>
      </c>
      <c r="L1569" s="7">
        <v>41809.954224537039</v>
      </c>
      <c r="M1569" s="12"/>
      <c r="N1569" s="12"/>
      <c r="O1569" s="10" t="str">
        <f>HYPERLINK("https://pbs.twimg.com/profile_images/479685308884078592/aR3HWF5y_normal.jpeg","View")</f>
        <v>View</v>
      </c>
      <c r="P1569" s="11"/>
    </row>
    <row r="1570" spans="1:16" ht="12.75" x14ac:dyDescent="0.35">
      <c r="A1570" s="7">
        <v>42480.614120370374</v>
      </c>
      <c r="B1570" s="8" t="str">
        <f>HYPERLINK("https://twitter.com/1ironbark1","@1ironbark1")</f>
        <v>@1ironbark1</v>
      </c>
      <c r="C1570" s="9" t="s">
        <v>2189</v>
      </c>
      <c r="D1570" s="9" t="s">
        <v>3008</v>
      </c>
      <c r="E1570" s="10" t="str">
        <f>HYPERLINK("https://twitter.com/1ironbark1/status/722715011701940225","722715011701940225")</f>
        <v>722715011701940225</v>
      </c>
      <c r="F1570" s="11" t="s">
        <v>29</v>
      </c>
      <c r="G1570" s="11">
        <v>520</v>
      </c>
      <c r="H1570" s="11">
        <v>722</v>
      </c>
      <c r="I1570" s="11">
        <v>1</v>
      </c>
      <c r="J1570" s="11">
        <v>0</v>
      </c>
      <c r="K1570" s="11" t="s">
        <v>21</v>
      </c>
      <c r="L1570" s="7">
        <v>40277.193113425928</v>
      </c>
      <c r="M1570" s="12" t="s">
        <v>2190</v>
      </c>
      <c r="N1570" s="12"/>
      <c r="O1570" s="10" t="str">
        <f>HYPERLINK("https://pbs.twimg.com/profile_images/1610234082/jwstwitter_normal.jpg","View")</f>
        <v>View</v>
      </c>
      <c r="P1570" s="11"/>
    </row>
    <row r="1571" spans="1:16" ht="12.75" x14ac:dyDescent="0.35">
      <c r="A1571" s="7">
        <v>42480.61482638889</v>
      </c>
      <c r="B1571" s="8" t="str">
        <f>HYPERLINK("https://twitter.com/VDMAonline","@VDMAonline")</f>
        <v>@VDMAonline</v>
      </c>
      <c r="C1571" s="9" t="s">
        <v>191</v>
      </c>
      <c r="D1571" s="9" t="s">
        <v>3009</v>
      </c>
      <c r="E1571" s="10" t="str">
        <f>HYPERLINK("https://twitter.com/VDMAonline/status/722715265671102464","722715265671102464")</f>
        <v>722715265671102464</v>
      </c>
      <c r="F1571" s="11" t="s">
        <v>115</v>
      </c>
      <c r="G1571" s="11">
        <v>6793</v>
      </c>
      <c r="H1571" s="11">
        <v>4</v>
      </c>
      <c r="I1571" s="11">
        <v>2</v>
      </c>
      <c r="J1571" s="11">
        <v>5</v>
      </c>
      <c r="K1571" s="11" t="s">
        <v>21</v>
      </c>
      <c r="L1571" s="7">
        <v>39932.616342592592</v>
      </c>
      <c r="M1571" s="12" t="s">
        <v>49</v>
      </c>
      <c r="N1571" s="12" t="s">
        <v>193</v>
      </c>
      <c r="O1571" s="10" t="str">
        <f>HYPERLINK("https://pbs.twimg.com/profile_images/609375510158774272/P5glOk4b_normal.jpg","View")</f>
        <v>View</v>
      </c>
      <c r="P1571" s="11"/>
    </row>
    <row r="1572" spans="1:16" ht="12.75" x14ac:dyDescent="0.35">
      <c r="A1572" s="7">
        <v>42480.61582175926</v>
      </c>
      <c r="B1572" s="8" t="str">
        <f>HYPERLINK("https://twitter.com/prxagentur","@prxagentur")</f>
        <v>@prxagentur</v>
      </c>
      <c r="C1572" s="9" t="s">
        <v>1753</v>
      </c>
      <c r="D1572" s="9" t="s">
        <v>3010</v>
      </c>
      <c r="E1572" s="10" t="str">
        <f>HYPERLINK("https://twitter.com/prxagentur/status/722715627727818752","722715627727818752")</f>
        <v>722715627727818752</v>
      </c>
      <c r="F1572" s="11" t="s">
        <v>20</v>
      </c>
      <c r="G1572" s="11">
        <v>196</v>
      </c>
      <c r="H1572" s="11">
        <v>374</v>
      </c>
      <c r="I1572" s="11">
        <v>0</v>
      </c>
      <c r="J1572" s="11">
        <v>1</v>
      </c>
      <c r="K1572" s="11" t="s">
        <v>21</v>
      </c>
      <c r="L1572" s="7">
        <v>42128.001620370371</v>
      </c>
      <c r="M1572" s="12"/>
      <c r="N1572" s="12"/>
      <c r="O1572" s="10" t="str">
        <f>HYPERLINK("https://pbs.twimg.com/profile_images/594934750122536960/nG4kmfDF_normal.jpg","View")</f>
        <v>View</v>
      </c>
      <c r="P1572" s="11"/>
    </row>
    <row r="1573" spans="1:16" ht="12.75" x14ac:dyDescent="0.35">
      <c r="A1573" s="7">
        <v>42480.617210648154</v>
      </c>
      <c r="B1573" s="8" t="str">
        <f>HYPERLINK("https://twitter.com/TACookDE","@TACookDE")</f>
        <v>@TACookDE</v>
      </c>
      <c r="C1573" s="9" t="s">
        <v>3011</v>
      </c>
      <c r="D1573" s="9" t="s">
        <v>3012</v>
      </c>
      <c r="E1573" s="10" t="str">
        <f>HYPERLINK("https://twitter.com/TACookDE/status/722716129689518081","722716129689518081")</f>
        <v>722716129689518081</v>
      </c>
      <c r="F1573" s="11" t="s">
        <v>25</v>
      </c>
      <c r="G1573" s="11">
        <v>87</v>
      </c>
      <c r="H1573" s="11">
        <v>165</v>
      </c>
      <c r="I1573" s="11">
        <v>0</v>
      </c>
      <c r="J1573" s="11">
        <v>0</v>
      </c>
      <c r="K1573" s="11" t="s">
        <v>21</v>
      </c>
      <c r="L1573" s="7">
        <v>42146.529340277775</v>
      </c>
      <c r="M1573" s="12"/>
      <c r="N1573" s="12"/>
      <c r="O1573" s="10" t="str">
        <f>HYPERLINK("https://pbs.twimg.com/profile_images/601649689117732864/sUg8zslR_normal.jpg","View")</f>
        <v>View</v>
      </c>
      <c r="P1573" s="11"/>
    </row>
    <row r="1574" spans="1:16" ht="12.75" x14ac:dyDescent="0.35">
      <c r="A1574" s="7">
        <v>42480.617314814815</v>
      </c>
      <c r="B1574" s="8" t="str">
        <f t="shared" ref="B1574:B1575" si="180">HYPERLINK("https://twitter.com/Industrie_40","@Industrie_40")</f>
        <v>@Industrie_40</v>
      </c>
      <c r="C1574" s="9" t="s">
        <v>3004</v>
      </c>
      <c r="D1574" s="9" t="s">
        <v>3013</v>
      </c>
      <c r="E1574" s="10" t="str">
        <f>HYPERLINK("https://twitter.com/Industrie_40/status/722716168075796480","722716168075796480")</f>
        <v>722716168075796480</v>
      </c>
      <c r="F1574" s="11" t="s">
        <v>25</v>
      </c>
      <c r="G1574" s="11">
        <v>2832</v>
      </c>
      <c r="H1574" s="11">
        <v>702</v>
      </c>
      <c r="I1574" s="11">
        <v>4</v>
      </c>
      <c r="J1574" s="11">
        <v>2</v>
      </c>
      <c r="K1574" s="11" t="s">
        <v>21</v>
      </c>
      <c r="L1574" s="7">
        <v>41286.662754629629</v>
      </c>
      <c r="M1574" s="12"/>
      <c r="N1574" s="12" t="s">
        <v>3006</v>
      </c>
      <c r="O1574" s="10" t="str">
        <f t="shared" ref="O1574:O1575" si="181">HYPERLINK("https://pbs.twimg.com/profile_images/3187517551/d49d77b3273cb499285ee666e06418f8_normal.jpeg","View")</f>
        <v>View</v>
      </c>
      <c r="P1574" s="11"/>
    </row>
    <row r="1575" spans="1:16" ht="12.75" x14ac:dyDescent="0.35">
      <c r="A1575" s="7">
        <v>42480.618368055555</v>
      </c>
      <c r="B1575" s="8" t="str">
        <f t="shared" si="180"/>
        <v>@Industrie_40</v>
      </c>
      <c r="C1575" s="9" t="s">
        <v>3004</v>
      </c>
      <c r="D1575" s="9" t="s">
        <v>3014</v>
      </c>
      <c r="E1575" s="10" t="str">
        <f>HYPERLINK("https://twitter.com/Industrie_40/status/722716547865829376","722716547865829376")</f>
        <v>722716547865829376</v>
      </c>
      <c r="F1575" s="11" t="s">
        <v>25</v>
      </c>
      <c r="G1575" s="11">
        <v>2832</v>
      </c>
      <c r="H1575" s="11">
        <v>702</v>
      </c>
      <c r="I1575" s="11">
        <v>1</v>
      </c>
      <c r="J1575" s="11">
        <v>0</v>
      </c>
      <c r="K1575" s="11" t="s">
        <v>21</v>
      </c>
      <c r="L1575" s="7">
        <v>41286.662754629629</v>
      </c>
      <c r="M1575" s="12"/>
      <c r="N1575" s="12" t="s">
        <v>3006</v>
      </c>
      <c r="O1575" s="10" t="str">
        <f t="shared" si="181"/>
        <v>View</v>
      </c>
      <c r="P1575" s="11"/>
    </row>
    <row r="1576" spans="1:16" ht="12.75" x14ac:dyDescent="0.35">
      <c r="A1576" s="7">
        <v>42480.618449074071</v>
      </c>
      <c r="B1576" s="8" t="str">
        <f>HYPERLINK("https://twitter.com/1ironbark1","@1ironbark1")</f>
        <v>@1ironbark1</v>
      </c>
      <c r="C1576" s="9" t="s">
        <v>2189</v>
      </c>
      <c r="D1576" s="9" t="s">
        <v>3015</v>
      </c>
      <c r="E1576" s="10" t="str">
        <f>HYPERLINK("https://twitter.com/1ironbark1/status/722716579146907649","722716579146907649")</f>
        <v>722716579146907649</v>
      </c>
      <c r="F1576" s="11" t="s">
        <v>29</v>
      </c>
      <c r="G1576" s="11">
        <v>520</v>
      </c>
      <c r="H1576" s="11">
        <v>722</v>
      </c>
      <c r="I1576" s="11">
        <v>4</v>
      </c>
      <c r="J1576" s="11">
        <v>0</v>
      </c>
      <c r="K1576" s="11" t="s">
        <v>21</v>
      </c>
      <c r="L1576" s="7">
        <v>40277.193113425928</v>
      </c>
      <c r="M1576" s="12" t="s">
        <v>2190</v>
      </c>
      <c r="N1576" s="12"/>
      <c r="O1576" s="10" t="str">
        <f>HYPERLINK("https://pbs.twimg.com/profile_images/1610234082/jwstwitter_normal.jpg","View")</f>
        <v>View</v>
      </c>
      <c r="P1576" s="11"/>
    </row>
    <row r="1577" spans="1:16" ht="12.75" x14ac:dyDescent="0.35">
      <c r="A1577" s="7">
        <v>42480.61886574074</v>
      </c>
      <c r="B1577" s="8" t="str">
        <f>HYPERLINK("https://twitter.com/INDIZbot","@INDIZbot")</f>
        <v>@INDIZbot</v>
      </c>
      <c r="C1577" s="9" t="s">
        <v>61</v>
      </c>
      <c r="D1577" s="9" t="s">
        <v>3015</v>
      </c>
      <c r="E1577" s="10" t="str">
        <f>HYPERLINK("https://twitter.com/INDIZbot/status/722716729563070466","722716729563070466")</f>
        <v>722716729563070466</v>
      </c>
      <c r="F1577" s="11" t="s">
        <v>62</v>
      </c>
      <c r="G1577" s="11">
        <v>1762</v>
      </c>
      <c r="H1577" s="11">
        <v>481</v>
      </c>
      <c r="I1577" s="11">
        <v>4</v>
      </c>
      <c r="J1577" s="11">
        <v>0</v>
      </c>
      <c r="K1577" s="11" t="s">
        <v>21</v>
      </c>
      <c r="L1577" s="7">
        <v>42267.011921296296</v>
      </c>
      <c r="M1577" s="12"/>
      <c r="N1577" s="12" t="s">
        <v>63</v>
      </c>
      <c r="O1577" s="10" t="str">
        <f>HYPERLINK("https://pbs.twimg.com/profile_images/645716711723925506/t5G0qOS6_normal.jpg","View")</f>
        <v>View</v>
      </c>
      <c r="P1577" s="11"/>
    </row>
    <row r="1578" spans="1:16" ht="12.75" x14ac:dyDescent="0.35">
      <c r="A1578" s="7">
        <v>42480.618935185186</v>
      </c>
      <c r="B1578" s="8" t="str">
        <f>HYPERLINK("https://twitter.com/THINK_ING","@THINK_ING")</f>
        <v>@THINK_ING</v>
      </c>
      <c r="C1578" s="9" t="s">
        <v>3016</v>
      </c>
      <c r="D1578" s="9" t="s">
        <v>3017</v>
      </c>
      <c r="E1578" s="10" t="str">
        <f>HYPERLINK("https://twitter.com/THINK_ING/status/722716753466417152","722716753466417152")</f>
        <v>722716753466417152</v>
      </c>
      <c r="F1578" s="11" t="s">
        <v>25</v>
      </c>
      <c r="G1578" s="11">
        <v>2829</v>
      </c>
      <c r="H1578" s="11">
        <v>559</v>
      </c>
      <c r="I1578" s="11">
        <v>2</v>
      </c>
      <c r="J1578" s="11">
        <v>0</v>
      </c>
      <c r="K1578" s="11" t="s">
        <v>21</v>
      </c>
      <c r="L1578" s="7">
        <v>39918.776770833334</v>
      </c>
      <c r="M1578" s="12" t="s">
        <v>218</v>
      </c>
      <c r="N1578" s="12" t="s">
        <v>3018</v>
      </c>
      <c r="O1578" s="10" t="str">
        <f>HYPERLINK("https://pbs.twimg.com/profile_images/3191720682/19efed020ebf3a2098abea8c1436d948_normal.jpeg","View")</f>
        <v>View</v>
      </c>
      <c r="P1578" s="11"/>
    </row>
    <row r="1579" spans="1:16" ht="12.75" x14ac:dyDescent="0.35">
      <c r="A1579" s="7">
        <v>42480.61917824074</v>
      </c>
      <c r="B1579" s="8" t="str">
        <f>HYPERLINK("https://twitter.com/INDIZbot","@INDIZbot")</f>
        <v>@INDIZbot</v>
      </c>
      <c r="C1579" s="9" t="s">
        <v>61</v>
      </c>
      <c r="D1579" s="9" t="s">
        <v>3019</v>
      </c>
      <c r="E1579" s="10" t="str">
        <f>HYPERLINK("https://twitter.com/INDIZbot/status/722716841521582080","722716841521582080")</f>
        <v>722716841521582080</v>
      </c>
      <c r="F1579" s="11" t="s">
        <v>62</v>
      </c>
      <c r="G1579" s="11">
        <v>1762</v>
      </c>
      <c r="H1579" s="11">
        <v>481</v>
      </c>
      <c r="I1579" s="11">
        <v>1</v>
      </c>
      <c r="J1579" s="11">
        <v>0</v>
      </c>
      <c r="K1579" s="11" t="s">
        <v>21</v>
      </c>
      <c r="L1579" s="7">
        <v>42267.011921296296</v>
      </c>
      <c r="M1579" s="12"/>
      <c r="N1579" s="12" t="s">
        <v>63</v>
      </c>
      <c r="O1579" s="10" t="str">
        <f>HYPERLINK("https://pbs.twimg.com/profile_images/645716711723925506/t5G0qOS6_normal.jpg","View")</f>
        <v>View</v>
      </c>
      <c r="P1579" s="11"/>
    </row>
    <row r="1580" spans="1:16" ht="12.75" x14ac:dyDescent="0.35">
      <c r="A1580" s="7">
        <v>42480.619629629626</v>
      </c>
      <c r="B1580" s="8" t="str">
        <f>HYPERLINK("https://twitter.com/Industrie_40","@Industrie_40")</f>
        <v>@Industrie_40</v>
      </c>
      <c r="C1580" s="9" t="s">
        <v>3004</v>
      </c>
      <c r="D1580" s="9" t="s">
        <v>3020</v>
      </c>
      <c r="E1580" s="10" t="str">
        <f>HYPERLINK("https://twitter.com/Industrie_40/status/722717006856916993","722717006856916993")</f>
        <v>722717006856916993</v>
      </c>
      <c r="F1580" s="11" t="s">
        <v>25</v>
      </c>
      <c r="G1580" s="11">
        <v>2832</v>
      </c>
      <c r="H1580" s="11">
        <v>702</v>
      </c>
      <c r="I1580" s="11">
        <v>0</v>
      </c>
      <c r="J1580" s="11">
        <v>0</v>
      </c>
      <c r="K1580" s="11" t="s">
        <v>21</v>
      </c>
      <c r="L1580" s="7">
        <v>41286.662754629629</v>
      </c>
      <c r="M1580" s="12"/>
      <c r="N1580" s="12" t="s">
        <v>3006</v>
      </c>
      <c r="O1580" s="10" t="str">
        <f>HYPERLINK("https://pbs.twimg.com/profile_images/3187517551/d49d77b3273cb499285ee666e06418f8_normal.jpeg","View")</f>
        <v>View</v>
      </c>
      <c r="P1580" s="11"/>
    </row>
    <row r="1581" spans="1:16" ht="12.75" x14ac:dyDescent="0.35">
      <c r="A1581" s="7">
        <v>42480.619768518518</v>
      </c>
      <c r="B1581" s="8" t="str">
        <f>HYPERLINK("https://twitter.com/FK_Verband","@FK_Verband")</f>
        <v>@FK_Verband</v>
      </c>
      <c r="C1581" s="9" t="s">
        <v>1026</v>
      </c>
      <c r="D1581" s="9" t="s">
        <v>3021</v>
      </c>
      <c r="E1581" s="10" t="str">
        <f>HYPERLINK("https://twitter.com/FK_Verband/status/722717057222057986","722717057222057986")</f>
        <v>722717057222057986</v>
      </c>
      <c r="F1581" s="11" t="s">
        <v>25</v>
      </c>
      <c r="G1581" s="11">
        <v>758</v>
      </c>
      <c r="H1581" s="11">
        <v>423</v>
      </c>
      <c r="I1581" s="11">
        <v>2</v>
      </c>
      <c r="J1581" s="11">
        <v>0</v>
      </c>
      <c r="K1581" s="11" t="s">
        <v>21</v>
      </c>
      <c r="L1581" s="7">
        <v>41680.78297453704</v>
      </c>
      <c r="M1581" s="12" t="s">
        <v>1027</v>
      </c>
      <c r="N1581" s="12" t="s">
        <v>1028</v>
      </c>
      <c r="O1581" s="10" t="str">
        <f>HYPERLINK("https://pbs.twimg.com/profile_images/459666685952151552/oULR8mG1_normal.png","View")</f>
        <v>View</v>
      </c>
      <c r="P1581" s="11"/>
    </row>
    <row r="1582" spans="1:16" ht="12.75" x14ac:dyDescent="0.35">
      <c r="A1582" s="7">
        <v>42480.620775462958</v>
      </c>
      <c r="B1582" s="8" t="str">
        <f>HYPERLINK("https://twitter.com/_NewSearch_","@_NewSearch_")</f>
        <v>@_NewSearch_</v>
      </c>
      <c r="C1582" s="9" t="s">
        <v>3022</v>
      </c>
      <c r="D1582" s="9" t="s">
        <v>2900</v>
      </c>
      <c r="E1582" s="10" t="str">
        <f>HYPERLINK("https://twitter.com/_NewSearch_/status/722717420746633217","722717420746633217")</f>
        <v>722717420746633217</v>
      </c>
      <c r="F1582" s="11" t="s">
        <v>25</v>
      </c>
      <c r="G1582" s="11">
        <v>78</v>
      </c>
      <c r="H1582" s="11">
        <v>184</v>
      </c>
      <c r="I1582" s="11">
        <v>6</v>
      </c>
      <c r="J1582" s="11">
        <v>0</v>
      </c>
      <c r="K1582" s="11" t="s">
        <v>21</v>
      </c>
      <c r="L1582" s="7">
        <v>41813.645590277782</v>
      </c>
      <c r="M1582" s="12" t="s">
        <v>3023</v>
      </c>
      <c r="N1582" s="12" t="s">
        <v>3024</v>
      </c>
      <c r="O1582" s="10" t="str">
        <f>HYPERLINK("https://pbs.twimg.com/profile_images/481016015887687680/lDowdEUm_normal.jpeg","View")</f>
        <v>View</v>
      </c>
      <c r="P1582" s="11"/>
    </row>
    <row r="1583" spans="1:16" ht="12.75" x14ac:dyDescent="0.35">
      <c r="A1583" s="7">
        <v>42480.621597222227</v>
      </c>
      <c r="B1583" s="8" t="str">
        <f>HYPERLINK("https://twitter.com/Gesamtmetall","@Gesamtmetall")</f>
        <v>@Gesamtmetall</v>
      </c>
      <c r="C1583" s="9" t="s">
        <v>877</v>
      </c>
      <c r="D1583" s="9" t="s">
        <v>3025</v>
      </c>
      <c r="E1583" s="10" t="str">
        <f>HYPERLINK("https://twitter.com/Gesamtmetall/status/722717720316395520","722717720316395520")</f>
        <v>722717720316395520</v>
      </c>
      <c r="F1583" s="11" t="s">
        <v>39</v>
      </c>
      <c r="G1583" s="11">
        <v>1457</v>
      </c>
      <c r="H1583" s="11">
        <v>283</v>
      </c>
      <c r="I1583" s="11">
        <v>0</v>
      </c>
      <c r="J1583" s="11">
        <v>0</v>
      </c>
      <c r="K1583" s="11" t="s">
        <v>21</v>
      </c>
      <c r="L1583" s="7">
        <v>39946.496504629627</v>
      </c>
      <c r="M1583" s="12" t="s">
        <v>218</v>
      </c>
      <c r="N1583" s="12" t="s">
        <v>879</v>
      </c>
      <c r="O1583" s="10" t="str">
        <f>HYPERLINK("https://pbs.twimg.com/profile_images/572721926804488192/AGAGHTgy_normal.jpeg","View")</f>
        <v>View</v>
      </c>
      <c r="P1583" s="11"/>
    </row>
    <row r="1584" spans="1:16" ht="12.75" x14ac:dyDescent="0.35">
      <c r="A1584" s="7">
        <v>42480.621597222227</v>
      </c>
      <c r="B1584" s="8" t="str">
        <f>HYPERLINK("https://twitter.com/MEArbeitgeber","@MEArbeitgeber")</f>
        <v>@MEArbeitgeber</v>
      </c>
      <c r="C1584" s="9" t="s">
        <v>873</v>
      </c>
      <c r="D1584" s="9" t="s">
        <v>3026</v>
      </c>
      <c r="E1584" s="10" t="str">
        <f>HYPERLINK("https://twitter.com/MEArbeitgeber/status/722717721335578625","722717721335578625")</f>
        <v>722717721335578625</v>
      </c>
      <c r="F1584" s="11" t="s">
        <v>39</v>
      </c>
      <c r="G1584" s="11">
        <v>2496</v>
      </c>
      <c r="H1584" s="11">
        <v>1025</v>
      </c>
      <c r="I1584" s="11">
        <v>0</v>
      </c>
      <c r="J1584" s="11">
        <v>0</v>
      </c>
      <c r="K1584" s="11" t="s">
        <v>21</v>
      </c>
      <c r="L1584" s="7">
        <v>39905.720543981479</v>
      </c>
      <c r="M1584" s="12" t="s">
        <v>875</v>
      </c>
      <c r="N1584" s="12" t="s">
        <v>876</v>
      </c>
      <c r="O1584" s="10" t="str">
        <f>HYPERLINK("https://pbs.twimg.com/profile_images/572722352144666624/2G6VnJJx_normal.jpeg","View")</f>
        <v>View</v>
      </c>
      <c r="P1584" s="11"/>
    </row>
    <row r="1585" spans="1:16" ht="12.75" x14ac:dyDescent="0.35">
      <c r="A1585" s="7">
        <v>42480.621701388889</v>
      </c>
      <c r="B1585" s="8" t="str">
        <f>HYPERLINK("https://twitter.com/mav0r1ze","@mav0r1ze")</f>
        <v>@mav0r1ze</v>
      </c>
      <c r="C1585" s="9" t="s">
        <v>3027</v>
      </c>
      <c r="D1585" s="9" t="s">
        <v>3028</v>
      </c>
      <c r="E1585" s="10" t="str">
        <f>HYPERLINK("https://twitter.com/mav0r1ze/status/722717757498900480","722717757498900480")</f>
        <v>722717757498900480</v>
      </c>
      <c r="F1585" s="11" t="s">
        <v>20</v>
      </c>
      <c r="G1585" s="11">
        <v>10</v>
      </c>
      <c r="H1585" s="11">
        <v>79</v>
      </c>
      <c r="I1585" s="11">
        <v>1</v>
      </c>
      <c r="J1585" s="11">
        <v>0</v>
      </c>
      <c r="K1585" s="11" t="s">
        <v>21</v>
      </c>
      <c r="L1585" s="7">
        <v>42262.653842592597</v>
      </c>
      <c r="M1585" s="12"/>
      <c r="N1585" s="12"/>
      <c r="O1585" s="10" t="str">
        <f>HYPERLINK("https://pbs.twimg.com/profile_images/678330336254783490/oGmDYFuf_normal.jpg","View")</f>
        <v>View</v>
      </c>
      <c r="P1585" s="11"/>
    </row>
    <row r="1586" spans="1:16" ht="12.75" x14ac:dyDescent="0.35">
      <c r="A1586" s="7">
        <v>42480.622604166667</v>
      </c>
      <c r="B1586" s="8" t="str">
        <f>HYPERLINK("https://twitter.com/_NewSearch_","@_NewSearch_")</f>
        <v>@_NewSearch_</v>
      </c>
      <c r="C1586" s="9" t="s">
        <v>3022</v>
      </c>
      <c r="D1586" s="9" t="s">
        <v>3029</v>
      </c>
      <c r="E1586" s="10" t="str">
        <f>HYPERLINK("https://twitter.com/_NewSearch_/status/722718083719237632","722718083719237632")</f>
        <v>722718083719237632</v>
      </c>
      <c r="F1586" s="11" t="s">
        <v>25</v>
      </c>
      <c r="G1586" s="11">
        <v>78</v>
      </c>
      <c r="H1586" s="11">
        <v>184</v>
      </c>
      <c r="I1586" s="11">
        <v>0</v>
      </c>
      <c r="J1586" s="11">
        <v>0</v>
      </c>
      <c r="K1586" s="11" t="s">
        <v>21</v>
      </c>
      <c r="L1586" s="7">
        <v>41813.645590277782</v>
      </c>
      <c r="M1586" s="12" t="s">
        <v>3023</v>
      </c>
      <c r="N1586" s="12" t="s">
        <v>3024</v>
      </c>
      <c r="O1586" s="10" t="str">
        <f>HYPERLINK("https://pbs.twimg.com/profile_images/481016015887687680/lDowdEUm_normal.jpeg","View")</f>
        <v>View</v>
      </c>
      <c r="P1586" s="11"/>
    </row>
    <row r="1587" spans="1:16" ht="12.75" x14ac:dyDescent="0.35">
      <c r="A1587" s="7">
        <v>42480.623124999998</v>
      </c>
      <c r="B1587" s="8" t="str">
        <f>HYPERLINK("https://twitter.com/ORBIT_DE","@ORBIT_DE")</f>
        <v>@ORBIT_DE</v>
      </c>
      <c r="C1587" s="9" t="s">
        <v>3030</v>
      </c>
      <c r="D1587" s="9" t="s">
        <v>2947</v>
      </c>
      <c r="E1587" s="10" t="str">
        <f>HYPERLINK("https://twitter.com/ORBIT_DE/status/722718273658298368","722718273658298368")</f>
        <v>722718273658298368</v>
      </c>
      <c r="F1587" s="11" t="s">
        <v>39</v>
      </c>
      <c r="G1587" s="11">
        <v>200</v>
      </c>
      <c r="H1587" s="11">
        <v>137</v>
      </c>
      <c r="I1587" s="11">
        <v>21</v>
      </c>
      <c r="J1587" s="11">
        <v>0</v>
      </c>
      <c r="K1587" s="11" t="s">
        <v>21</v>
      </c>
      <c r="L1587" s="7">
        <v>40578.881574074076</v>
      </c>
      <c r="M1587" s="12" t="s">
        <v>3031</v>
      </c>
      <c r="N1587" s="12" t="s">
        <v>3032</v>
      </c>
      <c r="O1587" s="10" t="str">
        <f>HYPERLINK("https://pbs.twimg.com/profile_images/709307199726755845/TL--bCmb_normal.jpg","View")</f>
        <v>View</v>
      </c>
      <c r="P1587" s="11"/>
    </row>
    <row r="1588" spans="1:16" ht="12.75" x14ac:dyDescent="0.35">
      <c r="A1588" s="7">
        <v>42480.623263888891</v>
      </c>
      <c r="B1588" s="8" t="str">
        <f>HYPERLINK("https://twitter.com/infotipgmbh","@infotipgmbh")</f>
        <v>@infotipgmbh</v>
      </c>
      <c r="C1588" s="9" t="s">
        <v>3033</v>
      </c>
      <c r="D1588" s="9" t="s">
        <v>3034</v>
      </c>
      <c r="E1588" s="10" t="str">
        <f>HYPERLINK("https://twitter.com/infotipgmbh/status/722718323843194881","722718323843194881")</f>
        <v>722718323843194881</v>
      </c>
      <c r="F1588" s="11" t="s">
        <v>25</v>
      </c>
      <c r="G1588" s="11">
        <v>24</v>
      </c>
      <c r="H1588" s="11">
        <v>66</v>
      </c>
      <c r="I1588" s="11">
        <v>1</v>
      </c>
      <c r="J1588" s="11">
        <v>2</v>
      </c>
      <c r="K1588" s="11" t="s">
        <v>21</v>
      </c>
      <c r="L1588" s="7">
        <v>40448.789386574077</v>
      </c>
      <c r="M1588" s="12" t="s">
        <v>3035</v>
      </c>
      <c r="N1588" s="12" t="s">
        <v>3036</v>
      </c>
      <c r="O1588" s="10" t="str">
        <f>HYPERLINK("https://pbs.twimg.com/profile_images/570586847806357504/S9VbdCZX_normal.png","View")</f>
        <v>View</v>
      </c>
      <c r="P1588" s="11"/>
    </row>
    <row r="1589" spans="1:16" ht="12.75" x14ac:dyDescent="0.35">
      <c r="A1589" s="7">
        <v>42480.624525462961</v>
      </c>
      <c r="B1589" s="8" t="str">
        <f>HYPERLINK("https://twitter.com/RichardRALFS","@RichardRALFS")</f>
        <v>@RichardRALFS</v>
      </c>
      <c r="C1589" s="9" t="s">
        <v>3037</v>
      </c>
      <c r="D1589" s="9" t="s">
        <v>3038</v>
      </c>
      <c r="E1589" s="10" t="str">
        <f>HYPERLINK("https://twitter.com/RichardRALFS/status/722718779118120960","722718779118120960")</f>
        <v>722718779118120960</v>
      </c>
      <c r="F1589" s="11" t="s">
        <v>20</v>
      </c>
      <c r="G1589" s="11">
        <v>190</v>
      </c>
      <c r="H1589" s="11">
        <v>191</v>
      </c>
      <c r="I1589" s="11">
        <v>3</v>
      </c>
      <c r="J1589" s="11">
        <v>0</v>
      </c>
      <c r="K1589" s="11" t="s">
        <v>21</v>
      </c>
      <c r="L1589" s="7">
        <v>40699.475300925929</v>
      </c>
      <c r="M1589" s="12" t="s">
        <v>3039</v>
      </c>
      <c r="N1589" s="12" t="s">
        <v>3040</v>
      </c>
      <c r="O1589" s="10" t="str">
        <f>HYPERLINK("https://pbs.twimg.com/profile_images/714617781107499009/pfUjM0_S_normal.jpg","View")</f>
        <v>View</v>
      </c>
      <c r="P1589" s="11"/>
    </row>
    <row r="1590" spans="1:16" ht="12.75" x14ac:dyDescent="0.35">
      <c r="A1590" s="7">
        <v>42480.625497685185</v>
      </c>
      <c r="B1590" s="8" t="str">
        <f>HYPERLINK("https://twitter.com/NeleReimers","@NeleReimers")</f>
        <v>@NeleReimers</v>
      </c>
      <c r="C1590" s="9" t="s">
        <v>67</v>
      </c>
      <c r="D1590" s="9" t="s">
        <v>3015</v>
      </c>
      <c r="E1590" s="10" t="str">
        <f>HYPERLINK("https://twitter.com/NeleReimers/status/722719133733908481","722719133733908481")</f>
        <v>722719133733908481</v>
      </c>
      <c r="F1590" s="11" t="s">
        <v>25</v>
      </c>
      <c r="G1590" s="11">
        <v>244</v>
      </c>
      <c r="H1590" s="11">
        <v>270</v>
      </c>
      <c r="I1590" s="11">
        <v>4</v>
      </c>
      <c r="J1590" s="11">
        <v>0</v>
      </c>
      <c r="K1590" s="11" t="s">
        <v>21</v>
      </c>
      <c r="L1590" s="7">
        <v>41088.684537037036</v>
      </c>
      <c r="M1590" s="12"/>
      <c r="N1590" s="12" t="s">
        <v>69</v>
      </c>
      <c r="O1590" s="10" t="str">
        <f>HYPERLINK("https://pbs.twimg.com/profile_images/667689986276392960/lHQvEvuO_normal.jpg","View")</f>
        <v>View</v>
      </c>
      <c r="P1590" s="11"/>
    </row>
    <row r="1591" spans="1:16" ht="12.75" x14ac:dyDescent="0.35">
      <c r="A1591" s="7">
        <v>42480.626168981486</v>
      </c>
      <c r="B1591" s="8" t="str">
        <f>HYPERLINK("https://twitter.com/INDIZbot","@INDIZbot")</f>
        <v>@INDIZbot</v>
      </c>
      <c r="C1591" s="9" t="s">
        <v>61</v>
      </c>
      <c r="D1591" s="9" t="s">
        <v>3038</v>
      </c>
      <c r="E1591" s="10" t="str">
        <f>HYPERLINK("https://twitter.com/INDIZbot/status/722719378471575552","722719378471575552")</f>
        <v>722719378471575552</v>
      </c>
      <c r="F1591" s="11" t="s">
        <v>62</v>
      </c>
      <c r="G1591" s="11">
        <v>1762</v>
      </c>
      <c r="H1591" s="11">
        <v>481</v>
      </c>
      <c r="I1591" s="11">
        <v>3</v>
      </c>
      <c r="J1591" s="11">
        <v>0</v>
      </c>
      <c r="K1591" s="11" t="s">
        <v>21</v>
      </c>
      <c r="L1591" s="7">
        <v>42267.011921296296</v>
      </c>
      <c r="M1591" s="12"/>
      <c r="N1591" s="12" t="s">
        <v>63</v>
      </c>
      <c r="O1591" s="10" t="str">
        <f>HYPERLINK("https://pbs.twimg.com/profile_images/645716711723925506/t5G0qOS6_normal.jpg","View")</f>
        <v>View</v>
      </c>
      <c r="P1591" s="11"/>
    </row>
    <row r="1592" spans="1:16" ht="12.75" x14ac:dyDescent="0.35">
      <c r="A1592" s="7">
        <v>42480.626250000001</v>
      </c>
      <c r="B1592" s="8" t="str">
        <f>HYPERLINK("https://twitter.com/shootoke","@shootoke")</f>
        <v>@shootoke</v>
      </c>
      <c r="C1592" s="9" t="s">
        <v>3041</v>
      </c>
      <c r="D1592" s="9" t="s">
        <v>3042</v>
      </c>
      <c r="E1592" s="10" t="str">
        <f>HYPERLINK("https://twitter.com/shootoke/status/722719404358836224","722719404358836224")</f>
        <v>722719404358836224</v>
      </c>
      <c r="F1592" s="11" t="s">
        <v>1859</v>
      </c>
      <c r="G1592" s="11">
        <v>48</v>
      </c>
      <c r="H1592" s="11">
        <v>51</v>
      </c>
      <c r="I1592" s="11">
        <v>0</v>
      </c>
      <c r="J1592" s="11">
        <v>0</v>
      </c>
      <c r="K1592" s="11" t="s">
        <v>21</v>
      </c>
      <c r="L1592" s="7">
        <v>42451.649710648147</v>
      </c>
      <c r="M1592" s="12" t="s">
        <v>92</v>
      </c>
      <c r="N1592" s="12" t="s">
        <v>3043</v>
      </c>
      <c r="O1592" s="10" t="str">
        <f>HYPERLINK("https://pbs.twimg.com/profile_images/714857598701465602/iKKrC3O9_normal.jpg","View")</f>
        <v>View</v>
      </c>
      <c r="P1592" s="11"/>
    </row>
    <row r="1593" spans="1:16" ht="12.75" x14ac:dyDescent="0.35">
      <c r="A1593" s="7">
        <v>42480.626793981486</v>
      </c>
      <c r="B1593" s="8" t="str">
        <f>HYPERLINK("https://twitter.com/INDIZbot","@INDIZbot")</f>
        <v>@INDIZbot</v>
      </c>
      <c r="C1593" s="9" t="s">
        <v>61</v>
      </c>
      <c r="D1593" s="9" t="s">
        <v>3044</v>
      </c>
      <c r="E1593" s="10" t="str">
        <f>HYPERLINK("https://twitter.com/INDIZbot/status/722719604875870208","722719604875870208")</f>
        <v>722719604875870208</v>
      </c>
      <c r="F1593" s="11" t="s">
        <v>62</v>
      </c>
      <c r="G1593" s="11">
        <v>1762</v>
      </c>
      <c r="H1593" s="11">
        <v>481</v>
      </c>
      <c r="I1593" s="11">
        <v>1</v>
      </c>
      <c r="J1593" s="11">
        <v>0</v>
      </c>
      <c r="K1593" s="11" t="s">
        <v>21</v>
      </c>
      <c r="L1593" s="7">
        <v>42267.011921296296</v>
      </c>
      <c r="M1593" s="12"/>
      <c r="N1593" s="12" t="s">
        <v>63</v>
      </c>
      <c r="O1593" s="10" t="str">
        <f>HYPERLINK("https://pbs.twimg.com/profile_images/645716711723925506/t5G0qOS6_normal.jpg","View")</f>
        <v>View</v>
      </c>
      <c r="P1593" s="11"/>
    </row>
    <row r="1594" spans="1:16" ht="12.75" x14ac:dyDescent="0.35">
      <c r="A1594" s="7">
        <v>42480.630173611113</v>
      </c>
      <c r="B1594" s="8" t="str">
        <f>HYPERLINK("https://twitter.com/markherten","@markherten")</f>
        <v>@markherten</v>
      </c>
      <c r="C1594" s="9" t="s">
        <v>37</v>
      </c>
      <c r="D1594" s="9" t="s">
        <v>3045</v>
      </c>
      <c r="E1594" s="10" t="str">
        <f>HYPERLINK("https://twitter.com/markherten/status/722720827897225217","722720827897225217")</f>
        <v>722720827897225217</v>
      </c>
      <c r="F1594" s="11" t="s">
        <v>39</v>
      </c>
      <c r="G1594" s="11">
        <v>96</v>
      </c>
      <c r="H1594" s="11">
        <v>176</v>
      </c>
      <c r="I1594" s="11">
        <v>0</v>
      </c>
      <c r="J1594" s="11">
        <v>1</v>
      </c>
      <c r="K1594" s="11" t="s">
        <v>21</v>
      </c>
      <c r="L1594" s="7">
        <v>40249.947696759264</v>
      </c>
      <c r="M1594" s="12" t="s">
        <v>40</v>
      </c>
      <c r="N1594" s="12" t="s">
        <v>41</v>
      </c>
      <c r="O1594" s="10" t="str">
        <f>HYPERLINK("https://pbs.twimg.com/profile_images/718175389890310145/GX8DLe_h_normal.jpg","View")</f>
        <v>View</v>
      </c>
      <c r="P1594" s="11"/>
    </row>
    <row r="1595" spans="1:16" ht="12.75" x14ac:dyDescent="0.35">
      <c r="A1595" s="7">
        <v>42480.630289351851</v>
      </c>
      <c r="B1595" s="8" t="str">
        <f>HYPERLINK("https://twitter.com/AlbrechtAstrid","@AlbrechtAstrid")</f>
        <v>@AlbrechtAstrid</v>
      </c>
      <c r="C1595" s="9" t="s">
        <v>3046</v>
      </c>
      <c r="D1595" s="9" t="s">
        <v>3047</v>
      </c>
      <c r="E1595" s="10" t="str">
        <f>HYPERLINK("https://twitter.com/AlbrechtAstrid/status/722720870817492992","722720870817492992")</f>
        <v>722720870817492992</v>
      </c>
      <c r="F1595" s="11" t="s">
        <v>31</v>
      </c>
      <c r="G1595" s="11">
        <v>66</v>
      </c>
      <c r="H1595" s="11">
        <v>288</v>
      </c>
      <c r="I1595" s="11">
        <v>0</v>
      </c>
      <c r="J1595" s="11">
        <v>0</v>
      </c>
      <c r="K1595" s="11" t="s">
        <v>21</v>
      </c>
      <c r="L1595" s="7">
        <v>41866.571087962962</v>
      </c>
      <c r="M1595" s="12" t="s">
        <v>985</v>
      </c>
      <c r="N1595" s="12" t="s">
        <v>3048</v>
      </c>
      <c r="O1595" s="10" t="str">
        <f>HYPERLINK("https://pbs.twimg.com/profile_images/500197613988102144/YT-InrbJ_normal.jpeg","View")</f>
        <v>View</v>
      </c>
      <c r="P1595" s="11"/>
    </row>
    <row r="1596" spans="1:16" ht="12.75" x14ac:dyDescent="0.35">
      <c r="A1596" s="7">
        <v>42480.630891203706</v>
      </c>
      <c r="B1596" s="8" t="str">
        <f>HYPERLINK("https://twitter.com/Industrie_40","@Industrie_40")</f>
        <v>@Industrie_40</v>
      </c>
      <c r="C1596" s="9" t="s">
        <v>3004</v>
      </c>
      <c r="D1596" s="9" t="s">
        <v>3049</v>
      </c>
      <c r="E1596" s="10" t="str">
        <f>HYPERLINK("https://twitter.com/Industrie_40/status/722721088418017280","722721088418017280")</f>
        <v>722721088418017280</v>
      </c>
      <c r="F1596" s="11" t="s">
        <v>25</v>
      </c>
      <c r="G1596" s="11">
        <v>2832</v>
      </c>
      <c r="H1596" s="11">
        <v>702</v>
      </c>
      <c r="I1596" s="11">
        <v>3</v>
      </c>
      <c r="J1596" s="11">
        <v>2</v>
      </c>
      <c r="K1596" s="11" t="s">
        <v>21</v>
      </c>
      <c r="L1596" s="7">
        <v>41286.662754629629</v>
      </c>
      <c r="M1596" s="12"/>
      <c r="N1596" s="12" t="s">
        <v>3006</v>
      </c>
      <c r="O1596" s="10" t="str">
        <f>HYPERLINK("https://pbs.twimg.com/profile_images/3187517551/d49d77b3273cb499285ee666e06418f8_normal.jpeg","View")</f>
        <v>View</v>
      </c>
      <c r="P1596" s="11"/>
    </row>
    <row r="1597" spans="1:16" ht="12.75" x14ac:dyDescent="0.35">
      <c r="A1597" s="7">
        <v>42480.632905092592</v>
      </c>
      <c r="B1597" s="8" t="str">
        <f>HYPERLINK("https://twitter.com/AppianDE","@AppianDE")</f>
        <v>@AppianDE</v>
      </c>
      <c r="C1597" s="9" t="s">
        <v>3050</v>
      </c>
      <c r="D1597" s="9" t="s">
        <v>3051</v>
      </c>
      <c r="E1597" s="10" t="str">
        <f>HYPERLINK("https://twitter.com/AppianDE/status/722721818608594944","722721818608594944")</f>
        <v>722721818608594944</v>
      </c>
      <c r="F1597" s="11" t="s">
        <v>25</v>
      </c>
      <c r="G1597" s="11">
        <v>48</v>
      </c>
      <c r="H1597" s="11">
        <v>287</v>
      </c>
      <c r="I1597" s="11">
        <v>0</v>
      </c>
      <c r="J1597" s="11">
        <v>0</v>
      </c>
      <c r="K1597" s="11" t="s">
        <v>21</v>
      </c>
      <c r="L1597" s="7">
        <v>42440.67763888889</v>
      </c>
      <c r="M1597" s="12" t="s">
        <v>2692</v>
      </c>
      <c r="N1597" s="12" t="s">
        <v>3052</v>
      </c>
      <c r="O1597" s="10" t="str">
        <f>HYPERLINK("https://pbs.twimg.com/profile_images/708243374000762880/nqsq5gIs_normal.jpg","View")</f>
        <v>View</v>
      </c>
      <c r="P1597" s="11"/>
    </row>
    <row r="1598" spans="1:16" ht="12.75" x14ac:dyDescent="0.35">
      <c r="A1598" s="7">
        <v>42480.633090277777</v>
      </c>
      <c r="B1598" s="8" t="str">
        <f>HYPERLINK("https://twitter.com/FabianMeisinger","@FabianMeisinger")</f>
        <v>@FabianMeisinger</v>
      </c>
      <c r="C1598" s="9" t="s">
        <v>3053</v>
      </c>
      <c r="D1598" s="9" t="s">
        <v>3054</v>
      </c>
      <c r="E1598" s="10" t="str">
        <f>HYPERLINK("https://twitter.com/FabianMeisinger/status/722721882970177536","722721882970177536")</f>
        <v>722721882970177536</v>
      </c>
      <c r="F1598" s="11" t="s">
        <v>25</v>
      </c>
      <c r="G1598" s="11">
        <v>52</v>
      </c>
      <c r="H1598" s="11">
        <v>141</v>
      </c>
      <c r="I1598" s="11">
        <v>0</v>
      </c>
      <c r="J1598" s="11">
        <v>0</v>
      </c>
      <c r="K1598" s="11" t="s">
        <v>21</v>
      </c>
      <c r="L1598" s="7">
        <v>42285.759872685187</v>
      </c>
      <c r="M1598" s="12" t="s">
        <v>3055</v>
      </c>
      <c r="N1598" s="12" t="s">
        <v>3056</v>
      </c>
      <c r="O1598" s="10" t="str">
        <f>HYPERLINK("https://pbs.twimg.com/profile_images/652104556713742338/lEeMPHjz_normal.jpg","View")</f>
        <v>View</v>
      </c>
      <c r="P1598" s="11"/>
    </row>
    <row r="1599" spans="1:16" ht="12.75" x14ac:dyDescent="0.35">
      <c r="A1599" s="7">
        <v>42480.633217592593</v>
      </c>
      <c r="B1599" s="8" t="str">
        <f>HYPERLINK("https://twitter.com/UweKubach","@UweKubach")</f>
        <v>@UweKubach</v>
      </c>
      <c r="C1599" s="9" t="s">
        <v>1650</v>
      </c>
      <c r="D1599" s="9" t="s">
        <v>3057</v>
      </c>
      <c r="E1599" s="10" t="str">
        <f>HYPERLINK("https://twitter.com/UweKubach/status/722721931494039554","722721931494039554")</f>
        <v>722721931494039554</v>
      </c>
      <c r="F1599" s="11" t="s">
        <v>25</v>
      </c>
      <c r="G1599" s="11">
        <v>33</v>
      </c>
      <c r="H1599" s="11">
        <v>20</v>
      </c>
      <c r="I1599" s="11">
        <v>0</v>
      </c>
      <c r="J1599" s="11">
        <v>1</v>
      </c>
      <c r="K1599" s="11" t="s">
        <v>21</v>
      </c>
      <c r="L1599" s="7">
        <v>41597.681932870371</v>
      </c>
      <c r="M1599" s="12"/>
      <c r="N1599" s="12"/>
      <c r="O1599" s="10" t="str">
        <f>HYPERLINK("https://pbs.twimg.com/profile_images/710750672581484545/n4dPcodC_normal.jpg","View")</f>
        <v>View</v>
      </c>
      <c r="P1599" s="11"/>
    </row>
    <row r="1600" spans="1:16" ht="12.75" x14ac:dyDescent="0.35">
      <c r="A1600" s="7">
        <v>42480.633611111116</v>
      </c>
      <c r="B1600" s="8" t="str">
        <f>HYPERLINK("https://twitter.com/Bosch_BCDS","@Bosch_BCDS")</f>
        <v>@Bosch_BCDS</v>
      </c>
      <c r="C1600" s="9" t="s">
        <v>3058</v>
      </c>
      <c r="D1600" s="9" t="s">
        <v>1904</v>
      </c>
      <c r="E1600" s="10" t="str">
        <f>HYPERLINK("https://twitter.com/Bosch_BCDS/status/722722071646707712","722722071646707712")</f>
        <v>722722071646707712</v>
      </c>
      <c r="F1600" s="11" t="s">
        <v>25</v>
      </c>
      <c r="G1600" s="11">
        <v>481</v>
      </c>
      <c r="H1600" s="11">
        <v>483</v>
      </c>
      <c r="I1600" s="11">
        <v>18</v>
      </c>
      <c r="J1600" s="11">
        <v>0</v>
      </c>
      <c r="K1600" s="11" t="s">
        <v>21</v>
      </c>
      <c r="L1600" s="7">
        <v>41625.803622685184</v>
      </c>
      <c r="M1600" s="12" t="s">
        <v>3059</v>
      </c>
      <c r="N1600" s="12" t="s">
        <v>3060</v>
      </c>
      <c r="O1600" s="10" t="str">
        <f>HYPERLINK("https://pbs.twimg.com/profile_images/656085170995535873/WqzD_O5g_normal.jpg","View")</f>
        <v>View</v>
      </c>
      <c r="P1600" s="11"/>
    </row>
    <row r="1601" spans="1:16" ht="12.75" x14ac:dyDescent="0.35">
      <c r="A1601" s="7">
        <v>42480.633738425924</v>
      </c>
      <c r="B1601" s="8" t="str">
        <f>HYPERLINK("https://twitter.com/INDIZbot","@INDIZbot")</f>
        <v>@INDIZbot</v>
      </c>
      <c r="C1601" s="9" t="s">
        <v>61</v>
      </c>
      <c r="D1601" s="9" t="s">
        <v>3061</v>
      </c>
      <c r="E1601" s="10" t="str">
        <f>HYPERLINK("https://twitter.com/INDIZbot/status/722722120346779648","722722120346779648")</f>
        <v>722722120346779648</v>
      </c>
      <c r="F1601" s="11" t="s">
        <v>62</v>
      </c>
      <c r="G1601" s="11">
        <v>1762</v>
      </c>
      <c r="H1601" s="11">
        <v>481</v>
      </c>
      <c r="I1601" s="11">
        <v>3</v>
      </c>
      <c r="J1601" s="11">
        <v>0</v>
      </c>
      <c r="K1601" s="11" t="s">
        <v>21</v>
      </c>
      <c r="L1601" s="7">
        <v>42267.011921296296</v>
      </c>
      <c r="M1601" s="12"/>
      <c r="N1601" s="12" t="s">
        <v>63</v>
      </c>
      <c r="O1601" s="10" t="str">
        <f>HYPERLINK("https://pbs.twimg.com/profile_images/645716711723925506/t5G0qOS6_normal.jpg","View")</f>
        <v>View</v>
      </c>
      <c r="P1601" s="11"/>
    </row>
    <row r="1602" spans="1:16" ht="12.75" x14ac:dyDescent="0.35">
      <c r="A1602" s="7">
        <v>42480.634421296301</v>
      </c>
      <c r="B1602" s="8" t="str">
        <f>HYPERLINK("https://twitter.com/VhUHessen","@VhUHessen")</f>
        <v>@VhUHessen</v>
      </c>
      <c r="C1602" s="9" t="s">
        <v>3062</v>
      </c>
      <c r="D1602" s="9" t="s">
        <v>3061</v>
      </c>
      <c r="E1602" s="10" t="str">
        <f>HYPERLINK("https://twitter.com/VhUHessen/status/722722367286480896","722722367286480896")</f>
        <v>722722367286480896</v>
      </c>
      <c r="F1602" s="11" t="s">
        <v>39</v>
      </c>
      <c r="G1602" s="11">
        <v>454</v>
      </c>
      <c r="H1602" s="11">
        <v>98</v>
      </c>
      <c r="I1602" s="11">
        <v>3</v>
      </c>
      <c r="J1602" s="11">
        <v>0</v>
      </c>
      <c r="K1602" s="11" t="s">
        <v>21</v>
      </c>
      <c r="L1602" s="7">
        <v>39910.635138888887</v>
      </c>
      <c r="M1602" s="12" t="s">
        <v>1290</v>
      </c>
      <c r="N1602" s="12" t="s">
        <v>3063</v>
      </c>
      <c r="O1602" s="10" t="str">
        <f>HYPERLINK("https://pbs.twimg.com/profile_images/514736619115384832/edvgJxyt_normal.png","View")</f>
        <v>View</v>
      </c>
      <c r="P1602" s="11"/>
    </row>
    <row r="1603" spans="1:16" ht="12.75" x14ac:dyDescent="0.35">
      <c r="A1603" s="7">
        <v>42480.634768518517</v>
      </c>
      <c r="B1603" s="8" t="str">
        <f>HYPERLINK("https://twitter.com/DerKonstrukteu","@DerKonstrukteu")</f>
        <v>@DerKonstrukteu</v>
      </c>
      <c r="C1603" s="9" t="s">
        <v>2098</v>
      </c>
      <c r="D1603" s="9" t="s">
        <v>3064</v>
      </c>
      <c r="E1603" s="10" t="str">
        <f>HYPERLINK("https://twitter.com/DerKonstrukteu/status/722722494835245056","722722494835245056")</f>
        <v>722722494835245056</v>
      </c>
      <c r="F1603" s="11" t="s">
        <v>25</v>
      </c>
      <c r="G1603" s="11">
        <v>1142</v>
      </c>
      <c r="H1603" s="11">
        <v>610</v>
      </c>
      <c r="I1603" s="11">
        <v>0</v>
      </c>
      <c r="J1603" s="11">
        <v>1</v>
      </c>
      <c r="K1603" s="11" t="s">
        <v>21</v>
      </c>
      <c r="L1603" s="7">
        <v>41612.809548611112</v>
      </c>
      <c r="M1603" s="12" t="s">
        <v>2100</v>
      </c>
      <c r="N1603" s="12" t="s">
        <v>2101</v>
      </c>
      <c r="O1603" s="10" t="str">
        <f>HYPERLINK("https://pbs.twimg.com/profile_images/448785978165968896/SQOcI8cJ_normal.png","View")</f>
        <v>View</v>
      </c>
      <c r="P1603" s="11"/>
    </row>
    <row r="1604" spans="1:16" ht="12.75" x14ac:dyDescent="0.35">
      <c r="A1604" s="7">
        <v>42480.635405092587</v>
      </c>
      <c r="B1604" s="8" t="str">
        <f>HYPERLINK("https://twitter.com/VhUHessen","@VhUHessen")</f>
        <v>@VhUHessen</v>
      </c>
      <c r="C1604" s="9" t="s">
        <v>3062</v>
      </c>
      <c r="D1604" s="9" t="s">
        <v>3021</v>
      </c>
      <c r="E1604" s="10" t="str">
        <f>HYPERLINK("https://twitter.com/VhUHessen/status/722722725488435201","722722725488435201")</f>
        <v>722722725488435201</v>
      </c>
      <c r="F1604" s="11" t="s">
        <v>39</v>
      </c>
      <c r="G1604" s="11">
        <v>454</v>
      </c>
      <c r="H1604" s="11">
        <v>98</v>
      </c>
      <c r="I1604" s="11">
        <v>2</v>
      </c>
      <c r="J1604" s="11">
        <v>0</v>
      </c>
      <c r="K1604" s="11" t="s">
        <v>21</v>
      </c>
      <c r="L1604" s="7">
        <v>39910.635138888887</v>
      </c>
      <c r="M1604" s="12" t="s">
        <v>1290</v>
      </c>
      <c r="N1604" s="12" t="s">
        <v>3063</v>
      </c>
      <c r="O1604" s="10" t="str">
        <f>HYPERLINK("https://pbs.twimg.com/profile_images/514736619115384832/edvgJxyt_normal.png","View")</f>
        <v>View</v>
      </c>
      <c r="P1604" s="11"/>
    </row>
    <row r="1605" spans="1:16" ht="12.75" x14ac:dyDescent="0.35">
      <c r="A1605" s="7">
        <v>42480.635798611111</v>
      </c>
      <c r="B1605" s="8" t="str">
        <f>HYPERLINK("https://twitter.com/HESSENMETALL","@HESSENMETALL")</f>
        <v>@HESSENMETALL</v>
      </c>
      <c r="C1605" s="9" t="s">
        <v>2983</v>
      </c>
      <c r="D1605" s="9" t="s">
        <v>2965</v>
      </c>
      <c r="E1605" s="10" t="str">
        <f>HYPERLINK("https://twitter.com/HESSENMETALL/status/722722866215694337","722722866215694337")</f>
        <v>722722866215694337</v>
      </c>
      <c r="F1605" s="11" t="s">
        <v>25</v>
      </c>
      <c r="G1605" s="11">
        <v>201</v>
      </c>
      <c r="H1605" s="11">
        <v>149</v>
      </c>
      <c r="I1605" s="11">
        <v>12</v>
      </c>
      <c r="J1605" s="11">
        <v>0</v>
      </c>
      <c r="K1605" s="11" t="s">
        <v>21</v>
      </c>
      <c r="L1605" s="7">
        <v>41830.710995370369</v>
      </c>
      <c r="M1605" s="12" t="s">
        <v>1290</v>
      </c>
      <c r="N1605" s="12" t="s">
        <v>2985</v>
      </c>
      <c r="O1605" s="10" t="str">
        <f>HYPERLINK("https://pbs.twimg.com/profile_images/573131119459090433/chvdSZ_E_normal.png","View")</f>
        <v>View</v>
      </c>
      <c r="P1605" s="11"/>
    </row>
    <row r="1606" spans="1:16" ht="12.75" x14ac:dyDescent="0.35">
      <c r="A1606" s="7">
        <v>42480.635960648149</v>
      </c>
      <c r="B1606" s="8" t="str">
        <f>HYPERLINK("https://twitter.com/tech_ct_ath","@tech_ct_ath")</f>
        <v>@tech_ct_ath</v>
      </c>
      <c r="C1606" s="9" t="s">
        <v>3065</v>
      </c>
      <c r="D1606" s="9" t="s">
        <v>2924</v>
      </c>
      <c r="E1606" s="10" t="str">
        <f>HYPERLINK("https://twitter.com/tech_ct_ath/status/722722924017369088","722722924017369088")</f>
        <v>722722924017369088</v>
      </c>
      <c r="F1606" s="11" t="s">
        <v>31</v>
      </c>
      <c r="G1606" s="11">
        <v>40</v>
      </c>
      <c r="H1606" s="11">
        <v>137</v>
      </c>
      <c r="I1606" s="11">
        <v>3</v>
      </c>
      <c r="J1606" s="11">
        <v>0</v>
      </c>
      <c r="K1606" s="11" t="s">
        <v>21</v>
      </c>
      <c r="L1606" s="7">
        <v>42460.999178240745</v>
      </c>
      <c r="M1606" s="12" t="s">
        <v>3066</v>
      </c>
      <c r="N1606" s="12" t="s">
        <v>3067</v>
      </c>
      <c r="O1606" s="10" t="str">
        <f>HYPERLINK("https://pbs.twimg.com/profile_images/715611424811315200/RGuTAYX__normal.jpg","View")</f>
        <v>View</v>
      </c>
      <c r="P1606" s="11"/>
    </row>
    <row r="1607" spans="1:16" ht="12.75" x14ac:dyDescent="0.35">
      <c r="A1607" s="7">
        <v>42480.637974537036</v>
      </c>
      <c r="B1607" s="8" t="str">
        <f>HYPERLINK("https://twitter.com/ZVEIorg","@ZVEIorg")</f>
        <v>@ZVEIorg</v>
      </c>
      <c r="C1607" s="9" t="s">
        <v>390</v>
      </c>
      <c r="D1607" s="9" t="s">
        <v>3068</v>
      </c>
      <c r="E1607" s="10" t="str">
        <f>HYPERLINK("https://twitter.com/ZVEIorg/status/722723653574635520","722723653574635520")</f>
        <v>722723653574635520</v>
      </c>
      <c r="F1607" s="11" t="s">
        <v>25</v>
      </c>
      <c r="G1607" s="11">
        <v>2546</v>
      </c>
      <c r="H1607" s="11">
        <v>581</v>
      </c>
      <c r="I1607" s="11">
        <v>3</v>
      </c>
      <c r="J1607" s="11">
        <v>3</v>
      </c>
      <c r="K1607" s="11" t="s">
        <v>21</v>
      </c>
      <c r="L1607" s="7">
        <v>41247.641875000001</v>
      </c>
      <c r="M1607" s="12" t="s">
        <v>392</v>
      </c>
      <c r="N1607" s="12" t="s">
        <v>393</v>
      </c>
      <c r="O1607" s="10" t="str">
        <f>HYPERLINK("https://pbs.twimg.com/profile_images/479147477975588864/z94n3mRF_normal.jpeg","View")</f>
        <v>View</v>
      </c>
      <c r="P1607" s="11"/>
    </row>
    <row r="1608" spans="1:16" ht="12.75" x14ac:dyDescent="0.35">
      <c r="A1608" s="7">
        <v>42480.637974537036</v>
      </c>
      <c r="B1608" s="8" t="str">
        <f>HYPERLINK("https://twitter.com/VhUHessen","@VhUHessen")</f>
        <v>@VhUHessen</v>
      </c>
      <c r="C1608" s="9" t="s">
        <v>3062</v>
      </c>
      <c r="D1608" s="9" t="s">
        <v>2965</v>
      </c>
      <c r="E1608" s="10" t="str">
        <f>HYPERLINK("https://twitter.com/VhUHessen/status/722723656036716544","722723656036716544")</f>
        <v>722723656036716544</v>
      </c>
      <c r="F1608" s="11" t="s">
        <v>39</v>
      </c>
      <c r="G1608" s="11">
        <v>454</v>
      </c>
      <c r="H1608" s="11">
        <v>98</v>
      </c>
      <c r="I1608" s="11">
        <v>12</v>
      </c>
      <c r="J1608" s="11">
        <v>0</v>
      </c>
      <c r="K1608" s="11" t="s">
        <v>21</v>
      </c>
      <c r="L1608" s="7">
        <v>39910.635138888887</v>
      </c>
      <c r="M1608" s="12" t="s">
        <v>1290</v>
      </c>
      <c r="N1608" s="12" t="s">
        <v>3063</v>
      </c>
      <c r="O1608" s="10" t="str">
        <f>HYPERLINK("https://pbs.twimg.com/profile_images/514736619115384832/edvgJxyt_normal.png","View")</f>
        <v>View</v>
      </c>
      <c r="P1608" s="11"/>
    </row>
    <row r="1609" spans="1:16" ht="12.75" x14ac:dyDescent="0.35">
      <c r="A1609" s="7">
        <v>42480.638969907406</v>
      </c>
      <c r="B1609" s="8" t="str">
        <f>HYPERLINK("https://twitter.com/SusChem","@SusChem")</f>
        <v>@SusChem</v>
      </c>
      <c r="C1609" s="9" t="s">
        <v>3069</v>
      </c>
      <c r="D1609" s="9" t="s">
        <v>3070</v>
      </c>
      <c r="E1609" s="10" t="str">
        <f>HYPERLINK("https://twitter.com/SusChem/status/722724014834204672","722724014834204672")</f>
        <v>722724014834204672</v>
      </c>
      <c r="F1609" s="11" t="s">
        <v>29</v>
      </c>
      <c r="G1609" s="11">
        <v>2163</v>
      </c>
      <c r="H1609" s="11">
        <v>228</v>
      </c>
      <c r="I1609" s="11">
        <v>1</v>
      </c>
      <c r="J1609" s="11">
        <v>0</v>
      </c>
      <c r="K1609" s="11" t="s">
        <v>21</v>
      </c>
      <c r="L1609" s="7">
        <v>40294.636053240742</v>
      </c>
      <c r="M1609" s="12" t="s">
        <v>3071</v>
      </c>
      <c r="N1609" s="12" t="s">
        <v>3072</v>
      </c>
      <c r="O1609" s="10" t="str">
        <f>HYPERLINK("https://pbs.twimg.com/profile_images/1824550858/suschemlogo_twitter_normal.jpg","View")</f>
        <v>View</v>
      </c>
      <c r="P1609" s="11"/>
    </row>
    <row r="1610" spans="1:16" ht="12.75" x14ac:dyDescent="0.35">
      <c r="A1610" s="7">
        <v>42480.64225694444</v>
      </c>
      <c r="B1610" s="8" t="str">
        <f>HYPERLINK("https://twitter.com/Gensearch_GER","@Gensearch_GER")</f>
        <v>@Gensearch_GER</v>
      </c>
      <c r="C1610" s="9" t="s">
        <v>3073</v>
      </c>
      <c r="D1610" s="9" t="s">
        <v>3074</v>
      </c>
      <c r="E1610" s="10" t="str">
        <f>HYPERLINK("https://twitter.com/Gensearch_GER/status/722725205676802048","722725205676802048")</f>
        <v>722725205676802048</v>
      </c>
      <c r="F1610" s="11" t="s">
        <v>25</v>
      </c>
      <c r="G1610" s="11">
        <v>20</v>
      </c>
      <c r="H1610" s="11">
        <v>52</v>
      </c>
      <c r="I1610" s="11">
        <v>1</v>
      </c>
      <c r="J1610" s="11">
        <v>0</v>
      </c>
      <c r="K1610" s="11" t="s">
        <v>21</v>
      </c>
      <c r="L1610" s="7">
        <v>42377.870358796295</v>
      </c>
      <c r="M1610" s="12" t="s">
        <v>79</v>
      </c>
      <c r="N1610" s="12" t="s">
        <v>3075</v>
      </c>
      <c r="O1610" s="10" t="str">
        <f>HYPERLINK("https://pbs.twimg.com/profile_images/685482363778936832/uyeJ4oAt_normal.jpg","View")</f>
        <v>View</v>
      </c>
      <c r="P1610" s="11"/>
    </row>
    <row r="1611" spans="1:16" ht="12.75" x14ac:dyDescent="0.35">
      <c r="A1611" s="7">
        <v>42480.643437499995</v>
      </c>
      <c r="B1611" s="8" t="str">
        <f>HYPERLINK("https://twitter.com/zen_mfg","@zen_mfg")</f>
        <v>@zen_mfg</v>
      </c>
      <c r="C1611" s="9" t="s">
        <v>379</v>
      </c>
      <c r="D1611" s="9" t="s">
        <v>3076</v>
      </c>
      <c r="E1611" s="10" t="str">
        <f>HYPERLINK("https://twitter.com/zen_mfg/status/722725633311272961","722725633311272961")</f>
        <v>722725633311272961</v>
      </c>
      <c r="F1611" s="11" t="s">
        <v>115</v>
      </c>
      <c r="G1611" s="11">
        <v>20</v>
      </c>
      <c r="H1611" s="11">
        <v>21</v>
      </c>
      <c r="I1611" s="11">
        <v>0</v>
      </c>
      <c r="J1611" s="11">
        <v>0</v>
      </c>
      <c r="K1611" s="11" t="s">
        <v>21</v>
      </c>
      <c r="L1611" s="7">
        <v>42465.011516203704</v>
      </c>
      <c r="M1611" s="12" t="s">
        <v>381</v>
      </c>
      <c r="N1611" s="12" t="s">
        <v>382</v>
      </c>
      <c r="O1611" s="10" t="str">
        <f>HYPERLINK("https://pbs.twimg.com/profile_images/719855439022678017/ywr6leIV_normal.jpg","View")</f>
        <v>View</v>
      </c>
      <c r="P1611" s="11"/>
    </row>
    <row r="1612" spans="1:16" ht="12.75" x14ac:dyDescent="0.35">
      <c r="A1612" s="7">
        <v>42480.64435185185</v>
      </c>
      <c r="B1612" s="8" t="str">
        <f>HYPERLINK("https://twitter.com/Senfberg","@Senfberg")</f>
        <v>@Senfberg</v>
      </c>
      <c r="C1612" s="9" t="s">
        <v>3077</v>
      </c>
      <c r="D1612" s="9" t="s">
        <v>3078</v>
      </c>
      <c r="E1612" s="10" t="str">
        <f>HYPERLINK("https://twitter.com/Senfberg/status/722725964032176128","722725964032176128")</f>
        <v>722725964032176128</v>
      </c>
      <c r="F1612" s="11" t="s">
        <v>25</v>
      </c>
      <c r="G1612" s="11">
        <v>873</v>
      </c>
      <c r="H1612" s="11">
        <v>911</v>
      </c>
      <c r="I1612" s="11">
        <v>0</v>
      </c>
      <c r="J1612" s="11">
        <v>1</v>
      </c>
      <c r="K1612" s="11" t="s">
        <v>21</v>
      </c>
      <c r="L1612" s="7">
        <v>40102.196458333332</v>
      </c>
      <c r="M1612" s="12" t="s">
        <v>3079</v>
      </c>
      <c r="N1612" s="12" t="s">
        <v>3080</v>
      </c>
      <c r="O1612" s="10" t="str">
        <f>HYPERLINK("https://pbs.twimg.com/profile_images/716046724981202946/KVuskSZN_normal.jpg","View")</f>
        <v>View</v>
      </c>
      <c r="P1612" s="11"/>
    </row>
    <row r="1613" spans="1:16" ht="12.75" x14ac:dyDescent="0.35">
      <c r="A1613" s="7">
        <v>42480.645752314813</v>
      </c>
      <c r="B1613" s="8" t="str">
        <f>HYPERLINK("https://twitter.com/Fujitsu_DE","@Fujitsu_DE")</f>
        <v>@Fujitsu_DE</v>
      </c>
      <c r="C1613" s="9" t="s">
        <v>3081</v>
      </c>
      <c r="D1613" s="9" t="s">
        <v>2637</v>
      </c>
      <c r="E1613" s="10" t="str">
        <f>HYPERLINK("https://twitter.com/Fujitsu_DE/status/722726472281169921","722726472281169921")</f>
        <v>722726472281169921</v>
      </c>
      <c r="F1613" s="11" t="s">
        <v>25</v>
      </c>
      <c r="G1613" s="11">
        <v>3565</v>
      </c>
      <c r="H1613" s="11">
        <v>769</v>
      </c>
      <c r="I1613" s="11">
        <v>4</v>
      </c>
      <c r="J1613" s="11">
        <v>0</v>
      </c>
      <c r="K1613" s="11" t="s">
        <v>21</v>
      </c>
      <c r="L1613" s="7">
        <v>40065.671249999999</v>
      </c>
      <c r="M1613" s="12" t="s">
        <v>3082</v>
      </c>
      <c r="N1613" s="12" t="s">
        <v>3083</v>
      </c>
      <c r="O1613" s="10" t="str">
        <f>HYPERLINK("https://pbs.twimg.com/profile_images/433533281326227456/t50WsDxe_normal.png","View")</f>
        <v>View</v>
      </c>
      <c r="P1613" s="11"/>
    </row>
    <row r="1614" spans="1:16" ht="12.75" x14ac:dyDescent="0.35">
      <c r="A1614" s="7">
        <v>42480.649837962963</v>
      </c>
      <c r="B1614" s="8" t="str">
        <f>HYPERLINK("https://twitter.com/cccsoftwaregmbh","@cccsoftwaregmbh")</f>
        <v>@cccsoftwaregmbh</v>
      </c>
      <c r="C1614" s="9" t="s">
        <v>1806</v>
      </c>
      <c r="D1614" s="9" t="s">
        <v>1594</v>
      </c>
      <c r="E1614" s="10" t="str">
        <f>HYPERLINK("https://twitter.com/cccsoftwaregmbh/status/722727953231175680","722727953231175680")</f>
        <v>722727953231175680</v>
      </c>
      <c r="F1614" s="11" t="s">
        <v>20</v>
      </c>
      <c r="G1614" s="11">
        <v>74</v>
      </c>
      <c r="H1614" s="11">
        <v>153</v>
      </c>
      <c r="I1614" s="11">
        <v>7</v>
      </c>
      <c r="J1614" s="11">
        <v>0</v>
      </c>
      <c r="K1614" s="11" t="s">
        <v>21</v>
      </c>
      <c r="L1614" s="7">
        <v>42317.757268518515</v>
      </c>
      <c r="M1614" s="12" t="s">
        <v>1809</v>
      </c>
      <c r="N1614" s="12" t="s">
        <v>1810</v>
      </c>
      <c r="O1614" s="10" t="str">
        <f>HYPERLINK("https://pbs.twimg.com/profile_images/664044971788509188/KRTH7qBq_normal.jpg","View")</f>
        <v>View</v>
      </c>
      <c r="P1614" s="11"/>
    </row>
    <row r="1615" spans="1:16" ht="12.75" x14ac:dyDescent="0.35">
      <c r="A1615" s="7">
        <v>42480.651874999996</v>
      </c>
      <c r="B1615" s="8" t="str">
        <f>HYPERLINK("https://twitter.com/AGiesenNRW","@AGiesenNRW")</f>
        <v>@AGiesenNRW</v>
      </c>
      <c r="C1615" s="9" t="s">
        <v>3084</v>
      </c>
      <c r="D1615" s="9" t="s">
        <v>3085</v>
      </c>
      <c r="E1615" s="10" t="str">
        <f>HYPERLINK("https://twitter.com/AGiesenNRW/status/722728692733108224","722728692733108224")</f>
        <v>722728692733108224</v>
      </c>
      <c r="F1615" s="11" t="s">
        <v>25</v>
      </c>
      <c r="G1615" s="11">
        <v>1024</v>
      </c>
      <c r="H1615" s="11">
        <v>318</v>
      </c>
      <c r="I1615" s="11">
        <v>1</v>
      </c>
      <c r="J1615" s="11">
        <v>0</v>
      </c>
      <c r="K1615" s="11" t="s">
        <v>21</v>
      </c>
      <c r="L1615" s="7">
        <v>41972.180439814816</v>
      </c>
      <c r="M1615" s="12" t="s">
        <v>3086</v>
      </c>
      <c r="N1615" s="12" t="s">
        <v>3087</v>
      </c>
      <c r="O1615" s="10" t="str">
        <f>HYPERLINK("https://pbs.twimg.com/profile_images/687630441893900288/RvOaRxIg_normal.jpg","View")</f>
        <v>View</v>
      </c>
      <c r="P1615" s="11"/>
    </row>
    <row r="1616" spans="1:16" ht="12.75" x14ac:dyDescent="0.35">
      <c r="A1616" s="7">
        <v>42480.652569444443</v>
      </c>
      <c r="B1616" s="8" t="str">
        <f>HYPERLINK("https://twitter.com/ThomasSchulzGE","@ThomasSchulzGE")</f>
        <v>@ThomasSchulzGE</v>
      </c>
      <c r="C1616" s="9" t="s">
        <v>1200</v>
      </c>
      <c r="D1616" s="9" t="s">
        <v>3088</v>
      </c>
      <c r="E1616" s="10" t="str">
        <f>HYPERLINK("https://twitter.com/ThomasSchulzGE/status/722728943015620608","722728943015620608")</f>
        <v>722728943015620608</v>
      </c>
      <c r="F1616" s="11" t="s">
        <v>29</v>
      </c>
      <c r="G1616" s="11">
        <v>132</v>
      </c>
      <c r="H1616" s="11">
        <v>190</v>
      </c>
      <c r="I1616" s="11">
        <v>0</v>
      </c>
      <c r="J1616" s="11">
        <v>2</v>
      </c>
      <c r="K1616" s="11" t="s">
        <v>21</v>
      </c>
      <c r="L1616" s="7">
        <v>41326.989398148144</v>
      </c>
      <c r="M1616" s="12" t="s">
        <v>227</v>
      </c>
      <c r="N1616" s="12" t="s">
        <v>1202</v>
      </c>
      <c r="O1616" s="10" t="str">
        <f>HYPERLINK("https://pbs.twimg.com/profile_images/631516878830178304/X8gApwdt_normal.jpg","View")</f>
        <v>View</v>
      </c>
      <c r="P1616" s="11"/>
    </row>
    <row r="1617" spans="1:16" ht="12.75" x14ac:dyDescent="0.35">
      <c r="A1617" s="7">
        <v>42480.652731481481</v>
      </c>
      <c r="B1617" s="8" t="str">
        <f>HYPERLINK("https://twitter.com/AGiesenNRW","@AGiesenNRW")</f>
        <v>@AGiesenNRW</v>
      </c>
      <c r="C1617" s="9" t="s">
        <v>3084</v>
      </c>
      <c r="D1617" s="9" t="s">
        <v>3089</v>
      </c>
      <c r="E1617" s="10" t="str">
        <f>HYPERLINK("https://twitter.com/AGiesenNRW/status/722729004319576064","722729004319576064")</f>
        <v>722729004319576064</v>
      </c>
      <c r="F1617" s="11" t="s">
        <v>25</v>
      </c>
      <c r="G1617" s="11">
        <v>1024</v>
      </c>
      <c r="H1617" s="11">
        <v>318</v>
      </c>
      <c r="I1617" s="11">
        <v>0</v>
      </c>
      <c r="J1617" s="11">
        <v>0</v>
      </c>
      <c r="K1617" s="11" t="s">
        <v>21</v>
      </c>
      <c r="L1617" s="7">
        <v>41972.180439814816</v>
      </c>
      <c r="M1617" s="12" t="s">
        <v>3086</v>
      </c>
      <c r="N1617" s="12" t="s">
        <v>3087</v>
      </c>
      <c r="O1617" s="10" t="str">
        <f>HYPERLINK("https://pbs.twimg.com/profile_images/687630441893900288/RvOaRxIg_normal.jpg","View")</f>
        <v>View</v>
      </c>
      <c r="P1617" s="11"/>
    </row>
    <row r="1618" spans="1:16" ht="12.75" x14ac:dyDescent="0.35">
      <c r="A1618" s="7">
        <v>42480.655046296291</v>
      </c>
      <c r="B1618" s="8" t="str">
        <f>HYPERLINK("https://twitter.com/Gruendercoaches","@Gruendercoaches")</f>
        <v>@Gruendercoaches</v>
      </c>
      <c r="C1618" s="9" t="s">
        <v>987</v>
      </c>
      <c r="D1618" s="9" t="s">
        <v>2947</v>
      </c>
      <c r="E1618" s="10" t="str">
        <f>HYPERLINK("https://twitter.com/Gruendercoaches/status/722729839929794560","722729839929794560")</f>
        <v>722729839929794560</v>
      </c>
      <c r="F1618" s="11" t="s">
        <v>20</v>
      </c>
      <c r="G1618" s="11">
        <v>4951</v>
      </c>
      <c r="H1618" s="11">
        <v>1604</v>
      </c>
      <c r="I1618" s="11">
        <v>21</v>
      </c>
      <c r="J1618" s="11">
        <v>0</v>
      </c>
      <c r="K1618" s="11" t="s">
        <v>21</v>
      </c>
      <c r="L1618" s="7">
        <v>40865.780300925922</v>
      </c>
      <c r="M1618" s="12" t="s">
        <v>218</v>
      </c>
      <c r="N1618" s="12" t="s">
        <v>988</v>
      </c>
      <c r="O1618" s="10" t="str">
        <f>HYPERLINK("https://pbs.twimg.com/profile_images/561208179355185153/11KDu7Gt_normal.png","View")</f>
        <v>View</v>
      </c>
      <c r="P1618" s="11"/>
    </row>
    <row r="1619" spans="1:16" ht="12.75" x14ac:dyDescent="0.35">
      <c r="A1619" s="7">
        <v>42480.655069444445</v>
      </c>
      <c r="B1619" s="8" t="str">
        <f>HYPERLINK("https://twitter.com/degenpa","@degenpa")</f>
        <v>@degenpa</v>
      </c>
      <c r="C1619" s="9" t="s">
        <v>3090</v>
      </c>
      <c r="D1619" s="9" t="s">
        <v>3091</v>
      </c>
      <c r="E1619" s="10" t="str">
        <f>HYPERLINK("https://twitter.com/degenpa/status/722729850008694784","722729850008694784")</f>
        <v>722729850008694784</v>
      </c>
      <c r="F1619" s="11" t="s">
        <v>31</v>
      </c>
      <c r="G1619" s="11">
        <v>7</v>
      </c>
      <c r="H1619" s="11">
        <v>17</v>
      </c>
      <c r="I1619" s="11">
        <v>0</v>
      </c>
      <c r="J1619" s="11">
        <v>0</v>
      </c>
      <c r="K1619" s="11" t="s">
        <v>21</v>
      </c>
      <c r="L1619" s="7">
        <v>41842.609247685185</v>
      </c>
      <c r="M1619" s="12" t="s">
        <v>3092</v>
      </c>
      <c r="N1619" s="12" t="s">
        <v>3093</v>
      </c>
      <c r="O1619" s="10" t="str">
        <f>HYPERLINK("https://pbs.twimg.com/profile_images/641488437963542528/ImZ4D7sS_normal.jpg","View")</f>
        <v>View</v>
      </c>
      <c r="P1619" s="11"/>
    </row>
    <row r="1620" spans="1:16" ht="12.75" x14ac:dyDescent="0.35">
      <c r="A1620" s="7">
        <v>42480.655555555553</v>
      </c>
      <c r="B1620" s="8" t="str">
        <f>HYPERLINK("https://twitter.com/AGiesenNRW","@AGiesenNRW")</f>
        <v>@AGiesenNRW</v>
      </c>
      <c r="C1620" s="9" t="s">
        <v>3084</v>
      </c>
      <c r="D1620" s="9" t="s">
        <v>3094</v>
      </c>
      <c r="E1620" s="10" t="str">
        <f>HYPERLINK("https://twitter.com/AGiesenNRW/status/722730025942913024","722730025942913024")</f>
        <v>722730025942913024</v>
      </c>
      <c r="F1620" s="11" t="s">
        <v>25</v>
      </c>
      <c r="G1620" s="11">
        <v>1024</v>
      </c>
      <c r="H1620" s="11">
        <v>318</v>
      </c>
      <c r="I1620" s="11">
        <v>0</v>
      </c>
      <c r="J1620" s="11">
        <v>0</v>
      </c>
      <c r="K1620" s="11" t="s">
        <v>21</v>
      </c>
      <c r="L1620" s="7">
        <v>41972.180439814816</v>
      </c>
      <c r="M1620" s="12" t="s">
        <v>3086</v>
      </c>
      <c r="N1620" s="12" t="s">
        <v>3087</v>
      </c>
      <c r="O1620" s="10" t="str">
        <f>HYPERLINK("https://pbs.twimg.com/profile_images/687630441893900288/RvOaRxIg_normal.jpg","View")</f>
        <v>View</v>
      </c>
      <c r="P1620" s="11"/>
    </row>
    <row r="1621" spans="1:16" ht="12.75" x14ac:dyDescent="0.35">
      <c r="A1621" s="7">
        <v>42480.657291666663</v>
      </c>
      <c r="B1621" s="8" t="str">
        <f>HYPERLINK("https://twitter.com/m_biscarrat","@m_biscarrat")</f>
        <v>@m_biscarrat</v>
      </c>
      <c r="C1621" s="9" t="s">
        <v>725</v>
      </c>
      <c r="D1621" s="9" t="s">
        <v>3095</v>
      </c>
      <c r="E1621" s="10" t="str">
        <f>HYPERLINK("https://twitter.com/m_biscarrat/status/722730653964464128","722730653964464128")</f>
        <v>722730653964464128</v>
      </c>
      <c r="F1621" s="11" t="s">
        <v>25</v>
      </c>
      <c r="G1621" s="11">
        <v>217</v>
      </c>
      <c r="H1621" s="11">
        <v>398</v>
      </c>
      <c r="I1621" s="11">
        <v>2</v>
      </c>
      <c r="J1621" s="11">
        <v>0</v>
      </c>
      <c r="K1621" s="11" t="s">
        <v>21</v>
      </c>
      <c r="L1621" s="7">
        <v>40156.914143518516</v>
      </c>
      <c r="M1621" s="12" t="s">
        <v>243</v>
      </c>
      <c r="N1621" s="12" t="s">
        <v>727</v>
      </c>
      <c r="O1621" s="10" t="str">
        <f>HYPERLINK("https://pbs.twimg.com/profile_images/699724829713428484/rUT0r7Dq_normal.jpg","View")</f>
        <v>View</v>
      </c>
      <c r="P1621" s="11"/>
    </row>
    <row r="1622" spans="1:16" ht="12.75" x14ac:dyDescent="0.35">
      <c r="A1622" s="7">
        <v>42480.658576388887</v>
      </c>
      <c r="B1622" s="8" t="str">
        <f>HYPERLINK("https://twitter.com/kybernesis","@kybernesis")</f>
        <v>@kybernesis</v>
      </c>
      <c r="C1622" s="9" t="s">
        <v>3096</v>
      </c>
      <c r="D1622" s="9" t="s">
        <v>3038</v>
      </c>
      <c r="E1622" s="10" t="str">
        <f>HYPERLINK("https://twitter.com/kybernesis/status/722731121876803584","722731121876803584")</f>
        <v>722731121876803584</v>
      </c>
      <c r="F1622" s="11" t="s">
        <v>20</v>
      </c>
      <c r="G1622" s="11">
        <v>59</v>
      </c>
      <c r="H1622" s="11">
        <v>345</v>
      </c>
      <c r="I1622" s="11">
        <v>3</v>
      </c>
      <c r="J1622" s="11">
        <v>0</v>
      </c>
      <c r="K1622" s="11" t="s">
        <v>21</v>
      </c>
      <c r="L1622" s="7">
        <v>39980.587106481486</v>
      </c>
      <c r="M1622" s="12" t="s">
        <v>3097</v>
      </c>
      <c r="N1622" s="12" t="s">
        <v>3098</v>
      </c>
      <c r="O1622" s="10" t="str">
        <f>HYPERLINK("https://pbs.twimg.com/profile_images/676420069510004737/LVtjbp6T_normal.jpg","View")</f>
        <v>View</v>
      </c>
      <c r="P1622" s="11"/>
    </row>
    <row r="1623" spans="1:16" ht="12.75" x14ac:dyDescent="0.35">
      <c r="A1623" s="7">
        <v>42480.659409722226</v>
      </c>
      <c r="B1623" s="8" t="str">
        <f>HYPERLINK("https://twitter.com/ShowkuenstlerDe","@ShowkuenstlerDe")</f>
        <v>@ShowkuenstlerDe</v>
      </c>
      <c r="C1623" s="9" t="s">
        <v>3099</v>
      </c>
      <c r="D1623" s="9" t="s">
        <v>3100</v>
      </c>
      <c r="E1623" s="10" t="str">
        <f>HYPERLINK("https://twitter.com/ShowkuenstlerDe/status/722731422067355648","722731422067355648")</f>
        <v>722731422067355648</v>
      </c>
      <c r="F1623" s="11" t="s">
        <v>25</v>
      </c>
      <c r="G1623" s="11">
        <v>95</v>
      </c>
      <c r="H1623" s="11">
        <v>95</v>
      </c>
      <c r="I1623" s="11">
        <v>1</v>
      </c>
      <c r="J1623" s="11">
        <v>0</v>
      </c>
      <c r="K1623" s="11" t="s">
        <v>21</v>
      </c>
      <c r="L1623" s="7">
        <v>40464.938622685186</v>
      </c>
      <c r="M1623" s="12" t="s">
        <v>3101</v>
      </c>
      <c r="N1623" s="12" t="s">
        <v>3102</v>
      </c>
      <c r="O1623" s="10" t="str">
        <f>HYPERLINK("https://pbs.twimg.com/profile_images/1672470997/Longjeur_normal.gif","View")</f>
        <v>View</v>
      </c>
      <c r="P1623" s="11"/>
    </row>
    <row r="1624" spans="1:16" ht="12.75" x14ac:dyDescent="0.35">
      <c r="A1624" s="7">
        <v>42480.660821759258</v>
      </c>
      <c r="B1624" s="8" t="str">
        <f>HYPERLINK("https://twitter.com/INDIZbot","@INDIZbot")</f>
        <v>@INDIZbot</v>
      </c>
      <c r="C1624" s="9" t="s">
        <v>61</v>
      </c>
      <c r="D1624" s="9" t="s">
        <v>3103</v>
      </c>
      <c r="E1624" s="10" t="str">
        <f>HYPERLINK("https://twitter.com/INDIZbot/status/722731936066760704","722731936066760704")</f>
        <v>722731936066760704</v>
      </c>
      <c r="F1624" s="11" t="s">
        <v>62</v>
      </c>
      <c r="G1624" s="11">
        <v>1762</v>
      </c>
      <c r="H1624" s="11">
        <v>481</v>
      </c>
      <c r="I1624" s="11">
        <v>1</v>
      </c>
      <c r="J1624" s="11">
        <v>0</v>
      </c>
      <c r="K1624" s="11" t="s">
        <v>21</v>
      </c>
      <c r="L1624" s="7">
        <v>42267.011921296296</v>
      </c>
      <c r="M1624" s="12"/>
      <c r="N1624" s="12" t="s">
        <v>63</v>
      </c>
      <c r="O1624" s="10" t="str">
        <f>HYPERLINK("https://pbs.twimg.com/profile_images/645716711723925506/t5G0qOS6_normal.jpg","View")</f>
        <v>View</v>
      </c>
      <c r="P1624" s="11"/>
    </row>
    <row r="1625" spans="1:16" ht="12.75" x14ac:dyDescent="0.35">
      <c r="A1625" s="7">
        <v>42480.661296296297</v>
      </c>
      <c r="B1625" s="8" t="str">
        <f t="shared" ref="B1625:B1626" si="182">HYPERLINK("https://twitter.com/ThomasSchulzGE","@ThomasSchulzGE")</f>
        <v>@ThomasSchulzGE</v>
      </c>
      <c r="C1625" s="9" t="s">
        <v>1200</v>
      </c>
      <c r="D1625" s="9" t="s">
        <v>3104</v>
      </c>
      <c r="E1625" s="10" t="str">
        <f>HYPERLINK("https://twitter.com/ThomasSchulzGE/status/722732107768930308","722732107768930308")</f>
        <v>722732107768930308</v>
      </c>
      <c r="F1625" s="11" t="s">
        <v>29</v>
      </c>
      <c r="G1625" s="11">
        <v>132</v>
      </c>
      <c r="H1625" s="11">
        <v>190</v>
      </c>
      <c r="I1625" s="11">
        <v>0</v>
      </c>
      <c r="J1625" s="11">
        <v>0</v>
      </c>
      <c r="K1625" s="11" t="s">
        <v>21</v>
      </c>
      <c r="L1625" s="7">
        <v>41326.989398148144</v>
      </c>
      <c r="M1625" s="12" t="s">
        <v>227</v>
      </c>
      <c r="N1625" s="12" t="s">
        <v>1202</v>
      </c>
      <c r="O1625" s="10" t="str">
        <f t="shared" ref="O1625:O1626" si="183">HYPERLINK("https://pbs.twimg.com/profile_images/631516878830178304/X8gApwdt_normal.jpg","View")</f>
        <v>View</v>
      </c>
      <c r="P1625" s="11"/>
    </row>
    <row r="1626" spans="1:16" ht="12.75" x14ac:dyDescent="0.35">
      <c r="A1626" s="7">
        <v>42480.665486111116</v>
      </c>
      <c r="B1626" s="8" t="str">
        <f t="shared" si="182"/>
        <v>@ThomasSchulzGE</v>
      </c>
      <c r="C1626" s="9" t="s">
        <v>1200</v>
      </c>
      <c r="D1626" s="9" t="s">
        <v>3105</v>
      </c>
      <c r="E1626" s="10" t="str">
        <f>HYPERLINK("https://twitter.com/ThomasSchulzGE/status/722733622839623681","722733622839623681")</f>
        <v>722733622839623681</v>
      </c>
      <c r="F1626" s="11" t="s">
        <v>29</v>
      </c>
      <c r="G1626" s="11">
        <v>132</v>
      </c>
      <c r="H1626" s="11">
        <v>190</v>
      </c>
      <c r="I1626" s="11">
        <v>0</v>
      </c>
      <c r="J1626" s="11">
        <v>0</v>
      </c>
      <c r="K1626" s="11" t="s">
        <v>21</v>
      </c>
      <c r="L1626" s="7">
        <v>41326.989398148144</v>
      </c>
      <c r="M1626" s="12" t="s">
        <v>227</v>
      </c>
      <c r="N1626" s="12" t="s">
        <v>1202</v>
      </c>
      <c r="O1626" s="10" t="str">
        <f t="shared" si="183"/>
        <v>View</v>
      </c>
      <c r="P1626" s="11"/>
    </row>
    <row r="1627" spans="1:16" ht="12.75" x14ac:dyDescent="0.35">
      <c r="A1627" s="7">
        <v>42480.665590277778</v>
      </c>
      <c r="B1627" s="8" t="str">
        <f>HYPERLINK("https://twitter.com/joerghackhausen","@joerghackhausen")</f>
        <v>@joerghackhausen</v>
      </c>
      <c r="C1627" s="9" t="s">
        <v>3106</v>
      </c>
      <c r="D1627" s="9" t="s">
        <v>3107</v>
      </c>
      <c r="E1627" s="10" t="str">
        <f>HYPERLINK("https://twitter.com/joerghackhausen/status/722733663042080768","722733663042080768")</f>
        <v>722733663042080768</v>
      </c>
      <c r="F1627" s="11" t="s">
        <v>25</v>
      </c>
      <c r="G1627" s="11">
        <v>1348</v>
      </c>
      <c r="H1627" s="11">
        <v>248</v>
      </c>
      <c r="I1627" s="11">
        <v>0</v>
      </c>
      <c r="J1627" s="11">
        <v>0</v>
      </c>
      <c r="K1627" s="11" t="s">
        <v>21</v>
      </c>
      <c r="L1627" s="7">
        <v>40946.62672453704</v>
      </c>
      <c r="M1627" s="12" t="s">
        <v>92</v>
      </c>
      <c r="N1627" s="12" t="s">
        <v>3108</v>
      </c>
      <c r="O1627" s="10" t="str">
        <f>HYPERLINK("https://pbs.twimg.com/profile_images/448356594233774080/9hP-J2os_normal.jpeg","View")</f>
        <v>View</v>
      </c>
      <c r="P1627" s="11"/>
    </row>
    <row r="1628" spans="1:16" ht="12.75" x14ac:dyDescent="0.35">
      <c r="A1628" s="7">
        <v>42480.66678240741</v>
      </c>
      <c r="B1628" s="8" t="str">
        <f>HYPERLINK("https://twitter.com/MEArbeitgeber","@MEArbeitgeber")</f>
        <v>@MEArbeitgeber</v>
      </c>
      <c r="C1628" s="9" t="s">
        <v>873</v>
      </c>
      <c r="D1628" s="9" t="s">
        <v>3109</v>
      </c>
      <c r="E1628" s="10" t="str">
        <f>HYPERLINK("https://twitter.com/MEArbeitgeber/status/722734096166821888","722734096166821888")</f>
        <v>722734096166821888</v>
      </c>
      <c r="F1628" s="11" t="s">
        <v>39</v>
      </c>
      <c r="G1628" s="11">
        <v>2496</v>
      </c>
      <c r="H1628" s="11">
        <v>1025</v>
      </c>
      <c r="I1628" s="11">
        <v>2</v>
      </c>
      <c r="J1628" s="11">
        <v>0</v>
      </c>
      <c r="K1628" s="11" t="s">
        <v>21</v>
      </c>
      <c r="L1628" s="7">
        <v>39905.720543981479</v>
      </c>
      <c r="M1628" s="12" t="s">
        <v>875</v>
      </c>
      <c r="N1628" s="12" t="s">
        <v>876</v>
      </c>
      <c r="O1628" s="10" t="str">
        <f>HYPERLINK("https://pbs.twimg.com/profile_images/572722352144666624/2G6VnJJx_normal.jpeg","View")</f>
        <v>View</v>
      </c>
      <c r="P1628" s="11"/>
    </row>
    <row r="1629" spans="1:16" ht="12.75" x14ac:dyDescent="0.35">
      <c r="A1629" s="7">
        <v>42480.66679398148</v>
      </c>
      <c r="B1629" s="8" t="str">
        <f>HYPERLINK("https://twitter.com/Gesamtmetall","@Gesamtmetall")</f>
        <v>@Gesamtmetall</v>
      </c>
      <c r="C1629" s="9" t="s">
        <v>877</v>
      </c>
      <c r="D1629" s="9" t="s">
        <v>3110</v>
      </c>
      <c r="E1629" s="10" t="str">
        <f>HYPERLINK("https://twitter.com/Gesamtmetall/status/722734098918334464","722734098918334464")</f>
        <v>722734098918334464</v>
      </c>
      <c r="F1629" s="11" t="s">
        <v>39</v>
      </c>
      <c r="G1629" s="11">
        <v>1457</v>
      </c>
      <c r="H1629" s="11">
        <v>283</v>
      </c>
      <c r="I1629" s="11">
        <v>1</v>
      </c>
      <c r="J1629" s="11">
        <v>1</v>
      </c>
      <c r="K1629" s="11" t="s">
        <v>21</v>
      </c>
      <c r="L1629" s="7">
        <v>39946.496504629627</v>
      </c>
      <c r="M1629" s="12" t="s">
        <v>218</v>
      </c>
      <c r="N1629" s="12" t="s">
        <v>879</v>
      </c>
      <c r="O1629" s="10" t="str">
        <f>HYPERLINK("https://pbs.twimg.com/profile_images/572721926804488192/AGAGHTgy_normal.jpeg","View")</f>
        <v>View</v>
      </c>
      <c r="P1629" s="11"/>
    </row>
    <row r="1630" spans="1:16" ht="12.75" x14ac:dyDescent="0.35">
      <c r="A1630" s="7">
        <v>42480.667696759258</v>
      </c>
      <c r="B1630" s="8" t="str">
        <f t="shared" ref="B1630:B1631" si="184">HYPERLINK("https://twitter.com/INDIZbot","@INDIZbot")</f>
        <v>@INDIZbot</v>
      </c>
      <c r="C1630" s="9" t="s">
        <v>61</v>
      </c>
      <c r="D1630" s="9" t="s">
        <v>3111</v>
      </c>
      <c r="E1630" s="10" t="str">
        <f>HYPERLINK("https://twitter.com/INDIZbot/status/722734425897885696","722734425897885696")</f>
        <v>722734425897885696</v>
      </c>
      <c r="F1630" s="11" t="s">
        <v>62</v>
      </c>
      <c r="G1630" s="11">
        <v>1762</v>
      </c>
      <c r="H1630" s="11">
        <v>481</v>
      </c>
      <c r="I1630" s="11">
        <v>1</v>
      </c>
      <c r="J1630" s="11">
        <v>0</v>
      </c>
      <c r="K1630" s="11" t="s">
        <v>21</v>
      </c>
      <c r="L1630" s="7">
        <v>42267.011921296296</v>
      </c>
      <c r="M1630" s="12"/>
      <c r="N1630" s="12" t="s">
        <v>63</v>
      </c>
      <c r="O1630" s="10" t="str">
        <f t="shared" ref="O1630:O1631" si="185">HYPERLINK("https://pbs.twimg.com/profile_images/645716711723925506/t5G0qOS6_normal.jpg","View")</f>
        <v>View</v>
      </c>
      <c r="P1630" s="11"/>
    </row>
    <row r="1631" spans="1:16" ht="12.75" x14ac:dyDescent="0.35">
      <c r="A1631" s="7">
        <v>42480.667997685188</v>
      </c>
      <c r="B1631" s="8" t="str">
        <f t="shared" si="184"/>
        <v>@INDIZbot</v>
      </c>
      <c r="C1631" s="9" t="s">
        <v>61</v>
      </c>
      <c r="D1631" s="9" t="s">
        <v>3112</v>
      </c>
      <c r="E1631" s="10" t="str">
        <f>HYPERLINK("https://twitter.com/INDIZbot/status/722734536715563008","722734536715563008")</f>
        <v>722734536715563008</v>
      </c>
      <c r="F1631" s="11" t="s">
        <v>62</v>
      </c>
      <c r="G1631" s="11">
        <v>1762</v>
      </c>
      <c r="H1631" s="11">
        <v>481</v>
      </c>
      <c r="I1631" s="11">
        <v>2</v>
      </c>
      <c r="J1631" s="11">
        <v>0</v>
      </c>
      <c r="K1631" s="11" t="s">
        <v>21</v>
      </c>
      <c r="L1631" s="7">
        <v>42267.011921296296</v>
      </c>
      <c r="M1631" s="12"/>
      <c r="N1631" s="12" t="s">
        <v>63</v>
      </c>
      <c r="O1631" s="10" t="str">
        <f t="shared" si="185"/>
        <v>View</v>
      </c>
      <c r="P1631" s="11"/>
    </row>
    <row r="1632" spans="1:16" ht="12.75" x14ac:dyDescent="0.35">
      <c r="A1632" s="7">
        <v>42480.670023148152</v>
      </c>
      <c r="B1632" s="8" t="str">
        <f>HYPERLINK("https://twitter.com/Industrie2025","@Industrie2025")</f>
        <v>@Industrie2025</v>
      </c>
      <c r="C1632" s="9" t="s">
        <v>3113</v>
      </c>
      <c r="D1632" s="9" t="s">
        <v>1728</v>
      </c>
      <c r="E1632" s="10" t="str">
        <f>HYPERLINK("https://twitter.com/Industrie2025/status/722735267493318656","722735267493318656")</f>
        <v>722735267493318656</v>
      </c>
      <c r="F1632" s="11" t="s">
        <v>115</v>
      </c>
      <c r="G1632" s="11">
        <v>10</v>
      </c>
      <c r="H1632" s="11">
        <v>13</v>
      </c>
      <c r="I1632" s="11">
        <v>13</v>
      </c>
      <c r="J1632" s="11">
        <v>0</v>
      </c>
      <c r="K1632" s="11" t="s">
        <v>21</v>
      </c>
      <c r="L1632" s="7">
        <v>42453.789953703701</v>
      </c>
      <c r="M1632" s="12"/>
      <c r="N1632" s="12"/>
      <c r="O1632" s="10" t="str">
        <f>HYPERLINK("https://pbs.twimg.com/profile_images/713001914993156096/BDotoIJf_normal.jpg","View")</f>
        <v>View</v>
      </c>
      <c r="P1632" s="11"/>
    </row>
    <row r="1633" spans="1:16" ht="12.75" x14ac:dyDescent="0.35">
      <c r="A1633" s="7">
        <v>42480.672430555554</v>
      </c>
      <c r="B1633" s="8" t="str">
        <f>HYPERLINK("https://twitter.com/MaikPlischke","@MaikPlischke")</f>
        <v>@MaikPlischke</v>
      </c>
      <c r="C1633" s="9" t="s">
        <v>3114</v>
      </c>
      <c r="D1633" s="9" t="s">
        <v>2925</v>
      </c>
      <c r="E1633" s="10" t="str">
        <f>HYPERLINK("https://twitter.com/MaikPlischke/status/722736142135599104","722736142135599104")</f>
        <v>722736142135599104</v>
      </c>
      <c r="F1633" s="11" t="s">
        <v>31</v>
      </c>
      <c r="G1633" s="11">
        <v>164</v>
      </c>
      <c r="H1633" s="11">
        <v>135</v>
      </c>
      <c r="I1633" s="11">
        <v>2</v>
      </c>
      <c r="J1633" s="11">
        <v>0</v>
      </c>
      <c r="K1633" s="11" t="s">
        <v>21</v>
      </c>
      <c r="L1633" s="7">
        <v>39937.086365740739</v>
      </c>
      <c r="M1633" s="12" t="s">
        <v>299</v>
      </c>
      <c r="N1633" s="12" t="s">
        <v>3115</v>
      </c>
      <c r="O1633" s="10" t="str">
        <f>HYPERLINK("https://pbs.twimg.com/profile_images/561600740448153600/1SOPpS8W_normal.jpeg","View")</f>
        <v>View</v>
      </c>
      <c r="P1633" s="11"/>
    </row>
    <row r="1634" spans="1:16" ht="12.75" x14ac:dyDescent="0.35">
      <c r="A1634" s="7">
        <v>42480.675520833334</v>
      </c>
      <c r="B1634" s="8" t="str">
        <f>HYPERLINK("https://twitter.com/HDSintGroup","@HDSintGroup")</f>
        <v>@HDSintGroup</v>
      </c>
      <c r="C1634" s="9" t="s">
        <v>1046</v>
      </c>
      <c r="D1634" s="9" t="s">
        <v>3116</v>
      </c>
      <c r="E1634" s="10" t="str">
        <f>HYPERLINK("https://twitter.com/HDSintGroup/status/722737259485782016","722737259485782016")</f>
        <v>722737259485782016</v>
      </c>
      <c r="F1634" s="11" t="s">
        <v>25</v>
      </c>
      <c r="G1634" s="11">
        <v>372</v>
      </c>
      <c r="H1634" s="11">
        <v>546</v>
      </c>
      <c r="I1634" s="11">
        <v>4</v>
      </c>
      <c r="J1634" s="11">
        <v>2</v>
      </c>
      <c r="K1634" s="11" t="s">
        <v>21</v>
      </c>
      <c r="L1634" s="7">
        <v>42415.710590277777</v>
      </c>
      <c r="M1634" s="12" t="s">
        <v>1048</v>
      </c>
      <c r="N1634" s="12" t="s">
        <v>1049</v>
      </c>
      <c r="O1634" s="10" t="str">
        <f>HYPERLINK("https://pbs.twimg.com/profile_images/699226610428420096/jjvfJFvl_normal.png","View")</f>
        <v>View</v>
      </c>
      <c r="P1634" s="11"/>
    </row>
    <row r="1635" spans="1:16" ht="12.75" x14ac:dyDescent="0.35">
      <c r="A1635" s="7">
        <v>42480.676678240736</v>
      </c>
      <c r="B1635" s="8" t="str">
        <f t="shared" ref="B1635:B1636" si="186">HYPERLINK("https://twitter.com/mschottenhammer","@mschottenhammer")</f>
        <v>@mschottenhammer</v>
      </c>
      <c r="C1635" s="9" t="s">
        <v>3117</v>
      </c>
      <c r="D1635" s="9" t="s">
        <v>2947</v>
      </c>
      <c r="E1635" s="10" t="str">
        <f>HYPERLINK("https://twitter.com/mschottenhammer/status/722737679364923392","722737679364923392")</f>
        <v>722737679364923392</v>
      </c>
      <c r="F1635" s="11" t="s">
        <v>31</v>
      </c>
      <c r="G1635" s="11">
        <v>170</v>
      </c>
      <c r="H1635" s="11">
        <v>266</v>
      </c>
      <c r="I1635" s="11">
        <v>21</v>
      </c>
      <c r="J1635" s="11">
        <v>0</v>
      </c>
      <c r="K1635" s="11" t="s">
        <v>21</v>
      </c>
      <c r="L1635" s="7">
        <v>41118.036307870367</v>
      </c>
      <c r="M1635" s="12" t="s">
        <v>2210</v>
      </c>
      <c r="N1635" s="12" t="s">
        <v>3118</v>
      </c>
      <c r="O1635" s="10" t="str">
        <f t="shared" ref="O1635:O1636" si="187">HYPERLINK("https://pbs.twimg.com/profile_images/648593220293816325/eB4MGPgs_normal.jpg","View")</f>
        <v>View</v>
      </c>
      <c r="P1635" s="11"/>
    </row>
    <row r="1636" spans="1:16" ht="12.75" x14ac:dyDescent="0.35">
      <c r="A1636" s="7">
        <v>42480.676770833335</v>
      </c>
      <c r="B1636" s="8" t="str">
        <f t="shared" si="186"/>
        <v>@mschottenhammer</v>
      </c>
      <c r="C1636" s="9" t="s">
        <v>3117</v>
      </c>
      <c r="D1636" s="9" t="s">
        <v>2908</v>
      </c>
      <c r="E1636" s="10" t="str">
        <f>HYPERLINK("https://twitter.com/mschottenhammer/status/722737715880574976","722737715880574976")</f>
        <v>722737715880574976</v>
      </c>
      <c r="F1636" s="11" t="s">
        <v>31</v>
      </c>
      <c r="G1636" s="11">
        <v>170</v>
      </c>
      <c r="H1636" s="11">
        <v>266</v>
      </c>
      <c r="I1636" s="11">
        <v>5</v>
      </c>
      <c r="J1636" s="11">
        <v>0</v>
      </c>
      <c r="K1636" s="11" t="s">
        <v>21</v>
      </c>
      <c r="L1636" s="7">
        <v>41118.036307870367</v>
      </c>
      <c r="M1636" s="12" t="s">
        <v>2210</v>
      </c>
      <c r="N1636" s="12" t="s">
        <v>3118</v>
      </c>
      <c r="O1636" s="10" t="str">
        <f t="shared" si="187"/>
        <v>View</v>
      </c>
      <c r="P1636" s="11"/>
    </row>
    <row r="1637" spans="1:16" ht="12.75" x14ac:dyDescent="0.35">
      <c r="A1637" s="7">
        <v>42480.681956018518</v>
      </c>
      <c r="B1637" s="8" t="str">
        <f>HYPERLINK("https://twitter.com/stefan_denz","@stefan_denz")</f>
        <v>@stefan_denz</v>
      </c>
      <c r="C1637" s="9" t="s">
        <v>3119</v>
      </c>
      <c r="D1637" s="9" t="s">
        <v>2637</v>
      </c>
      <c r="E1637" s="10" t="str">
        <f>HYPERLINK("https://twitter.com/stefan_denz/status/722739593435549696","722739593435549696")</f>
        <v>722739593435549696</v>
      </c>
      <c r="F1637" s="11" t="s">
        <v>25</v>
      </c>
      <c r="G1637" s="11">
        <v>24</v>
      </c>
      <c r="H1637" s="11">
        <v>105</v>
      </c>
      <c r="I1637" s="11">
        <v>4</v>
      </c>
      <c r="J1637" s="11">
        <v>0</v>
      </c>
      <c r="K1637" s="11" t="s">
        <v>21</v>
      </c>
      <c r="L1637" s="7">
        <v>40029.051388888889</v>
      </c>
      <c r="M1637" s="12" t="s">
        <v>157</v>
      </c>
      <c r="N1637" s="12" t="s">
        <v>3120</v>
      </c>
      <c r="O1637" s="10" t="str">
        <f>HYPERLINK("https://pbs.twimg.com/profile_images/694465668897464320/YGd3ViJu_normal.jpg","View")</f>
        <v>View</v>
      </c>
      <c r="P1637" s="11"/>
    </row>
    <row r="1638" spans="1:16" ht="12.75" x14ac:dyDescent="0.35">
      <c r="A1638" s="7">
        <v>42480.683587962965</v>
      </c>
      <c r="B1638" s="8" t="str">
        <f>HYPERLINK("https://twitter.com/Bitkom_I40","@Bitkom_I40")</f>
        <v>@Bitkom_I40</v>
      </c>
      <c r="C1638" s="9" t="s">
        <v>1857</v>
      </c>
      <c r="D1638" s="9" t="s">
        <v>3121</v>
      </c>
      <c r="E1638" s="10" t="str">
        <f>HYPERLINK("https://twitter.com/Bitkom_I40/status/722740184228503552","722740184228503552")</f>
        <v>722740184228503552</v>
      </c>
      <c r="F1638" s="11" t="s">
        <v>115</v>
      </c>
      <c r="G1638" s="11">
        <v>754</v>
      </c>
      <c r="H1638" s="11">
        <v>44</v>
      </c>
      <c r="I1638" s="11">
        <v>2</v>
      </c>
      <c r="J1638" s="11">
        <v>1</v>
      </c>
      <c r="K1638" s="11" t="s">
        <v>21</v>
      </c>
      <c r="L1638" s="7">
        <v>41613.773194444446</v>
      </c>
      <c r="M1638" s="12" t="s">
        <v>218</v>
      </c>
      <c r="N1638" s="12" t="s">
        <v>1860</v>
      </c>
      <c r="O1638" s="10" t="str">
        <f>HYPERLINK("https://pbs.twimg.com/profile_images/723407487395713024/0hZv7R8S_normal.jpg","View")</f>
        <v>View</v>
      </c>
      <c r="P1638" s="11"/>
    </row>
    <row r="1639" spans="1:16" ht="12.75" x14ac:dyDescent="0.35">
      <c r="A1639" s="7">
        <v>42480.683715277773</v>
      </c>
      <c r="B1639" s="8" t="str">
        <f>HYPERLINK("https://twitter.com/CKoaser","@CKoaser")</f>
        <v>@CKoaser</v>
      </c>
      <c r="C1639" s="9" t="s">
        <v>3122</v>
      </c>
      <c r="D1639" s="9" t="s">
        <v>2867</v>
      </c>
      <c r="E1639" s="10" t="str">
        <f>HYPERLINK("https://twitter.com/CKoaser/status/722740231561158657","722740231561158657")</f>
        <v>722740231561158657</v>
      </c>
      <c r="F1639" s="11" t="s">
        <v>20</v>
      </c>
      <c r="G1639" s="11">
        <v>101</v>
      </c>
      <c r="H1639" s="11">
        <v>421</v>
      </c>
      <c r="I1639" s="11">
        <v>3</v>
      </c>
      <c r="J1639" s="11">
        <v>0</v>
      </c>
      <c r="K1639" s="11" t="s">
        <v>21</v>
      </c>
      <c r="L1639" s="7">
        <v>40092.457696759258</v>
      </c>
      <c r="M1639" s="12"/>
      <c r="N1639" s="12" t="s">
        <v>3123</v>
      </c>
      <c r="O1639" s="10" t="str">
        <f>HYPERLINK("https://pbs.twimg.com/profile_images/3590147827/c5f6a4a7cc66e7dd2f5810847cdd2d39_normal.jpeg","View")</f>
        <v>View</v>
      </c>
      <c r="P1639" s="11"/>
    </row>
    <row r="1640" spans="1:16" ht="12.75" x14ac:dyDescent="0.35">
      <c r="A1640" s="7">
        <v>42480.684004629627</v>
      </c>
      <c r="B1640" s="8" t="str">
        <f>HYPERLINK("https://twitter.com/Bitkom","@Bitkom")</f>
        <v>@Bitkom</v>
      </c>
      <c r="C1640" s="9" t="s">
        <v>216</v>
      </c>
      <c r="D1640" s="9" t="s">
        <v>3124</v>
      </c>
      <c r="E1640" s="10" t="str">
        <f>HYPERLINK("https://twitter.com/Bitkom/status/722740335093366784","722740335093366784")</f>
        <v>722740335093366784</v>
      </c>
      <c r="F1640" s="11" t="s">
        <v>115</v>
      </c>
      <c r="G1640" s="11">
        <v>21088</v>
      </c>
      <c r="H1640" s="11">
        <v>3258</v>
      </c>
      <c r="I1640" s="11">
        <v>2</v>
      </c>
      <c r="J1640" s="11">
        <v>0</v>
      </c>
      <c r="K1640" s="11" t="s">
        <v>21</v>
      </c>
      <c r="L1640" s="7">
        <v>39757.913229166668</v>
      </c>
      <c r="M1640" s="12" t="s">
        <v>218</v>
      </c>
      <c r="N1640" s="12" t="s">
        <v>219</v>
      </c>
      <c r="O1640" s="10" t="str">
        <f>HYPERLINK("https://pbs.twimg.com/profile_images/615797525040136192/CKF9-v_o_normal.jpg","View")</f>
        <v>View</v>
      </c>
      <c r="P1640" s="11"/>
    </row>
    <row r="1641" spans="1:16" ht="12.75" x14ac:dyDescent="0.35">
      <c r="A1641" s="7">
        <v>42480.684386574074</v>
      </c>
      <c r="B1641" s="8" t="str">
        <f>HYPERLINK("https://twitter.com/SHC_GmbH","@SHC_GmbH")</f>
        <v>@SHC_GmbH</v>
      </c>
      <c r="C1641" s="9" t="s">
        <v>105</v>
      </c>
      <c r="D1641" s="9" t="s">
        <v>3125</v>
      </c>
      <c r="E1641" s="10" t="str">
        <f>HYPERLINK("https://twitter.com/SHC_GmbH/status/722740475363475456","722740475363475456")</f>
        <v>722740475363475456</v>
      </c>
      <c r="F1641" s="11" t="s">
        <v>39</v>
      </c>
      <c r="G1641" s="11">
        <v>427</v>
      </c>
      <c r="H1641" s="11">
        <v>598</v>
      </c>
      <c r="I1641" s="11">
        <v>0</v>
      </c>
      <c r="J1641" s="11">
        <v>0</v>
      </c>
      <c r="K1641" s="11" t="s">
        <v>21</v>
      </c>
      <c r="L1641" s="7">
        <v>41423.549513888887</v>
      </c>
      <c r="M1641" s="12" t="s">
        <v>107</v>
      </c>
      <c r="N1641" s="12" t="s">
        <v>108</v>
      </c>
      <c r="O1641" s="10" t="str">
        <f>HYPERLINK("https://pbs.twimg.com/profile_images/3726440228/9ba49ccb938cf571b195e3e83a4e1327_normal.jpeg","View")</f>
        <v>View</v>
      </c>
      <c r="P1641" s="11"/>
    </row>
    <row r="1642" spans="1:16" ht="12.75" x14ac:dyDescent="0.35">
      <c r="A1642" s="7">
        <v>42480.690995370373</v>
      </c>
      <c r="B1642" s="8" t="str">
        <f>HYPERLINK("https://twitter.com/kommoptimierer","@kommoptimierer")</f>
        <v>@kommoptimierer</v>
      </c>
      <c r="C1642" s="9" t="s">
        <v>270</v>
      </c>
      <c r="D1642" s="9" t="s">
        <v>373</v>
      </c>
      <c r="E1642" s="10" t="str">
        <f>HYPERLINK("https://twitter.com/kommoptimierer/status/722742867748372480","722742867748372480")</f>
        <v>722742867748372480</v>
      </c>
      <c r="F1642" s="11" t="s">
        <v>272</v>
      </c>
      <c r="G1642" s="11">
        <v>1347</v>
      </c>
      <c r="H1642" s="11">
        <v>1753</v>
      </c>
      <c r="I1642" s="11">
        <v>0</v>
      </c>
      <c r="J1642" s="11">
        <v>0</v>
      </c>
      <c r="K1642" s="11" t="s">
        <v>21</v>
      </c>
      <c r="L1642" s="7">
        <v>39986.860358796301</v>
      </c>
      <c r="M1642" s="12" t="s">
        <v>273</v>
      </c>
      <c r="N1642" s="12" t="s">
        <v>274</v>
      </c>
      <c r="O1642" s="10" t="str">
        <f>HYPERLINK("https://pbs.twimg.com/profile_images/541146126158536704/IYardufS_normal.jpeg","View")</f>
        <v>View</v>
      </c>
      <c r="P1642" s="11"/>
    </row>
    <row r="1643" spans="1:16" ht="12.75" x14ac:dyDescent="0.35">
      <c r="A1643" s="7">
        <v>42480.69122685185</v>
      </c>
      <c r="B1643" s="8" t="str">
        <f>HYPERLINK("https://twitter.com/EAutoPionier","@EAutoPionier")</f>
        <v>@EAutoPionier</v>
      </c>
      <c r="C1643" s="9" t="s">
        <v>3126</v>
      </c>
      <c r="D1643" s="9" t="s">
        <v>2938</v>
      </c>
      <c r="E1643" s="10" t="str">
        <f>HYPERLINK("https://twitter.com/EAutoPionier/status/722742950938030084","722742950938030084")</f>
        <v>722742950938030084</v>
      </c>
      <c r="F1643" s="11" t="s">
        <v>25</v>
      </c>
      <c r="G1643" s="11">
        <v>78</v>
      </c>
      <c r="H1643" s="11">
        <v>103</v>
      </c>
      <c r="I1643" s="11">
        <v>12</v>
      </c>
      <c r="J1643" s="11">
        <v>0</v>
      </c>
      <c r="K1643" s="11" t="s">
        <v>21</v>
      </c>
      <c r="L1643" s="7">
        <v>40340.442789351851</v>
      </c>
      <c r="M1643" s="12"/>
      <c r="N1643" s="12"/>
      <c r="O1643" s="10" t="str">
        <f>HYPERLINK("https://pbs.twimg.com/profile_images/700576331407298560/RJ0M_dZd_normal.jpg","View")</f>
        <v>View</v>
      </c>
      <c r="P1643" s="11"/>
    </row>
    <row r="1644" spans="1:16" ht="12.75" x14ac:dyDescent="0.35">
      <c r="A1644" s="7">
        <v>42480.692615740743</v>
      </c>
      <c r="B1644" s="8" t="str">
        <f>HYPERLINK("https://twitter.com/christophwitte","@christophwitte")</f>
        <v>@christophwitte</v>
      </c>
      <c r="C1644" s="9" t="s">
        <v>972</v>
      </c>
      <c r="D1644" s="9" t="s">
        <v>3127</v>
      </c>
      <c r="E1644" s="10" t="str">
        <f>HYPERLINK("https://twitter.com/christophwitte/status/722743454862860288","722743454862860288")</f>
        <v>722743454862860288</v>
      </c>
      <c r="F1644" s="11" t="s">
        <v>115</v>
      </c>
      <c r="G1644" s="11">
        <v>1402</v>
      </c>
      <c r="H1644" s="11">
        <v>622</v>
      </c>
      <c r="I1644" s="11">
        <v>1</v>
      </c>
      <c r="J1644" s="11">
        <v>1</v>
      </c>
      <c r="K1644" s="11" t="s">
        <v>21</v>
      </c>
      <c r="L1644" s="7">
        <v>40378.60528935185</v>
      </c>
      <c r="M1644" s="12" t="s">
        <v>689</v>
      </c>
      <c r="N1644" s="12" t="s">
        <v>974</v>
      </c>
      <c r="O1644" s="10" t="str">
        <f>HYPERLINK("https://pbs.twimg.com/profile_images/618449316055748612/F_9LrZDf_normal.jpg","View")</f>
        <v>View</v>
      </c>
      <c r="P1644" s="11"/>
    </row>
    <row r="1645" spans="1:16" ht="12.75" x14ac:dyDescent="0.35">
      <c r="A1645" s="7">
        <v>42480.692615740743</v>
      </c>
      <c r="B1645" s="8" t="str">
        <f>HYPERLINK("https://twitter.com/it_rebellen","@it_rebellen")</f>
        <v>@it_rebellen</v>
      </c>
      <c r="C1645" s="9" t="s">
        <v>975</v>
      </c>
      <c r="D1645" s="9" t="s">
        <v>3128</v>
      </c>
      <c r="E1645" s="10" t="str">
        <f>HYPERLINK("https://twitter.com/it_rebellen/status/722743455106117632","722743455106117632")</f>
        <v>722743455106117632</v>
      </c>
      <c r="F1645" s="11" t="s">
        <v>115</v>
      </c>
      <c r="G1645" s="11">
        <v>573</v>
      </c>
      <c r="H1645" s="11">
        <v>253</v>
      </c>
      <c r="I1645" s="11">
        <v>2</v>
      </c>
      <c r="J1645" s="11">
        <v>4</v>
      </c>
      <c r="K1645" s="11" t="s">
        <v>21</v>
      </c>
      <c r="L1645" s="7">
        <v>41401.659270833334</v>
      </c>
      <c r="M1645" s="12"/>
      <c r="N1645" s="12"/>
      <c r="O1645" s="10" t="str">
        <f>HYPERLINK("https://pbs.twimg.com/profile_images/3625979673/acb661eae563d818836eb138c74e91f7_normal.jpeg","View")</f>
        <v>View</v>
      </c>
      <c r="P1645" s="11"/>
    </row>
    <row r="1646" spans="1:16" ht="12.75" x14ac:dyDescent="0.35">
      <c r="A1646" s="7">
        <v>42480.692870370374</v>
      </c>
      <c r="B1646" s="8" t="str">
        <f>HYPERLINK("https://twitter.com/AltenaTCS","@AltenaTCS")</f>
        <v>@AltenaTCS</v>
      </c>
      <c r="C1646" s="9" t="s">
        <v>2178</v>
      </c>
      <c r="D1646" s="9" t="s">
        <v>3129</v>
      </c>
      <c r="E1646" s="10" t="str">
        <f>HYPERLINK("https://twitter.com/AltenaTCS/status/722743548664279040","722743548664279040")</f>
        <v>722743548664279040</v>
      </c>
      <c r="F1646" s="11" t="s">
        <v>25</v>
      </c>
      <c r="G1646" s="11">
        <v>49</v>
      </c>
      <c r="H1646" s="11">
        <v>143</v>
      </c>
      <c r="I1646" s="11">
        <v>1</v>
      </c>
      <c r="J1646" s="11">
        <v>0</v>
      </c>
      <c r="K1646" s="11" t="s">
        <v>21</v>
      </c>
      <c r="L1646" s="7">
        <v>41645.649027777778</v>
      </c>
      <c r="M1646" s="12" t="s">
        <v>2181</v>
      </c>
      <c r="N1646" s="12" t="s">
        <v>2182</v>
      </c>
      <c r="O1646" s="10" t="str">
        <f>HYPERLINK("https://pbs.twimg.com/profile_images/709648582048157696/BnZ5RzQA_normal.jpg","View")</f>
        <v>View</v>
      </c>
      <c r="P1646" s="11"/>
    </row>
    <row r="1647" spans="1:16" ht="12.75" x14ac:dyDescent="0.35">
      <c r="A1647" s="7">
        <v>42480.69326388889</v>
      </c>
      <c r="B1647" s="8" t="str">
        <f>HYPERLINK("https://twitter.com/Gruendercoaches","@Gruendercoaches")</f>
        <v>@Gruendercoaches</v>
      </c>
      <c r="C1647" s="9" t="s">
        <v>987</v>
      </c>
      <c r="D1647" s="9" t="s">
        <v>3124</v>
      </c>
      <c r="E1647" s="10" t="str">
        <f>HYPERLINK("https://twitter.com/Gruendercoaches/status/722743690305880064","722743690305880064")</f>
        <v>722743690305880064</v>
      </c>
      <c r="F1647" s="11" t="s">
        <v>20</v>
      </c>
      <c r="G1647" s="11">
        <v>4951</v>
      </c>
      <c r="H1647" s="11">
        <v>1604</v>
      </c>
      <c r="I1647" s="11">
        <v>2</v>
      </c>
      <c r="J1647" s="11">
        <v>0</v>
      </c>
      <c r="K1647" s="11" t="s">
        <v>21</v>
      </c>
      <c r="L1647" s="7">
        <v>40865.780300925922</v>
      </c>
      <c r="M1647" s="12" t="s">
        <v>218</v>
      </c>
      <c r="N1647" s="12" t="s">
        <v>988</v>
      </c>
      <c r="O1647" s="10" t="str">
        <f>HYPERLINK("https://pbs.twimg.com/profile_images/561208179355185153/11KDu7Gt_normal.png","View")</f>
        <v>View</v>
      </c>
      <c r="P1647" s="11"/>
    </row>
    <row r="1648" spans="1:16" ht="12.75" x14ac:dyDescent="0.35">
      <c r="A1648" s="7">
        <v>42480.693564814814</v>
      </c>
      <c r="B1648" s="8" t="str">
        <f>HYPERLINK("https://twitter.com/VDE_Group","@VDE_Group")</f>
        <v>@VDE_Group</v>
      </c>
      <c r="C1648" s="9" t="s">
        <v>3130</v>
      </c>
      <c r="D1648" s="9" t="s">
        <v>3131</v>
      </c>
      <c r="E1648" s="10" t="str">
        <f>HYPERLINK("https://twitter.com/VDE_Group/status/722743800850812928","722743800850812928")</f>
        <v>722743800850812928</v>
      </c>
      <c r="F1648" s="11" t="s">
        <v>785</v>
      </c>
      <c r="G1648" s="11">
        <v>1645</v>
      </c>
      <c r="H1648" s="11">
        <v>398</v>
      </c>
      <c r="I1648" s="11">
        <v>9</v>
      </c>
      <c r="J1648" s="11">
        <v>1</v>
      </c>
      <c r="K1648" s="11" t="s">
        <v>21</v>
      </c>
      <c r="L1648" s="7">
        <v>40025.606932870374</v>
      </c>
      <c r="M1648" s="12" t="s">
        <v>2217</v>
      </c>
      <c r="N1648" s="12" t="s">
        <v>3132</v>
      </c>
      <c r="O1648" s="10" t="str">
        <f>HYPERLINK("https://pbs.twimg.com/profile_images/481000476872175616/HSvfIApp_normal.jpeg","View")</f>
        <v>View</v>
      </c>
      <c r="P1648" s="11"/>
    </row>
    <row r="1649" spans="1:16" ht="12.75" x14ac:dyDescent="0.35">
      <c r="A1649" s="7">
        <v>42480.695034722223</v>
      </c>
      <c r="B1649" s="8" t="str">
        <f>HYPERLINK("https://twitter.com/projectepos","@projectepos")</f>
        <v>@projectepos</v>
      </c>
      <c r="C1649" s="9" t="s">
        <v>3133</v>
      </c>
      <c r="D1649" s="9" t="s">
        <v>3134</v>
      </c>
      <c r="E1649" s="10" t="str">
        <f>HYPERLINK("https://twitter.com/projectepos/status/722744333124952064","722744333124952064")</f>
        <v>722744333124952064</v>
      </c>
      <c r="F1649" s="11" t="s">
        <v>25</v>
      </c>
      <c r="G1649" s="11">
        <v>66</v>
      </c>
      <c r="H1649" s="11">
        <v>76</v>
      </c>
      <c r="I1649" s="11">
        <v>1</v>
      </c>
      <c r="J1649" s="11">
        <v>0</v>
      </c>
      <c r="K1649" s="11" t="s">
        <v>21</v>
      </c>
      <c r="L1649" s="7">
        <v>42286.595335648148</v>
      </c>
      <c r="M1649" s="12" t="s">
        <v>3135</v>
      </c>
      <c r="N1649" s="12" t="s">
        <v>3136</v>
      </c>
      <c r="O1649" s="10" t="str">
        <f>HYPERLINK("https://pbs.twimg.com/profile_images/669502955570241536/rh4E70Pk_normal.jpg","View")</f>
        <v>View</v>
      </c>
      <c r="P1649" s="11"/>
    </row>
    <row r="1650" spans="1:16" ht="12.75" x14ac:dyDescent="0.35">
      <c r="A1650" s="7">
        <v>42480.696087962962</v>
      </c>
      <c r="B1650" s="8" t="str">
        <f>HYPERLINK("https://twitter.com/MindCommerce","@MindCommerce")</f>
        <v>@MindCommerce</v>
      </c>
      <c r="C1650" s="9" t="s">
        <v>1242</v>
      </c>
      <c r="D1650" s="9" t="s">
        <v>3137</v>
      </c>
      <c r="E1650" s="10" t="str">
        <f>HYPERLINK("https://twitter.com/MindCommerce/status/722744713044959232","722744713044959232")</f>
        <v>722744713044959232</v>
      </c>
      <c r="F1650" s="11" t="s">
        <v>437</v>
      </c>
      <c r="G1650" s="11">
        <v>1189</v>
      </c>
      <c r="H1650" s="11">
        <v>427</v>
      </c>
      <c r="I1650" s="11">
        <v>1</v>
      </c>
      <c r="J1650" s="11">
        <v>0</v>
      </c>
      <c r="K1650" s="11" t="s">
        <v>21</v>
      </c>
      <c r="L1650" s="7">
        <v>40577.150787037041</v>
      </c>
      <c r="M1650" s="12"/>
      <c r="N1650" s="12" t="s">
        <v>1244</v>
      </c>
      <c r="O1650" s="10" t="str">
        <f>HYPERLINK("https://pbs.twimg.com/profile_images/548030384030507008/utABqhj9_normal.png","View")</f>
        <v>View</v>
      </c>
      <c r="P1650" s="11"/>
    </row>
    <row r="1651" spans="1:16" ht="12.75" x14ac:dyDescent="0.35">
      <c r="A1651" s="7">
        <v>42480.697210648148</v>
      </c>
      <c r="B1651" s="8" t="str">
        <f>HYPERLINK("https://twitter.com/IfKom_eV","@IfKom_eV")</f>
        <v>@IfKom_eV</v>
      </c>
      <c r="C1651" s="9" t="s">
        <v>3138</v>
      </c>
      <c r="D1651" s="9" t="s">
        <v>3139</v>
      </c>
      <c r="E1651" s="10" t="str">
        <f>HYPERLINK("https://twitter.com/IfKom_eV/status/722745121494597632","722745121494597632")</f>
        <v>722745121494597632</v>
      </c>
      <c r="F1651" s="11" t="s">
        <v>25</v>
      </c>
      <c r="G1651" s="11">
        <v>38</v>
      </c>
      <c r="H1651" s="11">
        <v>14</v>
      </c>
      <c r="I1651" s="11">
        <v>2</v>
      </c>
      <c r="J1651" s="11">
        <v>2</v>
      </c>
      <c r="K1651" s="11" t="s">
        <v>21</v>
      </c>
      <c r="L1651" s="7">
        <v>41735.773159722223</v>
      </c>
      <c r="M1651" s="12"/>
      <c r="N1651" s="12" t="s">
        <v>3140</v>
      </c>
      <c r="O1651" s="10" t="str">
        <f>HYPERLINK("https://pbs.twimg.com/profile_images/452796717688029186/3LJDW1UT_normal.jpeg","View")</f>
        <v>View</v>
      </c>
      <c r="P1651" s="11"/>
    </row>
    <row r="1652" spans="1:16" ht="12.75" x14ac:dyDescent="0.35">
      <c r="A1652" s="7">
        <v>42480.698240740741</v>
      </c>
      <c r="B1652" s="8" t="str">
        <f>HYPERLINK("https://twitter.com/MeinGeldMedien","@MeinGeldMedien")</f>
        <v>@MeinGeldMedien</v>
      </c>
      <c r="C1652" s="9" t="s">
        <v>302</v>
      </c>
      <c r="D1652" s="9" t="s">
        <v>2420</v>
      </c>
      <c r="E1652" s="10" t="str">
        <f>HYPERLINK("https://twitter.com/MeinGeldMedien/status/722745494485803008","722745494485803008")</f>
        <v>722745494485803008</v>
      </c>
      <c r="F1652" s="11" t="s">
        <v>39</v>
      </c>
      <c r="G1652" s="11">
        <v>694</v>
      </c>
      <c r="H1652" s="11">
        <v>583</v>
      </c>
      <c r="I1652" s="11">
        <v>1</v>
      </c>
      <c r="J1652" s="11">
        <v>0</v>
      </c>
      <c r="K1652" s="11" t="s">
        <v>21</v>
      </c>
      <c r="L1652" s="7">
        <v>41793.608449074076</v>
      </c>
      <c r="M1652" s="12" t="s">
        <v>218</v>
      </c>
      <c r="N1652" s="12" t="s">
        <v>304</v>
      </c>
      <c r="O1652" s="10" t="str">
        <f>HYPERLINK("https://pbs.twimg.com/profile_images/473759721023758338/3CcJL-Vq_normal.jpeg","View")</f>
        <v>View</v>
      </c>
      <c r="P1652" s="11"/>
    </row>
    <row r="1653" spans="1:16" ht="12.75" x14ac:dyDescent="0.35">
      <c r="A1653" s="7">
        <v>42480.698587962965</v>
      </c>
      <c r="B1653" s="8" t="str">
        <f>HYPERLINK("https://twitter.com/m_biscarrat","@m_biscarrat")</f>
        <v>@m_biscarrat</v>
      </c>
      <c r="C1653" s="9" t="s">
        <v>725</v>
      </c>
      <c r="D1653" s="9" t="s">
        <v>3141</v>
      </c>
      <c r="E1653" s="10" t="str">
        <f>HYPERLINK("https://twitter.com/m_biscarrat/status/722745618477793280","722745618477793280")</f>
        <v>722745618477793280</v>
      </c>
      <c r="F1653" s="10" t="s">
        <v>1820</v>
      </c>
      <c r="G1653" s="11">
        <v>217</v>
      </c>
      <c r="H1653" s="11">
        <v>398</v>
      </c>
      <c r="I1653" s="11">
        <v>0</v>
      </c>
      <c r="J1653" s="11">
        <v>0</v>
      </c>
      <c r="K1653" s="11" t="s">
        <v>21</v>
      </c>
      <c r="L1653" s="7">
        <v>40156.914143518516</v>
      </c>
      <c r="M1653" s="12" t="s">
        <v>243</v>
      </c>
      <c r="N1653" s="12" t="s">
        <v>727</v>
      </c>
      <c r="O1653" s="10" t="str">
        <f>HYPERLINK("https://pbs.twimg.com/profile_images/699724829713428484/rUT0r7Dq_normal.jpg","View")</f>
        <v>View</v>
      </c>
      <c r="P1653" s="11"/>
    </row>
    <row r="1654" spans="1:16" ht="12.75" x14ac:dyDescent="0.35">
      <c r="A1654" s="7">
        <v>42480.700023148151</v>
      </c>
      <c r="B1654" s="8" t="str">
        <f>HYPERLINK("https://twitter.com/EAutoPionier","@EAutoPionier")</f>
        <v>@EAutoPionier</v>
      </c>
      <c r="C1654" s="9" t="s">
        <v>3126</v>
      </c>
      <c r="D1654" s="9" t="s">
        <v>3142</v>
      </c>
      <c r="E1654" s="10" t="str">
        <f>HYPERLINK("https://twitter.com/EAutoPionier/status/722746138726686720","722746138726686720")</f>
        <v>722746138726686720</v>
      </c>
      <c r="F1654" s="11" t="s">
        <v>25</v>
      </c>
      <c r="G1654" s="11">
        <v>78</v>
      </c>
      <c r="H1654" s="11">
        <v>103</v>
      </c>
      <c r="I1654" s="11">
        <v>2</v>
      </c>
      <c r="J1654" s="11">
        <v>0</v>
      </c>
      <c r="K1654" s="11" t="s">
        <v>21</v>
      </c>
      <c r="L1654" s="7">
        <v>40340.442789351851</v>
      </c>
      <c r="M1654" s="12"/>
      <c r="N1654" s="12"/>
      <c r="O1654" s="10" t="str">
        <f>HYPERLINK("https://pbs.twimg.com/profile_images/700576331407298560/RJ0M_dZd_normal.jpg","View")</f>
        <v>View</v>
      </c>
      <c r="P1654" s="11"/>
    </row>
    <row r="1655" spans="1:16" ht="12.75" x14ac:dyDescent="0.35">
      <c r="A1655" s="7">
        <v>42480.701006944444</v>
      </c>
      <c r="B1655" s="8" t="str">
        <f>HYPERLINK("https://twitter.com/FK_Verband","@FK_Verband")</f>
        <v>@FK_Verband</v>
      </c>
      <c r="C1655" s="9" t="s">
        <v>1026</v>
      </c>
      <c r="D1655" s="9" t="s">
        <v>3143</v>
      </c>
      <c r="E1655" s="10" t="str">
        <f>HYPERLINK("https://twitter.com/FK_Verband/status/722746497909923840","722746497909923840")</f>
        <v>722746497909923840</v>
      </c>
      <c r="F1655" s="11" t="s">
        <v>25</v>
      </c>
      <c r="G1655" s="11">
        <v>758</v>
      </c>
      <c r="H1655" s="11">
        <v>423</v>
      </c>
      <c r="I1655" s="11">
        <v>2</v>
      </c>
      <c r="J1655" s="11">
        <v>0</v>
      </c>
      <c r="K1655" s="11" t="s">
        <v>21</v>
      </c>
      <c r="L1655" s="7">
        <v>41680.78297453704</v>
      </c>
      <c r="M1655" s="12" t="s">
        <v>1027</v>
      </c>
      <c r="N1655" s="12" t="s">
        <v>1028</v>
      </c>
      <c r="O1655" s="10" t="str">
        <f>HYPERLINK("https://pbs.twimg.com/profile_images/459666685952151552/oULR8mG1_normal.png","View")</f>
        <v>View</v>
      </c>
      <c r="P1655" s="11"/>
    </row>
    <row r="1656" spans="1:16" ht="12.75" x14ac:dyDescent="0.35">
      <c r="A1656" s="7">
        <v>42480.702187499999</v>
      </c>
      <c r="B1656" s="8" t="str">
        <f t="shared" ref="B1656:B1658" si="188">HYPERLINK("https://twitter.com/INDIZbot","@INDIZbot")</f>
        <v>@INDIZbot</v>
      </c>
      <c r="C1656" s="9" t="s">
        <v>61</v>
      </c>
      <c r="D1656" s="9" t="s">
        <v>3143</v>
      </c>
      <c r="E1656" s="10" t="str">
        <f>HYPERLINK("https://twitter.com/INDIZbot/status/722746924869267457","722746924869267457")</f>
        <v>722746924869267457</v>
      </c>
      <c r="F1656" s="11" t="s">
        <v>62</v>
      </c>
      <c r="G1656" s="11">
        <v>1762</v>
      </c>
      <c r="H1656" s="11">
        <v>481</v>
      </c>
      <c r="I1656" s="11">
        <v>2</v>
      </c>
      <c r="J1656" s="11">
        <v>0</v>
      </c>
      <c r="K1656" s="11" t="s">
        <v>21</v>
      </c>
      <c r="L1656" s="7">
        <v>42267.011921296296</v>
      </c>
      <c r="M1656" s="12"/>
      <c r="N1656" s="12" t="s">
        <v>63</v>
      </c>
      <c r="O1656" s="10" t="str">
        <f t="shared" ref="O1656:O1658" si="189">HYPERLINK("https://pbs.twimg.com/profile_images/645716711723925506/t5G0qOS6_normal.jpg","View")</f>
        <v>View</v>
      </c>
      <c r="P1656" s="11"/>
    </row>
    <row r="1657" spans="1:16" ht="12.75" x14ac:dyDescent="0.35">
      <c r="A1657" s="7">
        <v>42480.702870370369</v>
      </c>
      <c r="B1657" s="8" t="str">
        <f t="shared" si="188"/>
        <v>@INDIZbot</v>
      </c>
      <c r="C1657" s="9" t="s">
        <v>61</v>
      </c>
      <c r="D1657" s="9" t="s">
        <v>3142</v>
      </c>
      <c r="E1657" s="10" t="str">
        <f>HYPERLINK("https://twitter.com/INDIZbot/status/722747173956411394","722747173956411394")</f>
        <v>722747173956411394</v>
      </c>
      <c r="F1657" s="11" t="s">
        <v>62</v>
      </c>
      <c r="G1657" s="11">
        <v>1762</v>
      </c>
      <c r="H1657" s="11">
        <v>481</v>
      </c>
      <c r="I1657" s="11">
        <v>2</v>
      </c>
      <c r="J1657" s="11">
        <v>0</v>
      </c>
      <c r="K1657" s="11" t="s">
        <v>21</v>
      </c>
      <c r="L1657" s="7">
        <v>42267.011921296296</v>
      </c>
      <c r="M1657" s="12"/>
      <c r="N1657" s="12" t="s">
        <v>63</v>
      </c>
      <c r="O1657" s="10" t="str">
        <f t="shared" si="189"/>
        <v>View</v>
      </c>
      <c r="P1657" s="11"/>
    </row>
    <row r="1658" spans="1:16" ht="12.75" x14ac:dyDescent="0.35">
      <c r="A1658" s="7">
        <v>42480.703206018516</v>
      </c>
      <c r="B1658" s="8" t="str">
        <f t="shared" si="188"/>
        <v>@INDIZbot</v>
      </c>
      <c r="C1658" s="9" t="s">
        <v>61</v>
      </c>
      <c r="D1658" s="9" t="s">
        <v>3144</v>
      </c>
      <c r="E1658" s="10" t="str">
        <f>HYPERLINK("https://twitter.com/INDIZbot/status/722747295888973825","722747295888973825")</f>
        <v>722747295888973825</v>
      </c>
      <c r="F1658" s="11" t="s">
        <v>62</v>
      </c>
      <c r="G1658" s="11">
        <v>1762</v>
      </c>
      <c r="H1658" s="11">
        <v>481</v>
      </c>
      <c r="I1658" s="11">
        <v>1</v>
      </c>
      <c r="J1658" s="11">
        <v>0</v>
      </c>
      <c r="K1658" s="11" t="s">
        <v>21</v>
      </c>
      <c r="L1658" s="7">
        <v>42267.011921296296</v>
      </c>
      <c r="M1658" s="12"/>
      <c r="N1658" s="12" t="s">
        <v>63</v>
      </c>
      <c r="O1658" s="10" t="str">
        <f t="shared" si="189"/>
        <v>View</v>
      </c>
      <c r="P1658" s="11"/>
    </row>
    <row r="1659" spans="1:16" ht="12.75" x14ac:dyDescent="0.35">
      <c r="A1659" s="7">
        <v>42480.704548611116</v>
      </c>
      <c r="B1659" s="8" t="str">
        <f>HYPERLINK("https://twitter.com/StaplerPaul","@StaplerPaul")</f>
        <v>@StaplerPaul</v>
      </c>
      <c r="C1659" s="9" t="s">
        <v>3145</v>
      </c>
      <c r="D1659" s="9" t="s">
        <v>2947</v>
      </c>
      <c r="E1659" s="10" t="str">
        <f>HYPERLINK("https://twitter.com/StaplerPaul/status/722747781069283329","722747781069283329")</f>
        <v>722747781069283329</v>
      </c>
      <c r="F1659" s="11" t="s">
        <v>31</v>
      </c>
      <c r="G1659" s="11">
        <v>2013</v>
      </c>
      <c r="H1659" s="11">
        <v>1881</v>
      </c>
      <c r="I1659" s="11">
        <v>21</v>
      </c>
      <c r="J1659" s="11">
        <v>0</v>
      </c>
      <c r="K1659" s="11" t="s">
        <v>21</v>
      </c>
      <c r="L1659" s="7">
        <v>41981.750416666662</v>
      </c>
      <c r="M1659" s="12" t="s">
        <v>3146</v>
      </c>
      <c r="N1659" s="12" t="s">
        <v>3147</v>
      </c>
      <c r="O1659" s="10" t="str">
        <f>HYPERLINK("https://pbs.twimg.com/profile_images/716882543551885312/GxRIW86z_normal.jpg","View")</f>
        <v>View</v>
      </c>
      <c r="P1659" s="11"/>
    </row>
    <row r="1660" spans="1:16" ht="12.75" x14ac:dyDescent="0.35">
      <c r="A1660" s="7">
        <v>42480.704560185186</v>
      </c>
      <c r="B1660" s="8" t="str">
        <f>HYPERLINK("https://twitter.com/ScheerKarriere","@ScheerKarriere")</f>
        <v>@ScheerKarriere</v>
      </c>
      <c r="C1660" s="9" t="s">
        <v>561</v>
      </c>
      <c r="D1660" s="9" t="s">
        <v>3148</v>
      </c>
      <c r="E1660" s="10" t="str">
        <f>HYPERLINK("https://twitter.com/ScheerKarriere/status/722747784928043008","722747784928043008")</f>
        <v>722747784928043008</v>
      </c>
      <c r="F1660" s="11" t="s">
        <v>115</v>
      </c>
      <c r="G1660" s="11">
        <v>12</v>
      </c>
      <c r="H1660" s="11">
        <v>7</v>
      </c>
      <c r="I1660" s="11">
        <v>1</v>
      </c>
      <c r="J1660" s="11">
        <v>0</v>
      </c>
      <c r="K1660" s="11" t="s">
        <v>21</v>
      </c>
      <c r="L1660" s="7">
        <v>42419.828622685185</v>
      </c>
      <c r="M1660" s="12" t="s">
        <v>563</v>
      </c>
      <c r="N1660" s="12" t="s">
        <v>564</v>
      </c>
      <c r="O1660" s="10" t="str">
        <f>HYPERLINK("https://pbs.twimg.com/profile_images/704970625748697089/GQl2pOlK_normal.jpg","View")</f>
        <v>View</v>
      </c>
      <c r="P1660" s="11"/>
    </row>
    <row r="1661" spans="1:16" ht="12.75" x14ac:dyDescent="0.35">
      <c r="A1661" s="7">
        <v>42480.705659722225</v>
      </c>
      <c r="B1661" s="8" t="str">
        <f>HYPERLINK("https://twitter.com/Stefan_Schaus","@Stefan_Schaus")</f>
        <v>@Stefan_Schaus</v>
      </c>
      <c r="C1661" s="9" t="s">
        <v>912</v>
      </c>
      <c r="D1661" s="9" t="s">
        <v>3149</v>
      </c>
      <c r="E1661" s="10" t="str">
        <f>HYPERLINK("https://twitter.com/Stefan_Schaus/status/722748184515256321","722748184515256321")</f>
        <v>722748184515256321</v>
      </c>
      <c r="F1661" s="11" t="s">
        <v>115</v>
      </c>
      <c r="G1661" s="11">
        <v>21</v>
      </c>
      <c r="H1661" s="11">
        <v>41</v>
      </c>
      <c r="I1661" s="11">
        <v>0</v>
      </c>
      <c r="J1661" s="11">
        <v>0</v>
      </c>
      <c r="K1661" s="11" t="s">
        <v>21</v>
      </c>
      <c r="L1661" s="7">
        <v>42360.818182870367</v>
      </c>
      <c r="M1661" s="12" t="s">
        <v>559</v>
      </c>
      <c r="N1661" s="12" t="s">
        <v>914</v>
      </c>
      <c r="O1661" s="10" t="str">
        <f>HYPERLINK("https://pbs.twimg.com/profile_images/679303029431083008/S29_duNb_normal.jpg","View")</f>
        <v>View</v>
      </c>
      <c r="P1661" s="11"/>
    </row>
    <row r="1662" spans="1:16" ht="12.75" x14ac:dyDescent="0.35">
      <c r="A1662" s="7">
        <v>42480.706203703703</v>
      </c>
      <c r="B1662" s="8" t="str">
        <f>HYPERLINK("https://twitter.com/SHC_GmbH","@SHC_GmbH")</f>
        <v>@SHC_GmbH</v>
      </c>
      <c r="C1662" s="9" t="s">
        <v>105</v>
      </c>
      <c r="D1662" s="9" t="s">
        <v>3061</v>
      </c>
      <c r="E1662" s="10" t="str">
        <f>HYPERLINK("https://twitter.com/SHC_GmbH/status/722748379965624320","722748379965624320")</f>
        <v>722748379965624320</v>
      </c>
      <c r="F1662" s="11" t="s">
        <v>25</v>
      </c>
      <c r="G1662" s="11">
        <v>427</v>
      </c>
      <c r="H1662" s="11">
        <v>598</v>
      </c>
      <c r="I1662" s="11">
        <v>3</v>
      </c>
      <c r="J1662" s="11">
        <v>0</v>
      </c>
      <c r="K1662" s="11" t="s">
        <v>21</v>
      </c>
      <c r="L1662" s="7">
        <v>41423.549513888887</v>
      </c>
      <c r="M1662" s="12" t="s">
        <v>107</v>
      </c>
      <c r="N1662" s="12" t="s">
        <v>108</v>
      </c>
      <c r="O1662" s="10" t="str">
        <f>HYPERLINK("https://pbs.twimg.com/profile_images/3726440228/9ba49ccb938cf571b195e3e83a4e1327_normal.jpeg","View")</f>
        <v>View</v>
      </c>
      <c r="P1662" s="11"/>
    </row>
    <row r="1663" spans="1:16" ht="12.75" x14ac:dyDescent="0.35">
      <c r="A1663" s="7">
        <v>42480.706932870366</v>
      </c>
      <c r="B1663" s="8" t="str">
        <f>HYPERLINK("https://twitter.com/Becker_AnnaLisa","@Becker_AnnaLisa")</f>
        <v>@Becker_AnnaLisa</v>
      </c>
      <c r="C1663" s="9" t="s">
        <v>557</v>
      </c>
      <c r="D1663" s="9" t="s">
        <v>3150</v>
      </c>
      <c r="E1663" s="10" t="str">
        <f>HYPERLINK("https://twitter.com/Becker_AnnaLisa/status/722748644709916672","722748644709916672")</f>
        <v>722748644709916672</v>
      </c>
      <c r="F1663" s="11" t="s">
        <v>25</v>
      </c>
      <c r="G1663" s="11">
        <v>71</v>
      </c>
      <c r="H1663" s="11">
        <v>128</v>
      </c>
      <c r="I1663" s="11">
        <v>0</v>
      </c>
      <c r="J1663" s="11">
        <v>1</v>
      </c>
      <c r="K1663" s="11" t="s">
        <v>21</v>
      </c>
      <c r="L1663" s="7">
        <v>41333.610949074078</v>
      </c>
      <c r="M1663" s="12" t="s">
        <v>559</v>
      </c>
      <c r="N1663" s="12" t="s">
        <v>560</v>
      </c>
      <c r="O1663" s="10" t="str">
        <f>HYPERLINK("https://pbs.twimg.com/profile_images/676325832600743936/gCXpokOx_normal.jpg","View")</f>
        <v>View</v>
      </c>
      <c r="P1663" s="11"/>
    </row>
    <row r="1664" spans="1:16" ht="12.75" x14ac:dyDescent="0.35">
      <c r="A1664" s="7">
        <v>42480.70721064815</v>
      </c>
      <c r="B1664" s="8" t="str">
        <f>HYPERLINK("https://twitter.com/miss_ypsilon","@miss_ypsilon")</f>
        <v>@miss_ypsilon</v>
      </c>
      <c r="C1664" s="9" t="s">
        <v>3151</v>
      </c>
      <c r="D1664" s="9" t="s">
        <v>3152</v>
      </c>
      <c r="E1664" s="10" t="str">
        <f>HYPERLINK("https://twitter.com/miss_ypsilon/status/722748743867633665","722748743867633665")</f>
        <v>722748743867633665</v>
      </c>
      <c r="F1664" s="11" t="s">
        <v>59</v>
      </c>
      <c r="G1664" s="11">
        <v>195</v>
      </c>
      <c r="H1664" s="11">
        <v>670</v>
      </c>
      <c r="I1664" s="11">
        <v>1</v>
      </c>
      <c r="J1664" s="11">
        <v>0</v>
      </c>
      <c r="K1664" s="11" t="s">
        <v>21</v>
      </c>
      <c r="L1664" s="7">
        <v>41164.980405092589</v>
      </c>
      <c r="M1664" s="12" t="s">
        <v>443</v>
      </c>
      <c r="N1664" s="12" t="s">
        <v>3153</v>
      </c>
      <c r="O1664" s="10" t="str">
        <f>HYPERLINK("https://pbs.twimg.com/profile_images/710019343636156416/IxXhDHFL_normal.jpg","View")</f>
        <v>View</v>
      </c>
      <c r="P1664" s="11"/>
    </row>
    <row r="1665" spans="1:16" ht="12.75" x14ac:dyDescent="0.35">
      <c r="A1665" s="7">
        <v>42480.707569444443</v>
      </c>
      <c r="B1665" s="8" t="str">
        <f>HYPERLINK("https://twitter.com/UweKubach","@UweKubach")</f>
        <v>@UweKubach</v>
      </c>
      <c r="C1665" s="9" t="s">
        <v>1650</v>
      </c>
      <c r="D1665" s="9" t="s">
        <v>3154</v>
      </c>
      <c r="E1665" s="10" t="str">
        <f>HYPERLINK("https://twitter.com/UweKubach/status/722748874570481664","722748874570481664")</f>
        <v>722748874570481664</v>
      </c>
      <c r="F1665" s="11" t="s">
        <v>20</v>
      </c>
      <c r="G1665" s="11">
        <v>33</v>
      </c>
      <c r="H1665" s="11">
        <v>20</v>
      </c>
      <c r="I1665" s="11">
        <v>2</v>
      </c>
      <c r="J1665" s="11">
        <v>3</v>
      </c>
      <c r="K1665" s="11" t="s">
        <v>21</v>
      </c>
      <c r="L1665" s="7">
        <v>41597.681932870371</v>
      </c>
      <c r="M1665" s="12"/>
      <c r="N1665" s="12"/>
      <c r="O1665" s="10" t="str">
        <f>HYPERLINK("https://pbs.twimg.com/profile_images/710750672581484545/n4dPcodC_normal.jpg","View")</f>
        <v>View</v>
      </c>
      <c r="P1665" s="11"/>
    </row>
    <row r="1666" spans="1:16" ht="12.75" x14ac:dyDescent="0.35">
      <c r="A1666" s="7">
        <v>42480.70888888889</v>
      </c>
      <c r="B1666" s="8" t="str">
        <f>HYPERLINK("https://twitter.com/smarasek","@smarasek")</f>
        <v>@smarasek</v>
      </c>
      <c r="C1666" s="9" t="s">
        <v>3155</v>
      </c>
      <c r="D1666" s="9" t="s">
        <v>3156</v>
      </c>
      <c r="E1666" s="10" t="str">
        <f>HYPERLINK("https://twitter.com/smarasek/status/722749354130411521","722749354130411521")</f>
        <v>722749354130411521</v>
      </c>
      <c r="F1666" s="11" t="s">
        <v>25</v>
      </c>
      <c r="G1666" s="11">
        <v>1262</v>
      </c>
      <c r="H1666" s="11">
        <v>1890</v>
      </c>
      <c r="I1666" s="11">
        <v>1</v>
      </c>
      <c r="J1666" s="11">
        <v>0</v>
      </c>
      <c r="K1666" s="11" t="s">
        <v>21</v>
      </c>
      <c r="L1666" s="7">
        <v>39993.647581018522</v>
      </c>
      <c r="M1666" s="12"/>
      <c r="N1666" s="12"/>
      <c r="O1666" s="10" t="str">
        <f>HYPERLINK("https://pbs.twimg.com/profile_images/288341769/IMG_7268web_normal.jpg","View")</f>
        <v>View</v>
      </c>
      <c r="P1666" s="11"/>
    </row>
    <row r="1667" spans="1:16" ht="12.75" x14ac:dyDescent="0.35">
      <c r="A1667" s="7">
        <v>42480.70893518519</v>
      </c>
      <c r="B1667" s="8" t="str">
        <f>HYPERLINK("https://twitter.com/kosslers","@kosslers")</f>
        <v>@kosslers</v>
      </c>
      <c r="C1667" s="9" t="s">
        <v>3157</v>
      </c>
      <c r="D1667" s="9" t="s">
        <v>3158</v>
      </c>
      <c r="E1667" s="10" t="str">
        <f>HYPERLINK("https://twitter.com/kosslers/status/722749371813474305","722749371813474305")</f>
        <v>722749371813474305</v>
      </c>
      <c r="F1667" s="11" t="s">
        <v>25</v>
      </c>
      <c r="G1667" s="11">
        <v>68</v>
      </c>
      <c r="H1667" s="11">
        <v>85</v>
      </c>
      <c r="I1667" s="11">
        <v>9</v>
      </c>
      <c r="J1667" s="11">
        <v>0</v>
      </c>
      <c r="K1667" s="11" t="s">
        <v>21</v>
      </c>
      <c r="L1667" s="7">
        <v>41504.811458333337</v>
      </c>
      <c r="M1667" s="12" t="s">
        <v>79</v>
      </c>
      <c r="N1667" s="12" t="s">
        <v>3159</v>
      </c>
      <c r="O1667" s="10" t="str">
        <f>HYPERLINK("https://pbs.twimg.com/profile_images/571413718787080192/1XVW6exK_normal.jpeg","View")</f>
        <v>View</v>
      </c>
      <c r="P1667" s="11"/>
    </row>
    <row r="1668" spans="1:16" ht="12.75" x14ac:dyDescent="0.35">
      <c r="A1668" s="7">
        <v>42480.709143518514</v>
      </c>
      <c r="B1668" s="8" t="str">
        <f>HYPERLINK("https://twitter.com/INDIZbot","@INDIZbot")</f>
        <v>@INDIZbot</v>
      </c>
      <c r="C1668" s="9" t="s">
        <v>61</v>
      </c>
      <c r="D1668" s="9" t="s">
        <v>3160</v>
      </c>
      <c r="E1668" s="10" t="str">
        <f>HYPERLINK("https://twitter.com/INDIZbot/status/722749445956313088","722749445956313088")</f>
        <v>722749445956313088</v>
      </c>
      <c r="F1668" s="11" t="s">
        <v>62</v>
      </c>
      <c r="G1668" s="11">
        <v>1762</v>
      </c>
      <c r="H1668" s="11">
        <v>481</v>
      </c>
      <c r="I1668" s="11">
        <v>1</v>
      </c>
      <c r="J1668" s="11">
        <v>0</v>
      </c>
      <c r="K1668" s="11" t="s">
        <v>21</v>
      </c>
      <c r="L1668" s="7">
        <v>42267.011921296296</v>
      </c>
      <c r="M1668" s="12"/>
      <c r="N1668" s="12" t="s">
        <v>63</v>
      </c>
      <c r="O1668" s="10" t="str">
        <f>HYPERLINK("https://pbs.twimg.com/profile_images/645716711723925506/t5G0qOS6_normal.jpg","View")</f>
        <v>View</v>
      </c>
      <c r="P1668" s="11"/>
    </row>
    <row r="1669" spans="1:16" ht="12.75" x14ac:dyDescent="0.35">
      <c r="A1669" s="7">
        <v>42480.709178240737</v>
      </c>
      <c r="B1669" s="8" t="str">
        <f>HYPERLINK("https://twitter.com/SHC_GmbH","@SHC_GmbH")</f>
        <v>@SHC_GmbH</v>
      </c>
      <c r="C1669" s="9" t="s">
        <v>105</v>
      </c>
      <c r="D1669" s="9" t="s">
        <v>3015</v>
      </c>
      <c r="E1669" s="10" t="str">
        <f>HYPERLINK("https://twitter.com/SHC_GmbH/status/722749458383962112","722749458383962112")</f>
        <v>722749458383962112</v>
      </c>
      <c r="F1669" s="11" t="s">
        <v>25</v>
      </c>
      <c r="G1669" s="11">
        <v>427</v>
      </c>
      <c r="H1669" s="11">
        <v>598</v>
      </c>
      <c r="I1669" s="11">
        <v>4</v>
      </c>
      <c r="J1669" s="11">
        <v>0</v>
      </c>
      <c r="K1669" s="11" t="s">
        <v>21</v>
      </c>
      <c r="L1669" s="7">
        <v>41423.549513888887</v>
      </c>
      <c r="M1669" s="12" t="s">
        <v>107</v>
      </c>
      <c r="N1669" s="12" t="s">
        <v>108</v>
      </c>
      <c r="O1669" s="10" t="str">
        <f>HYPERLINK("https://pbs.twimg.com/profile_images/3726440228/9ba49ccb938cf571b195e3e83a4e1327_normal.jpeg","View")</f>
        <v>View</v>
      </c>
      <c r="P1669" s="11"/>
    </row>
    <row r="1670" spans="1:16" ht="12.75" x14ac:dyDescent="0.35">
      <c r="A1670" s="7">
        <v>42480.709641203706</v>
      </c>
      <c r="B1670" s="8" t="str">
        <f>HYPERLINK("https://twitter.com/Becker_AnnaLisa","@Becker_AnnaLisa")</f>
        <v>@Becker_AnnaLisa</v>
      </c>
      <c r="C1670" s="9" t="s">
        <v>557</v>
      </c>
      <c r="D1670" s="9" t="s">
        <v>3161</v>
      </c>
      <c r="E1670" s="10" t="str">
        <f>HYPERLINK("https://twitter.com/Becker_AnnaLisa/status/722749626135273474","722749626135273474")</f>
        <v>722749626135273474</v>
      </c>
      <c r="F1670" s="11" t="s">
        <v>39</v>
      </c>
      <c r="G1670" s="11">
        <v>71</v>
      </c>
      <c r="H1670" s="11">
        <v>128</v>
      </c>
      <c r="I1670" s="11">
        <v>1</v>
      </c>
      <c r="J1670" s="11">
        <v>0</v>
      </c>
      <c r="K1670" s="11" t="s">
        <v>21</v>
      </c>
      <c r="L1670" s="7">
        <v>41333.610949074078</v>
      </c>
      <c r="M1670" s="12" t="s">
        <v>559</v>
      </c>
      <c r="N1670" s="12" t="s">
        <v>560</v>
      </c>
      <c r="O1670" s="10" t="str">
        <f>HYPERLINK("https://pbs.twimg.com/profile_images/676325832600743936/gCXpokOx_normal.jpg","View")</f>
        <v>View</v>
      </c>
      <c r="P1670" s="11"/>
    </row>
    <row r="1671" spans="1:16" ht="12.75" x14ac:dyDescent="0.35">
      <c r="A1671" s="7">
        <v>42480.709652777776</v>
      </c>
      <c r="B1671" s="8" t="str">
        <f t="shared" ref="B1671:B1672" si="190">HYPERLINK("https://twitter.com/INDIZbot","@INDIZbot")</f>
        <v>@INDIZbot</v>
      </c>
      <c r="C1671" s="9" t="s">
        <v>61</v>
      </c>
      <c r="D1671" s="9" t="s">
        <v>3162</v>
      </c>
      <c r="E1671" s="10" t="str">
        <f>HYPERLINK("https://twitter.com/INDIZbot/status/722749630715424768","722749630715424768")</f>
        <v>722749630715424768</v>
      </c>
      <c r="F1671" s="11" t="s">
        <v>62</v>
      </c>
      <c r="G1671" s="11">
        <v>1762</v>
      </c>
      <c r="H1671" s="11">
        <v>481</v>
      </c>
      <c r="I1671" s="11">
        <v>2</v>
      </c>
      <c r="J1671" s="11">
        <v>0</v>
      </c>
      <c r="K1671" s="11" t="s">
        <v>21</v>
      </c>
      <c r="L1671" s="7">
        <v>42267.011921296296</v>
      </c>
      <c r="M1671" s="12"/>
      <c r="N1671" s="12" t="s">
        <v>63</v>
      </c>
      <c r="O1671" s="10" t="str">
        <f t="shared" ref="O1671:O1672" si="191">HYPERLINK("https://pbs.twimg.com/profile_images/645716711723925506/t5G0qOS6_normal.jpg","View")</f>
        <v>View</v>
      </c>
      <c r="P1671" s="11"/>
    </row>
    <row r="1672" spans="1:16" ht="12.75" x14ac:dyDescent="0.35">
      <c r="A1672" s="7">
        <v>42480.710173611107</v>
      </c>
      <c r="B1672" s="8" t="str">
        <f t="shared" si="190"/>
        <v>@INDIZbot</v>
      </c>
      <c r="C1672" s="9" t="s">
        <v>61</v>
      </c>
      <c r="D1672" s="9" t="s">
        <v>3163</v>
      </c>
      <c r="E1672" s="10" t="str">
        <f>HYPERLINK("https://twitter.com/INDIZbot/status/722749817181642752","722749817181642752")</f>
        <v>722749817181642752</v>
      </c>
      <c r="F1672" s="11" t="s">
        <v>62</v>
      </c>
      <c r="G1672" s="11">
        <v>1762</v>
      </c>
      <c r="H1672" s="11">
        <v>481</v>
      </c>
      <c r="I1672" s="11">
        <v>1</v>
      </c>
      <c r="J1672" s="11">
        <v>0</v>
      </c>
      <c r="K1672" s="11" t="s">
        <v>21</v>
      </c>
      <c r="L1672" s="7">
        <v>42267.011921296296</v>
      </c>
      <c r="M1672" s="12"/>
      <c r="N1672" s="12" t="s">
        <v>63</v>
      </c>
      <c r="O1672" s="10" t="str">
        <f t="shared" si="191"/>
        <v>View</v>
      </c>
      <c r="P1672" s="11"/>
    </row>
    <row r="1673" spans="1:16" ht="12.75" x14ac:dyDescent="0.35">
      <c r="A1673" s="7">
        <v>42480.712754629625</v>
      </c>
      <c r="B1673" s="8" t="str">
        <f>HYPERLINK("https://twitter.com/UweKubach","@UweKubach")</f>
        <v>@UweKubach</v>
      </c>
      <c r="C1673" s="9" t="s">
        <v>1650</v>
      </c>
      <c r="D1673" s="9" t="s">
        <v>3164</v>
      </c>
      <c r="E1673" s="10" t="str">
        <f>HYPERLINK("https://twitter.com/UweKubach/status/722750753102827520","722750753102827520")</f>
        <v>722750753102827520</v>
      </c>
      <c r="F1673" s="11" t="s">
        <v>20</v>
      </c>
      <c r="G1673" s="11">
        <v>33</v>
      </c>
      <c r="H1673" s="11">
        <v>20</v>
      </c>
      <c r="I1673" s="11">
        <v>0</v>
      </c>
      <c r="J1673" s="11">
        <v>1</v>
      </c>
      <c r="K1673" s="11" t="s">
        <v>21</v>
      </c>
      <c r="L1673" s="7">
        <v>41597.681932870371</v>
      </c>
      <c r="M1673" s="12"/>
      <c r="N1673" s="12"/>
      <c r="O1673" s="10" t="str">
        <f>HYPERLINK("https://pbs.twimg.com/profile_images/710750672581484545/n4dPcodC_normal.jpg","View")</f>
        <v>View</v>
      </c>
      <c r="P1673" s="11"/>
    </row>
    <row r="1674" spans="1:16" ht="12.75" x14ac:dyDescent="0.35">
      <c r="A1674" s="7">
        <v>42480.713449074072</v>
      </c>
      <c r="B1674" s="8" t="str">
        <f>HYPERLINK("https://twitter.com/SICK_de","@SICK_de")</f>
        <v>@SICK_de</v>
      </c>
      <c r="C1674" s="9" t="s">
        <v>3165</v>
      </c>
      <c r="D1674" s="9" t="s">
        <v>2938</v>
      </c>
      <c r="E1674" s="10" t="str">
        <f>HYPERLINK("https://twitter.com/SICK_de/status/722751006799335424","722751006799335424")</f>
        <v>722751006799335424</v>
      </c>
      <c r="F1674" s="11" t="s">
        <v>25</v>
      </c>
      <c r="G1674" s="11">
        <v>1337</v>
      </c>
      <c r="H1674" s="11">
        <v>249</v>
      </c>
      <c r="I1674" s="11">
        <v>12</v>
      </c>
      <c r="J1674" s="11">
        <v>0</v>
      </c>
      <c r="K1674" s="11" t="s">
        <v>21</v>
      </c>
      <c r="L1674" s="7">
        <v>40928.560231481482</v>
      </c>
      <c r="M1674" s="12" t="s">
        <v>581</v>
      </c>
      <c r="N1674" s="12" t="s">
        <v>3166</v>
      </c>
      <c r="O1674" s="10" t="str">
        <f>HYPERLINK("https://pbs.twimg.com/profile_images/2144085015/sick_de_icon_normal.jpg","View")</f>
        <v>View</v>
      </c>
      <c r="P1674" s="11"/>
    </row>
    <row r="1675" spans="1:16" ht="12.75" x14ac:dyDescent="0.35">
      <c r="A1675" s="7">
        <v>42480.713842592595</v>
      </c>
      <c r="B1675" s="8" t="str">
        <f t="shared" ref="B1675:B1676" si="192">HYPERLINK("https://twitter.com/SHC_GmbH","@SHC_GmbH")</f>
        <v>@SHC_GmbH</v>
      </c>
      <c r="C1675" s="9" t="s">
        <v>105</v>
      </c>
      <c r="D1675" s="9" t="s">
        <v>2947</v>
      </c>
      <c r="E1675" s="10" t="str">
        <f>HYPERLINK("https://twitter.com/SHC_GmbH/status/722751149959307264","722751149959307264")</f>
        <v>722751149959307264</v>
      </c>
      <c r="F1675" s="11" t="s">
        <v>25</v>
      </c>
      <c r="G1675" s="11">
        <v>427</v>
      </c>
      <c r="H1675" s="11">
        <v>598</v>
      </c>
      <c r="I1675" s="11">
        <v>21</v>
      </c>
      <c r="J1675" s="11">
        <v>0</v>
      </c>
      <c r="K1675" s="11" t="s">
        <v>21</v>
      </c>
      <c r="L1675" s="7">
        <v>41423.549513888887</v>
      </c>
      <c r="M1675" s="12" t="s">
        <v>107</v>
      </c>
      <c r="N1675" s="12" t="s">
        <v>108</v>
      </c>
      <c r="O1675" s="10" t="str">
        <f t="shared" ref="O1675:O1676" si="193">HYPERLINK("https://pbs.twimg.com/profile_images/3726440228/9ba49ccb938cf571b195e3e83a4e1327_normal.jpeg","View")</f>
        <v>View</v>
      </c>
      <c r="P1675" s="11"/>
    </row>
    <row r="1676" spans="1:16" ht="12.75" x14ac:dyDescent="0.35">
      <c r="A1676" s="7">
        <v>42480.715451388889</v>
      </c>
      <c r="B1676" s="8" t="str">
        <f t="shared" si="192"/>
        <v>@SHC_GmbH</v>
      </c>
      <c r="C1676" s="9" t="s">
        <v>105</v>
      </c>
      <c r="D1676" s="9" t="s">
        <v>2938</v>
      </c>
      <c r="E1676" s="10" t="str">
        <f>HYPERLINK("https://twitter.com/SHC_GmbH/status/722751730149003265","722751730149003265")</f>
        <v>722751730149003265</v>
      </c>
      <c r="F1676" s="11" t="s">
        <v>25</v>
      </c>
      <c r="G1676" s="11">
        <v>427</v>
      </c>
      <c r="H1676" s="11">
        <v>598</v>
      </c>
      <c r="I1676" s="11">
        <v>12</v>
      </c>
      <c r="J1676" s="11">
        <v>0</v>
      </c>
      <c r="K1676" s="11" t="s">
        <v>21</v>
      </c>
      <c r="L1676" s="7">
        <v>41423.549513888887</v>
      </c>
      <c r="M1676" s="12" t="s">
        <v>107</v>
      </c>
      <c r="N1676" s="12" t="s">
        <v>108</v>
      </c>
      <c r="O1676" s="10" t="str">
        <f t="shared" si="193"/>
        <v>View</v>
      </c>
      <c r="P1676" s="11"/>
    </row>
    <row r="1677" spans="1:16" ht="12.75" x14ac:dyDescent="0.35">
      <c r="A1677" s="7">
        <v>42480.716712962967</v>
      </c>
      <c r="B1677" s="8" t="str">
        <f>HYPERLINK("https://twitter.com/catkinEU","@catkinEU")</f>
        <v>@catkinEU</v>
      </c>
      <c r="C1677" s="9" t="s">
        <v>781</v>
      </c>
      <c r="D1677" s="9" t="s">
        <v>3167</v>
      </c>
      <c r="E1677" s="10" t="str">
        <f>HYPERLINK("https://twitter.com/catkinEU/status/722752187445555205","722752187445555205")</f>
        <v>722752187445555205</v>
      </c>
      <c r="F1677" s="11" t="s">
        <v>115</v>
      </c>
      <c r="G1677" s="11">
        <v>403</v>
      </c>
      <c r="H1677" s="11">
        <v>541</v>
      </c>
      <c r="I1677" s="11">
        <v>0</v>
      </c>
      <c r="J1677" s="11">
        <v>0</v>
      </c>
      <c r="K1677" s="11" t="s">
        <v>21</v>
      </c>
      <c r="L1677" s="7">
        <v>42153.955763888887</v>
      </c>
      <c r="M1677" s="12"/>
      <c r="N1677" s="12" t="s">
        <v>782</v>
      </c>
      <c r="O1677" s="10" t="str">
        <f>HYPERLINK("https://pbs.twimg.com/profile_images/604338428227010560/6jzSa8us_normal.png","View")</f>
        <v>View</v>
      </c>
      <c r="P1677" s="11"/>
    </row>
    <row r="1678" spans="1:16" ht="12.75" x14ac:dyDescent="0.35">
      <c r="A1678" s="7">
        <v>42480.71739583333</v>
      </c>
      <c r="B1678" s="8" t="str">
        <f>HYPERLINK("https://twitter.com/prxagentur","@prxagentur")</f>
        <v>@prxagentur</v>
      </c>
      <c r="C1678" s="9" t="s">
        <v>1753</v>
      </c>
      <c r="D1678" s="9" t="s">
        <v>3168</v>
      </c>
      <c r="E1678" s="10" t="str">
        <f>HYPERLINK("https://twitter.com/prxagentur/status/722752436671094785","722752436671094785")</f>
        <v>722752436671094785</v>
      </c>
      <c r="F1678" s="11" t="s">
        <v>25</v>
      </c>
      <c r="G1678" s="11">
        <v>196</v>
      </c>
      <c r="H1678" s="11">
        <v>374</v>
      </c>
      <c r="I1678" s="11">
        <v>0</v>
      </c>
      <c r="J1678" s="11">
        <v>0</v>
      </c>
      <c r="K1678" s="11" t="s">
        <v>21</v>
      </c>
      <c r="L1678" s="7">
        <v>42128.001620370371</v>
      </c>
      <c r="M1678" s="12"/>
      <c r="N1678" s="12"/>
      <c r="O1678" s="10" t="str">
        <f>HYPERLINK("https://pbs.twimg.com/profile_images/594934750122536960/nG4kmfDF_normal.jpg","View")</f>
        <v>View</v>
      </c>
      <c r="P1678" s="11"/>
    </row>
    <row r="1679" spans="1:16" ht="12.75" x14ac:dyDescent="0.35">
      <c r="A1679" s="7">
        <v>42480.717916666668</v>
      </c>
      <c r="B1679" s="8" t="str">
        <f>HYPERLINK("https://twitter.com/NeleReimers","@NeleReimers")</f>
        <v>@NeleReimers</v>
      </c>
      <c r="C1679" s="9" t="s">
        <v>67</v>
      </c>
      <c r="D1679" s="9" t="s">
        <v>3169</v>
      </c>
      <c r="E1679" s="10" t="str">
        <f>HYPERLINK("https://twitter.com/NeleReimers/status/722752625037287425","722752625037287425")</f>
        <v>722752625037287425</v>
      </c>
      <c r="F1679" s="11" t="s">
        <v>25</v>
      </c>
      <c r="G1679" s="11">
        <v>244</v>
      </c>
      <c r="H1679" s="11">
        <v>270</v>
      </c>
      <c r="I1679" s="11">
        <v>0</v>
      </c>
      <c r="J1679" s="11">
        <v>0</v>
      </c>
      <c r="K1679" s="11" t="s">
        <v>21</v>
      </c>
      <c r="L1679" s="7">
        <v>41088.684537037036</v>
      </c>
      <c r="M1679" s="12"/>
      <c r="N1679" s="12" t="s">
        <v>69</v>
      </c>
      <c r="O1679" s="10" t="str">
        <f>HYPERLINK("https://pbs.twimg.com/profile_images/667689986276392960/lHQvEvuO_normal.jpg","View")</f>
        <v>View</v>
      </c>
      <c r="P1679" s="11"/>
    </row>
    <row r="1680" spans="1:16" ht="12.75" x14ac:dyDescent="0.35">
      <c r="A1680" s="7">
        <v>42480.718263888892</v>
      </c>
      <c r="B1680" s="8" t="str">
        <f>HYPERLINK("https://twitter.com/MagazinoGmbH","@MagazinoGmbH")</f>
        <v>@MagazinoGmbH</v>
      </c>
      <c r="C1680" s="9" t="s">
        <v>3170</v>
      </c>
      <c r="D1680" s="9" t="s">
        <v>3171</v>
      </c>
      <c r="E1680" s="10" t="str">
        <f>HYPERLINK("https://twitter.com/MagazinoGmbH/status/722752750312775680","722752750312775680")</f>
        <v>722752750312775680</v>
      </c>
      <c r="F1680" s="11" t="s">
        <v>25</v>
      </c>
      <c r="G1680" s="11">
        <v>85</v>
      </c>
      <c r="H1680" s="11">
        <v>99</v>
      </c>
      <c r="I1680" s="11">
        <v>0</v>
      </c>
      <c r="J1680" s="11">
        <v>0</v>
      </c>
      <c r="K1680" s="11" t="s">
        <v>21</v>
      </c>
      <c r="L1680" s="7">
        <v>42251.830879629633</v>
      </c>
      <c r="M1680" s="12" t="s">
        <v>440</v>
      </c>
      <c r="N1680" s="12" t="s">
        <v>3172</v>
      </c>
      <c r="O1680" s="10" t="str">
        <f>HYPERLINK("https://pbs.twimg.com/profile_images/639810095942115329/xJWUw6Wr_normal.jpg","View")</f>
        <v>View</v>
      </c>
      <c r="P1680" s="11"/>
    </row>
    <row r="1681" spans="1:16" ht="12.75" x14ac:dyDescent="0.35">
      <c r="A1681" s="7">
        <v>42480.720983796295</v>
      </c>
      <c r="B1681" s="8" t="str">
        <f>HYPERLINK("https://twitter.com/HolgerPaul66","@HolgerPaul66")</f>
        <v>@HolgerPaul66</v>
      </c>
      <c r="C1681" s="9" t="s">
        <v>596</v>
      </c>
      <c r="D1681" s="9" t="s">
        <v>2800</v>
      </c>
      <c r="E1681" s="10" t="str">
        <f>HYPERLINK("https://twitter.com/HolgerPaul66/status/722753738050572289","722753738050572289")</f>
        <v>722753738050572289</v>
      </c>
      <c r="F1681" s="11" t="s">
        <v>31</v>
      </c>
      <c r="G1681" s="11">
        <v>78</v>
      </c>
      <c r="H1681" s="11">
        <v>76</v>
      </c>
      <c r="I1681" s="11">
        <v>4</v>
      </c>
      <c r="J1681" s="11">
        <v>0</v>
      </c>
      <c r="K1681" s="11" t="s">
        <v>21</v>
      </c>
      <c r="L1681" s="7">
        <v>41917.765775462962</v>
      </c>
      <c r="M1681" s="12"/>
      <c r="N1681" s="12"/>
      <c r="O1681" s="10" t="str">
        <f>HYPERLINK("https://pbs.twimg.com/profile_images/525998513264410624/ZHDocuJo_normal.jpeg","View")</f>
        <v>View</v>
      </c>
      <c r="P1681" s="11"/>
    </row>
    <row r="1682" spans="1:16" ht="12.75" x14ac:dyDescent="0.35">
      <c r="A1682" s="7">
        <v>42480.721388888887</v>
      </c>
      <c r="B1682" s="8" t="str">
        <f>HYPERLINK("https://twitter.com/mGuardcom","@mGuardcom")</f>
        <v>@mGuardcom</v>
      </c>
      <c r="C1682" s="9" t="s">
        <v>3173</v>
      </c>
      <c r="D1682" s="9" t="s">
        <v>3174</v>
      </c>
      <c r="E1682" s="10" t="str">
        <f>HYPERLINK("https://twitter.com/mGuardcom/status/722753881441087489","722753881441087489")</f>
        <v>722753881441087489</v>
      </c>
      <c r="F1682" s="11" t="s">
        <v>25</v>
      </c>
      <c r="G1682" s="11">
        <v>595</v>
      </c>
      <c r="H1682" s="11">
        <v>384</v>
      </c>
      <c r="I1682" s="11">
        <v>1</v>
      </c>
      <c r="J1682" s="11">
        <v>1</v>
      </c>
      <c r="K1682" s="11" t="s">
        <v>21</v>
      </c>
      <c r="L1682" s="7">
        <v>41135.781319444446</v>
      </c>
      <c r="M1682" s="12"/>
      <c r="N1682" s="12" t="s">
        <v>3175</v>
      </c>
      <c r="O1682" s="10" t="str">
        <f>HYPERLINK("https://pbs.twimg.com/profile_images/689452604405915648/JJBs_QZV_normal.jpg","View")</f>
        <v>View</v>
      </c>
      <c r="P1682" s="11"/>
    </row>
    <row r="1683" spans="1:16" ht="12.75" x14ac:dyDescent="0.35">
      <c r="A1683" s="7">
        <v>42480.723113425927</v>
      </c>
      <c r="B1683" s="8" t="str">
        <f>HYPERLINK("https://twitter.com/konsultwerk","@konsultwerk")</f>
        <v>@konsultwerk</v>
      </c>
      <c r="C1683" s="9" t="s">
        <v>3176</v>
      </c>
      <c r="D1683" s="9" t="s">
        <v>3177</v>
      </c>
      <c r="E1683" s="10" t="str">
        <f>HYPERLINK("https://twitter.com/konsultwerk/status/722754510054039553","722754510054039553")</f>
        <v>722754510054039553</v>
      </c>
      <c r="F1683" s="11" t="s">
        <v>25</v>
      </c>
      <c r="G1683" s="11">
        <v>36</v>
      </c>
      <c r="H1683" s="11">
        <v>60</v>
      </c>
      <c r="I1683" s="11">
        <v>0</v>
      </c>
      <c r="J1683" s="11">
        <v>0</v>
      </c>
      <c r="K1683" s="11" t="s">
        <v>21</v>
      </c>
      <c r="L1683" s="7">
        <v>39979.91646990741</v>
      </c>
      <c r="M1683" s="12" t="s">
        <v>1148</v>
      </c>
      <c r="N1683" s="12" t="s">
        <v>3178</v>
      </c>
      <c r="O1683" s="10" t="str">
        <f>HYPERLINK("https://pbs.twimg.com/profile_images/1539645084/FB-KWlogo.004_normal.png","View")</f>
        <v>View</v>
      </c>
      <c r="P1683" s="11"/>
    </row>
    <row r="1684" spans="1:16" ht="12.75" x14ac:dyDescent="0.35">
      <c r="A1684" s="7">
        <v>42480.72347222222</v>
      </c>
      <c r="B1684" s="8" t="str">
        <f>HYPERLINK("https://twitter.com/AGiesenNRW","@AGiesenNRW")</f>
        <v>@AGiesenNRW</v>
      </c>
      <c r="C1684" s="9" t="s">
        <v>3084</v>
      </c>
      <c r="D1684" s="9" t="s">
        <v>2777</v>
      </c>
      <c r="E1684" s="10" t="str">
        <f>HYPERLINK("https://twitter.com/AGiesenNRW/status/722754637133008896","722754637133008896")</f>
        <v>722754637133008896</v>
      </c>
      <c r="F1684" s="11" t="s">
        <v>25</v>
      </c>
      <c r="G1684" s="11">
        <v>1024</v>
      </c>
      <c r="H1684" s="11">
        <v>318</v>
      </c>
      <c r="I1684" s="11">
        <v>4</v>
      </c>
      <c r="J1684" s="11">
        <v>0</v>
      </c>
      <c r="K1684" s="11" t="s">
        <v>21</v>
      </c>
      <c r="L1684" s="7">
        <v>41972.180439814816</v>
      </c>
      <c r="M1684" s="12" t="s">
        <v>3086</v>
      </c>
      <c r="N1684" s="12" t="s">
        <v>3087</v>
      </c>
      <c r="O1684" s="10" t="str">
        <f>HYPERLINK("https://pbs.twimg.com/profile_images/687630441893900288/RvOaRxIg_normal.jpg","View")</f>
        <v>View</v>
      </c>
      <c r="P1684" s="11"/>
    </row>
    <row r="1685" spans="1:16" ht="12.75" x14ac:dyDescent="0.35">
      <c r="A1685" s="7">
        <v>42480.724375000005</v>
      </c>
      <c r="B1685" s="8" t="str">
        <f>HYPERLINK("https://twitter.com/NeleReimers","@NeleReimers")</f>
        <v>@NeleReimers</v>
      </c>
      <c r="C1685" s="9" t="s">
        <v>67</v>
      </c>
      <c r="D1685" s="9" t="s">
        <v>3179</v>
      </c>
      <c r="E1685" s="10" t="str">
        <f>HYPERLINK("https://twitter.com/NeleReimers/status/722754966704619522","722754966704619522")</f>
        <v>722754966704619522</v>
      </c>
      <c r="F1685" s="11" t="s">
        <v>25</v>
      </c>
      <c r="G1685" s="11">
        <v>244</v>
      </c>
      <c r="H1685" s="11">
        <v>270</v>
      </c>
      <c r="I1685" s="11">
        <v>8</v>
      </c>
      <c r="J1685" s="11">
        <v>4</v>
      </c>
      <c r="K1685" s="11" t="s">
        <v>21</v>
      </c>
      <c r="L1685" s="7">
        <v>41088.684537037036</v>
      </c>
      <c r="M1685" s="12"/>
      <c r="N1685" s="12" t="s">
        <v>69</v>
      </c>
      <c r="O1685" s="10" t="str">
        <f>HYPERLINK("https://pbs.twimg.com/profile_images/667689986276392960/lHQvEvuO_normal.jpg","View")</f>
        <v>View</v>
      </c>
      <c r="P1685" s="11"/>
    </row>
    <row r="1686" spans="1:16" ht="12.75" x14ac:dyDescent="0.35">
      <c r="A1686" s="7">
        <v>42480.724606481483</v>
      </c>
      <c r="B1686" s="8" t="str">
        <f>HYPERLINK("https://twitter.com/sepemindustries","@sepemindustries")</f>
        <v>@sepemindustries</v>
      </c>
      <c r="C1686" s="9" t="s">
        <v>3180</v>
      </c>
      <c r="D1686" s="9" t="s">
        <v>1539</v>
      </c>
      <c r="E1686" s="10" t="str">
        <f>HYPERLINK("https://twitter.com/sepemindustries/status/722755048011239427","722755048011239427")</f>
        <v>722755048011239427</v>
      </c>
      <c r="F1686" s="11" t="s">
        <v>25</v>
      </c>
      <c r="G1686" s="11">
        <v>1171</v>
      </c>
      <c r="H1686" s="11">
        <v>2001</v>
      </c>
      <c r="I1686" s="11">
        <v>2</v>
      </c>
      <c r="J1686" s="11">
        <v>0</v>
      </c>
      <c r="K1686" s="11" t="s">
        <v>21</v>
      </c>
      <c r="L1686" s="7">
        <v>40791.789884259255</v>
      </c>
      <c r="M1686" s="12" t="s">
        <v>88</v>
      </c>
      <c r="N1686" s="12" t="s">
        <v>3181</v>
      </c>
      <c r="O1686" s="10" t="str">
        <f>HYPERLINK("https://pbs.twimg.com/profile_images/552062940782686209/2IlN5g_v_normal.jpeg","View")</f>
        <v>View</v>
      </c>
      <c r="P1686" s="11"/>
    </row>
    <row r="1687" spans="1:16" ht="12.75" x14ac:dyDescent="0.35">
      <c r="A1687" s="7">
        <v>42480.724629629629</v>
      </c>
      <c r="B1687" s="8" t="str">
        <f>HYPERLINK("https://twitter.com/PMBG_biz","@PMBG_biz")</f>
        <v>@PMBG_biz</v>
      </c>
      <c r="C1687" s="9" t="s">
        <v>3182</v>
      </c>
      <c r="D1687" s="9" t="s">
        <v>3158</v>
      </c>
      <c r="E1687" s="10" t="str">
        <f>HYPERLINK("https://twitter.com/PMBG_biz/status/722755057544990720","722755057544990720")</f>
        <v>722755057544990720</v>
      </c>
      <c r="F1687" s="11" t="s">
        <v>31</v>
      </c>
      <c r="G1687" s="11">
        <v>61</v>
      </c>
      <c r="H1687" s="11">
        <v>164</v>
      </c>
      <c r="I1687" s="11">
        <v>9</v>
      </c>
      <c r="J1687" s="11">
        <v>0</v>
      </c>
      <c r="K1687" s="11" t="s">
        <v>21</v>
      </c>
      <c r="L1687" s="7">
        <v>41894.084629629629</v>
      </c>
      <c r="M1687" s="12" t="s">
        <v>3183</v>
      </c>
      <c r="N1687" s="12" t="s">
        <v>3184</v>
      </c>
      <c r="O1687" s="10" t="str">
        <f>HYPERLINK("https://pbs.twimg.com/profile_images/510362027852709889/YhyF73uq_normal.jpeg","View")</f>
        <v>View</v>
      </c>
      <c r="P1687" s="11"/>
    </row>
    <row r="1688" spans="1:16" ht="12.75" x14ac:dyDescent="0.35">
      <c r="A1688" s="7">
        <v>42480.729942129634</v>
      </c>
      <c r="B1688" s="8" t="str">
        <f>HYPERLINK("https://twitter.com/GenRob_Deutsch","@GenRob_Deutsch")</f>
        <v>@GenRob_Deutsch</v>
      </c>
      <c r="C1688" s="9" t="s">
        <v>3185</v>
      </c>
      <c r="D1688" s="9" t="s">
        <v>1803</v>
      </c>
      <c r="E1688" s="10" t="str">
        <f>HYPERLINK("https://twitter.com/GenRob_Deutsch/status/722756982248058881","722756982248058881")</f>
        <v>722756982248058881</v>
      </c>
      <c r="F1688" s="11" t="s">
        <v>25</v>
      </c>
      <c r="G1688" s="11">
        <v>104</v>
      </c>
      <c r="H1688" s="11">
        <v>238</v>
      </c>
      <c r="I1688" s="11">
        <v>11</v>
      </c>
      <c r="J1688" s="11">
        <v>0</v>
      </c>
      <c r="K1688" s="11" t="s">
        <v>21</v>
      </c>
      <c r="L1688" s="7">
        <v>41962.624074074076</v>
      </c>
      <c r="M1688" s="12" t="s">
        <v>88</v>
      </c>
      <c r="N1688" s="12" t="s">
        <v>3186</v>
      </c>
      <c r="O1688" s="10" t="str">
        <f>HYPERLINK("https://pbs.twimg.com/profile_images/535016038396461058/q8XuQHUG_normal.png","View")</f>
        <v>View</v>
      </c>
      <c r="P1688" s="11"/>
    </row>
    <row r="1689" spans="1:16" ht="12.75" x14ac:dyDescent="0.35">
      <c r="A1689" s="7">
        <v>42480.731099537035</v>
      </c>
      <c r="B1689" s="8" t="str">
        <f>HYPERLINK("https://twitter.com/MSFT_Politik","@MSFT_Politik")</f>
        <v>@MSFT_Politik</v>
      </c>
      <c r="C1689" s="9" t="s">
        <v>3187</v>
      </c>
      <c r="D1689" s="9" t="s">
        <v>3188</v>
      </c>
      <c r="E1689" s="10" t="str">
        <f>HYPERLINK("https://twitter.com/MSFT_Politik/status/722757403695927296","722757403695927296")</f>
        <v>722757403695927296</v>
      </c>
      <c r="F1689" s="11" t="s">
        <v>25</v>
      </c>
      <c r="G1689" s="11">
        <v>1226</v>
      </c>
      <c r="H1689" s="11">
        <v>868</v>
      </c>
      <c r="I1689" s="11">
        <v>0</v>
      </c>
      <c r="J1689" s="11">
        <v>0</v>
      </c>
      <c r="K1689" s="11" t="s">
        <v>21</v>
      </c>
      <c r="L1689" s="7">
        <v>40339.595752314817</v>
      </c>
      <c r="M1689" s="12" t="s">
        <v>218</v>
      </c>
      <c r="N1689" s="12" t="s">
        <v>3189</v>
      </c>
      <c r="O1689" s="10" t="str">
        <f>HYPERLINK("https://pbs.twimg.com/profile_images/423815982579085313/XVdEl1vG_normal.png","View")</f>
        <v>View</v>
      </c>
      <c r="P1689" s="11"/>
    </row>
    <row r="1690" spans="1:16" ht="12.75" x14ac:dyDescent="0.35">
      <c r="A1690" s="7">
        <v>42480.73201388889</v>
      </c>
      <c r="B1690" s="8" t="str">
        <f>HYPERLINK("https://twitter.com/ke_NEXT","@ke_NEXT")</f>
        <v>@ke_NEXT</v>
      </c>
      <c r="C1690" s="9" t="s">
        <v>2205</v>
      </c>
      <c r="D1690" s="9" t="s">
        <v>3190</v>
      </c>
      <c r="E1690" s="10" t="str">
        <f>HYPERLINK("https://twitter.com/ke_NEXT/status/722757733527629825","722757733527629825")</f>
        <v>722757733527629825</v>
      </c>
      <c r="F1690" s="11" t="s">
        <v>115</v>
      </c>
      <c r="G1690" s="11">
        <v>657</v>
      </c>
      <c r="H1690" s="11">
        <v>284</v>
      </c>
      <c r="I1690" s="11">
        <v>0</v>
      </c>
      <c r="J1690" s="11">
        <v>0</v>
      </c>
      <c r="K1690" s="11" t="s">
        <v>21</v>
      </c>
      <c r="L1690" s="7">
        <v>41442.736574074072</v>
      </c>
      <c r="M1690" s="12" t="s">
        <v>2207</v>
      </c>
      <c r="N1690" s="12" t="s">
        <v>2208</v>
      </c>
      <c r="O1690" s="10" t="str">
        <f>HYPERLINK("https://pbs.twimg.com/profile_images/672314625904541696/nkjpjIHy_normal.png","View")</f>
        <v>View</v>
      </c>
      <c r="P1690" s="11"/>
    </row>
    <row r="1691" spans="1:16" ht="12.75" x14ac:dyDescent="0.35">
      <c r="A1691" s="7">
        <v>42480.732534722221</v>
      </c>
      <c r="B1691" s="8" t="str">
        <f>HYPERLINK("https://twitter.com/Global_Fairs","@Global_Fairs")</f>
        <v>@Global_Fairs</v>
      </c>
      <c r="C1691" s="9" t="s">
        <v>533</v>
      </c>
      <c r="D1691" s="9" t="s">
        <v>3191</v>
      </c>
      <c r="E1691" s="10" t="str">
        <f>HYPERLINK("https://twitter.com/Global_Fairs/status/722757923701698560","722757923701698560")</f>
        <v>722757923701698560</v>
      </c>
      <c r="F1691" s="11" t="s">
        <v>25</v>
      </c>
      <c r="G1691" s="11">
        <v>358</v>
      </c>
      <c r="H1691" s="11">
        <v>674</v>
      </c>
      <c r="I1691" s="11">
        <v>1</v>
      </c>
      <c r="J1691" s="11">
        <v>0</v>
      </c>
      <c r="K1691" s="11" t="s">
        <v>21</v>
      </c>
      <c r="L1691" s="7">
        <v>41691.790775462963</v>
      </c>
      <c r="M1691" s="12" t="s">
        <v>243</v>
      </c>
      <c r="N1691" s="12" t="s">
        <v>534</v>
      </c>
      <c r="O1691" s="10" t="str">
        <f>HYPERLINK("https://pbs.twimg.com/profile_images/694530943139315712/TQHmYxMT_normal.png","View")</f>
        <v>View</v>
      </c>
      <c r="P1691" s="11"/>
    </row>
    <row r="1692" spans="1:16" ht="12.75" x14ac:dyDescent="0.35">
      <c r="A1692" s="7">
        <v>42480.736215277779</v>
      </c>
      <c r="B1692" s="8" t="str">
        <f>HYPERLINK("https://twitter.com/packagingJ","@packagingJ")</f>
        <v>@packagingJ</v>
      </c>
      <c r="C1692" s="9" t="s">
        <v>3192</v>
      </c>
      <c r="D1692" s="9" t="s">
        <v>2947</v>
      </c>
      <c r="E1692" s="10" t="str">
        <f>HYPERLINK("https://twitter.com/packagingJ/status/722759256831700993","722759256831700993")</f>
        <v>722759256831700993</v>
      </c>
      <c r="F1692" s="11" t="s">
        <v>25</v>
      </c>
      <c r="G1692" s="11">
        <v>313</v>
      </c>
      <c r="H1692" s="11">
        <v>231</v>
      </c>
      <c r="I1692" s="11">
        <v>21</v>
      </c>
      <c r="J1692" s="11">
        <v>0</v>
      </c>
      <c r="K1692" s="11" t="s">
        <v>21</v>
      </c>
      <c r="L1692" s="7">
        <v>41051.756550925929</v>
      </c>
      <c r="M1692" s="12" t="s">
        <v>895</v>
      </c>
      <c r="N1692" s="12"/>
      <c r="O1692" s="10" t="str">
        <f>HYPERLINK("https://pbs.twimg.com/profile_images/2240680734/pj-logo1_normal.png","View")</f>
        <v>View</v>
      </c>
      <c r="P1692" s="11"/>
    </row>
    <row r="1693" spans="1:16" ht="12.75" x14ac:dyDescent="0.35">
      <c r="A1693" s="7">
        <v>42480.737280092595</v>
      </c>
      <c r="B1693" s="8" t="str">
        <f>HYPERLINK("https://twitter.com/Alex_Franke","@Alex_Franke")</f>
        <v>@Alex_Franke</v>
      </c>
      <c r="C1693" s="9" t="s">
        <v>3193</v>
      </c>
      <c r="D1693" s="9" t="s">
        <v>3194</v>
      </c>
      <c r="E1693" s="10" t="str">
        <f>HYPERLINK("https://twitter.com/Alex_Franke/status/722759641571160064","722759641571160064")</f>
        <v>722759641571160064</v>
      </c>
      <c r="F1693" s="11" t="s">
        <v>31</v>
      </c>
      <c r="G1693" s="11">
        <v>519</v>
      </c>
      <c r="H1693" s="11">
        <v>485</v>
      </c>
      <c r="I1693" s="11">
        <v>1</v>
      </c>
      <c r="J1693" s="11">
        <v>0</v>
      </c>
      <c r="K1693" s="11" t="s">
        <v>21</v>
      </c>
      <c r="L1693" s="7">
        <v>39745.61446759259</v>
      </c>
      <c r="M1693" s="12" t="s">
        <v>3195</v>
      </c>
      <c r="N1693" s="12" t="s">
        <v>3196</v>
      </c>
      <c r="O1693" s="10" t="str">
        <f>HYPERLINK("https://pbs.twimg.com/profile_images/521370977452953600/VBj1GUOy_normal.jpeg","View")</f>
        <v>View</v>
      </c>
      <c r="P1693" s="11"/>
    </row>
    <row r="1694" spans="1:16" ht="12.75" x14ac:dyDescent="0.35">
      <c r="A1694" s="7">
        <v>42480.737523148149</v>
      </c>
      <c r="B1694" s="8" t="str">
        <f>HYPERLINK("https://twitter.com/QuickFindsIn","@QuickFindsIn")</f>
        <v>@QuickFindsIn</v>
      </c>
      <c r="C1694" s="9" t="s">
        <v>208</v>
      </c>
      <c r="D1694" s="9" t="s">
        <v>733</v>
      </c>
      <c r="E1694" s="10" t="str">
        <f>HYPERLINK("https://twitter.com/QuickFindsIn/status/722759728305033219","722759728305033219")</f>
        <v>722759728305033219</v>
      </c>
      <c r="F1694" s="11" t="s">
        <v>210</v>
      </c>
      <c r="G1694" s="11">
        <v>1895</v>
      </c>
      <c r="H1694" s="11">
        <v>2758</v>
      </c>
      <c r="I1694" s="11">
        <v>0</v>
      </c>
      <c r="J1694" s="11">
        <v>0</v>
      </c>
      <c r="K1694" s="11" t="s">
        <v>21</v>
      </c>
      <c r="L1694" s="7">
        <v>42069.582048611112</v>
      </c>
      <c r="M1694" s="12" t="s">
        <v>211</v>
      </c>
      <c r="N1694" s="12" t="s">
        <v>212</v>
      </c>
      <c r="O1694" s="10" t="str">
        <f>HYPERLINK("https://pbs.twimg.com/profile_images/591951396217327616/HbcCX2zX_normal.png","View")</f>
        <v>View</v>
      </c>
      <c r="P1694" s="11"/>
    </row>
    <row r="1695" spans="1:16" ht="12.75" x14ac:dyDescent="0.35">
      <c r="A1695" s="7">
        <v>42480.737766203703</v>
      </c>
      <c r="B1695" s="8" t="str">
        <f>HYPERLINK("https://twitter.com/DAE_Blogger","@DAE_Blogger")</f>
        <v>@DAE_Blogger</v>
      </c>
      <c r="C1695" s="9" t="s">
        <v>3197</v>
      </c>
      <c r="D1695" s="9" t="s">
        <v>2965</v>
      </c>
      <c r="E1695" s="10" t="str">
        <f>HYPERLINK("https://twitter.com/DAE_Blogger/status/722759818612576257","722759818612576257")</f>
        <v>722759818612576257</v>
      </c>
      <c r="F1695" s="11" t="s">
        <v>25</v>
      </c>
      <c r="G1695" s="11">
        <v>345</v>
      </c>
      <c r="H1695" s="11">
        <v>330</v>
      </c>
      <c r="I1695" s="11">
        <v>12</v>
      </c>
      <c r="J1695" s="11">
        <v>0</v>
      </c>
      <c r="K1695" s="11" t="s">
        <v>21</v>
      </c>
      <c r="L1695" s="7">
        <v>42235.968425925923</v>
      </c>
      <c r="M1695" s="12" t="s">
        <v>3198</v>
      </c>
      <c r="N1695" s="12" t="s">
        <v>3199</v>
      </c>
      <c r="O1695" s="10" t="str">
        <f>HYPERLINK("https://pbs.twimg.com/profile_images/634064433971625984/Nk5HNqCE_normal.jpg","View")</f>
        <v>View</v>
      </c>
      <c r="P1695" s="11"/>
    </row>
    <row r="1696" spans="1:16" ht="12.75" x14ac:dyDescent="0.35">
      <c r="A1696" s="7">
        <v>42480.737870370373</v>
      </c>
      <c r="B1696" s="8" t="str">
        <f>HYPERLINK("https://twitter.com/ahk_frankreich","@ahk_frankreich")</f>
        <v>@ahk_frankreich</v>
      </c>
      <c r="C1696" s="9" t="s">
        <v>918</v>
      </c>
      <c r="D1696" s="9" t="s">
        <v>3200</v>
      </c>
      <c r="E1696" s="10" t="str">
        <f>HYPERLINK("https://twitter.com/ahk_frankreich/status/722759856566853633","722759856566853633")</f>
        <v>722759856566853633</v>
      </c>
      <c r="F1696" s="11" t="s">
        <v>25</v>
      </c>
      <c r="G1696" s="11">
        <v>520</v>
      </c>
      <c r="H1696" s="11">
        <v>350</v>
      </c>
      <c r="I1696" s="11">
        <v>0</v>
      </c>
      <c r="J1696" s="11">
        <v>1</v>
      </c>
      <c r="K1696" s="11" t="s">
        <v>21</v>
      </c>
      <c r="L1696" s="7">
        <v>41203.377638888887</v>
      </c>
      <c r="M1696" s="12" t="s">
        <v>920</v>
      </c>
      <c r="N1696" s="12" t="s">
        <v>921</v>
      </c>
      <c r="O1696" s="10" t="str">
        <f>HYPERLINK("https://pbs.twimg.com/profile_images/672343322632024064/4z8q3pp4_normal.jpg","View")</f>
        <v>View</v>
      </c>
      <c r="P1696" s="11"/>
    </row>
    <row r="1697" spans="1:16" ht="12.75" x14ac:dyDescent="0.35">
      <c r="A1697" s="7">
        <v>42480.737870370373</v>
      </c>
      <c r="B1697" s="8" t="str">
        <f>HYPERLINK("https://twitter.com/IoTMinded","@IoTMinded")</f>
        <v>@IoTMinded</v>
      </c>
      <c r="C1697" s="9" t="s">
        <v>435</v>
      </c>
      <c r="D1697" s="9" t="s">
        <v>3201</v>
      </c>
      <c r="E1697" s="10" t="str">
        <f>HYPERLINK("https://twitter.com/IoTMinded/status/722759857351344128","722759857351344128")</f>
        <v>722759857351344128</v>
      </c>
      <c r="F1697" s="11" t="s">
        <v>437</v>
      </c>
      <c r="G1697" s="11">
        <v>1102</v>
      </c>
      <c r="H1697" s="11">
        <v>656</v>
      </c>
      <c r="I1697" s="11">
        <v>8</v>
      </c>
      <c r="J1697" s="11">
        <v>0</v>
      </c>
      <c r="K1697" s="11" t="s">
        <v>21</v>
      </c>
      <c r="L1697" s="7">
        <v>40085.127789351856</v>
      </c>
      <c r="M1697" s="12"/>
      <c r="N1697" s="12" t="s">
        <v>438</v>
      </c>
      <c r="O1697" s="10" t="str">
        <f>HYPERLINK("https://pbs.twimg.com/profile_images/603699032804859904/lb5IMG5x_normal.jpg","View")</f>
        <v>View</v>
      </c>
      <c r="P1697" s="11"/>
    </row>
    <row r="1698" spans="1:16" ht="12.75" x14ac:dyDescent="0.35">
      <c r="A1698" s="7">
        <v>42480.739745370374</v>
      </c>
      <c r="B1698" s="8" t="str">
        <f>HYPERLINK("https://twitter.com/MEArbeitgeber","@MEArbeitgeber")</f>
        <v>@MEArbeitgeber</v>
      </c>
      <c r="C1698" s="9" t="s">
        <v>873</v>
      </c>
      <c r="D1698" s="9" t="s">
        <v>3202</v>
      </c>
      <c r="E1698" s="10" t="str">
        <f>HYPERLINK("https://twitter.com/MEArbeitgeber/status/722760534899236866","722760534899236866")</f>
        <v>722760534899236866</v>
      </c>
      <c r="F1698" s="11" t="s">
        <v>39</v>
      </c>
      <c r="G1698" s="11">
        <v>2496</v>
      </c>
      <c r="H1698" s="11">
        <v>1025</v>
      </c>
      <c r="I1698" s="11">
        <v>0</v>
      </c>
      <c r="J1698" s="11">
        <v>1</v>
      </c>
      <c r="K1698" s="11" t="s">
        <v>21</v>
      </c>
      <c r="L1698" s="7">
        <v>39905.720543981479</v>
      </c>
      <c r="M1698" s="12" t="s">
        <v>875</v>
      </c>
      <c r="N1698" s="12" t="s">
        <v>876</v>
      </c>
      <c r="O1698" s="10" t="str">
        <f>HYPERLINK("https://pbs.twimg.com/profile_images/572722352144666624/2G6VnJJx_normal.jpeg","View")</f>
        <v>View</v>
      </c>
      <c r="P1698" s="11"/>
    </row>
    <row r="1699" spans="1:16" ht="12.75" x14ac:dyDescent="0.35">
      <c r="A1699" s="7">
        <v>42480.739745370374</v>
      </c>
      <c r="B1699" s="8" t="str">
        <f>HYPERLINK("https://twitter.com/Gesamtmetall","@Gesamtmetall")</f>
        <v>@Gesamtmetall</v>
      </c>
      <c r="C1699" s="9" t="s">
        <v>877</v>
      </c>
      <c r="D1699" s="9" t="s">
        <v>3203</v>
      </c>
      <c r="E1699" s="10" t="str">
        <f>HYPERLINK("https://twitter.com/Gesamtmetall/status/722760535847124992","722760535847124992")</f>
        <v>722760535847124992</v>
      </c>
      <c r="F1699" s="11" t="s">
        <v>39</v>
      </c>
      <c r="G1699" s="11">
        <v>1457</v>
      </c>
      <c r="H1699" s="11">
        <v>283</v>
      </c>
      <c r="I1699" s="11">
        <v>1</v>
      </c>
      <c r="J1699" s="11">
        <v>1</v>
      </c>
      <c r="K1699" s="11" t="s">
        <v>21</v>
      </c>
      <c r="L1699" s="7">
        <v>39946.496504629627</v>
      </c>
      <c r="M1699" s="12" t="s">
        <v>218</v>
      </c>
      <c r="N1699" s="12" t="s">
        <v>879</v>
      </c>
      <c r="O1699" s="10" t="str">
        <f>HYPERLINK("https://pbs.twimg.com/profile_images/572721926804488192/AGAGHTgy_normal.jpeg","View")</f>
        <v>View</v>
      </c>
      <c r="P1699" s="11"/>
    </row>
    <row r="1700" spans="1:16" ht="12.75" x14ac:dyDescent="0.35">
      <c r="A1700" s="7">
        <v>42480.74083333333</v>
      </c>
      <c r="B1700" s="8" t="str">
        <f>HYPERLINK("https://twitter.com/RolandBent","@RolandBent")</f>
        <v>@RolandBent</v>
      </c>
      <c r="C1700" s="9" t="s">
        <v>1272</v>
      </c>
      <c r="D1700" s="9" t="s">
        <v>3158</v>
      </c>
      <c r="E1700" s="10" t="str">
        <f>HYPERLINK("https://twitter.com/RolandBent/status/722760929159573504","722760929159573504")</f>
        <v>722760929159573504</v>
      </c>
      <c r="F1700" s="11" t="s">
        <v>31</v>
      </c>
      <c r="G1700" s="11">
        <v>503</v>
      </c>
      <c r="H1700" s="11">
        <v>235</v>
      </c>
      <c r="I1700" s="11">
        <v>9</v>
      </c>
      <c r="J1700" s="11">
        <v>0</v>
      </c>
      <c r="K1700" s="11" t="s">
        <v>21</v>
      </c>
      <c r="L1700" s="7">
        <v>41733.564432870371</v>
      </c>
      <c r="M1700" s="12" t="s">
        <v>1273</v>
      </c>
      <c r="N1700" s="12" t="s">
        <v>1274</v>
      </c>
      <c r="O1700" s="10" t="str">
        <f>HYPERLINK("https://pbs.twimg.com/profile_images/451994816889360385/SYPpc3iI_normal.jpeg","View")</f>
        <v>View</v>
      </c>
      <c r="P1700" s="11"/>
    </row>
    <row r="1701" spans="1:16" ht="12.75" x14ac:dyDescent="0.35">
      <c r="A1701" s="7">
        <v>42480.742326388892</v>
      </c>
      <c r="B1701" s="8" t="str">
        <f>HYPERLINK("https://twitter.com/ahk_frankreich","@ahk_frankreich")</f>
        <v>@ahk_frankreich</v>
      </c>
      <c r="C1701" s="9" t="s">
        <v>918</v>
      </c>
      <c r="D1701" s="9" t="s">
        <v>3204</v>
      </c>
      <c r="E1701" s="10" t="str">
        <f>HYPERLINK("https://twitter.com/ahk_frankreich/status/722761471625547776","722761471625547776")</f>
        <v>722761471625547776</v>
      </c>
      <c r="F1701" s="11" t="s">
        <v>25</v>
      </c>
      <c r="G1701" s="11">
        <v>520</v>
      </c>
      <c r="H1701" s="11">
        <v>350</v>
      </c>
      <c r="I1701" s="11">
        <v>1</v>
      </c>
      <c r="J1701" s="11">
        <v>2</v>
      </c>
      <c r="K1701" s="11" t="s">
        <v>21</v>
      </c>
      <c r="L1701" s="7">
        <v>41203.377638888887</v>
      </c>
      <c r="M1701" s="12" t="s">
        <v>920</v>
      </c>
      <c r="N1701" s="12" t="s">
        <v>921</v>
      </c>
      <c r="O1701" s="10" t="str">
        <f>HYPERLINK("https://pbs.twimg.com/profile_images/672343322632024064/4z8q3pp4_normal.jpg","View")</f>
        <v>View</v>
      </c>
      <c r="P1701" s="11"/>
    </row>
    <row r="1702" spans="1:16" ht="12.75" x14ac:dyDescent="0.35">
      <c r="A1702" s="7">
        <v>42480.743252314816</v>
      </c>
      <c r="B1702" s="8" t="str">
        <f>HYPERLINK("https://twitter.com/mbaukarriere","@mbaukarriere")</f>
        <v>@mbaukarriere</v>
      </c>
      <c r="C1702" s="9" t="s">
        <v>57</v>
      </c>
      <c r="D1702" s="9" t="s">
        <v>3205</v>
      </c>
      <c r="E1702" s="10" t="str">
        <f>HYPERLINK("https://twitter.com/mbaukarriere/status/722761805467095040","722761805467095040")</f>
        <v>722761805467095040</v>
      </c>
      <c r="F1702" s="11" t="s">
        <v>25</v>
      </c>
      <c r="G1702" s="11">
        <v>519</v>
      </c>
      <c r="H1702" s="11">
        <v>2730</v>
      </c>
      <c r="I1702" s="11">
        <v>1</v>
      </c>
      <c r="J1702" s="11">
        <v>0</v>
      </c>
      <c r="K1702" s="11" t="s">
        <v>21</v>
      </c>
      <c r="L1702" s="7">
        <v>42390.680983796294</v>
      </c>
      <c r="M1702" s="12"/>
      <c r="N1702" s="12" t="s">
        <v>60</v>
      </c>
      <c r="O1702" s="10" t="str">
        <f>HYPERLINK("https://pbs.twimg.com/profile_images/690125049806884864/ET63bOiY_normal.jpg","View")</f>
        <v>View</v>
      </c>
      <c r="P1702" s="11"/>
    </row>
    <row r="1703" spans="1:16" ht="12.75" x14ac:dyDescent="0.35">
      <c r="A1703" s="7">
        <v>42480.743692129632</v>
      </c>
      <c r="B1703" s="8" t="str">
        <f>HYPERLINK("https://twitter.com/ahk_frankreich","@ahk_frankreich")</f>
        <v>@ahk_frankreich</v>
      </c>
      <c r="C1703" s="9" t="s">
        <v>918</v>
      </c>
      <c r="D1703" s="9" t="s">
        <v>3206</v>
      </c>
      <c r="E1703" s="10" t="str">
        <f>HYPERLINK("https://twitter.com/ahk_frankreich/status/722761965697806336","722761965697806336")</f>
        <v>722761965697806336</v>
      </c>
      <c r="F1703" s="11" t="s">
        <v>25</v>
      </c>
      <c r="G1703" s="11">
        <v>520</v>
      </c>
      <c r="H1703" s="11">
        <v>350</v>
      </c>
      <c r="I1703" s="11">
        <v>0</v>
      </c>
      <c r="J1703" s="11">
        <v>0</v>
      </c>
      <c r="K1703" s="11" t="s">
        <v>21</v>
      </c>
      <c r="L1703" s="7">
        <v>41203.377638888887</v>
      </c>
      <c r="M1703" s="12" t="s">
        <v>920</v>
      </c>
      <c r="N1703" s="12" t="s">
        <v>921</v>
      </c>
      <c r="O1703" s="10" t="str">
        <f>HYPERLINK("https://pbs.twimg.com/profile_images/672343322632024064/4z8q3pp4_normal.jpg","View")</f>
        <v>View</v>
      </c>
      <c r="P1703" s="11"/>
    </row>
    <row r="1704" spans="1:16" ht="12.75" x14ac:dyDescent="0.35">
      <c r="A1704" s="7">
        <v>42480.743784722217</v>
      </c>
      <c r="B1704" s="8" t="str">
        <f>HYPERLINK("https://twitter.com/ATstandards","@ATstandards")</f>
        <v>@ATstandards</v>
      </c>
      <c r="C1704" s="9" t="s">
        <v>3207</v>
      </c>
      <c r="D1704" s="9" t="s">
        <v>3158</v>
      </c>
      <c r="E1704" s="10" t="str">
        <f>HYPERLINK("https://twitter.com/ATstandards/status/722761997058592768","722761997058592768")</f>
        <v>722761997058592768</v>
      </c>
      <c r="F1704" s="11" t="s">
        <v>115</v>
      </c>
      <c r="G1704" s="11">
        <v>2361</v>
      </c>
      <c r="H1704" s="11">
        <v>886</v>
      </c>
      <c r="I1704" s="11">
        <v>9</v>
      </c>
      <c r="J1704" s="11">
        <v>0</v>
      </c>
      <c r="K1704" s="11" t="s">
        <v>21</v>
      </c>
      <c r="L1704" s="7">
        <v>40045.817361111112</v>
      </c>
      <c r="M1704" s="12" t="s">
        <v>3208</v>
      </c>
      <c r="N1704" s="12" t="s">
        <v>3209</v>
      </c>
      <c r="O1704" s="10" t="str">
        <f>HYPERLINK("https://pbs.twimg.com/profile_images/459674891319382016/zbK0HhIT_normal.jpeg","View")</f>
        <v>View</v>
      </c>
      <c r="P1704" s="11"/>
    </row>
    <row r="1705" spans="1:16" ht="12.75" x14ac:dyDescent="0.35">
      <c r="A1705" s="7">
        <v>42480.743854166663</v>
      </c>
      <c r="B1705" s="8" t="str">
        <f>HYPERLINK("https://twitter.com/INDIZbot","@INDIZbot")</f>
        <v>@INDIZbot</v>
      </c>
      <c r="C1705" s="9" t="s">
        <v>61</v>
      </c>
      <c r="D1705" s="9" t="s">
        <v>3210</v>
      </c>
      <c r="E1705" s="10" t="str">
        <f>HYPERLINK("https://twitter.com/INDIZbot/status/722762025122852864","722762025122852864")</f>
        <v>722762025122852864</v>
      </c>
      <c r="F1705" s="11" t="s">
        <v>62</v>
      </c>
      <c r="G1705" s="11">
        <v>1762</v>
      </c>
      <c r="H1705" s="11">
        <v>481</v>
      </c>
      <c r="I1705" s="11">
        <v>1</v>
      </c>
      <c r="J1705" s="11">
        <v>0</v>
      </c>
      <c r="K1705" s="11" t="s">
        <v>21</v>
      </c>
      <c r="L1705" s="7">
        <v>42267.011921296296</v>
      </c>
      <c r="M1705" s="12"/>
      <c r="N1705" s="12" t="s">
        <v>63</v>
      </c>
      <c r="O1705" s="10" t="str">
        <f>HYPERLINK("https://pbs.twimg.com/profile_images/645716711723925506/t5G0qOS6_normal.jpg","View")</f>
        <v>View</v>
      </c>
      <c r="P1705" s="11"/>
    </row>
    <row r="1706" spans="1:16" ht="12.75" x14ac:dyDescent="0.35">
      <c r="A1706" s="7">
        <v>42480.743993055556</v>
      </c>
      <c r="B1706" s="8" t="str">
        <f>HYPERLINK("https://twitter.com/Global_Fairs","@Global_Fairs")</f>
        <v>@Global_Fairs</v>
      </c>
      <c r="C1706" s="9" t="s">
        <v>533</v>
      </c>
      <c r="D1706" s="9" t="s">
        <v>2702</v>
      </c>
      <c r="E1706" s="10" t="str">
        <f>HYPERLINK("https://twitter.com/Global_Fairs/status/722762072711368704","722762072711368704")</f>
        <v>722762072711368704</v>
      </c>
      <c r="F1706" s="11" t="s">
        <v>25</v>
      </c>
      <c r="G1706" s="11">
        <v>358</v>
      </c>
      <c r="H1706" s="11">
        <v>674</v>
      </c>
      <c r="I1706" s="11">
        <v>4</v>
      </c>
      <c r="J1706" s="11">
        <v>0</v>
      </c>
      <c r="K1706" s="11" t="s">
        <v>21</v>
      </c>
      <c r="L1706" s="7">
        <v>41691.790775462963</v>
      </c>
      <c r="M1706" s="12" t="s">
        <v>243</v>
      </c>
      <c r="N1706" s="12" t="s">
        <v>534</v>
      </c>
      <c r="O1706" s="10" t="str">
        <f>HYPERLINK("https://pbs.twimg.com/profile_images/694530943139315712/TQHmYxMT_normal.png","View")</f>
        <v>View</v>
      </c>
      <c r="P1706" s="11"/>
    </row>
    <row r="1707" spans="1:16" ht="12.75" x14ac:dyDescent="0.35">
      <c r="A1707" s="7">
        <v>42480.74423611111</v>
      </c>
      <c r="B1707" s="8" t="str">
        <f t="shared" ref="B1707:B1708" si="194">HYPERLINK("https://twitter.com/INDIZbot","@INDIZbot")</f>
        <v>@INDIZbot</v>
      </c>
      <c r="C1707" s="9" t="s">
        <v>61</v>
      </c>
      <c r="D1707" s="9" t="s">
        <v>3211</v>
      </c>
      <c r="E1707" s="10" t="str">
        <f>HYPERLINK("https://twitter.com/INDIZbot/status/722762161144115200","722762161144115200")</f>
        <v>722762161144115200</v>
      </c>
      <c r="F1707" s="11" t="s">
        <v>62</v>
      </c>
      <c r="G1707" s="11">
        <v>1762</v>
      </c>
      <c r="H1707" s="11">
        <v>481</v>
      </c>
      <c r="I1707" s="11">
        <v>1</v>
      </c>
      <c r="J1707" s="11">
        <v>0</v>
      </c>
      <c r="K1707" s="11" t="s">
        <v>21</v>
      </c>
      <c r="L1707" s="7">
        <v>42267.011921296296</v>
      </c>
      <c r="M1707" s="12"/>
      <c r="N1707" s="12" t="s">
        <v>63</v>
      </c>
      <c r="O1707" s="10" t="str">
        <f t="shared" ref="O1707:O1708" si="195">HYPERLINK("https://pbs.twimg.com/profile_images/645716711723925506/t5G0qOS6_normal.jpg","View")</f>
        <v>View</v>
      </c>
      <c r="P1707" s="11"/>
    </row>
    <row r="1708" spans="1:16" ht="12.75" x14ac:dyDescent="0.35">
      <c r="A1708" s="7">
        <v>42480.744756944448</v>
      </c>
      <c r="B1708" s="8" t="str">
        <f t="shared" si="194"/>
        <v>@INDIZbot</v>
      </c>
      <c r="C1708" s="9" t="s">
        <v>61</v>
      </c>
      <c r="D1708" s="9" t="s">
        <v>3158</v>
      </c>
      <c r="E1708" s="10" t="str">
        <f>HYPERLINK("https://twitter.com/INDIZbot/status/722762349543878656","722762349543878656")</f>
        <v>722762349543878656</v>
      </c>
      <c r="F1708" s="11" t="s">
        <v>62</v>
      </c>
      <c r="G1708" s="11">
        <v>1762</v>
      </c>
      <c r="H1708" s="11">
        <v>481</v>
      </c>
      <c r="I1708" s="11">
        <v>9</v>
      </c>
      <c r="J1708" s="11">
        <v>0</v>
      </c>
      <c r="K1708" s="11" t="s">
        <v>21</v>
      </c>
      <c r="L1708" s="7">
        <v>42267.011921296296</v>
      </c>
      <c r="M1708" s="12"/>
      <c r="N1708" s="12" t="s">
        <v>63</v>
      </c>
      <c r="O1708" s="10" t="str">
        <f t="shared" si="195"/>
        <v>View</v>
      </c>
      <c r="P1708" s="11"/>
    </row>
    <row r="1709" spans="1:16" ht="12.75" x14ac:dyDescent="0.35">
      <c r="A1709" s="7">
        <v>42480.744988425926</v>
      </c>
      <c r="B1709" s="8" t="str">
        <f>HYPERLINK("https://twitter.com/AGiesenNRW","@AGiesenNRW")</f>
        <v>@AGiesenNRW</v>
      </c>
      <c r="C1709" s="9" t="s">
        <v>3084</v>
      </c>
      <c r="D1709" s="9" t="s">
        <v>3201</v>
      </c>
      <c r="E1709" s="10" t="str">
        <f>HYPERLINK("https://twitter.com/AGiesenNRW/status/722762434633535489","722762434633535489")</f>
        <v>722762434633535489</v>
      </c>
      <c r="F1709" s="11" t="s">
        <v>25</v>
      </c>
      <c r="G1709" s="11">
        <v>1024</v>
      </c>
      <c r="H1709" s="11">
        <v>318</v>
      </c>
      <c r="I1709" s="11">
        <v>8</v>
      </c>
      <c r="J1709" s="11">
        <v>0</v>
      </c>
      <c r="K1709" s="11" t="s">
        <v>21</v>
      </c>
      <c r="L1709" s="7">
        <v>41972.180439814816</v>
      </c>
      <c r="M1709" s="12" t="s">
        <v>3086</v>
      </c>
      <c r="N1709" s="12" t="s">
        <v>3087</v>
      </c>
      <c r="O1709" s="10" t="str">
        <f>HYPERLINK("https://pbs.twimg.com/profile_images/687630441893900288/RvOaRxIg_normal.jpg","View")</f>
        <v>View</v>
      </c>
      <c r="P1709" s="11"/>
    </row>
    <row r="1710" spans="1:16" ht="12.75" x14ac:dyDescent="0.35">
      <c r="A1710" s="7">
        <v>42480.745682870373</v>
      </c>
      <c r="B1710" s="8" t="str">
        <f>HYPERLINK("https://twitter.com/ahk_frankreich","@ahk_frankreich")</f>
        <v>@ahk_frankreich</v>
      </c>
      <c r="C1710" s="9" t="s">
        <v>918</v>
      </c>
      <c r="D1710" s="9" t="s">
        <v>3212</v>
      </c>
      <c r="E1710" s="10" t="str">
        <f>HYPERLINK("https://twitter.com/ahk_frankreich/status/722762687256526848","722762687256526848")</f>
        <v>722762687256526848</v>
      </c>
      <c r="F1710" s="11" t="s">
        <v>25</v>
      </c>
      <c r="G1710" s="11">
        <v>520</v>
      </c>
      <c r="H1710" s="11">
        <v>350</v>
      </c>
      <c r="I1710" s="11">
        <v>0</v>
      </c>
      <c r="J1710" s="11">
        <v>1</v>
      </c>
      <c r="K1710" s="11" t="s">
        <v>21</v>
      </c>
      <c r="L1710" s="7">
        <v>41203.377638888887</v>
      </c>
      <c r="M1710" s="12" t="s">
        <v>920</v>
      </c>
      <c r="N1710" s="12" t="s">
        <v>921</v>
      </c>
      <c r="O1710" s="10" t="str">
        <f>HYPERLINK("https://pbs.twimg.com/profile_images/672343322632024064/4z8q3pp4_normal.jpg","View")</f>
        <v>View</v>
      </c>
      <c r="P1710" s="11"/>
    </row>
    <row r="1711" spans="1:16" ht="12.75" x14ac:dyDescent="0.35">
      <c r="A1711" s="7">
        <v>42480.746585648143</v>
      </c>
      <c r="B1711" s="8" t="str">
        <f>HYPERLINK("https://twitter.com/packagingJ","@packagingJ")</f>
        <v>@packagingJ</v>
      </c>
      <c r="C1711" s="9" t="s">
        <v>3192</v>
      </c>
      <c r="D1711" s="9" t="s">
        <v>3213</v>
      </c>
      <c r="E1711" s="10" t="str">
        <f>HYPERLINK("https://twitter.com/packagingJ/status/722763015737765888","722763015737765888")</f>
        <v>722763015737765888</v>
      </c>
      <c r="F1711" s="11" t="s">
        <v>39</v>
      </c>
      <c r="G1711" s="11">
        <v>313</v>
      </c>
      <c r="H1711" s="11">
        <v>231</v>
      </c>
      <c r="I1711" s="11">
        <v>0</v>
      </c>
      <c r="J1711" s="11">
        <v>0</v>
      </c>
      <c r="K1711" s="11" t="s">
        <v>21</v>
      </c>
      <c r="L1711" s="7">
        <v>41051.756550925929</v>
      </c>
      <c r="M1711" s="12" t="s">
        <v>895</v>
      </c>
      <c r="N1711" s="12"/>
      <c r="O1711" s="10" t="str">
        <f>HYPERLINK("https://pbs.twimg.com/profile_images/2240680734/pj-logo1_normal.png","View")</f>
        <v>View</v>
      </c>
      <c r="P1711" s="11"/>
    </row>
    <row r="1712" spans="1:16" ht="12.75" x14ac:dyDescent="0.35">
      <c r="A1712" s="7">
        <v>42480.746863425928</v>
      </c>
      <c r="B1712" s="8" t="str">
        <f>HYPERLINK("https://twitter.com/Der_BDI","@Der_BDI")</f>
        <v>@Der_BDI</v>
      </c>
      <c r="C1712" s="9" t="s">
        <v>3214</v>
      </c>
      <c r="D1712" s="9" t="s">
        <v>3215</v>
      </c>
      <c r="E1712" s="10" t="str">
        <f>HYPERLINK("https://twitter.com/Der_BDI/status/722763114299523072","722763114299523072")</f>
        <v>722763114299523072</v>
      </c>
      <c r="F1712" s="11" t="s">
        <v>25</v>
      </c>
      <c r="G1712" s="11">
        <v>7294</v>
      </c>
      <c r="H1712" s="11">
        <v>974</v>
      </c>
      <c r="I1712" s="11">
        <v>1</v>
      </c>
      <c r="J1712" s="11">
        <v>0</v>
      </c>
      <c r="K1712" s="11" t="s">
        <v>21</v>
      </c>
      <c r="L1712" s="7">
        <v>40009.867314814815</v>
      </c>
      <c r="M1712" s="12" t="s">
        <v>227</v>
      </c>
      <c r="N1712" s="12" t="s">
        <v>3216</v>
      </c>
      <c r="O1712" s="10" t="str">
        <f>HYPERLINK("https://pbs.twimg.com/profile_images/314979832/Dialogikon_normal.jpg","View")</f>
        <v>View</v>
      </c>
      <c r="P1712" s="11"/>
    </row>
    <row r="1713" spans="1:16" ht="12.75" x14ac:dyDescent="0.35">
      <c r="A1713" s="7">
        <v>42480.748773148152</v>
      </c>
      <c r="B1713" s="8" t="str">
        <f t="shared" ref="B1713:B1714" si="196">HYPERLINK("https://twitter.com/ahk_frankreich","@ahk_frankreich")</f>
        <v>@ahk_frankreich</v>
      </c>
      <c r="C1713" s="9" t="s">
        <v>918</v>
      </c>
      <c r="D1713" s="9" t="s">
        <v>3217</v>
      </c>
      <c r="E1713" s="10" t="str">
        <f>HYPERLINK("https://twitter.com/ahk_frankreich/status/722763806162624512","722763806162624512")</f>
        <v>722763806162624512</v>
      </c>
      <c r="F1713" s="11" t="s">
        <v>25</v>
      </c>
      <c r="G1713" s="11">
        <v>520</v>
      </c>
      <c r="H1713" s="11">
        <v>350</v>
      </c>
      <c r="I1713" s="11">
        <v>0</v>
      </c>
      <c r="J1713" s="11">
        <v>1</v>
      </c>
      <c r="K1713" s="11" t="s">
        <v>21</v>
      </c>
      <c r="L1713" s="7">
        <v>41203.377638888887</v>
      </c>
      <c r="M1713" s="12" t="s">
        <v>920</v>
      </c>
      <c r="N1713" s="12" t="s">
        <v>921</v>
      </c>
      <c r="O1713" s="10" t="str">
        <f t="shared" ref="O1713:O1714" si="197">HYPERLINK("https://pbs.twimg.com/profile_images/672343322632024064/4z8q3pp4_normal.jpg","View")</f>
        <v>View</v>
      </c>
      <c r="P1713" s="11"/>
    </row>
    <row r="1714" spans="1:16" ht="12.75" x14ac:dyDescent="0.35">
      <c r="A1714" s="7">
        <v>42480.750833333332</v>
      </c>
      <c r="B1714" s="8" t="str">
        <f t="shared" si="196"/>
        <v>@ahk_frankreich</v>
      </c>
      <c r="C1714" s="9" t="s">
        <v>918</v>
      </c>
      <c r="D1714" s="9" t="s">
        <v>3218</v>
      </c>
      <c r="E1714" s="10" t="str">
        <f>HYPERLINK("https://twitter.com/ahk_frankreich/status/722764551834497024","722764551834497024")</f>
        <v>722764551834497024</v>
      </c>
      <c r="F1714" s="11" t="s">
        <v>25</v>
      </c>
      <c r="G1714" s="11">
        <v>520</v>
      </c>
      <c r="H1714" s="11">
        <v>350</v>
      </c>
      <c r="I1714" s="11">
        <v>0</v>
      </c>
      <c r="J1714" s="11">
        <v>0</v>
      </c>
      <c r="K1714" s="11" t="s">
        <v>21</v>
      </c>
      <c r="L1714" s="7">
        <v>41203.377638888887</v>
      </c>
      <c r="M1714" s="12" t="s">
        <v>920</v>
      </c>
      <c r="N1714" s="12" t="s">
        <v>921</v>
      </c>
      <c r="O1714" s="10" t="str">
        <f t="shared" si="197"/>
        <v>View</v>
      </c>
      <c r="P1714" s="11"/>
    </row>
    <row r="1715" spans="1:16" ht="12.75" x14ac:dyDescent="0.35">
      <c r="A1715" s="7">
        <v>42480.751030092593</v>
      </c>
      <c r="B1715" s="8" t="str">
        <f>HYPERLINK("https://twitter.com/aristaflow","@aristaflow")</f>
        <v>@aristaflow</v>
      </c>
      <c r="C1715" s="9" t="s">
        <v>3219</v>
      </c>
      <c r="D1715" s="9" t="s">
        <v>3220</v>
      </c>
      <c r="E1715" s="10" t="str">
        <f>HYPERLINK("https://twitter.com/aristaflow/status/722764624949436416","722764624949436416")</f>
        <v>722764624949436416</v>
      </c>
      <c r="F1715" s="11" t="s">
        <v>25</v>
      </c>
      <c r="G1715" s="11">
        <v>43</v>
      </c>
      <c r="H1715" s="11">
        <v>144</v>
      </c>
      <c r="I1715" s="11">
        <v>0</v>
      </c>
      <c r="J1715" s="11">
        <v>0</v>
      </c>
      <c r="K1715" s="11" t="s">
        <v>21</v>
      </c>
      <c r="L1715" s="7">
        <v>42080.818923611107</v>
      </c>
      <c r="M1715" s="12" t="s">
        <v>3221</v>
      </c>
      <c r="N1715" s="12" t="s">
        <v>3222</v>
      </c>
      <c r="O1715" s="10" t="str">
        <f>HYPERLINK("https://pbs.twimg.com/profile_images/585430524338053122/A23ksFUL_normal.png","View")</f>
        <v>View</v>
      </c>
      <c r="P1715" s="11"/>
    </row>
    <row r="1716" spans="1:16" ht="12.75" x14ac:dyDescent="0.35">
      <c r="A1716" s="7">
        <v>42480.751805555556</v>
      </c>
      <c r="B1716" s="8" t="str">
        <f>HYPERLINK("https://twitter.com/PS_I_T","@PS_I_T")</f>
        <v>@PS_I_T</v>
      </c>
      <c r="C1716" s="9" t="s">
        <v>3223</v>
      </c>
      <c r="D1716" s="9" t="s">
        <v>3224</v>
      </c>
      <c r="E1716" s="10" t="str">
        <f>HYPERLINK("https://twitter.com/PS_I_T/status/722764904701292544","722764904701292544")</f>
        <v>722764904701292544</v>
      </c>
      <c r="F1716" s="11" t="s">
        <v>1997</v>
      </c>
      <c r="G1716" s="11">
        <v>505</v>
      </c>
      <c r="H1716" s="11">
        <v>977</v>
      </c>
      <c r="I1716" s="11">
        <v>0</v>
      </c>
      <c r="J1716" s="11">
        <v>1</v>
      </c>
      <c r="K1716" s="11" t="s">
        <v>21</v>
      </c>
      <c r="L1716" s="7">
        <v>41456.727719907409</v>
      </c>
      <c r="M1716" s="12" t="s">
        <v>366</v>
      </c>
      <c r="N1716" s="12" t="s">
        <v>3225</v>
      </c>
      <c r="O1716" s="10" t="str">
        <f>HYPERLINK("https://pbs.twimg.com/profile_images/649119218064035840/KG3FwC7K_normal.jpg","View")</f>
        <v>View</v>
      </c>
      <c r="P1716" s="11"/>
    </row>
    <row r="1717" spans="1:16" ht="12.75" x14ac:dyDescent="0.35">
      <c r="A1717" s="7">
        <v>42480.752523148149</v>
      </c>
      <c r="B1717" s="8" t="str">
        <f>HYPERLINK("https://twitter.com/S_Koebernick","@S_Koebernick")</f>
        <v>@S_Koebernick</v>
      </c>
      <c r="C1717" s="9" t="s">
        <v>568</v>
      </c>
      <c r="D1717" s="9" t="s">
        <v>3226</v>
      </c>
      <c r="E1717" s="10" t="str">
        <f>HYPERLINK("https://twitter.com/S_Koebernick/status/722765167835000834","722765167835000834")</f>
        <v>722765167835000834</v>
      </c>
      <c r="F1717" s="11" t="s">
        <v>25</v>
      </c>
      <c r="G1717" s="11">
        <v>106</v>
      </c>
      <c r="H1717" s="11">
        <v>241</v>
      </c>
      <c r="I1717" s="11">
        <v>1</v>
      </c>
      <c r="J1717" s="11">
        <v>0</v>
      </c>
      <c r="K1717" s="11" t="s">
        <v>21</v>
      </c>
      <c r="L1717" s="7">
        <v>41040.836817129632</v>
      </c>
      <c r="M1717" s="12"/>
      <c r="N1717" s="12" t="s">
        <v>570</v>
      </c>
      <c r="O1717" s="10" t="str">
        <f>HYPERLINK("https://pbs.twimg.com/profile_images/567384025568776192/u-T3fEX2_normal.jpeg","View")</f>
        <v>View</v>
      </c>
      <c r="P1717" s="11"/>
    </row>
    <row r="1718" spans="1:16" ht="12.75" x14ac:dyDescent="0.35">
      <c r="A1718" s="7">
        <v>42480.753541666665</v>
      </c>
      <c r="B1718" s="8" t="str">
        <f>HYPERLINK("https://twitter.com/DCAI4online","@DCAI4online")</f>
        <v>@DCAI4online</v>
      </c>
      <c r="C1718" s="9" t="s">
        <v>2275</v>
      </c>
      <c r="D1718" s="9" t="s">
        <v>1728</v>
      </c>
      <c r="E1718" s="10" t="str">
        <f>HYPERLINK("https://twitter.com/DCAI4online/status/722765535058890752","722765535058890752")</f>
        <v>722765535058890752</v>
      </c>
      <c r="F1718" s="11" t="s">
        <v>25</v>
      </c>
      <c r="G1718" s="11">
        <v>236</v>
      </c>
      <c r="H1718" s="11">
        <v>203</v>
      </c>
      <c r="I1718" s="11">
        <v>13</v>
      </c>
      <c r="J1718" s="11">
        <v>0</v>
      </c>
      <c r="K1718" s="11" t="s">
        <v>21</v>
      </c>
      <c r="L1718" s="7">
        <v>42333.634699074071</v>
      </c>
      <c r="M1718" s="12" t="s">
        <v>581</v>
      </c>
      <c r="N1718" s="12" t="s">
        <v>2276</v>
      </c>
      <c r="O1718" s="10" t="str">
        <f>HYPERLINK("https://pbs.twimg.com/profile_images/669471279158796288/iXgOCW46_normal.jpg","View")</f>
        <v>View</v>
      </c>
      <c r="P1718" s="11"/>
    </row>
    <row r="1719" spans="1:16" ht="12.75" x14ac:dyDescent="0.35">
      <c r="A1719" s="7">
        <v>42480.754236111112</v>
      </c>
      <c r="B1719" s="8" t="str">
        <f>HYPERLINK("https://twitter.com/Rossmanith_QM","@Rossmanith_QM")</f>
        <v>@Rossmanith_QM</v>
      </c>
      <c r="C1719" s="9" t="s">
        <v>3227</v>
      </c>
      <c r="D1719" s="9" t="s">
        <v>3228</v>
      </c>
      <c r="E1719" s="10" t="str">
        <f>HYPERLINK("https://twitter.com/Rossmanith_QM/status/722765787719725056","722765787719725056")</f>
        <v>722765787719725056</v>
      </c>
      <c r="F1719" s="11" t="s">
        <v>25</v>
      </c>
      <c r="G1719" s="11">
        <v>10</v>
      </c>
      <c r="H1719" s="11">
        <v>99</v>
      </c>
      <c r="I1719" s="11">
        <v>0</v>
      </c>
      <c r="J1719" s="11">
        <v>1</v>
      </c>
      <c r="K1719" s="11" t="s">
        <v>21</v>
      </c>
      <c r="L1719" s="7">
        <v>42471.67732638889</v>
      </c>
      <c r="M1719" s="12" t="s">
        <v>3229</v>
      </c>
      <c r="N1719" s="12" t="s">
        <v>3230</v>
      </c>
      <c r="O1719" s="10" t="str">
        <f>HYPERLINK("https://pbs.twimg.com/profile_images/719480494468030465/TQqK9N_3_normal.jpg","View")</f>
        <v>View</v>
      </c>
      <c r="P1719" s="11"/>
    </row>
    <row r="1720" spans="1:16" ht="12.75" x14ac:dyDescent="0.35">
      <c r="A1720" s="7">
        <v>42480.755289351851</v>
      </c>
      <c r="B1720" s="8" t="str">
        <f>HYPERLINK("https://twitter.com/prxagentur","@prxagentur")</f>
        <v>@prxagentur</v>
      </c>
      <c r="C1720" s="9" t="s">
        <v>1753</v>
      </c>
      <c r="D1720" s="9" t="s">
        <v>3231</v>
      </c>
      <c r="E1720" s="10" t="str">
        <f>HYPERLINK("https://twitter.com/prxagentur/status/722766167413243904","722766167413243904")</f>
        <v>722766167413243904</v>
      </c>
      <c r="F1720" s="11" t="s">
        <v>25</v>
      </c>
      <c r="G1720" s="11">
        <v>196</v>
      </c>
      <c r="H1720" s="11">
        <v>374</v>
      </c>
      <c r="I1720" s="11">
        <v>0</v>
      </c>
      <c r="J1720" s="11">
        <v>1</v>
      </c>
      <c r="K1720" s="11" t="s">
        <v>21</v>
      </c>
      <c r="L1720" s="7">
        <v>42128.001620370371</v>
      </c>
      <c r="M1720" s="12"/>
      <c r="N1720" s="12"/>
      <c r="O1720" s="10" t="str">
        <f>HYPERLINK("https://pbs.twimg.com/profile_images/594934750122536960/nG4kmfDF_normal.jpg","View")</f>
        <v>View</v>
      </c>
      <c r="P1720" s="11"/>
    </row>
    <row r="1721" spans="1:16" ht="12.75" x14ac:dyDescent="0.35">
      <c r="A1721" s="7">
        <v>42480.75645833333</v>
      </c>
      <c r="B1721" s="8" t="str">
        <f>HYPERLINK("https://twitter.com/S_Koebernick","@S_Koebernick")</f>
        <v>@S_Koebernick</v>
      </c>
      <c r="C1721" s="9" t="s">
        <v>568</v>
      </c>
      <c r="D1721" s="9" t="s">
        <v>3232</v>
      </c>
      <c r="E1721" s="10" t="str">
        <f>HYPERLINK("https://twitter.com/S_Koebernick/status/722766592933814272","722766592933814272")</f>
        <v>722766592933814272</v>
      </c>
      <c r="F1721" s="11" t="s">
        <v>25</v>
      </c>
      <c r="G1721" s="11">
        <v>106</v>
      </c>
      <c r="H1721" s="11">
        <v>241</v>
      </c>
      <c r="I1721" s="11">
        <v>1</v>
      </c>
      <c r="J1721" s="11">
        <v>0</v>
      </c>
      <c r="K1721" s="11" t="s">
        <v>21</v>
      </c>
      <c r="L1721" s="7">
        <v>41040.836817129632</v>
      </c>
      <c r="M1721" s="12"/>
      <c r="N1721" s="12" t="s">
        <v>570</v>
      </c>
      <c r="O1721" s="10" t="str">
        <f>HYPERLINK("https://pbs.twimg.com/profile_images/567384025568776192/u-T3fEX2_normal.jpeg","View")</f>
        <v>View</v>
      </c>
      <c r="P1721" s="11"/>
    </row>
    <row r="1722" spans="1:16" ht="12.75" x14ac:dyDescent="0.35">
      <c r="A1722" s="7">
        <v>42480.756782407407</v>
      </c>
      <c r="B1722" s="8" t="str">
        <f t="shared" ref="B1722:B1723" si="198">HYPERLINK("https://twitter.com/startupradioDE","@startupradioDE")</f>
        <v>@startupradioDE</v>
      </c>
      <c r="C1722" s="8" t="s">
        <v>1875</v>
      </c>
      <c r="D1722" s="9" t="s">
        <v>3233</v>
      </c>
      <c r="E1722" s="10" t="str">
        <f>HYPERLINK("https://twitter.com/startupradioDE/status/722766708214218753","722766708214218753")</f>
        <v>722766708214218753</v>
      </c>
      <c r="F1722" s="11" t="s">
        <v>20</v>
      </c>
      <c r="G1722" s="11">
        <v>4799</v>
      </c>
      <c r="H1722" s="11">
        <v>2161</v>
      </c>
      <c r="I1722" s="11">
        <v>1</v>
      </c>
      <c r="J1722" s="11">
        <v>0</v>
      </c>
      <c r="K1722" s="11" t="s">
        <v>21</v>
      </c>
      <c r="L1722" s="7">
        <v>41482.731631944444</v>
      </c>
      <c r="M1722" s="12" t="s">
        <v>79</v>
      </c>
      <c r="N1722" s="12" t="s">
        <v>1877</v>
      </c>
      <c r="O1722" s="10" t="str">
        <f t="shared" ref="O1722:O1723" si="199">HYPERLINK("https://pbs.twimg.com/profile_images/686519244415176705/LBgib3O7_normal.png","View")</f>
        <v>View</v>
      </c>
      <c r="P1722" s="11"/>
    </row>
    <row r="1723" spans="1:16" ht="12.75" x14ac:dyDescent="0.35">
      <c r="A1723" s="7">
        <v>42480.75680555556</v>
      </c>
      <c r="B1723" s="8" t="str">
        <f t="shared" si="198"/>
        <v>@startupradioDE</v>
      </c>
      <c r="C1723" s="8" t="s">
        <v>1875</v>
      </c>
      <c r="D1723" s="9" t="s">
        <v>3234</v>
      </c>
      <c r="E1723" s="10" t="str">
        <f>HYPERLINK("https://twitter.com/startupradioDE/status/722766717924085760","722766717924085760")</f>
        <v>722766717924085760</v>
      </c>
      <c r="F1723" s="11" t="s">
        <v>20</v>
      </c>
      <c r="G1723" s="11">
        <v>4799</v>
      </c>
      <c r="H1723" s="11">
        <v>2161</v>
      </c>
      <c r="I1723" s="11">
        <v>1</v>
      </c>
      <c r="J1723" s="11">
        <v>0</v>
      </c>
      <c r="K1723" s="11" t="s">
        <v>21</v>
      </c>
      <c r="L1723" s="7">
        <v>41482.731631944444</v>
      </c>
      <c r="M1723" s="12" t="s">
        <v>79</v>
      </c>
      <c r="N1723" s="12" t="s">
        <v>1877</v>
      </c>
      <c r="O1723" s="10" t="str">
        <f t="shared" si="199"/>
        <v>View</v>
      </c>
      <c r="P1723" s="11"/>
    </row>
    <row r="1724" spans="1:16" ht="12.75" x14ac:dyDescent="0.35">
      <c r="A1724" s="7">
        <v>42480.759398148148</v>
      </c>
      <c r="B1724" s="8" t="str">
        <f>HYPERLINK("https://twitter.com/Bitkom_I40","@Bitkom_I40")</f>
        <v>@Bitkom_I40</v>
      </c>
      <c r="C1724" s="9" t="s">
        <v>1857</v>
      </c>
      <c r="D1724" s="9" t="s">
        <v>3235</v>
      </c>
      <c r="E1724" s="10" t="str">
        <f>HYPERLINK("https://twitter.com/Bitkom_I40/status/722767655950807040","722767655950807040")</f>
        <v>722767655950807040</v>
      </c>
      <c r="F1724" s="11" t="s">
        <v>115</v>
      </c>
      <c r="G1724" s="11">
        <v>754</v>
      </c>
      <c r="H1724" s="11">
        <v>44</v>
      </c>
      <c r="I1724" s="11">
        <v>2</v>
      </c>
      <c r="J1724" s="11">
        <v>1</v>
      </c>
      <c r="K1724" s="11" t="s">
        <v>21</v>
      </c>
      <c r="L1724" s="7">
        <v>41613.773194444446</v>
      </c>
      <c r="M1724" s="12" t="s">
        <v>218</v>
      </c>
      <c r="N1724" s="12" t="s">
        <v>1860</v>
      </c>
      <c r="O1724" s="10" t="str">
        <f>HYPERLINK("https://pbs.twimg.com/profile_images/723407487395713024/0hZv7R8S_normal.jpg","View")</f>
        <v>View</v>
      </c>
      <c r="P1724" s="11"/>
    </row>
    <row r="1725" spans="1:16" ht="12.75" x14ac:dyDescent="0.35">
      <c r="A1725" s="7">
        <v>42480.760960648149</v>
      </c>
      <c r="B1725" s="8" t="str">
        <f>HYPERLINK("https://twitter.com/bertramgeck","@bertramgeck")</f>
        <v>@bertramgeck</v>
      </c>
      <c r="C1725" s="9" t="s">
        <v>3236</v>
      </c>
      <c r="D1725" s="9" t="s">
        <v>2947</v>
      </c>
      <c r="E1725" s="10" t="str">
        <f>HYPERLINK("https://twitter.com/bertramgeck/status/722768225088454656","722768225088454656")</f>
        <v>722768225088454656</v>
      </c>
      <c r="F1725" s="11" t="s">
        <v>20</v>
      </c>
      <c r="G1725" s="11">
        <v>1109</v>
      </c>
      <c r="H1725" s="11">
        <v>2085</v>
      </c>
      <c r="I1725" s="11">
        <v>21</v>
      </c>
      <c r="J1725" s="11">
        <v>0</v>
      </c>
      <c r="K1725" s="11" t="s">
        <v>21</v>
      </c>
      <c r="L1725" s="7">
        <v>40635.682164351849</v>
      </c>
      <c r="M1725" s="12" t="s">
        <v>121</v>
      </c>
      <c r="N1725" s="12" t="s">
        <v>3237</v>
      </c>
      <c r="O1725" s="10" t="str">
        <f>HYPERLINK("https://pbs.twimg.com/profile_images/378800000415342801/f9783795af2852561980e8bedb284896_normal.jpeg","View")</f>
        <v>View</v>
      </c>
      <c r="P1725" s="11"/>
    </row>
    <row r="1726" spans="1:16" ht="12.75" x14ac:dyDescent="0.35">
      <c r="A1726" s="7">
        <v>42480.761435185181</v>
      </c>
      <c r="B1726" s="8" t="str">
        <f>HYPERLINK("https://twitter.com/Bitkom","@Bitkom")</f>
        <v>@Bitkom</v>
      </c>
      <c r="C1726" s="9" t="s">
        <v>216</v>
      </c>
      <c r="D1726" s="9" t="s">
        <v>3238</v>
      </c>
      <c r="E1726" s="10" t="str">
        <f>HYPERLINK("https://twitter.com/Bitkom/status/722768396899774464","722768396899774464")</f>
        <v>722768396899774464</v>
      </c>
      <c r="F1726" s="11" t="s">
        <v>115</v>
      </c>
      <c r="G1726" s="11">
        <v>21088</v>
      </c>
      <c r="H1726" s="11">
        <v>3258</v>
      </c>
      <c r="I1726" s="11">
        <v>2</v>
      </c>
      <c r="J1726" s="11">
        <v>0</v>
      </c>
      <c r="K1726" s="11" t="s">
        <v>21</v>
      </c>
      <c r="L1726" s="7">
        <v>39757.913229166668</v>
      </c>
      <c r="M1726" s="12" t="s">
        <v>218</v>
      </c>
      <c r="N1726" s="12" t="s">
        <v>219</v>
      </c>
      <c r="O1726" s="10" t="str">
        <f>HYPERLINK("https://pbs.twimg.com/profile_images/615797525040136192/CKF9-v_o_normal.jpg","View")</f>
        <v>View</v>
      </c>
      <c r="P1726" s="11"/>
    </row>
    <row r="1727" spans="1:16" ht="12.75" x14ac:dyDescent="0.35">
      <c r="A1727" s="7">
        <v>42480.761724537035</v>
      </c>
      <c r="B1727" s="8" t="str">
        <f>HYPERLINK("https://twitter.com/rfidimblick","@rfidimblick")</f>
        <v>@rfidimblick</v>
      </c>
      <c r="C1727" s="9" t="s">
        <v>3239</v>
      </c>
      <c r="D1727" s="9" t="s">
        <v>3240</v>
      </c>
      <c r="E1727" s="10" t="str">
        <f>HYPERLINK("https://twitter.com/rfidimblick/status/722768500972883968","722768500972883968")</f>
        <v>722768500972883968</v>
      </c>
      <c r="F1727" s="11" t="s">
        <v>25</v>
      </c>
      <c r="G1727" s="11">
        <v>531</v>
      </c>
      <c r="H1727" s="11">
        <v>145</v>
      </c>
      <c r="I1727" s="11">
        <v>1</v>
      </c>
      <c r="J1727" s="11">
        <v>0</v>
      </c>
      <c r="K1727" s="11" t="s">
        <v>21</v>
      </c>
      <c r="L1727" s="7">
        <v>40941.797916666663</v>
      </c>
      <c r="M1727" s="12" t="s">
        <v>1717</v>
      </c>
      <c r="N1727" s="12" t="s">
        <v>3241</v>
      </c>
      <c r="O1727" s="10" t="str">
        <f>HYPERLINK("https://pbs.twimg.com/profile_images/1801172351/logo-quadratisch-gross_normal.jpg","View")</f>
        <v>View</v>
      </c>
      <c r="P1727" s="11"/>
    </row>
    <row r="1728" spans="1:16" ht="12.75" x14ac:dyDescent="0.35">
      <c r="A1728" s="7">
        <v>42480.762233796297</v>
      </c>
      <c r="B1728" s="8" t="str">
        <f>HYPERLINK("https://twitter.com/JETZT_PRde","@JETZT_PRde")</f>
        <v>@JETZT_PRde</v>
      </c>
      <c r="C1728" s="9" t="s">
        <v>1356</v>
      </c>
      <c r="D1728" s="9" t="s">
        <v>3242</v>
      </c>
      <c r="E1728" s="10" t="str">
        <f>HYPERLINK("https://twitter.com/JETZT_PRde/status/722768684402536448","722768684402536448")</f>
        <v>722768684402536448</v>
      </c>
      <c r="F1728" s="11" t="s">
        <v>25</v>
      </c>
      <c r="G1728" s="11">
        <v>1677</v>
      </c>
      <c r="H1728" s="11">
        <v>748</v>
      </c>
      <c r="I1728" s="11">
        <v>0</v>
      </c>
      <c r="J1728" s="11">
        <v>1</v>
      </c>
      <c r="K1728" s="11" t="s">
        <v>21</v>
      </c>
      <c r="L1728" s="7">
        <v>40682.604201388887</v>
      </c>
      <c r="M1728" s="12" t="s">
        <v>581</v>
      </c>
      <c r="N1728" s="12" t="s">
        <v>1358</v>
      </c>
      <c r="O1728" s="10" t="str">
        <f>HYPERLINK("https://pbs.twimg.com/profile_images/593011135428882432/BGMPkrwp_normal.jpg","View")</f>
        <v>View</v>
      </c>
      <c r="P1728" s="11"/>
    </row>
    <row r="1729" spans="1:16" ht="12.75" x14ac:dyDescent="0.35">
      <c r="A1729" s="7">
        <v>42480.76425925926</v>
      </c>
      <c r="B1729" s="8" t="str">
        <f>HYPERLINK("https://twitter.com/Ronald_Heinze","@Ronald_Heinze")</f>
        <v>@Ronald_Heinze</v>
      </c>
      <c r="C1729" s="9" t="s">
        <v>3243</v>
      </c>
      <c r="D1729" s="9" t="s">
        <v>3244</v>
      </c>
      <c r="E1729" s="10" t="str">
        <f>HYPERLINK("https://twitter.com/Ronald_Heinze/status/722769418103627776","722769418103627776")</f>
        <v>722769418103627776</v>
      </c>
      <c r="F1729" s="11" t="s">
        <v>25</v>
      </c>
      <c r="G1729" s="11">
        <v>76</v>
      </c>
      <c r="H1729" s="11">
        <v>48</v>
      </c>
      <c r="I1729" s="11">
        <v>1</v>
      </c>
      <c r="J1729" s="11">
        <v>0</v>
      </c>
      <c r="K1729" s="11" t="s">
        <v>21</v>
      </c>
      <c r="L1729" s="7">
        <v>42131.71166666667</v>
      </c>
      <c r="M1729" s="12"/>
      <c r="N1729" s="12" t="s">
        <v>3245</v>
      </c>
      <c r="O1729" s="10" t="str">
        <f>HYPERLINK("https://pbs.twimg.com/profile_images/596283853507010560/rOqlbvhj_normal.jpg","View")</f>
        <v>View</v>
      </c>
      <c r="P1729" s="11"/>
    </row>
    <row r="1730" spans="1:16" ht="12.75" x14ac:dyDescent="0.35">
      <c r="A1730" s="7">
        <v>42480.764293981483</v>
      </c>
      <c r="B1730" s="8" t="str">
        <f>HYPERLINK("https://twitter.com/PolarionNews_de","@PolarionNews_de")</f>
        <v>@PolarionNews_de</v>
      </c>
      <c r="C1730" s="9" t="s">
        <v>880</v>
      </c>
      <c r="D1730" s="9" t="s">
        <v>3201</v>
      </c>
      <c r="E1730" s="10" t="str">
        <f>HYPERLINK("https://twitter.com/PolarionNews_de/status/722769432825597952","722769432825597952")</f>
        <v>722769432825597952</v>
      </c>
      <c r="F1730" s="11" t="s">
        <v>25</v>
      </c>
      <c r="G1730" s="11">
        <v>409</v>
      </c>
      <c r="H1730" s="11">
        <v>400</v>
      </c>
      <c r="I1730" s="11">
        <v>8</v>
      </c>
      <c r="J1730" s="11">
        <v>0</v>
      </c>
      <c r="K1730" s="11" t="s">
        <v>21</v>
      </c>
      <c r="L1730" s="7">
        <v>42263.515694444446</v>
      </c>
      <c r="M1730" s="12" t="s">
        <v>162</v>
      </c>
      <c r="N1730" s="12" t="s">
        <v>881</v>
      </c>
      <c r="O1730" s="10" t="str">
        <f>HYPERLINK("https://pbs.twimg.com/profile_images/644041606304256000/yOHTHLkX_normal.jpg","View")</f>
        <v>View</v>
      </c>
      <c r="P1730" s="11"/>
    </row>
    <row r="1731" spans="1:16" ht="12.75" x14ac:dyDescent="0.35">
      <c r="A1731" s="7">
        <v>42480.764548611114</v>
      </c>
      <c r="B1731" s="8" t="str">
        <f>HYPERLINK("https://twitter.com/LuisB","@LuisB")</f>
        <v>@LuisB</v>
      </c>
      <c r="C1731" s="9" t="s">
        <v>3246</v>
      </c>
      <c r="D1731" s="9" t="s">
        <v>1115</v>
      </c>
      <c r="E1731" s="10" t="str">
        <f>HYPERLINK("https://twitter.com/LuisB/status/722769524232220673","722769524232220673")</f>
        <v>722769524232220673</v>
      </c>
      <c r="F1731" s="11" t="s">
        <v>25</v>
      </c>
      <c r="G1731" s="11">
        <v>816</v>
      </c>
      <c r="H1731" s="11">
        <v>244</v>
      </c>
      <c r="I1731" s="11">
        <v>14</v>
      </c>
      <c r="J1731" s="11">
        <v>0</v>
      </c>
      <c r="K1731" s="11" t="s">
        <v>21</v>
      </c>
      <c r="L1731" s="7">
        <v>39233.946250000001</v>
      </c>
      <c r="M1731" s="12" t="s">
        <v>475</v>
      </c>
      <c r="N1731" s="12" t="s">
        <v>3247</v>
      </c>
      <c r="O1731" s="10" t="str">
        <f>HYPERLINK("https://pbs.twimg.com/profile_images/1696353623/293271_10150382599031103_777251102_9693277_1829558054_n_normal.jpg","View")</f>
        <v>View</v>
      </c>
      <c r="P1731" s="11"/>
    </row>
    <row r="1732" spans="1:16" ht="12.75" x14ac:dyDescent="0.35">
      <c r="A1732" s="7">
        <v>42480.765324074076</v>
      </c>
      <c r="B1732" s="8" t="str">
        <f>HYPERLINK("https://twitter.com/VISAMgmbh","@VISAMgmbh")</f>
        <v>@VISAMgmbh</v>
      </c>
      <c r="C1732" s="9" t="s">
        <v>3248</v>
      </c>
      <c r="D1732" s="9" t="s">
        <v>3249</v>
      </c>
      <c r="E1732" s="10" t="str">
        <f>HYPERLINK("https://twitter.com/VISAMgmbh/status/722769804256481280","722769804256481280")</f>
        <v>722769804256481280</v>
      </c>
      <c r="F1732" s="11" t="s">
        <v>25</v>
      </c>
      <c r="G1732" s="11">
        <v>40</v>
      </c>
      <c r="H1732" s="11">
        <v>32</v>
      </c>
      <c r="I1732" s="11">
        <v>0</v>
      </c>
      <c r="J1732" s="11">
        <v>0</v>
      </c>
      <c r="K1732" s="11" t="s">
        <v>21</v>
      </c>
      <c r="L1732" s="7">
        <v>40823.798483796294</v>
      </c>
      <c r="M1732" s="12" t="s">
        <v>3250</v>
      </c>
      <c r="N1732" s="12" t="s">
        <v>3251</v>
      </c>
      <c r="O1732" s="10" t="str">
        <f>HYPERLINK("https://pbs.twimg.com/profile_images/1576784595/VISAM_normal.png","View")</f>
        <v>View</v>
      </c>
      <c r="P1732" s="11"/>
    </row>
    <row r="1733" spans="1:16" ht="12.75" x14ac:dyDescent="0.35">
      <c r="A1733" s="7">
        <v>42480.767314814817</v>
      </c>
      <c r="B1733" s="8" t="str">
        <f>HYPERLINK("https://twitter.com/RFIDDirectory","@RFIDDirectory")</f>
        <v>@RFIDDirectory</v>
      </c>
      <c r="C1733" s="9" t="s">
        <v>3252</v>
      </c>
      <c r="D1733" s="9" t="s">
        <v>3253</v>
      </c>
      <c r="E1733" s="10" t="str">
        <f>HYPERLINK("https://twitter.com/RFIDDirectory/status/722770524577931264","722770524577931264")</f>
        <v>722770524577931264</v>
      </c>
      <c r="F1733" s="11" t="s">
        <v>437</v>
      </c>
      <c r="G1733" s="11">
        <v>622</v>
      </c>
      <c r="H1733" s="11">
        <v>766</v>
      </c>
      <c r="I1733" s="11">
        <v>1</v>
      </c>
      <c r="J1733" s="11">
        <v>0</v>
      </c>
      <c r="K1733" s="11" t="s">
        <v>21</v>
      </c>
      <c r="L1733" s="7">
        <v>40324.143020833333</v>
      </c>
      <c r="M1733" s="12" t="s">
        <v>742</v>
      </c>
      <c r="N1733" s="12" t="s">
        <v>3254</v>
      </c>
      <c r="O1733" s="10" t="str">
        <f>HYPERLINK("https://pbs.twimg.com/profile_images/931716957/rfid-logo_normal.png","View")</f>
        <v>View</v>
      </c>
      <c r="P1733" s="11"/>
    </row>
    <row r="1734" spans="1:16" ht="12.75" x14ac:dyDescent="0.35">
      <c r="A1734" s="7">
        <v>42480.768391203703</v>
      </c>
      <c r="B1734" s="8" t="str">
        <f>HYPERLINK("https://twitter.com/FACTS4WORKERS","@FACTS4WORKERS")</f>
        <v>@FACTS4WORKERS</v>
      </c>
      <c r="C1734" s="9" t="s">
        <v>1015</v>
      </c>
      <c r="D1734" s="9" t="s">
        <v>2867</v>
      </c>
      <c r="E1734" s="10" t="str">
        <f>HYPERLINK("https://twitter.com/FACTS4WORKERS/status/722770916158124032","722770916158124032")</f>
        <v>722770916158124032</v>
      </c>
      <c r="F1734" s="11" t="s">
        <v>25</v>
      </c>
      <c r="G1734" s="11">
        <v>138</v>
      </c>
      <c r="H1734" s="11">
        <v>295</v>
      </c>
      <c r="I1734" s="11">
        <v>3</v>
      </c>
      <c r="J1734" s="11">
        <v>0</v>
      </c>
      <c r="K1734" s="11" t="s">
        <v>21</v>
      </c>
      <c r="L1734" s="7">
        <v>42034.990567129629</v>
      </c>
      <c r="M1734" s="12" t="s">
        <v>1016</v>
      </c>
      <c r="N1734" s="12" t="s">
        <v>1017</v>
      </c>
      <c r="O1734" s="10" t="str">
        <f>HYPERLINK("https://pbs.twimg.com/profile_images/585755321416687616/BYqDL_No_normal.png","View")</f>
        <v>View</v>
      </c>
      <c r="P1734" s="11"/>
    </row>
    <row r="1735" spans="1:16" ht="12.75" x14ac:dyDescent="0.35">
      <c r="A1735" s="7">
        <v>42480.768564814818</v>
      </c>
      <c r="B1735" s="8" t="str">
        <f>HYPERLINK("https://twitter.com/thfege","@thfege")</f>
        <v>@thfege</v>
      </c>
      <c r="C1735" s="9" t="s">
        <v>3255</v>
      </c>
      <c r="D1735" s="9" t="s">
        <v>3238</v>
      </c>
      <c r="E1735" s="10" t="str">
        <f>HYPERLINK("https://twitter.com/thfege/status/722770978250616833","722770978250616833")</f>
        <v>722770978250616833</v>
      </c>
      <c r="F1735" s="11" t="s">
        <v>20</v>
      </c>
      <c r="G1735" s="11">
        <v>1446</v>
      </c>
      <c r="H1735" s="11">
        <v>1318</v>
      </c>
      <c r="I1735" s="11">
        <v>2</v>
      </c>
      <c r="J1735" s="11">
        <v>0</v>
      </c>
      <c r="K1735" s="11" t="s">
        <v>21</v>
      </c>
      <c r="L1735" s="7">
        <v>40967.185104166667</v>
      </c>
      <c r="M1735" s="12" t="s">
        <v>3256</v>
      </c>
      <c r="N1735" s="12"/>
      <c r="O1735" s="10" t="str">
        <f>HYPERLINK("https://pbs.twimg.com/profile_images/566346805752131584/AT6u6uJU_normal.jpeg","View")</f>
        <v>View</v>
      </c>
      <c r="P1735" s="11"/>
    </row>
    <row r="1736" spans="1:16" ht="12.75" x14ac:dyDescent="0.35">
      <c r="A1736" s="7">
        <v>42480.768796296295</v>
      </c>
      <c r="B1736" s="8" t="str">
        <f>HYPERLINK("https://twitter.com/Markenartikler","@Markenartikler")</f>
        <v>@Markenartikler</v>
      </c>
      <c r="C1736" s="9" t="s">
        <v>551</v>
      </c>
      <c r="D1736" s="9" t="s">
        <v>3257</v>
      </c>
      <c r="E1736" s="10" t="str">
        <f>HYPERLINK("https://twitter.com/Markenartikler/status/722771061092167680","722771061092167680")</f>
        <v>722771061092167680</v>
      </c>
      <c r="F1736" s="11" t="s">
        <v>115</v>
      </c>
      <c r="G1736" s="11">
        <v>1417</v>
      </c>
      <c r="H1736" s="11">
        <v>417</v>
      </c>
      <c r="I1736" s="11">
        <v>3</v>
      </c>
      <c r="J1736" s="11">
        <v>2</v>
      </c>
      <c r="K1736" s="11" t="s">
        <v>21</v>
      </c>
      <c r="L1736" s="7">
        <v>41599.61445601852</v>
      </c>
      <c r="M1736" s="12" t="s">
        <v>549</v>
      </c>
      <c r="N1736" s="12" t="s">
        <v>553</v>
      </c>
      <c r="O1736" s="10" t="str">
        <f>HYPERLINK("https://pbs.twimg.com/profile_images/684297499461423104/URLCw8tn_normal.jpg","View")</f>
        <v>View</v>
      </c>
      <c r="P1736" s="11"/>
    </row>
    <row r="1737" spans="1:16" ht="12.75" x14ac:dyDescent="0.35">
      <c r="A1737" s="7">
        <v>42480.768888888888</v>
      </c>
      <c r="B1737" s="8" t="str">
        <f>HYPERLINK("https://twitter.com/Ronald_Heinze","@Ronald_Heinze")</f>
        <v>@Ronald_Heinze</v>
      </c>
      <c r="C1737" s="9" t="s">
        <v>3243</v>
      </c>
      <c r="D1737" s="9" t="s">
        <v>3258</v>
      </c>
      <c r="E1737" s="10" t="str">
        <f>HYPERLINK("https://twitter.com/Ronald_Heinze/status/722771095183450112","722771095183450112")</f>
        <v>722771095183450112</v>
      </c>
      <c r="F1737" s="11" t="s">
        <v>25</v>
      </c>
      <c r="G1737" s="11">
        <v>76</v>
      </c>
      <c r="H1737" s="11">
        <v>48</v>
      </c>
      <c r="I1737" s="11">
        <v>0</v>
      </c>
      <c r="J1737" s="11">
        <v>0</v>
      </c>
      <c r="K1737" s="11" t="s">
        <v>21</v>
      </c>
      <c r="L1737" s="7">
        <v>42131.71166666667</v>
      </c>
      <c r="M1737" s="12"/>
      <c r="N1737" s="12" t="s">
        <v>3245</v>
      </c>
      <c r="O1737" s="10" t="str">
        <f>HYPERLINK("https://pbs.twimg.com/profile_images/596283853507010560/rOqlbvhj_normal.jpg","View")</f>
        <v>View</v>
      </c>
      <c r="P1737" s="11"/>
    </row>
    <row r="1738" spans="1:16" ht="12.75" x14ac:dyDescent="0.35">
      <c r="A1738" s="7">
        <v>42480.770613425921</v>
      </c>
      <c r="B1738" s="8" t="str">
        <f>HYPERLINK("https://twitter.com/kid_magdeburg","@kid_magdeburg")</f>
        <v>@kid_magdeburg</v>
      </c>
      <c r="C1738" s="9" t="s">
        <v>3259</v>
      </c>
      <c r="D1738" s="9" t="s">
        <v>3260</v>
      </c>
      <c r="E1738" s="10" t="str">
        <f>HYPERLINK("https://twitter.com/kid_magdeburg/status/722771721271390208","722771721271390208")</f>
        <v>722771721271390208</v>
      </c>
      <c r="F1738" s="11" t="s">
        <v>25</v>
      </c>
      <c r="G1738" s="11">
        <v>458</v>
      </c>
      <c r="H1738" s="11">
        <v>457</v>
      </c>
      <c r="I1738" s="11">
        <v>3</v>
      </c>
      <c r="J1738" s="11">
        <v>0</v>
      </c>
      <c r="K1738" s="11" t="s">
        <v>21</v>
      </c>
      <c r="L1738" s="7">
        <v>40623.809756944444</v>
      </c>
      <c r="M1738" s="12" t="s">
        <v>3261</v>
      </c>
      <c r="N1738" s="12" t="s">
        <v>3262</v>
      </c>
      <c r="O1738" s="10" t="str">
        <f>HYPERLINK("https://pbs.twimg.com/profile_images/1281536153/KID_Logo_gro__normal.jpg","View")</f>
        <v>View</v>
      </c>
      <c r="P1738" s="11"/>
    </row>
    <row r="1739" spans="1:16" ht="12.75" x14ac:dyDescent="0.35">
      <c r="A1739" s="7">
        <v>42480.770775462966</v>
      </c>
      <c r="B1739" s="8" t="str">
        <f>HYPERLINK("https://twitter.com/JETZT_PRde","@JETZT_PRde")</f>
        <v>@JETZT_PRde</v>
      </c>
      <c r="C1739" s="9" t="s">
        <v>1356</v>
      </c>
      <c r="D1739" s="9" t="s">
        <v>3263</v>
      </c>
      <c r="E1739" s="10" t="str">
        <f>HYPERLINK("https://twitter.com/JETZT_PRde/status/722771778557247489","722771778557247489")</f>
        <v>722771778557247489</v>
      </c>
      <c r="F1739" s="11" t="s">
        <v>25</v>
      </c>
      <c r="G1739" s="11">
        <v>1677</v>
      </c>
      <c r="H1739" s="11">
        <v>748</v>
      </c>
      <c r="I1739" s="11">
        <v>0</v>
      </c>
      <c r="J1739" s="11">
        <v>0</v>
      </c>
      <c r="K1739" s="11" t="s">
        <v>21</v>
      </c>
      <c r="L1739" s="7">
        <v>40682.604201388887</v>
      </c>
      <c r="M1739" s="12" t="s">
        <v>581</v>
      </c>
      <c r="N1739" s="12" t="s">
        <v>1358</v>
      </c>
      <c r="O1739" s="10" t="str">
        <f>HYPERLINK("https://pbs.twimg.com/profile_images/593011135428882432/BGMPkrwp_normal.jpg","View")</f>
        <v>View</v>
      </c>
      <c r="P1739" s="11"/>
    </row>
    <row r="1740" spans="1:16" ht="12.75" x14ac:dyDescent="0.35">
      <c r="A1740" s="7">
        <v>42480.773240740746</v>
      </c>
      <c r="B1740" s="8" t="str">
        <f>HYPERLINK("https://twitter.com/acatech_de","@acatech_de")</f>
        <v>@acatech_de</v>
      </c>
      <c r="C1740" s="9" t="s">
        <v>1667</v>
      </c>
      <c r="D1740" s="9" t="s">
        <v>3264</v>
      </c>
      <c r="E1740" s="10" t="str">
        <f>HYPERLINK("https://twitter.com/acatech_de/status/722772671830827008","722772671830827008")</f>
        <v>722772671830827008</v>
      </c>
      <c r="F1740" s="11" t="s">
        <v>3265</v>
      </c>
      <c r="G1740" s="11">
        <v>201</v>
      </c>
      <c r="H1740" s="11">
        <v>204</v>
      </c>
      <c r="I1740" s="11">
        <v>0</v>
      </c>
      <c r="J1740" s="11">
        <v>2</v>
      </c>
      <c r="K1740" s="11" t="s">
        <v>21</v>
      </c>
      <c r="L1740" s="7">
        <v>42101.61513888889</v>
      </c>
      <c r="M1740" s="12" t="s">
        <v>1669</v>
      </c>
      <c r="N1740" s="12" t="s">
        <v>1670</v>
      </c>
      <c r="O1740" s="10" t="str">
        <f>HYPERLINK("https://pbs.twimg.com/profile_images/600969802908356609/3JqGMg38_normal.png","View")</f>
        <v>View</v>
      </c>
      <c r="P1740" s="11"/>
    </row>
    <row r="1741" spans="1:16" ht="12.75" x14ac:dyDescent="0.35">
      <c r="A1741" s="7">
        <v>42480.773611111115</v>
      </c>
      <c r="B1741" s="8" t="str">
        <f>HYPERLINK("https://twitter.com/inqaaudit","@inqaaudit")</f>
        <v>@inqaaudit</v>
      </c>
      <c r="C1741" s="8" t="s">
        <v>3266</v>
      </c>
      <c r="D1741" s="9" t="s">
        <v>3267</v>
      </c>
      <c r="E1741" s="10" t="str">
        <f>HYPERLINK("https://twitter.com/inqaaudit/status/722772807214567424","722772807214567424")</f>
        <v>722772807214567424</v>
      </c>
      <c r="F1741" s="11" t="s">
        <v>25</v>
      </c>
      <c r="G1741" s="11">
        <v>45</v>
      </c>
      <c r="H1741" s="11">
        <v>113</v>
      </c>
      <c r="I1741" s="11">
        <v>1</v>
      </c>
      <c r="J1741" s="11">
        <v>0</v>
      </c>
      <c r="K1741" s="11" t="s">
        <v>21</v>
      </c>
      <c r="L1741" s="7">
        <v>42236.74324074074</v>
      </c>
      <c r="M1741" s="12"/>
      <c r="N1741" s="12" t="s">
        <v>3268</v>
      </c>
      <c r="O1741" s="10" t="str">
        <f>HYPERLINK("https://pbs.twimg.com/profile_images/634340215511994368/YcpVETOa_normal.jpg","View")</f>
        <v>View</v>
      </c>
      <c r="P1741" s="11"/>
    </row>
    <row r="1742" spans="1:16" ht="12.75" x14ac:dyDescent="0.35">
      <c r="A1742" s="7">
        <v>42480.77648148148</v>
      </c>
      <c r="B1742" s="8" t="str">
        <f>HYPERLINK("https://twitter.com/Apandia","@Apandia")</f>
        <v>@Apandia</v>
      </c>
      <c r="C1742" s="9" t="s">
        <v>245</v>
      </c>
      <c r="D1742" s="9" t="s">
        <v>2777</v>
      </c>
      <c r="E1742" s="10" t="str">
        <f>HYPERLINK("https://twitter.com/Apandia/status/722773847058067456","722773847058067456")</f>
        <v>722773847058067456</v>
      </c>
      <c r="F1742" s="11" t="s">
        <v>20</v>
      </c>
      <c r="G1742" s="11">
        <v>196</v>
      </c>
      <c r="H1742" s="11">
        <v>384</v>
      </c>
      <c r="I1742" s="11">
        <v>4</v>
      </c>
      <c r="J1742" s="11">
        <v>0</v>
      </c>
      <c r="K1742" s="11" t="s">
        <v>21</v>
      </c>
      <c r="L1742" s="7">
        <v>39966.049884259257</v>
      </c>
      <c r="M1742" s="12" t="s">
        <v>247</v>
      </c>
      <c r="N1742" s="12" t="s">
        <v>248</v>
      </c>
      <c r="O1742" s="10" t="str">
        <f>HYPERLINK("https://pbs.twimg.com/profile_images/685327213/Apandia_normal.gif","View")</f>
        <v>View</v>
      </c>
      <c r="P1742" s="11"/>
    </row>
    <row r="1743" spans="1:16" ht="12.75" x14ac:dyDescent="0.35">
      <c r="A1743" s="7">
        <v>42480.778854166667</v>
      </c>
      <c r="B1743" s="8" t="str">
        <f>HYPERLINK("https://twitter.com/faktenkontor","@faktenkontor")</f>
        <v>@faktenkontor</v>
      </c>
      <c r="C1743" s="9" t="s">
        <v>3269</v>
      </c>
      <c r="D1743" s="9" t="s">
        <v>3270</v>
      </c>
      <c r="E1743" s="10" t="str">
        <f>HYPERLINK("https://twitter.com/faktenkontor/status/722774709012549632","722774709012549632")</f>
        <v>722774709012549632</v>
      </c>
      <c r="F1743" s="11" t="s">
        <v>25</v>
      </c>
      <c r="G1743" s="11">
        <v>721</v>
      </c>
      <c r="H1743" s="11">
        <v>686</v>
      </c>
      <c r="I1743" s="11">
        <v>0</v>
      </c>
      <c r="J1743" s="11">
        <v>2</v>
      </c>
      <c r="K1743" s="11" t="s">
        <v>21</v>
      </c>
      <c r="L1743" s="7">
        <v>40368.56753472222</v>
      </c>
      <c r="M1743" s="12" t="s">
        <v>549</v>
      </c>
      <c r="N1743" s="12" t="s">
        <v>3271</v>
      </c>
      <c r="O1743" s="10" t="str">
        <f>HYPERLINK("https://pbs.twimg.com/profile_images/378800000073394505/cd91c3368bdada700bdb52bacb961fb5_normal.png","View")</f>
        <v>View</v>
      </c>
      <c r="P1743" s="11"/>
    </row>
    <row r="1744" spans="1:16" ht="12.75" x14ac:dyDescent="0.35">
      <c r="A1744" s="7">
        <v>42480.779039351852</v>
      </c>
      <c r="B1744" s="8" t="str">
        <f>HYPERLINK("https://twitter.com/lotsize1","@lotsize1")</f>
        <v>@lotsize1</v>
      </c>
      <c r="C1744" s="9" t="s">
        <v>3272</v>
      </c>
      <c r="D1744" s="9" t="s">
        <v>3201</v>
      </c>
      <c r="E1744" s="10" t="str">
        <f>HYPERLINK("https://twitter.com/lotsize1/status/722774774695374848","722774774695374848")</f>
        <v>722774774695374848</v>
      </c>
      <c r="F1744" s="11" t="s">
        <v>25</v>
      </c>
      <c r="G1744" s="11">
        <v>5</v>
      </c>
      <c r="H1744" s="11">
        <v>60</v>
      </c>
      <c r="I1744" s="11">
        <v>8</v>
      </c>
      <c r="J1744" s="11">
        <v>0</v>
      </c>
      <c r="K1744" s="11" t="s">
        <v>21</v>
      </c>
      <c r="L1744" s="7">
        <v>42480.768935185188</v>
      </c>
      <c r="M1744" s="12"/>
      <c r="N1744" s="12"/>
      <c r="O1744" s="10" t="str">
        <f>HYPERLINK("https://abs.twimg.com/sticky/default_profile_images/default_profile_2_normal.png","View")</f>
        <v>View</v>
      </c>
      <c r="P1744" s="11"/>
    </row>
    <row r="1745" spans="1:16" ht="12.75" x14ac:dyDescent="0.35">
      <c r="A1745" s="7">
        <v>42480.782673611116</v>
      </c>
      <c r="B1745" s="8" t="str">
        <f>HYPERLINK("https://twitter.com/packagingJ","@packagingJ")</f>
        <v>@packagingJ</v>
      </c>
      <c r="C1745" s="9" t="s">
        <v>3192</v>
      </c>
      <c r="D1745" s="9" t="s">
        <v>3273</v>
      </c>
      <c r="E1745" s="10" t="str">
        <f>HYPERLINK("https://twitter.com/packagingJ/status/722776092956733441","722776092956733441")</f>
        <v>722776092956733441</v>
      </c>
      <c r="F1745" s="11" t="s">
        <v>25</v>
      </c>
      <c r="G1745" s="11">
        <v>313</v>
      </c>
      <c r="H1745" s="11">
        <v>231</v>
      </c>
      <c r="I1745" s="11">
        <v>0</v>
      </c>
      <c r="J1745" s="11">
        <v>1</v>
      </c>
      <c r="K1745" s="11" t="s">
        <v>21</v>
      </c>
      <c r="L1745" s="7">
        <v>41051.756550925929</v>
      </c>
      <c r="M1745" s="12" t="s">
        <v>895</v>
      </c>
      <c r="N1745" s="12"/>
      <c r="O1745" s="10" t="str">
        <f>HYPERLINK("https://pbs.twimg.com/profile_images/2240680734/pj-logo1_normal.png","View")</f>
        <v>View</v>
      </c>
      <c r="P1745" s="11"/>
    </row>
    <row r="1746" spans="1:16" ht="12.75" x14ac:dyDescent="0.35">
      <c r="A1746" s="7">
        <v>42480.783379629633</v>
      </c>
      <c r="B1746" s="8" t="str">
        <f>HYPERLINK("https://twitter.com/SECbuddy_de","@SECbuddy_de")</f>
        <v>@SECbuddy_de</v>
      </c>
      <c r="C1746" s="9" t="s">
        <v>3274</v>
      </c>
      <c r="D1746" s="9" t="s">
        <v>3275</v>
      </c>
      <c r="E1746" s="10" t="str">
        <f>HYPERLINK("https://twitter.com/SECbuddy_de/status/722776348889083904","722776348889083904")</f>
        <v>722776348889083904</v>
      </c>
      <c r="F1746" s="11" t="s">
        <v>25</v>
      </c>
      <c r="G1746" s="11">
        <v>668</v>
      </c>
      <c r="H1746" s="11">
        <v>1051</v>
      </c>
      <c r="I1746" s="11">
        <v>0</v>
      </c>
      <c r="J1746" s="11">
        <v>0</v>
      </c>
      <c r="K1746" s="11" t="s">
        <v>21</v>
      </c>
      <c r="L1746" s="7">
        <v>41721.890763888892</v>
      </c>
      <c r="M1746" s="12" t="s">
        <v>1290</v>
      </c>
      <c r="N1746" s="12" t="s">
        <v>3276</v>
      </c>
      <c r="O1746" s="10" t="str">
        <f>HYPERLINK("https://pbs.twimg.com/profile_images/583155768666505216/fzvNGieB_normal.png","View")</f>
        <v>View</v>
      </c>
      <c r="P1746" s="11"/>
    </row>
    <row r="1747" spans="1:16" ht="12.75" x14ac:dyDescent="0.35">
      <c r="A1747" s="7">
        <v>42480.783645833333</v>
      </c>
      <c r="B1747" s="8" t="str">
        <f>HYPERLINK("https://twitter.com/stefanklix","@stefanklix")</f>
        <v>@stefanklix</v>
      </c>
      <c r="C1747" s="9" t="s">
        <v>3277</v>
      </c>
      <c r="D1747" s="9" t="s">
        <v>2947</v>
      </c>
      <c r="E1747" s="10" t="str">
        <f>HYPERLINK("https://twitter.com/stefanklix/status/722776445186084864","722776445186084864")</f>
        <v>722776445186084864</v>
      </c>
      <c r="F1747" s="11" t="s">
        <v>20</v>
      </c>
      <c r="G1747" s="11">
        <v>950</v>
      </c>
      <c r="H1747" s="11">
        <v>952</v>
      </c>
      <c r="I1747" s="11">
        <v>21</v>
      </c>
      <c r="J1747" s="11">
        <v>0</v>
      </c>
      <c r="K1747" s="11" t="s">
        <v>21</v>
      </c>
      <c r="L1747" s="7">
        <v>39867.720671296294</v>
      </c>
      <c r="M1747" s="12" t="s">
        <v>3278</v>
      </c>
      <c r="N1747" s="12" t="s">
        <v>3279</v>
      </c>
      <c r="O1747" s="10" t="str">
        <f>HYPERLINK("https://pbs.twimg.com/profile_images/3664039115/b3a9108e679badd26a706db043fb4866_normal.jpeg","View")</f>
        <v>View</v>
      </c>
      <c r="P1747" s="11"/>
    </row>
    <row r="1748" spans="1:16" ht="12.75" x14ac:dyDescent="0.35">
      <c r="A1748" s="7">
        <v>42480.789537037039</v>
      </c>
      <c r="B1748" s="8" t="str">
        <f>HYPERLINK("https://twitter.com/Ralf_Kuder","@Ralf_Kuder")</f>
        <v>@Ralf_Kuder</v>
      </c>
      <c r="C1748" s="9" t="s">
        <v>400</v>
      </c>
      <c r="D1748" s="9" t="s">
        <v>3280</v>
      </c>
      <c r="E1748" s="10" t="str">
        <f>HYPERLINK("https://twitter.com/Ralf_Kuder/status/722778577180045312","722778577180045312")</f>
        <v>722778577180045312</v>
      </c>
      <c r="F1748" s="11" t="s">
        <v>25</v>
      </c>
      <c r="G1748" s="11">
        <v>58</v>
      </c>
      <c r="H1748" s="11">
        <v>76</v>
      </c>
      <c r="I1748" s="11">
        <v>3</v>
      </c>
      <c r="J1748" s="11">
        <v>5</v>
      </c>
      <c r="K1748" s="11" t="s">
        <v>21</v>
      </c>
      <c r="L1748" s="7">
        <v>41753.717210648145</v>
      </c>
      <c r="M1748" s="12" t="s">
        <v>402</v>
      </c>
      <c r="N1748" s="12" t="s">
        <v>403</v>
      </c>
      <c r="O1748" s="10" t="str">
        <f>HYPERLINK("https://pbs.twimg.com/profile_images/721292749069291520/oMrDhdql_normal.jpg","View")</f>
        <v>View</v>
      </c>
      <c r="P1748" s="11"/>
    </row>
    <row r="1749" spans="1:16" ht="12.75" x14ac:dyDescent="0.35">
      <c r="A1749" s="7">
        <v>42480.790451388893</v>
      </c>
      <c r="B1749" s="8" t="str">
        <f>HYPERLINK("https://twitter.com/NRWinEU","@NRWinEU")</f>
        <v>@NRWinEU</v>
      </c>
      <c r="C1749" s="9" t="s">
        <v>427</v>
      </c>
      <c r="D1749" s="9" t="s">
        <v>3281</v>
      </c>
      <c r="E1749" s="10" t="str">
        <f>HYPERLINK("https://twitter.com/NRWinEU/status/722778912145731584","722778912145731584")</f>
        <v>722778912145731584</v>
      </c>
      <c r="F1749" s="11" t="s">
        <v>25</v>
      </c>
      <c r="G1749" s="11">
        <v>748</v>
      </c>
      <c r="H1749" s="11">
        <v>573</v>
      </c>
      <c r="I1749" s="11">
        <v>3</v>
      </c>
      <c r="J1749" s="11">
        <v>0</v>
      </c>
      <c r="K1749" s="11" t="s">
        <v>21</v>
      </c>
      <c r="L1749" s="7">
        <v>41733.620034722218</v>
      </c>
      <c r="M1749" s="12" t="s">
        <v>429</v>
      </c>
      <c r="N1749" s="12" t="s">
        <v>430</v>
      </c>
      <c r="O1749" s="10" t="str">
        <f>HYPERLINK("https://pbs.twimg.com/profile_images/454290279252500480/JkMkXwUd_normal.jpeg","View")</f>
        <v>View</v>
      </c>
      <c r="P1749" s="11"/>
    </row>
    <row r="1750" spans="1:16" ht="12.75" x14ac:dyDescent="0.35">
      <c r="A1750" s="7">
        <v>42480.791377314818</v>
      </c>
      <c r="B1750" s="8" t="str">
        <f>HYPERLINK("https://twitter.com/WirtschaftNRW","@WirtschaftNRW")</f>
        <v>@WirtschaftNRW</v>
      </c>
      <c r="C1750" s="9" t="s">
        <v>3282</v>
      </c>
      <c r="D1750" s="9" t="s">
        <v>3281</v>
      </c>
      <c r="E1750" s="10" t="str">
        <f>HYPERLINK("https://twitter.com/WirtschaftNRW/status/722779245437657088","722779245437657088")</f>
        <v>722779245437657088</v>
      </c>
      <c r="F1750" s="11" t="s">
        <v>25</v>
      </c>
      <c r="G1750" s="11">
        <v>6886</v>
      </c>
      <c r="H1750" s="11">
        <v>213</v>
      </c>
      <c r="I1750" s="11">
        <v>3</v>
      </c>
      <c r="J1750" s="11">
        <v>0</v>
      </c>
      <c r="K1750" s="11" t="s">
        <v>21</v>
      </c>
      <c r="L1750" s="7">
        <v>41534.644224537034</v>
      </c>
      <c r="M1750" s="12" t="s">
        <v>3283</v>
      </c>
      <c r="N1750" s="12" t="s">
        <v>3284</v>
      </c>
      <c r="O1750" s="10" t="str">
        <f>HYPERLINK("https://pbs.twimg.com/profile_images/378800000468774437/ab56654542801735d8e239cf7f71582a_normal.jpeg","View")</f>
        <v>View</v>
      </c>
      <c r="P1750" s="11"/>
    </row>
    <row r="1751" spans="1:16" ht="12.75" x14ac:dyDescent="0.35">
      <c r="A1751" s="7">
        <v>42480.792951388888</v>
      </c>
      <c r="B1751" s="8" t="str">
        <f>HYPERLINK("https://twitter.com/INDIZbot","@INDIZbot")</f>
        <v>@INDIZbot</v>
      </c>
      <c r="C1751" s="9" t="s">
        <v>61</v>
      </c>
      <c r="D1751" s="9" t="s">
        <v>3281</v>
      </c>
      <c r="E1751" s="10" t="str">
        <f>HYPERLINK("https://twitter.com/INDIZbot/status/722779816035028992","722779816035028992")</f>
        <v>722779816035028992</v>
      </c>
      <c r="F1751" s="11" t="s">
        <v>62</v>
      </c>
      <c r="G1751" s="11">
        <v>1762</v>
      </c>
      <c r="H1751" s="11">
        <v>481</v>
      </c>
      <c r="I1751" s="11">
        <v>3</v>
      </c>
      <c r="J1751" s="11">
        <v>0</v>
      </c>
      <c r="K1751" s="11" t="s">
        <v>21</v>
      </c>
      <c r="L1751" s="7">
        <v>42267.011921296296</v>
      </c>
      <c r="M1751" s="12"/>
      <c r="N1751" s="12" t="s">
        <v>63</v>
      </c>
      <c r="O1751" s="10" t="str">
        <f>HYPERLINK("https://pbs.twimg.com/profile_images/645716711723925506/t5G0qOS6_normal.jpg","View")</f>
        <v>View</v>
      </c>
      <c r="P1751" s="11"/>
    </row>
    <row r="1752" spans="1:16" ht="12.75" x14ac:dyDescent="0.35">
      <c r="A1752" s="7">
        <v>42480.794618055559</v>
      </c>
      <c r="B1752" s="8" t="str">
        <f t="shared" ref="B1752:B1753" si="200">HYPERLINK("https://twitter.com/lotsizeone","@lotsizeone")</f>
        <v>@lotsizeone</v>
      </c>
      <c r="C1752" s="9" t="s">
        <v>3272</v>
      </c>
      <c r="D1752" s="9" t="s">
        <v>3201</v>
      </c>
      <c r="E1752" s="10" t="str">
        <f>HYPERLINK("https://twitter.com/lotsizeone/status/722780419561631745","722780419561631745")</f>
        <v>722780419561631745</v>
      </c>
      <c r="F1752" s="11" t="s">
        <v>25</v>
      </c>
      <c r="G1752" s="11">
        <v>8</v>
      </c>
      <c r="H1752" s="11">
        <v>63</v>
      </c>
      <c r="I1752" s="11">
        <v>8</v>
      </c>
      <c r="J1752" s="11">
        <v>0</v>
      </c>
      <c r="K1752" s="11" t="s">
        <v>21</v>
      </c>
      <c r="L1752" s="7">
        <v>42480.764884259261</v>
      </c>
      <c r="M1752" s="12"/>
      <c r="N1752" s="12"/>
      <c r="O1752" s="10" t="str">
        <f t="shared" ref="O1752:O1753" si="201">HYPERLINK("https://abs.twimg.com/sticky/default_profile_images/default_profile_0_normal.png","View")</f>
        <v>View</v>
      </c>
      <c r="P1752" s="11"/>
    </row>
    <row r="1753" spans="1:16" ht="12.75" x14ac:dyDescent="0.35">
      <c r="A1753" s="7">
        <v>42480.794722222221</v>
      </c>
      <c r="B1753" s="8" t="str">
        <f t="shared" si="200"/>
        <v>@lotsizeone</v>
      </c>
      <c r="C1753" s="9" t="s">
        <v>3272</v>
      </c>
      <c r="D1753" s="9" t="s">
        <v>3285</v>
      </c>
      <c r="E1753" s="10" t="str">
        <f>HYPERLINK("https://twitter.com/lotsizeone/status/722780459571109888","722780459571109888")</f>
        <v>722780459571109888</v>
      </c>
      <c r="F1753" s="11" t="s">
        <v>25</v>
      </c>
      <c r="G1753" s="11">
        <v>8</v>
      </c>
      <c r="H1753" s="11">
        <v>63</v>
      </c>
      <c r="I1753" s="11">
        <v>2</v>
      </c>
      <c r="J1753" s="11">
        <v>0</v>
      </c>
      <c r="K1753" s="11" t="s">
        <v>21</v>
      </c>
      <c r="L1753" s="7">
        <v>42480.764884259261</v>
      </c>
      <c r="M1753" s="12"/>
      <c r="N1753" s="12"/>
      <c r="O1753" s="10" t="str">
        <f t="shared" si="201"/>
        <v>View</v>
      </c>
      <c r="P1753" s="11"/>
    </row>
    <row r="1754" spans="1:16" ht="12.75" x14ac:dyDescent="0.35">
      <c r="A1754" s="7">
        <v>42480.797719907408</v>
      </c>
      <c r="B1754" s="8" t="str">
        <f>HYPERLINK("https://twitter.com/H_IT_D","@H_IT_D")</f>
        <v>@H_IT_D</v>
      </c>
      <c r="C1754" s="9" t="s">
        <v>159</v>
      </c>
      <c r="D1754" s="9" t="s">
        <v>3286</v>
      </c>
      <c r="E1754" s="10" t="str">
        <f>HYPERLINK("https://twitter.com/H_IT_D/status/722781545564491776","722781545564491776")</f>
        <v>722781545564491776</v>
      </c>
      <c r="F1754" s="11" t="s">
        <v>161</v>
      </c>
      <c r="G1754" s="11">
        <v>463</v>
      </c>
      <c r="H1754" s="11">
        <v>467</v>
      </c>
      <c r="I1754" s="11">
        <v>0</v>
      </c>
      <c r="J1754" s="11">
        <v>0</v>
      </c>
      <c r="K1754" s="11" t="s">
        <v>21</v>
      </c>
      <c r="L1754" s="7">
        <v>40723.867673611108</v>
      </c>
      <c r="M1754" s="12" t="s">
        <v>162</v>
      </c>
      <c r="N1754" s="12" t="s">
        <v>163</v>
      </c>
      <c r="O1754" s="10" t="str">
        <f>HYPERLINK("https://pbs.twimg.com/profile_images/662723326096224256/5V4KH9_O_normal.jpg","View")</f>
        <v>View</v>
      </c>
      <c r="P1754" s="11"/>
    </row>
    <row r="1755" spans="1:16" ht="12.75" x14ac:dyDescent="0.35">
      <c r="A1755" s="7">
        <v>42480.798981481479</v>
      </c>
      <c r="B1755" s="8" t="str">
        <f>HYPERLINK("https://twitter.com/croXXing_IBD","@croXXing_IBD")</f>
        <v>@croXXing_IBD</v>
      </c>
      <c r="C1755" s="9" t="s">
        <v>252</v>
      </c>
      <c r="D1755" s="9" t="s">
        <v>3287</v>
      </c>
      <c r="E1755" s="10" t="str">
        <f>HYPERLINK("https://twitter.com/croXXing_IBD/status/722781999698735104","722781999698735104")</f>
        <v>722781999698735104</v>
      </c>
      <c r="F1755" s="11" t="s">
        <v>222</v>
      </c>
      <c r="G1755" s="11">
        <v>40</v>
      </c>
      <c r="H1755" s="11">
        <v>137</v>
      </c>
      <c r="I1755" s="11">
        <v>0</v>
      </c>
      <c r="J1755" s="11">
        <v>0</v>
      </c>
      <c r="K1755" s="11" t="s">
        <v>21</v>
      </c>
      <c r="L1755" s="7">
        <v>42140.148263888885</v>
      </c>
      <c r="M1755" s="12" t="s">
        <v>223</v>
      </c>
      <c r="N1755" s="12" t="s">
        <v>254</v>
      </c>
      <c r="O1755" s="10" t="str">
        <f>HYPERLINK("https://pbs.twimg.com/profile_images/600279861282869249/IpIJ3MKX_normal.png","View")</f>
        <v>View</v>
      </c>
      <c r="P1755" s="11"/>
    </row>
    <row r="1756" spans="1:16" ht="12.75" x14ac:dyDescent="0.35">
      <c r="A1756" s="7">
        <v>42480.804247685184</v>
      </c>
      <c r="B1756" s="8" t="str">
        <f>HYPERLINK("https://twitter.com/TrendONE","@TrendONE")</f>
        <v>@TrendONE</v>
      </c>
      <c r="C1756" s="9" t="s">
        <v>3288</v>
      </c>
      <c r="D1756" s="9" t="s">
        <v>3289</v>
      </c>
      <c r="E1756" s="10" t="str">
        <f>HYPERLINK("https://twitter.com/TrendONE/status/722783909172420608","722783909172420608")</f>
        <v>722783909172420608</v>
      </c>
      <c r="F1756" s="11" t="s">
        <v>31</v>
      </c>
      <c r="G1756" s="11">
        <v>3242</v>
      </c>
      <c r="H1756" s="11">
        <v>604</v>
      </c>
      <c r="I1756" s="11">
        <v>1</v>
      </c>
      <c r="J1756" s="11">
        <v>0</v>
      </c>
      <c r="K1756" s="11" t="s">
        <v>21</v>
      </c>
      <c r="L1756" s="7">
        <v>39561.763171296298</v>
      </c>
      <c r="M1756" s="12" t="s">
        <v>3290</v>
      </c>
      <c r="N1756" s="12" t="s">
        <v>3291</v>
      </c>
      <c r="O1756" s="10" t="str">
        <f>HYPERLINK("https://pbs.twimg.com/profile_images/520196618650255360/_jlLFoBs_normal.png","View")</f>
        <v>View</v>
      </c>
      <c r="P1756" s="11"/>
    </row>
    <row r="1757" spans="1:16" ht="12.75" x14ac:dyDescent="0.35">
      <c r="A1757" s="7">
        <v>42480.804270833338</v>
      </c>
      <c r="B1757" s="8" t="str">
        <f>HYPERLINK("https://twitter.com/ITK_OWL","@ITK_OWL")</f>
        <v>@ITK_OWL</v>
      </c>
      <c r="C1757" s="9" t="s">
        <v>220</v>
      </c>
      <c r="D1757" s="9" t="s">
        <v>3292</v>
      </c>
      <c r="E1757" s="10" t="str">
        <f>HYPERLINK("https://twitter.com/ITK_OWL/status/722783918064300037","722783918064300037")</f>
        <v>722783918064300037</v>
      </c>
      <c r="F1757" s="11" t="s">
        <v>222</v>
      </c>
      <c r="G1757" s="11">
        <v>199</v>
      </c>
      <c r="H1757" s="11">
        <v>389</v>
      </c>
      <c r="I1757" s="11">
        <v>0</v>
      </c>
      <c r="J1757" s="11">
        <v>0</v>
      </c>
      <c r="K1757" s="11" t="s">
        <v>21</v>
      </c>
      <c r="L1757" s="7">
        <v>42146.57880787037</v>
      </c>
      <c r="M1757" s="12" t="s">
        <v>223</v>
      </c>
      <c r="N1757" s="12" t="s">
        <v>224</v>
      </c>
      <c r="O1757" s="10" t="str">
        <f>HYPERLINK("https://pbs.twimg.com/profile_images/601673968551075840/MnulnKkj_normal.png","View")</f>
        <v>View</v>
      </c>
      <c r="P1757" s="11"/>
    </row>
    <row r="1758" spans="1:16" ht="12.75" x14ac:dyDescent="0.35">
      <c r="A1758" s="7">
        <v>42480.814432870371</v>
      </c>
      <c r="B1758" s="8" t="str">
        <f t="shared" ref="B1758:B1759" si="202">HYPERLINK("https://twitter.com/lotsize1","@lotsize1")</f>
        <v>@lotsize1</v>
      </c>
      <c r="C1758" s="9" t="s">
        <v>3272</v>
      </c>
      <c r="D1758" s="9" t="s">
        <v>3293</v>
      </c>
      <c r="E1758" s="10" t="str">
        <f>HYPERLINK("https://twitter.com/lotsize1/status/722787602349301761","722787602349301761")</f>
        <v>722787602349301761</v>
      </c>
      <c r="F1758" s="11" t="s">
        <v>25</v>
      </c>
      <c r="G1758" s="11">
        <v>5</v>
      </c>
      <c r="H1758" s="11">
        <v>60</v>
      </c>
      <c r="I1758" s="11">
        <v>2</v>
      </c>
      <c r="J1758" s="11">
        <v>0</v>
      </c>
      <c r="K1758" s="11" t="s">
        <v>21</v>
      </c>
      <c r="L1758" s="7">
        <v>42480.768935185188</v>
      </c>
      <c r="M1758" s="12"/>
      <c r="N1758" s="12"/>
      <c r="O1758" s="10" t="str">
        <f t="shared" ref="O1758:O1759" si="203">HYPERLINK("https://abs.twimg.com/sticky/default_profile_images/default_profile_2_normal.png","View")</f>
        <v>View</v>
      </c>
      <c r="P1758" s="11"/>
    </row>
    <row r="1759" spans="1:16" ht="12.75" x14ac:dyDescent="0.35">
      <c r="A1759" s="7">
        <v>42480.815752314811</v>
      </c>
      <c r="B1759" s="8" t="str">
        <f t="shared" si="202"/>
        <v>@lotsize1</v>
      </c>
      <c r="C1759" s="9" t="s">
        <v>3272</v>
      </c>
      <c r="D1759" s="9" t="s">
        <v>3294</v>
      </c>
      <c r="E1759" s="10" t="str">
        <f>HYPERLINK("https://twitter.com/lotsize1/status/722788077333143552","722788077333143552")</f>
        <v>722788077333143552</v>
      </c>
      <c r="F1759" s="11" t="s">
        <v>25</v>
      </c>
      <c r="G1759" s="11">
        <v>5</v>
      </c>
      <c r="H1759" s="11">
        <v>60</v>
      </c>
      <c r="I1759" s="11">
        <v>1</v>
      </c>
      <c r="J1759" s="11">
        <v>0</v>
      </c>
      <c r="K1759" s="11" t="s">
        <v>21</v>
      </c>
      <c r="L1759" s="7">
        <v>42480.768935185188</v>
      </c>
      <c r="M1759" s="12"/>
      <c r="N1759" s="12"/>
      <c r="O1759" s="10" t="str">
        <f t="shared" si="203"/>
        <v>View</v>
      </c>
      <c r="P1759" s="11"/>
    </row>
    <row r="1760" spans="1:16" ht="12.75" x14ac:dyDescent="0.35">
      <c r="A1760" s="7">
        <v>42480.815995370373</v>
      </c>
      <c r="B1760" s="8" t="str">
        <f>HYPERLINK("https://twitter.com/kommoptimierer","@kommoptimierer")</f>
        <v>@kommoptimierer</v>
      </c>
      <c r="C1760" s="9" t="s">
        <v>270</v>
      </c>
      <c r="D1760" s="9" t="s">
        <v>505</v>
      </c>
      <c r="E1760" s="10" t="str">
        <f>HYPERLINK("https://twitter.com/kommoptimierer/status/722788166479048704","722788166479048704")</f>
        <v>722788166479048704</v>
      </c>
      <c r="F1760" s="11" t="s">
        <v>272</v>
      </c>
      <c r="G1760" s="11">
        <v>1347</v>
      </c>
      <c r="H1760" s="11">
        <v>1753</v>
      </c>
      <c r="I1760" s="11">
        <v>1</v>
      </c>
      <c r="J1760" s="11">
        <v>0</v>
      </c>
      <c r="K1760" s="11" t="s">
        <v>21</v>
      </c>
      <c r="L1760" s="7">
        <v>39986.860358796301</v>
      </c>
      <c r="M1760" s="12" t="s">
        <v>273</v>
      </c>
      <c r="N1760" s="12" t="s">
        <v>274</v>
      </c>
      <c r="O1760" s="10" t="str">
        <f>HYPERLINK("https://pbs.twimg.com/profile_images/541146126158536704/IYardufS_normal.jpeg","View")</f>
        <v>View</v>
      </c>
      <c r="P1760" s="11"/>
    </row>
    <row r="1761" spans="1:16" ht="12.75" x14ac:dyDescent="0.35">
      <c r="A1761" s="7">
        <v>42480.818900462968</v>
      </c>
      <c r="B1761" s="8" t="str">
        <f>HYPERLINK("https://twitter.com/BoschPresse","@BoschPresse")</f>
        <v>@BoschPresse</v>
      </c>
      <c r="C1761" s="9" t="s">
        <v>1782</v>
      </c>
      <c r="D1761" s="9" t="s">
        <v>3295</v>
      </c>
      <c r="E1761" s="10" t="str">
        <f>HYPERLINK("https://twitter.com/BoschPresse/status/722789220935458816","722789220935458816")</f>
        <v>722789220935458816</v>
      </c>
      <c r="F1761" s="11" t="s">
        <v>39</v>
      </c>
      <c r="G1761" s="11">
        <v>7560</v>
      </c>
      <c r="H1761" s="11">
        <v>389</v>
      </c>
      <c r="I1761" s="11">
        <v>3</v>
      </c>
      <c r="J1761" s="11">
        <v>5</v>
      </c>
      <c r="K1761" s="11" t="s">
        <v>21</v>
      </c>
      <c r="L1761" s="7">
        <v>40991.629687499997</v>
      </c>
      <c r="M1761" s="12" t="s">
        <v>162</v>
      </c>
      <c r="N1761" s="12" t="s">
        <v>1784</v>
      </c>
      <c r="O1761" s="10" t="str">
        <f>HYPERLINK("https://pbs.twimg.com/profile_images/2619086509/ld3z97zhhdbs2essw7s9_normal.jpeg","View")</f>
        <v>View</v>
      </c>
      <c r="P1761" s="11"/>
    </row>
    <row r="1762" spans="1:16" ht="12.75" x14ac:dyDescent="0.35">
      <c r="A1762" s="7">
        <v>42480.819571759261</v>
      </c>
      <c r="B1762" s="8" t="str">
        <f>HYPERLINK("https://twitter.com/JETZT_PRde","@JETZT_PRde")</f>
        <v>@JETZT_PRde</v>
      </c>
      <c r="C1762" s="9" t="s">
        <v>1356</v>
      </c>
      <c r="D1762" s="9" t="s">
        <v>3296</v>
      </c>
      <c r="E1762" s="10" t="str">
        <f>HYPERLINK("https://twitter.com/JETZT_PRde/status/722789463013785600","722789463013785600")</f>
        <v>722789463013785600</v>
      </c>
      <c r="F1762" s="11" t="s">
        <v>25</v>
      </c>
      <c r="G1762" s="11">
        <v>1677</v>
      </c>
      <c r="H1762" s="11">
        <v>748</v>
      </c>
      <c r="I1762" s="11">
        <v>1</v>
      </c>
      <c r="J1762" s="11">
        <v>2</v>
      </c>
      <c r="K1762" s="11" t="s">
        <v>21</v>
      </c>
      <c r="L1762" s="7">
        <v>40682.604201388887</v>
      </c>
      <c r="M1762" s="12" t="s">
        <v>581</v>
      </c>
      <c r="N1762" s="12" t="s">
        <v>1358</v>
      </c>
      <c r="O1762" s="10" t="str">
        <f>HYPERLINK("https://pbs.twimg.com/profile_images/593011135428882432/BGMPkrwp_normal.jpg","View")</f>
        <v>View</v>
      </c>
      <c r="P1762" s="11"/>
    </row>
    <row r="1763" spans="1:16" ht="12.75" x14ac:dyDescent="0.35">
      <c r="A1763" s="7">
        <v>42480.820254629631</v>
      </c>
      <c r="B1763" s="8" t="str">
        <f t="shared" ref="B1763:B1765" si="204">HYPERLINK("https://twitter.com/INDIZbot","@INDIZbot")</f>
        <v>@INDIZbot</v>
      </c>
      <c r="C1763" s="9" t="s">
        <v>61</v>
      </c>
      <c r="D1763" s="9" t="s">
        <v>3297</v>
      </c>
      <c r="E1763" s="10" t="str">
        <f>HYPERLINK("https://twitter.com/INDIZbot/status/722789709357981696","722789709357981696")</f>
        <v>722789709357981696</v>
      </c>
      <c r="F1763" s="11" t="s">
        <v>62</v>
      </c>
      <c r="G1763" s="11">
        <v>1762</v>
      </c>
      <c r="H1763" s="11">
        <v>481</v>
      </c>
      <c r="I1763" s="11">
        <v>1</v>
      </c>
      <c r="J1763" s="11">
        <v>0</v>
      </c>
      <c r="K1763" s="11" t="s">
        <v>21</v>
      </c>
      <c r="L1763" s="7">
        <v>42267.011921296296</v>
      </c>
      <c r="M1763" s="12"/>
      <c r="N1763" s="12" t="s">
        <v>63</v>
      </c>
      <c r="O1763" s="10" t="str">
        <f t="shared" ref="O1763:O1765" si="205">HYPERLINK("https://pbs.twimg.com/profile_images/645716711723925506/t5G0qOS6_normal.jpg","View")</f>
        <v>View</v>
      </c>
      <c r="P1763" s="11"/>
    </row>
    <row r="1764" spans="1:16" ht="12.75" x14ac:dyDescent="0.35">
      <c r="A1764" s="7">
        <v>42480.820462962962</v>
      </c>
      <c r="B1764" s="8" t="str">
        <f t="shared" si="204"/>
        <v>@INDIZbot</v>
      </c>
      <c r="C1764" s="9" t="s">
        <v>61</v>
      </c>
      <c r="D1764" s="9" t="s">
        <v>3298</v>
      </c>
      <c r="E1764" s="10" t="str">
        <f>HYPERLINK("https://twitter.com/INDIZbot/status/722789787992764416","722789787992764416")</f>
        <v>722789787992764416</v>
      </c>
      <c r="F1764" s="11" t="s">
        <v>62</v>
      </c>
      <c r="G1764" s="11">
        <v>1762</v>
      </c>
      <c r="H1764" s="11">
        <v>481</v>
      </c>
      <c r="I1764" s="11">
        <v>3</v>
      </c>
      <c r="J1764" s="11">
        <v>0</v>
      </c>
      <c r="K1764" s="11" t="s">
        <v>21</v>
      </c>
      <c r="L1764" s="7">
        <v>42267.011921296296</v>
      </c>
      <c r="M1764" s="12"/>
      <c r="N1764" s="12" t="s">
        <v>63</v>
      </c>
      <c r="O1764" s="10" t="str">
        <f t="shared" si="205"/>
        <v>View</v>
      </c>
      <c r="P1764" s="11"/>
    </row>
    <row r="1765" spans="1:16" ht="12.75" x14ac:dyDescent="0.35">
      <c r="A1765" s="7">
        <v>42480.821250000001</v>
      </c>
      <c r="B1765" s="8" t="str">
        <f t="shared" si="204"/>
        <v>@INDIZbot</v>
      </c>
      <c r="C1765" s="9" t="s">
        <v>61</v>
      </c>
      <c r="D1765" s="9" t="s">
        <v>2535</v>
      </c>
      <c r="E1765" s="10" t="str">
        <f>HYPERLINK("https://twitter.com/INDIZbot/status/722790070667882496","722790070667882496")</f>
        <v>722790070667882496</v>
      </c>
      <c r="F1765" s="11" t="s">
        <v>62</v>
      </c>
      <c r="G1765" s="11">
        <v>1762</v>
      </c>
      <c r="H1765" s="11">
        <v>481</v>
      </c>
      <c r="I1765" s="11">
        <v>1</v>
      </c>
      <c r="J1765" s="11">
        <v>0</v>
      </c>
      <c r="K1765" s="11" t="s">
        <v>21</v>
      </c>
      <c r="L1765" s="7">
        <v>42267.011921296296</v>
      </c>
      <c r="M1765" s="12"/>
      <c r="N1765" s="12" t="s">
        <v>63</v>
      </c>
      <c r="O1765" s="10" t="str">
        <f t="shared" si="205"/>
        <v>View</v>
      </c>
      <c r="P1765" s="11"/>
    </row>
    <row r="1766" spans="1:16" ht="12.75" x14ac:dyDescent="0.35">
      <c r="A1766" s="7">
        <v>42480.822129629625</v>
      </c>
      <c r="B1766" s="8" t="str">
        <f>HYPERLINK("https://twitter.com/birolkahveci82","@birolkahveci82")</f>
        <v>@birolkahveci82</v>
      </c>
      <c r="C1766" s="9" t="s">
        <v>3299</v>
      </c>
      <c r="D1766" s="9" t="s">
        <v>3300</v>
      </c>
      <c r="E1766" s="10" t="str">
        <f>HYPERLINK("https://twitter.com/birolkahveci82/status/722790388252209152","722790388252209152")</f>
        <v>722790388252209152</v>
      </c>
      <c r="F1766" s="11" t="s">
        <v>20</v>
      </c>
      <c r="G1766" s="11">
        <v>289</v>
      </c>
      <c r="H1766" s="11">
        <v>128</v>
      </c>
      <c r="I1766" s="11">
        <v>1</v>
      </c>
      <c r="J1766" s="11">
        <v>0</v>
      </c>
      <c r="K1766" s="11" t="s">
        <v>21</v>
      </c>
      <c r="L1766" s="7">
        <v>41652.644768518519</v>
      </c>
      <c r="M1766" s="12"/>
      <c r="N1766" s="12" t="s">
        <v>3301</v>
      </c>
      <c r="O1766" s="10" t="str">
        <f>HYPERLINK("https://pbs.twimg.com/profile_images/714119842257903616/t7CHgf02_normal.jpg","View")</f>
        <v>View</v>
      </c>
      <c r="P1766" s="11"/>
    </row>
    <row r="1767" spans="1:16" ht="12.75" x14ac:dyDescent="0.35">
      <c r="A1767" s="7">
        <v>42480.823055555556</v>
      </c>
      <c r="B1767" s="8" t="str">
        <f>HYPERLINK("https://twitter.com/BoschPresse","@BoschPresse")</f>
        <v>@BoschPresse</v>
      </c>
      <c r="C1767" s="9" t="s">
        <v>1782</v>
      </c>
      <c r="D1767" s="9" t="s">
        <v>3302</v>
      </c>
      <c r="E1767" s="10" t="str">
        <f>HYPERLINK("https://twitter.com/BoschPresse/status/722790724509528064","722790724509528064")</f>
        <v>722790724509528064</v>
      </c>
      <c r="F1767" s="11" t="s">
        <v>39</v>
      </c>
      <c r="G1767" s="11">
        <v>7560</v>
      </c>
      <c r="H1767" s="11">
        <v>389</v>
      </c>
      <c r="I1767" s="11">
        <v>0</v>
      </c>
      <c r="J1767" s="11">
        <v>1</v>
      </c>
      <c r="K1767" s="11" t="s">
        <v>21</v>
      </c>
      <c r="L1767" s="7">
        <v>40991.629687499997</v>
      </c>
      <c r="M1767" s="12" t="s">
        <v>162</v>
      </c>
      <c r="N1767" s="12" t="s">
        <v>1784</v>
      </c>
      <c r="O1767" s="10" t="str">
        <f>HYPERLINK("https://pbs.twimg.com/profile_images/2619086509/ld3z97zhhdbs2essw7s9_normal.jpeg","View")</f>
        <v>View</v>
      </c>
      <c r="P1767" s="11"/>
    </row>
    <row r="1768" spans="1:16" ht="12.75" x14ac:dyDescent="0.35">
      <c r="A1768" s="7">
        <v>42480.823495370365</v>
      </c>
      <c r="B1768" s="8" t="str">
        <f>HYPERLINK("https://twitter.com/Becker_AnnaLisa","@Becker_AnnaLisa")</f>
        <v>@Becker_AnnaLisa</v>
      </c>
      <c r="C1768" s="9" t="s">
        <v>557</v>
      </c>
      <c r="D1768" s="9" t="s">
        <v>3303</v>
      </c>
      <c r="E1768" s="10" t="str">
        <f>HYPERLINK("https://twitter.com/Becker_AnnaLisa/status/722790885293998080","722790885293998080")</f>
        <v>722790885293998080</v>
      </c>
      <c r="F1768" s="11" t="s">
        <v>39</v>
      </c>
      <c r="G1768" s="11">
        <v>71</v>
      </c>
      <c r="H1768" s="11">
        <v>128</v>
      </c>
      <c r="I1768" s="11">
        <v>0</v>
      </c>
      <c r="J1768" s="11">
        <v>0</v>
      </c>
      <c r="K1768" s="11" t="s">
        <v>21</v>
      </c>
      <c r="L1768" s="7">
        <v>41333.610949074078</v>
      </c>
      <c r="M1768" s="12" t="s">
        <v>559</v>
      </c>
      <c r="N1768" s="12" t="s">
        <v>560</v>
      </c>
      <c r="O1768" s="10" t="str">
        <f>HYPERLINK("https://pbs.twimg.com/profile_images/676325832600743936/gCXpokOx_normal.jpg","View")</f>
        <v>View</v>
      </c>
      <c r="P1768" s="11"/>
    </row>
    <row r="1769" spans="1:16" ht="12.75" x14ac:dyDescent="0.35">
      <c r="A1769" s="7">
        <v>42480.825937500005</v>
      </c>
      <c r="B1769" s="8" t="str">
        <f>HYPERLINK("https://twitter.com/kion_group","@kion_group")</f>
        <v>@kion_group</v>
      </c>
      <c r="C1769" s="9" t="s">
        <v>1789</v>
      </c>
      <c r="D1769" s="9" t="s">
        <v>2453</v>
      </c>
      <c r="E1769" s="10" t="str">
        <f>HYPERLINK("https://twitter.com/kion_group/status/722791768714907651","722791768714907651")</f>
        <v>722791768714907651</v>
      </c>
      <c r="F1769" s="11" t="s">
        <v>25</v>
      </c>
      <c r="G1769" s="11">
        <v>454</v>
      </c>
      <c r="H1769" s="11">
        <v>282</v>
      </c>
      <c r="I1769" s="11">
        <v>5</v>
      </c>
      <c r="J1769" s="11">
        <v>0</v>
      </c>
      <c r="K1769" s="11" t="s">
        <v>21</v>
      </c>
      <c r="L1769" s="7">
        <v>41835.045775462961</v>
      </c>
      <c r="M1769" s="12" t="s">
        <v>1791</v>
      </c>
      <c r="N1769" s="12" t="s">
        <v>1792</v>
      </c>
      <c r="O1769" s="10" t="str">
        <f>HYPERLINK("https://pbs.twimg.com/profile_images/502066779590385665/YElxw-eg_normal.jpeg","View")</f>
        <v>View</v>
      </c>
      <c r="P1769" s="11"/>
    </row>
    <row r="1770" spans="1:16" ht="12.75" x14ac:dyDescent="0.35">
      <c r="A1770" s="7">
        <v>42480.825949074075</v>
      </c>
      <c r="B1770" s="8" t="str">
        <f>HYPERLINK("https://twitter.com/AfD_Fraktion_HH","@AfD_Fraktion_HH")</f>
        <v>@AfD_Fraktion_HH</v>
      </c>
      <c r="C1770" s="9" t="s">
        <v>3304</v>
      </c>
      <c r="D1770" s="9" t="s">
        <v>3305</v>
      </c>
      <c r="E1770" s="10" t="str">
        <f>HYPERLINK("https://twitter.com/AfD_Fraktion_HH/status/722791773307678720","722791773307678720")</f>
        <v>722791773307678720</v>
      </c>
      <c r="F1770" s="11" t="s">
        <v>25</v>
      </c>
      <c r="G1770" s="11">
        <v>279</v>
      </c>
      <c r="H1770" s="11">
        <v>142</v>
      </c>
      <c r="I1770" s="11">
        <v>0</v>
      </c>
      <c r="J1770" s="11">
        <v>0</v>
      </c>
      <c r="K1770" s="11" t="s">
        <v>21</v>
      </c>
      <c r="L1770" s="7">
        <v>42353.7184375</v>
      </c>
      <c r="M1770" s="12"/>
      <c r="N1770" s="12"/>
      <c r="O1770" s="10" t="str">
        <f>HYPERLINK("https://pbs.twimg.com/profile_images/680343304240803840/OEs4gD8T_normal.png","View")</f>
        <v>View</v>
      </c>
      <c r="P1770" s="11"/>
    </row>
    <row r="1771" spans="1:16" ht="12.75" x14ac:dyDescent="0.35">
      <c r="A1771" s="7">
        <v>42480.826099537036</v>
      </c>
      <c r="B1771" s="8" t="str">
        <f>HYPERLINK("https://twitter.com/BoschPresse","@BoschPresse")</f>
        <v>@BoschPresse</v>
      </c>
      <c r="C1771" s="9" t="s">
        <v>1782</v>
      </c>
      <c r="D1771" s="9" t="s">
        <v>3306</v>
      </c>
      <c r="E1771" s="10" t="str">
        <f>HYPERLINK("https://twitter.com/BoschPresse/status/722791829532446721","722791829532446721")</f>
        <v>722791829532446721</v>
      </c>
      <c r="F1771" s="11" t="s">
        <v>39</v>
      </c>
      <c r="G1771" s="11">
        <v>7560</v>
      </c>
      <c r="H1771" s="11">
        <v>389</v>
      </c>
      <c r="I1771" s="11">
        <v>1</v>
      </c>
      <c r="J1771" s="11">
        <v>1</v>
      </c>
      <c r="K1771" s="11" t="s">
        <v>21</v>
      </c>
      <c r="L1771" s="7">
        <v>40991.629687499997</v>
      </c>
      <c r="M1771" s="12" t="s">
        <v>162</v>
      </c>
      <c r="N1771" s="12" t="s">
        <v>1784</v>
      </c>
      <c r="O1771" s="10" t="str">
        <f>HYPERLINK("https://pbs.twimg.com/profile_images/2619086509/ld3z97zhhdbs2essw7s9_normal.jpeg","View")</f>
        <v>View</v>
      </c>
      <c r="P1771" s="11"/>
    </row>
    <row r="1772" spans="1:16" ht="12.75" x14ac:dyDescent="0.35">
      <c r="A1772" s="7">
        <v>42480.826168981483</v>
      </c>
      <c r="B1772" s="8" t="str">
        <f>HYPERLINK("https://twitter.com/JuergenGietl","@JuergenGietl")</f>
        <v>@JuergenGietl</v>
      </c>
      <c r="C1772" s="9" t="s">
        <v>3307</v>
      </c>
      <c r="D1772" s="9" t="s">
        <v>3260</v>
      </c>
      <c r="E1772" s="10" t="str">
        <f>HYPERLINK("https://twitter.com/JuergenGietl/status/722791855763693568","722791855763693568")</f>
        <v>722791855763693568</v>
      </c>
      <c r="F1772" s="11" t="s">
        <v>31</v>
      </c>
      <c r="G1772" s="11">
        <v>187</v>
      </c>
      <c r="H1772" s="11">
        <v>349</v>
      </c>
      <c r="I1772" s="11">
        <v>3</v>
      </c>
      <c r="J1772" s="11">
        <v>0</v>
      </c>
      <c r="K1772" s="11" t="s">
        <v>21</v>
      </c>
      <c r="L1772" s="7">
        <v>40443.350254629629</v>
      </c>
      <c r="M1772" s="12" t="s">
        <v>2210</v>
      </c>
      <c r="N1772" s="12" t="s">
        <v>3308</v>
      </c>
      <c r="O1772" s="10" t="str">
        <f>HYPERLINK("https://pbs.twimg.com/profile_images/647699835118817280/Em18Kfoc_normal.jpg","View")</f>
        <v>View</v>
      </c>
      <c r="P1772" s="11"/>
    </row>
    <row r="1773" spans="1:16" ht="12.75" x14ac:dyDescent="0.35">
      <c r="A1773" s="7">
        <v>42480.830150462964</v>
      </c>
      <c r="B1773" s="8" t="str">
        <f>HYPERLINK("https://twitter.com/ScheerKarriere","@ScheerKarriere")</f>
        <v>@ScheerKarriere</v>
      </c>
      <c r="C1773" s="9" t="s">
        <v>561</v>
      </c>
      <c r="D1773" s="9" t="s">
        <v>3309</v>
      </c>
      <c r="E1773" s="10" t="str">
        <f>HYPERLINK("https://twitter.com/ScheerKarriere/status/722793297757007872","722793297757007872")</f>
        <v>722793297757007872</v>
      </c>
      <c r="F1773" s="11" t="s">
        <v>39</v>
      </c>
      <c r="G1773" s="11">
        <v>12</v>
      </c>
      <c r="H1773" s="11">
        <v>7</v>
      </c>
      <c r="I1773" s="11">
        <v>1</v>
      </c>
      <c r="J1773" s="11">
        <v>0</v>
      </c>
      <c r="K1773" s="11" t="s">
        <v>21</v>
      </c>
      <c r="L1773" s="7">
        <v>42419.828622685185</v>
      </c>
      <c r="M1773" s="12" t="s">
        <v>563</v>
      </c>
      <c r="N1773" s="12" t="s">
        <v>564</v>
      </c>
      <c r="O1773" s="10" t="str">
        <f>HYPERLINK("https://pbs.twimg.com/profile_images/704970625748697089/GQl2pOlK_normal.jpg","View")</f>
        <v>View</v>
      </c>
      <c r="P1773" s="11"/>
    </row>
    <row r="1774" spans="1:16" ht="12.75" x14ac:dyDescent="0.35">
      <c r="A1774" s="7">
        <v>42480.83189814815</v>
      </c>
      <c r="B1774" s="8" t="str">
        <f>HYPERLINK("https://twitter.com/Bitkom","@Bitkom")</f>
        <v>@Bitkom</v>
      </c>
      <c r="C1774" s="9" t="s">
        <v>216</v>
      </c>
      <c r="D1774" s="9" t="s">
        <v>3310</v>
      </c>
      <c r="E1774" s="10" t="str">
        <f>HYPERLINK("https://twitter.com/Bitkom/status/722793930610368512","722793930610368512")</f>
        <v>722793930610368512</v>
      </c>
      <c r="F1774" s="11" t="s">
        <v>115</v>
      </c>
      <c r="G1774" s="11">
        <v>21088</v>
      </c>
      <c r="H1774" s="11">
        <v>3258</v>
      </c>
      <c r="I1774" s="11">
        <v>5</v>
      </c>
      <c r="J1774" s="11">
        <v>3</v>
      </c>
      <c r="K1774" s="11" t="s">
        <v>21</v>
      </c>
      <c r="L1774" s="7">
        <v>39757.913229166668</v>
      </c>
      <c r="M1774" s="12" t="s">
        <v>218</v>
      </c>
      <c r="N1774" s="12" t="s">
        <v>219</v>
      </c>
      <c r="O1774" s="10" t="str">
        <f>HYPERLINK("https://pbs.twimg.com/profile_images/615797525040136192/CKF9-v_o_normal.jpg","View")</f>
        <v>View</v>
      </c>
      <c r="P1774" s="11"/>
    </row>
    <row r="1775" spans="1:16" ht="12.75" x14ac:dyDescent="0.35">
      <c r="A1775" s="7">
        <v>42480.833611111113</v>
      </c>
      <c r="B1775" s="8" t="str">
        <f>HYPERLINK("https://twitter.com/Bitkom_I40","@Bitkom_I40")</f>
        <v>@Bitkom_I40</v>
      </c>
      <c r="C1775" s="9" t="s">
        <v>1857</v>
      </c>
      <c r="D1775" s="9" t="s">
        <v>3311</v>
      </c>
      <c r="E1775" s="10" t="str">
        <f>HYPERLINK("https://twitter.com/Bitkom_I40/status/722794552717742080","722794552717742080")</f>
        <v>722794552717742080</v>
      </c>
      <c r="F1775" s="11" t="s">
        <v>115</v>
      </c>
      <c r="G1775" s="11">
        <v>754</v>
      </c>
      <c r="H1775" s="11">
        <v>44</v>
      </c>
      <c r="I1775" s="11">
        <v>5</v>
      </c>
      <c r="J1775" s="11">
        <v>3</v>
      </c>
      <c r="K1775" s="11" t="s">
        <v>21</v>
      </c>
      <c r="L1775" s="7">
        <v>41613.773194444446</v>
      </c>
      <c r="M1775" s="12" t="s">
        <v>218</v>
      </c>
      <c r="N1775" s="12" t="s">
        <v>1860</v>
      </c>
      <c r="O1775" s="10" t="str">
        <f>HYPERLINK("https://pbs.twimg.com/profile_images/723407487395713024/0hZv7R8S_normal.jpg","View")</f>
        <v>View</v>
      </c>
      <c r="P1775" s="11"/>
    </row>
    <row r="1776" spans="1:16" ht="12.75" x14ac:dyDescent="0.35">
      <c r="A1776" s="7">
        <v>42480.834131944444</v>
      </c>
      <c r="B1776" s="8" t="str">
        <f>HYPERLINK("https://twitter.com/INDIZbot","@INDIZbot")</f>
        <v>@INDIZbot</v>
      </c>
      <c r="C1776" s="9" t="s">
        <v>61</v>
      </c>
      <c r="D1776" s="9" t="s">
        <v>3312</v>
      </c>
      <c r="E1776" s="10" t="str">
        <f>HYPERLINK("https://twitter.com/INDIZbot/status/722794741809750017","722794741809750017")</f>
        <v>722794741809750017</v>
      </c>
      <c r="F1776" s="11" t="s">
        <v>62</v>
      </c>
      <c r="G1776" s="11">
        <v>1762</v>
      </c>
      <c r="H1776" s="11">
        <v>481</v>
      </c>
      <c r="I1776" s="11">
        <v>5</v>
      </c>
      <c r="J1776" s="11">
        <v>0</v>
      </c>
      <c r="K1776" s="11" t="s">
        <v>21</v>
      </c>
      <c r="L1776" s="7">
        <v>42267.011921296296</v>
      </c>
      <c r="M1776" s="12"/>
      <c r="N1776" s="12" t="s">
        <v>63</v>
      </c>
      <c r="O1776" s="10" t="str">
        <f>HYPERLINK("https://pbs.twimg.com/profile_images/645716711723925506/t5G0qOS6_normal.jpg","View")</f>
        <v>View</v>
      </c>
      <c r="P1776" s="11"/>
    </row>
    <row r="1777" spans="1:16" ht="12.75" x14ac:dyDescent="0.35">
      <c r="A1777" s="7">
        <v>42480.834421296298</v>
      </c>
      <c r="B1777" s="8" t="str">
        <f>HYPERLINK("https://twitter.com/innovationbawue","@innovationbawue")</f>
        <v>@innovationbawue</v>
      </c>
      <c r="C1777" s="8" t="s">
        <v>1173</v>
      </c>
      <c r="D1777" s="9" t="s">
        <v>3313</v>
      </c>
      <c r="E1777" s="10" t="str">
        <f>HYPERLINK("https://twitter.com/innovationbawue/status/722794842695213057","722794842695213057")</f>
        <v>722794842695213057</v>
      </c>
      <c r="F1777" s="11" t="s">
        <v>25</v>
      </c>
      <c r="G1777" s="11">
        <v>210</v>
      </c>
      <c r="H1777" s="11">
        <v>353</v>
      </c>
      <c r="I1777" s="11">
        <v>1</v>
      </c>
      <c r="J1777" s="11">
        <v>0</v>
      </c>
      <c r="K1777" s="11" t="s">
        <v>21</v>
      </c>
      <c r="L1777" s="7">
        <v>42380.713946759264</v>
      </c>
      <c r="M1777" s="12" t="s">
        <v>985</v>
      </c>
      <c r="N1777" s="12" t="s">
        <v>1175</v>
      </c>
      <c r="O1777" s="10" t="str">
        <f>HYPERLINK("https://pbs.twimg.com/profile_images/719538951988592641/7lKnB2dG_normal.jpg","View")</f>
        <v>View</v>
      </c>
      <c r="P1777" s="11"/>
    </row>
    <row r="1778" spans="1:16" ht="12.75" x14ac:dyDescent="0.35">
      <c r="A1778" s="7">
        <v>42480.834490740745</v>
      </c>
      <c r="B1778" s="8" t="str">
        <f t="shared" ref="B1778:B1779" si="206">HYPERLINK("https://twitter.com/INDIZbot","@INDIZbot")</f>
        <v>@INDIZbot</v>
      </c>
      <c r="C1778" s="9" t="s">
        <v>61</v>
      </c>
      <c r="D1778" s="9" t="s">
        <v>3314</v>
      </c>
      <c r="E1778" s="10" t="str">
        <f>HYPERLINK("https://twitter.com/INDIZbot/status/722794871757676544","722794871757676544")</f>
        <v>722794871757676544</v>
      </c>
      <c r="F1778" s="11" t="s">
        <v>62</v>
      </c>
      <c r="G1778" s="11">
        <v>1762</v>
      </c>
      <c r="H1778" s="11">
        <v>481</v>
      </c>
      <c r="I1778" s="11">
        <v>5</v>
      </c>
      <c r="J1778" s="11">
        <v>0</v>
      </c>
      <c r="K1778" s="11" t="s">
        <v>21</v>
      </c>
      <c r="L1778" s="7">
        <v>42267.011921296296</v>
      </c>
      <c r="M1778" s="12"/>
      <c r="N1778" s="12" t="s">
        <v>63</v>
      </c>
      <c r="O1778" s="10" t="str">
        <f t="shared" ref="O1778:O1779" si="207">HYPERLINK("https://pbs.twimg.com/profile_images/645716711723925506/t5G0qOS6_normal.jpg","View")</f>
        <v>View</v>
      </c>
      <c r="P1778" s="11"/>
    </row>
    <row r="1779" spans="1:16" ht="12.75" x14ac:dyDescent="0.35">
      <c r="A1779" s="7">
        <v>42480.834629629629</v>
      </c>
      <c r="B1779" s="8" t="str">
        <f t="shared" si="206"/>
        <v>@INDIZbot</v>
      </c>
      <c r="C1779" s="9" t="s">
        <v>61</v>
      </c>
      <c r="D1779" s="9" t="s">
        <v>3315</v>
      </c>
      <c r="E1779" s="10" t="str">
        <f>HYPERLINK("https://twitter.com/INDIZbot/status/722794920151486464","722794920151486464")</f>
        <v>722794920151486464</v>
      </c>
      <c r="F1779" s="11" t="s">
        <v>62</v>
      </c>
      <c r="G1779" s="11">
        <v>1762</v>
      </c>
      <c r="H1779" s="11">
        <v>481</v>
      </c>
      <c r="I1779" s="11">
        <v>1</v>
      </c>
      <c r="J1779" s="11">
        <v>0</v>
      </c>
      <c r="K1779" s="11" t="s">
        <v>21</v>
      </c>
      <c r="L1779" s="7">
        <v>42267.011921296296</v>
      </c>
      <c r="M1779" s="12"/>
      <c r="N1779" s="12" t="s">
        <v>63</v>
      </c>
      <c r="O1779" s="10" t="str">
        <f t="shared" si="207"/>
        <v>View</v>
      </c>
      <c r="P1779" s="11"/>
    </row>
    <row r="1780" spans="1:16" ht="12.75" x14ac:dyDescent="0.35">
      <c r="A1780" s="7">
        <v>42480.835682870369</v>
      </c>
      <c r="B1780" s="8" t="str">
        <f>HYPERLINK("https://twitter.com/WidasConcepts","@WidasConcepts")</f>
        <v>@WidasConcepts</v>
      </c>
      <c r="C1780" s="9" t="s">
        <v>3316</v>
      </c>
      <c r="D1780" s="9" t="s">
        <v>3312</v>
      </c>
      <c r="E1780" s="10" t="str">
        <f>HYPERLINK("https://twitter.com/WidasConcepts/status/722795301539414017","722795301539414017")</f>
        <v>722795301539414017</v>
      </c>
      <c r="F1780" s="11" t="s">
        <v>25</v>
      </c>
      <c r="G1780" s="11">
        <v>81</v>
      </c>
      <c r="H1780" s="11">
        <v>81</v>
      </c>
      <c r="I1780" s="11">
        <v>5</v>
      </c>
      <c r="J1780" s="11">
        <v>0</v>
      </c>
      <c r="K1780" s="11" t="s">
        <v>21</v>
      </c>
      <c r="L1780" s="7">
        <v>39979.846354166664</v>
      </c>
      <c r="M1780" s="12" t="s">
        <v>121</v>
      </c>
      <c r="N1780" s="12" t="s">
        <v>3317</v>
      </c>
      <c r="O1780" s="10" t="str">
        <f>HYPERLINK("https://pbs.twimg.com/profile_images/1985145006/WidasConceptsLogo_Twitter_normal.png","View")</f>
        <v>View</v>
      </c>
      <c r="P1780" s="11"/>
    </row>
    <row r="1781" spans="1:16" ht="12.75" x14ac:dyDescent="0.35">
      <c r="A1781" s="7">
        <v>42480.835914351846</v>
      </c>
      <c r="B1781" s="8" t="str">
        <f>HYPERLINK("https://twitter.com/croXXing_IBD","@croXXing_IBD")</f>
        <v>@croXXing_IBD</v>
      </c>
      <c r="C1781" s="9" t="s">
        <v>252</v>
      </c>
      <c r="D1781" s="9" t="s">
        <v>3318</v>
      </c>
      <c r="E1781" s="10" t="str">
        <f>HYPERLINK("https://twitter.com/croXXing_IBD/status/722795387136905216","722795387136905216")</f>
        <v>722795387136905216</v>
      </c>
      <c r="F1781" s="11" t="s">
        <v>222</v>
      </c>
      <c r="G1781" s="11">
        <v>40</v>
      </c>
      <c r="H1781" s="11">
        <v>137</v>
      </c>
      <c r="I1781" s="11">
        <v>0</v>
      </c>
      <c r="J1781" s="11">
        <v>1</v>
      </c>
      <c r="K1781" s="11" t="s">
        <v>21</v>
      </c>
      <c r="L1781" s="7">
        <v>42140.148263888885</v>
      </c>
      <c r="M1781" s="12" t="s">
        <v>223</v>
      </c>
      <c r="N1781" s="12" t="s">
        <v>254</v>
      </c>
      <c r="O1781" s="10" t="str">
        <f>HYPERLINK("https://pbs.twimg.com/profile_images/600279861282869249/IpIJ3MKX_normal.png","View")</f>
        <v>View</v>
      </c>
      <c r="P1781" s="11"/>
    </row>
    <row r="1782" spans="1:16" ht="12.75" x14ac:dyDescent="0.35">
      <c r="A1782" s="7">
        <v>42480.838240740741</v>
      </c>
      <c r="B1782" s="8" t="str">
        <f>HYPERLINK("https://twitter.com/AccenturePresse","@AccenturePresse")</f>
        <v>@AccenturePresse</v>
      </c>
      <c r="C1782" s="9" t="s">
        <v>3319</v>
      </c>
      <c r="D1782" s="9" t="s">
        <v>3320</v>
      </c>
      <c r="E1782" s="10" t="str">
        <f>HYPERLINK("https://twitter.com/AccenturePresse/status/722796229890043904","722796229890043904")</f>
        <v>722796229890043904</v>
      </c>
      <c r="F1782" s="11" t="s">
        <v>2894</v>
      </c>
      <c r="G1782" s="11">
        <v>715</v>
      </c>
      <c r="H1782" s="11">
        <v>236</v>
      </c>
      <c r="I1782" s="11">
        <v>1</v>
      </c>
      <c r="J1782" s="11">
        <v>0</v>
      </c>
      <c r="K1782" s="11" t="s">
        <v>21</v>
      </c>
      <c r="L1782" s="7">
        <v>40116.818645833337</v>
      </c>
      <c r="M1782" s="12" t="s">
        <v>3321</v>
      </c>
      <c r="N1782" s="12" t="s">
        <v>3322</v>
      </c>
      <c r="O1782" s="10" t="str">
        <f>HYPERLINK("https://pbs.twimg.com/profile_images/470826247132438529/xf6oFNFR_normal.jpeg","View")</f>
        <v>View</v>
      </c>
      <c r="P1782" s="11"/>
    </row>
    <row r="1783" spans="1:16" ht="12.75" x14ac:dyDescent="0.35">
      <c r="A1783" s="7">
        <v>42480.838726851856</v>
      </c>
      <c r="B1783" s="8" t="str">
        <f>HYPERLINK("https://twitter.com/UmweltDialog","@UmweltDialog")</f>
        <v>@UmweltDialog</v>
      </c>
      <c r="C1783" s="9" t="s">
        <v>3323</v>
      </c>
      <c r="D1783" s="9" t="s">
        <v>3324</v>
      </c>
      <c r="E1783" s="10" t="str">
        <f>HYPERLINK("https://twitter.com/UmweltDialog/status/722796403706073088","722796403706073088")</f>
        <v>722796403706073088</v>
      </c>
      <c r="F1783" s="11" t="s">
        <v>25</v>
      </c>
      <c r="G1783" s="11">
        <v>785</v>
      </c>
      <c r="H1783" s="11">
        <v>247</v>
      </c>
      <c r="I1783" s="11">
        <v>1</v>
      </c>
      <c r="J1783" s="11">
        <v>0</v>
      </c>
      <c r="K1783" s="11" t="s">
        <v>21</v>
      </c>
      <c r="L1783" s="7">
        <v>40890.625324074077</v>
      </c>
      <c r="M1783" s="12" t="s">
        <v>3325</v>
      </c>
      <c r="N1783" s="12" t="s">
        <v>3326</v>
      </c>
      <c r="O1783" s="10" t="str">
        <f>HYPERLINK("https://pbs.twimg.com/profile_images/440425795119374336/BDp2SFKw_normal.jpeg","View")</f>
        <v>View</v>
      </c>
      <c r="P1783" s="11"/>
    </row>
    <row r="1784" spans="1:16" ht="12.75" x14ac:dyDescent="0.35">
      <c r="A1784" s="7">
        <v>42480.840069444443</v>
      </c>
      <c r="B1784" s="8" t="str">
        <f>HYPERLINK("https://twitter.com/H_IT_D","@H_IT_D")</f>
        <v>@H_IT_D</v>
      </c>
      <c r="C1784" s="9" t="s">
        <v>159</v>
      </c>
      <c r="D1784" s="9" t="s">
        <v>3327</v>
      </c>
      <c r="E1784" s="10" t="str">
        <f>HYPERLINK("https://twitter.com/H_IT_D/status/722796890534711296","722796890534711296")</f>
        <v>722796890534711296</v>
      </c>
      <c r="F1784" s="11" t="s">
        <v>161</v>
      </c>
      <c r="G1784" s="11">
        <v>463</v>
      </c>
      <c r="H1784" s="11">
        <v>467</v>
      </c>
      <c r="I1784" s="11">
        <v>1</v>
      </c>
      <c r="J1784" s="11">
        <v>0</v>
      </c>
      <c r="K1784" s="11" t="s">
        <v>21</v>
      </c>
      <c r="L1784" s="7">
        <v>40723.867673611108</v>
      </c>
      <c r="M1784" s="12" t="s">
        <v>162</v>
      </c>
      <c r="N1784" s="12" t="s">
        <v>163</v>
      </c>
      <c r="O1784" s="10" t="str">
        <f>HYPERLINK("https://pbs.twimg.com/profile_images/662723326096224256/5V4KH9_O_normal.jpg","View")</f>
        <v>View</v>
      </c>
      <c r="P1784" s="11"/>
    </row>
    <row r="1785" spans="1:16" ht="12.75" x14ac:dyDescent="0.35">
      <c r="A1785" s="7">
        <v>42480.84107638889</v>
      </c>
      <c r="B1785" s="8" t="str">
        <f>HYPERLINK("https://twitter.com/INDIZbot","@INDIZbot")</f>
        <v>@INDIZbot</v>
      </c>
      <c r="C1785" s="9" t="s">
        <v>61</v>
      </c>
      <c r="D1785" s="9" t="s">
        <v>3328</v>
      </c>
      <c r="E1785" s="10" t="str">
        <f>HYPERLINK("https://twitter.com/INDIZbot/status/722797257825906691","722797257825906691")</f>
        <v>722797257825906691</v>
      </c>
      <c r="F1785" s="11" t="s">
        <v>62</v>
      </c>
      <c r="G1785" s="11">
        <v>1762</v>
      </c>
      <c r="H1785" s="11">
        <v>481</v>
      </c>
      <c r="I1785" s="11">
        <v>1</v>
      </c>
      <c r="J1785" s="11">
        <v>0</v>
      </c>
      <c r="K1785" s="11" t="s">
        <v>21</v>
      </c>
      <c r="L1785" s="7">
        <v>42267.011921296296</v>
      </c>
      <c r="M1785" s="12"/>
      <c r="N1785" s="12" t="s">
        <v>63</v>
      </c>
      <c r="O1785" s="10" t="str">
        <f>HYPERLINK("https://pbs.twimg.com/profile_images/645716711723925506/t5G0qOS6_normal.jpg","View")</f>
        <v>View</v>
      </c>
      <c r="P1785" s="11"/>
    </row>
    <row r="1786" spans="1:16" ht="12.75" x14ac:dyDescent="0.35">
      <c r="A1786" s="7">
        <v>42480.841226851851</v>
      </c>
      <c r="B1786" s="8" t="str">
        <f>HYPERLINK("https://twitter.com/aidegare","@aidegare")</f>
        <v>@aidegare</v>
      </c>
      <c r="C1786" s="9" t="s">
        <v>3329</v>
      </c>
      <c r="D1786" s="9" t="s">
        <v>3330</v>
      </c>
      <c r="E1786" s="10" t="str">
        <f>HYPERLINK("https://twitter.com/aidegare/status/722797312242790400","722797312242790400")</f>
        <v>722797312242790400</v>
      </c>
      <c r="F1786" s="11" t="s">
        <v>39</v>
      </c>
      <c r="G1786" s="11">
        <v>96</v>
      </c>
      <c r="H1786" s="11">
        <v>96</v>
      </c>
      <c r="I1786" s="11">
        <v>0</v>
      </c>
      <c r="J1786" s="11">
        <v>0</v>
      </c>
      <c r="K1786" s="11" t="s">
        <v>21</v>
      </c>
      <c r="L1786" s="7">
        <v>40689.737118055556</v>
      </c>
      <c r="M1786" s="12" t="s">
        <v>410</v>
      </c>
      <c r="N1786" s="12" t="s">
        <v>3331</v>
      </c>
      <c r="O1786" s="10" t="str">
        <f>HYPERLINK("https://pbs.twimg.com/profile_images/1720535585/eh11_normal.jpg","View")</f>
        <v>View</v>
      </c>
      <c r="P1786" s="11"/>
    </row>
    <row r="1787" spans="1:16" ht="12.75" x14ac:dyDescent="0.35">
      <c r="A1787" s="7">
        <v>42480.841273148151</v>
      </c>
      <c r="B1787" s="8" t="str">
        <f t="shared" ref="B1787:B1788" si="208">HYPERLINK("https://twitter.com/INDIZbot","@INDIZbot")</f>
        <v>@INDIZbot</v>
      </c>
      <c r="C1787" s="9" t="s">
        <v>61</v>
      </c>
      <c r="D1787" s="9" t="s">
        <v>3332</v>
      </c>
      <c r="E1787" s="10" t="str">
        <f>HYPERLINK("https://twitter.com/INDIZbot/status/722797327115804672","722797327115804672")</f>
        <v>722797327115804672</v>
      </c>
      <c r="F1787" s="11" t="s">
        <v>62</v>
      </c>
      <c r="G1787" s="11">
        <v>1762</v>
      </c>
      <c r="H1787" s="11">
        <v>481</v>
      </c>
      <c r="I1787" s="11">
        <v>1</v>
      </c>
      <c r="J1787" s="11">
        <v>0</v>
      </c>
      <c r="K1787" s="11" t="s">
        <v>21</v>
      </c>
      <c r="L1787" s="7">
        <v>42267.011921296296</v>
      </c>
      <c r="M1787" s="12"/>
      <c r="N1787" s="12" t="s">
        <v>63</v>
      </c>
      <c r="O1787" s="10" t="str">
        <f t="shared" ref="O1787:O1788" si="209">HYPERLINK("https://pbs.twimg.com/profile_images/645716711723925506/t5G0qOS6_normal.jpg","View")</f>
        <v>View</v>
      </c>
      <c r="P1787" s="11"/>
    </row>
    <row r="1788" spans="1:16" ht="12.75" x14ac:dyDescent="0.35">
      <c r="A1788" s="7">
        <v>42480.841793981483</v>
      </c>
      <c r="B1788" s="8" t="str">
        <f t="shared" si="208"/>
        <v>@INDIZbot</v>
      </c>
      <c r="C1788" s="9" t="s">
        <v>61</v>
      </c>
      <c r="D1788" s="9" t="s">
        <v>3333</v>
      </c>
      <c r="E1788" s="10" t="str">
        <f>HYPERLINK("https://twitter.com/INDIZbot/status/722797515725266945","722797515725266945")</f>
        <v>722797515725266945</v>
      </c>
      <c r="F1788" s="11" t="s">
        <v>62</v>
      </c>
      <c r="G1788" s="11">
        <v>1762</v>
      </c>
      <c r="H1788" s="11">
        <v>481</v>
      </c>
      <c r="I1788" s="11">
        <v>1</v>
      </c>
      <c r="J1788" s="11">
        <v>0</v>
      </c>
      <c r="K1788" s="11" t="s">
        <v>21</v>
      </c>
      <c r="L1788" s="7">
        <v>42267.011921296296</v>
      </c>
      <c r="M1788" s="12"/>
      <c r="N1788" s="12" t="s">
        <v>63</v>
      </c>
      <c r="O1788" s="10" t="str">
        <f t="shared" si="209"/>
        <v>View</v>
      </c>
      <c r="P1788" s="11"/>
    </row>
    <row r="1789" spans="1:16" ht="12.75" x14ac:dyDescent="0.35">
      <c r="A1789" s="7">
        <v>42480.841863425929</v>
      </c>
      <c r="B1789" s="8" t="str">
        <f>HYPERLINK("https://twitter.com/ITK_OWL","@ITK_OWL")</f>
        <v>@ITK_OWL</v>
      </c>
      <c r="C1789" s="9" t="s">
        <v>220</v>
      </c>
      <c r="D1789" s="9" t="s">
        <v>3334</v>
      </c>
      <c r="E1789" s="10" t="str">
        <f>HYPERLINK("https://twitter.com/ITK_OWL/status/722797541398601728","722797541398601728")</f>
        <v>722797541398601728</v>
      </c>
      <c r="F1789" s="11" t="s">
        <v>222</v>
      </c>
      <c r="G1789" s="11">
        <v>199</v>
      </c>
      <c r="H1789" s="11">
        <v>389</v>
      </c>
      <c r="I1789" s="11">
        <v>0</v>
      </c>
      <c r="J1789" s="11">
        <v>1</v>
      </c>
      <c r="K1789" s="11" t="s">
        <v>21</v>
      </c>
      <c r="L1789" s="7">
        <v>42146.57880787037</v>
      </c>
      <c r="M1789" s="12" t="s">
        <v>223</v>
      </c>
      <c r="N1789" s="12" t="s">
        <v>224</v>
      </c>
      <c r="O1789" s="10" t="str">
        <f>HYPERLINK("https://pbs.twimg.com/profile_images/601673968551075840/MnulnKkj_normal.png","View")</f>
        <v>View</v>
      </c>
      <c r="P1789" s="11"/>
    </row>
    <row r="1790" spans="1:16" ht="12.75" x14ac:dyDescent="0.35">
      <c r="A1790" s="7">
        <v>42480.842280092591</v>
      </c>
      <c r="B1790" s="8" t="str">
        <f>HYPERLINK("https://twitter.com/rene_ziegler","@rene_ziegler")</f>
        <v>@rene_ziegler</v>
      </c>
      <c r="C1790" s="9" t="s">
        <v>1724</v>
      </c>
      <c r="D1790" s="9" t="s">
        <v>3298</v>
      </c>
      <c r="E1790" s="10" t="str">
        <f>HYPERLINK("https://twitter.com/rene_ziegler/status/722797693630869505","722797693630869505")</f>
        <v>722797693630869505</v>
      </c>
      <c r="F1790" s="11" t="s">
        <v>31</v>
      </c>
      <c r="G1790" s="11">
        <v>897</v>
      </c>
      <c r="H1790" s="11">
        <v>434</v>
      </c>
      <c r="I1790" s="11">
        <v>3</v>
      </c>
      <c r="J1790" s="11">
        <v>0</v>
      </c>
      <c r="K1790" s="11" t="s">
        <v>21</v>
      </c>
      <c r="L1790" s="7">
        <v>41176.054814814815</v>
      </c>
      <c r="M1790" s="12" t="s">
        <v>1726</v>
      </c>
      <c r="N1790" s="12" t="s">
        <v>1727</v>
      </c>
      <c r="O1790" s="10" t="str">
        <f>HYPERLINK("https://pbs.twimg.com/profile_images/643892666695073792/IDQzvziq_normal.jpg","View")</f>
        <v>View</v>
      </c>
      <c r="P1790" s="11"/>
    </row>
    <row r="1791" spans="1:16" ht="12.75" x14ac:dyDescent="0.35">
      <c r="A1791" s="7">
        <v>42480.842569444445</v>
      </c>
      <c r="B1791" s="8" t="str">
        <f>HYPERLINK("https://twitter.com/iisyseki","@iisyseki")</f>
        <v>@iisyseki</v>
      </c>
      <c r="C1791" s="9" t="s">
        <v>3335</v>
      </c>
      <c r="D1791" s="9" t="s">
        <v>3336</v>
      </c>
      <c r="E1791" s="10" t="str">
        <f>HYPERLINK("https://twitter.com/iisyseki/status/722797796726804480","722797796726804480")</f>
        <v>722797796726804480</v>
      </c>
      <c r="F1791" s="11" t="s">
        <v>20</v>
      </c>
      <c r="G1791" s="11">
        <v>20</v>
      </c>
      <c r="H1791" s="11">
        <v>41</v>
      </c>
      <c r="I1791" s="11">
        <v>0</v>
      </c>
      <c r="J1791" s="11">
        <v>0</v>
      </c>
      <c r="K1791" s="11" t="s">
        <v>21</v>
      </c>
      <c r="L1791" s="7">
        <v>40634.552511574075</v>
      </c>
      <c r="M1791" s="12"/>
      <c r="N1791" s="12"/>
      <c r="O1791" s="10" t="str">
        <f>HYPERLINK("https://abs.twimg.com/sticky/default_profile_images/default_profile_5_normal.png","View")</f>
        <v>View</v>
      </c>
      <c r="P1791" s="11"/>
    </row>
    <row r="1792" spans="1:16" ht="12.75" x14ac:dyDescent="0.35">
      <c r="A1792" s="7">
        <v>42480.843217592592</v>
      </c>
      <c r="B1792" s="8" t="str">
        <f t="shared" ref="B1792:B1793" si="210">HYPERLINK("https://twitter.com/OasysSW","@OasysSW")</f>
        <v>@OasysSW</v>
      </c>
      <c r="C1792" s="9" t="s">
        <v>3337</v>
      </c>
      <c r="D1792" s="9" t="s">
        <v>2554</v>
      </c>
      <c r="E1792" s="10" t="str">
        <f>HYPERLINK("https://twitter.com/OasysSW/status/722798030571737088","722798030571737088")</f>
        <v>722798030571737088</v>
      </c>
      <c r="F1792" s="11" t="s">
        <v>25</v>
      </c>
      <c r="G1792" s="11">
        <v>218</v>
      </c>
      <c r="H1792" s="11">
        <v>123</v>
      </c>
      <c r="I1792" s="11">
        <v>2</v>
      </c>
      <c r="J1792" s="11">
        <v>0</v>
      </c>
      <c r="K1792" s="11" t="s">
        <v>21</v>
      </c>
      <c r="L1792" s="7">
        <v>42136.811435185184</v>
      </c>
      <c r="M1792" s="12" t="s">
        <v>3338</v>
      </c>
      <c r="N1792" s="12" t="s">
        <v>3339</v>
      </c>
      <c r="O1792" s="10" t="str">
        <f t="shared" ref="O1792:O1793" si="211">HYPERLINK("https://pbs.twimg.com/profile_images/598145456795975680/6tjj5yUz_normal.jpg","View")</f>
        <v>View</v>
      </c>
      <c r="P1792" s="11"/>
    </row>
    <row r="1793" spans="1:16" ht="12.75" x14ac:dyDescent="0.35">
      <c r="A1793" s="7">
        <v>42480.843287037038</v>
      </c>
      <c r="B1793" s="8" t="str">
        <f t="shared" si="210"/>
        <v>@OasysSW</v>
      </c>
      <c r="C1793" s="9" t="s">
        <v>3337</v>
      </c>
      <c r="D1793" s="9" t="s">
        <v>1904</v>
      </c>
      <c r="E1793" s="10" t="str">
        <f>HYPERLINK("https://twitter.com/OasysSW/status/722798057142661120","722798057142661120")</f>
        <v>722798057142661120</v>
      </c>
      <c r="F1793" s="11" t="s">
        <v>25</v>
      </c>
      <c r="G1793" s="11">
        <v>218</v>
      </c>
      <c r="H1793" s="11">
        <v>123</v>
      </c>
      <c r="I1793" s="11">
        <v>18</v>
      </c>
      <c r="J1793" s="11">
        <v>0</v>
      </c>
      <c r="K1793" s="11" t="s">
        <v>21</v>
      </c>
      <c r="L1793" s="7">
        <v>42136.811435185184</v>
      </c>
      <c r="M1793" s="12" t="s">
        <v>3338</v>
      </c>
      <c r="N1793" s="12" t="s">
        <v>3339</v>
      </c>
      <c r="O1793" s="10" t="str">
        <f t="shared" si="211"/>
        <v>View</v>
      </c>
      <c r="P1793" s="11"/>
    </row>
    <row r="1794" spans="1:16" ht="12.75" x14ac:dyDescent="0.35">
      <c r="A1794" s="7">
        <v>42480.843923611115</v>
      </c>
      <c r="B1794" s="8" t="str">
        <f>HYPERLINK("https://twitter.com/BoschPresse","@BoschPresse")</f>
        <v>@BoschPresse</v>
      </c>
      <c r="C1794" s="9" t="s">
        <v>1782</v>
      </c>
      <c r="D1794" s="9" t="s">
        <v>3340</v>
      </c>
      <c r="E1794" s="10" t="str">
        <f>HYPERLINK("https://twitter.com/BoschPresse/status/722798287091318784","722798287091318784")</f>
        <v>722798287091318784</v>
      </c>
      <c r="F1794" s="11" t="s">
        <v>39</v>
      </c>
      <c r="G1794" s="11">
        <v>7560</v>
      </c>
      <c r="H1794" s="11">
        <v>389</v>
      </c>
      <c r="I1794" s="11">
        <v>0</v>
      </c>
      <c r="J1794" s="11">
        <v>0</v>
      </c>
      <c r="K1794" s="11" t="s">
        <v>21</v>
      </c>
      <c r="L1794" s="7">
        <v>40991.629687499997</v>
      </c>
      <c r="M1794" s="12" t="s">
        <v>162</v>
      </c>
      <c r="N1794" s="12" t="s">
        <v>1784</v>
      </c>
      <c r="O1794" s="10" t="str">
        <f>HYPERLINK("https://pbs.twimg.com/profile_images/2619086509/ld3z97zhhdbs2essw7s9_normal.jpeg","View")</f>
        <v>View</v>
      </c>
      <c r="P1794" s="11"/>
    </row>
    <row r="1795" spans="1:16" ht="12.75" x14ac:dyDescent="0.35">
      <c r="A1795" s="7">
        <v>42480.84547453704</v>
      </c>
      <c r="B1795" s="8" t="str">
        <f>HYPERLINK("https://twitter.com/JanFirsching","@JanFirsching")</f>
        <v>@JanFirsching</v>
      </c>
      <c r="C1795" s="9" t="s">
        <v>3341</v>
      </c>
      <c r="D1795" s="9" t="s">
        <v>3342</v>
      </c>
      <c r="E1795" s="10" t="str">
        <f>HYPERLINK("https://twitter.com/JanFirsching/status/722798848918294529","722798848918294529")</f>
        <v>722798848918294529</v>
      </c>
      <c r="F1795" s="11" t="s">
        <v>31</v>
      </c>
      <c r="G1795" s="11">
        <v>2223</v>
      </c>
      <c r="H1795" s="11">
        <v>924</v>
      </c>
      <c r="I1795" s="11">
        <v>1</v>
      </c>
      <c r="J1795" s="11">
        <v>2</v>
      </c>
      <c r="K1795" s="11" t="s">
        <v>21</v>
      </c>
      <c r="L1795" s="7">
        <v>39953.810844907406</v>
      </c>
      <c r="M1795" s="12" t="s">
        <v>227</v>
      </c>
      <c r="N1795" s="12" t="s">
        <v>3343</v>
      </c>
      <c r="O1795" s="10" t="str">
        <f>HYPERLINK("https://pbs.twimg.com/profile_images/613272387015061505/1UAowpCJ_normal.jpg","View")</f>
        <v>View</v>
      </c>
      <c r="P1795" s="11"/>
    </row>
    <row r="1796" spans="1:16" ht="12.75" x14ac:dyDescent="0.35">
      <c r="A1796" s="7">
        <v>42480.846157407403</v>
      </c>
      <c r="B1796" s="8" t="str">
        <f>HYPERLINK("https://twitter.com/medinfode","@medinfode")</f>
        <v>@medinfode</v>
      </c>
      <c r="C1796" s="9" t="s">
        <v>3344</v>
      </c>
      <c r="D1796" s="9" t="s">
        <v>2947</v>
      </c>
      <c r="E1796" s="10" t="str">
        <f>HYPERLINK("https://twitter.com/medinfode/status/722799095665057792","722799095665057792")</f>
        <v>722799095665057792</v>
      </c>
      <c r="F1796" s="11" t="s">
        <v>3345</v>
      </c>
      <c r="G1796" s="11">
        <v>1236</v>
      </c>
      <c r="H1796" s="11">
        <v>666</v>
      </c>
      <c r="I1796" s="11">
        <v>21</v>
      </c>
      <c r="J1796" s="11">
        <v>0</v>
      </c>
      <c r="K1796" s="11" t="s">
        <v>21</v>
      </c>
      <c r="L1796" s="7">
        <v>39997.034270833334</v>
      </c>
      <c r="M1796" s="12" t="s">
        <v>121</v>
      </c>
      <c r="N1796" s="12" t="s">
        <v>3346</v>
      </c>
      <c r="O1796" s="10" t="str">
        <f>HYPERLINK("https://pbs.twimg.com/profile_images/434355223109189632/WBPtiY7E_normal.png","View")</f>
        <v>View</v>
      </c>
      <c r="P1796" s="11"/>
    </row>
    <row r="1797" spans="1:16" ht="12.75" x14ac:dyDescent="0.35">
      <c r="A1797" s="7">
        <v>42480.846678240741</v>
      </c>
      <c r="B1797" s="8" t="str">
        <f>HYPERLINK("https://twitter.com/BoschPresse","@BoschPresse")</f>
        <v>@BoschPresse</v>
      </c>
      <c r="C1797" s="9" t="s">
        <v>1782</v>
      </c>
      <c r="D1797" s="9" t="s">
        <v>1904</v>
      </c>
      <c r="E1797" s="10" t="str">
        <f>HYPERLINK("https://twitter.com/BoschPresse/status/722799285218226177","722799285218226177")</f>
        <v>722799285218226177</v>
      </c>
      <c r="F1797" s="11" t="s">
        <v>39</v>
      </c>
      <c r="G1797" s="11">
        <v>7560</v>
      </c>
      <c r="H1797" s="11">
        <v>389</v>
      </c>
      <c r="I1797" s="11">
        <v>18</v>
      </c>
      <c r="J1797" s="11">
        <v>0</v>
      </c>
      <c r="K1797" s="11" t="s">
        <v>21</v>
      </c>
      <c r="L1797" s="7">
        <v>40991.629687499997</v>
      </c>
      <c r="M1797" s="12" t="s">
        <v>162</v>
      </c>
      <c r="N1797" s="12" t="s">
        <v>1784</v>
      </c>
      <c r="O1797" s="10" t="str">
        <f>HYPERLINK("https://pbs.twimg.com/profile_images/2619086509/ld3z97zhhdbs2essw7s9_normal.jpeg","View")</f>
        <v>View</v>
      </c>
      <c r="P1797" s="11"/>
    </row>
    <row r="1798" spans="1:16" ht="12.75" x14ac:dyDescent="0.35">
      <c r="A1798" s="7">
        <v>42480.846956018519</v>
      </c>
      <c r="B1798" s="8" t="str">
        <f>HYPERLINK("https://twitter.com/TheRealMo99","@TheRealMo99")</f>
        <v>@TheRealMo99</v>
      </c>
      <c r="C1798" s="9" t="s">
        <v>3347</v>
      </c>
      <c r="D1798" s="9" t="s">
        <v>3348</v>
      </c>
      <c r="E1798" s="10" t="str">
        <f>HYPERLINK("https://twitter.com/TheRealMo99/status/722799388037222400","722799388037222400")</f>
        <v>722799388037222400</v>
      </c>
      <c r="F1798" s="11" t="s">
        <v>25</v>
      </c>
      <c r="G1798" s="11">
        <v>4</v>
      </c>
      <c r="H1798" s="11">
        <v>5</v>
      </c>
      <c r="I1798" s="11">
        <v>1</v>
      </c>
      <c r="J1798" s="11">
        <v>0</v>
      </c>
      <c r="K1798" s="11" t="s">
        <v>21</v>
      </c>
      <c r="L1798" s="7">
        <v>42480.575821759259</v>
      </c>
      <c r="M1798" s="12"/>
      <c r="N1798" s="12"/>
      <c r="O1798" s="10" t="str">
        <f>HYPERLINK("https://abs.twimg.com/sticky/default_profile_images/default_profile_5_normal.png","View")</f>
        <v>View</v>
      </c>
      <c r="P1798" s="11"/>
    </row>
    <row r="1799" spans="1:16" ht="12.75" x14ac:dyDescent="0.35">
      <c r="A1799" s="7">
        <v>42480.847939814819</v>
      </c>
      <c r="B1799" s="8" t="str">
        <f>HYPERLINK("https://twitter.com/Databanque","@Databanque")</f>
        <v>@Databanque</v>
      </c>
      <c r="C1799" s="9" t="s">
        <v>1180</v>
      </c>
      <c r="D1799" s="9" t="s">
        <v>3349</v>
      </c>
      <c r="E1799" s="10" t="str">
        <f>HYPERLINK("https://twitter.com/Databanque/status/722799744754429952","722799744754429952")</f>
        <v>722799744754429952</v>
      </c>
      <c r="F1799" s="11" t="s">
        <v>25</v>
      </c>
      <c r="G1799" s="11">
        <v>265</v>
      </c>
      <c r="H1799" s="11">
        <v>610</v>
      </c>
      <c r="I1799" s="11">
        <v>2</v>
      </c>
      <c r="J1799" s="11">
        <v>1</v>
      </c>
      <c r="K1799" s="11" t="s">
        <v>21</v>
      </c>
      <c r="L1799" s="7">
        <v>39984.0387962963</v>
      </c>
      <c r="M1799" s="12" t="s">
        <v>1182</v>
      </c>
      <c r="N1799" s="12" t="s">
        <v>1183</v>
      </c>
      <c r="O1799" s="10" t="str">
        <f>HYPERLINK("https://pbs.twimg.com/profile_images/552211771360940032/CmEYO0l3_normal.png","View")</f>
        <v>View</v>
      </c>
      <c r="P1799" s="11"/>
    </row>
    <row r="1800" spans="1:16" ht="12.75" x14ac:dyDescent="0.35">
      <c r="A1800" s="7">
        <v>42480.848483796297</v>
      </c>
      <c r="B1800" s="8" t="str">
        <f>HYPERLINK("https://twitter.com/ChRothe","@ChRothe")</f>
        <v>@ChRothe</v>
      </c>
      <c r="C1800" s="9" t="s">
        <v>3350</v>
      </c>
      <c r="D1800" s="9" t="s">
        <v>1904</v>
      </c>
      <c r="E1800" s="10" t="str">
        <f>HYPERLINK("https://twitter.com/ChRothe/status/722799940120907776","722799940120907776")</f>
        <v>722799940120907776</v>
      </c>
      <c r="F1800" s="11" t="s">
        <v>25</v>
      </c>
      <c r="G1800" s="11">
        <v>64</v>
      </c>
      <c r="H1800" s="11">
        <v>360</v>
      </c>
      <c r="I1800" s="11">
        <v>18</v>
      </c>
      <c r="J1800" s="11">
        <v>0</v>
      </c>
      <c r="K1800" s="11" t="s">
        <v>21</v>
      </c>
      <c r="L1800" s="7">
        <v>41404.611192129625</v>
      </c>
      <c r="M1800" s="12" t="s">
        <v>3351</v>
      </c>
      <c r="N1800" s="12" t="s">
        <v>3352</v>
      </c>
      <c r="O1800" s="10" t="str">
        <f>HYPERLINK("https://pbs.twimg.com/profile_images/673216629782806528/GAAyze8N_normal.jpg","View")</f>
        <v>View</v>
      </c>
      <c r="P1800" s="11"/>
    </row>
    <row r="1801" spans="1:16" ht="12.75" x14ac:dyDescent="0.35">
      <c r="A1801" s="7">
        <v>42480.848726851851</v>
      </c>
      <c r="B1801" s="8" t="str">
        <f>HYPERLINK("https://twitter.com/Global_Fairs","@Global_Fairs")</f>
        <v>@Global_Fairs</v>
      </c>
      <c r="C1801" s="9" t="s">
        <v>533</v>
      </c>
      <c r="D1801" s="9" t="s">
        <v>3353</v>
      </c>
      <c r="E1801" s="10" t="str">
        <f>HYPERLINK("https://twitter.com/Global_Fairs/status/722800028541030400","722800028541030400")</f>
        <v>722800028541030400</v>
      </c>
      <c r="F1801" s="11" t="s">
        <v>25</v>
      </c>
      <c r="G1801" s="11">
        <v>358</v>
      </c>
      <c r="H1801" s="11">
        <v>674</v>
      </c>
      <c r="I1801" s="11">
        <v>2</v>
      </c>
      <c r="J1801" s="11">
        <v>0</v>
      </c>
      <c r="K1801" s="11" t="s">
        <v>21</v>
      </c>
      <c r="L1801" s="7">
        <v>41691.790775462963</v>
      </c>
      <c r="M1801" s="12" t="s">
        <v>243</v>
      </c>
      <c r="N1801" s="12" t="s">
        <v>534</v>
      </c>
      <c r="O1801" s="10" t="str">
        <f>HYPERLINK("https://pbs.twimg.com/profile_images/694530943139315712/TQHmYxMT_normal.png","View")</f>
        <v>View</v>
      </c>
      <c r="P1801" s="11"/>
    </row>
    <row r="1802" spans="1:16" ht="12.75" x14ac:dyDescent="0.35">
      <c r="A1802" s="7">
        <v>42480.854814814811</v>
      </c>
      <c r="B1802" s="8" t="str">
        <f>HYPERLINK("https://twitter.com/siemens_press","@siemens_press")</f>
        <v>@siemens_press</v>
      </c>
      <c r="C1802" s="9" t="s">
        <v>3354</v>
      </c>
      <c r="D1802" s="9" t="s">
        <v>3355</v>
      </c>
      <c r="E1802" s="10" t="str">
        <f>HYPERLINK("https://twitter.com/siemens_press/status/722802234950619136","722802234950619136")</f>
        <v>722802234950619136</v>
      </c>
      <c r="F1802" s="11" t="s">
        <v>39</v>
      </c>
      <c r="G1802" s="11">
        <v>8957</v>
      </c>
      <c r="H1802" s="11">
        <v>174</v>
      </c>
      <c r="I1802" s="11">
        <v>6</v>
      </c>
      <c r="J1802" s="11">
        <v>2</v>
      </c>
      <c r="K1802" s="11" t="s">
        <v>21</v>
      </c>
      <c r="L1802" s="7">
        <v>40869.680115740739</v>
      </c>
      <c r="M1802" s="12" t="s">
        <v>1148</v>
      </c>
      <c r="N1802" s="12" t="s">
        <v>3356</v>
      </c>
      <c r="O1802" s="10" t="str">
        <f>HYPERLINK("https://pbs.twimg.com/profile_images/459331247488004096/2K0groDQ_normal.png","View")</f>
        <v>View</v>
      </c>
      <c r="P1802" s="11"/>
    </row>
    <row r="1803" spans="1:16" ht="12.75" x14ac:dyDescent="0.35">
      <c r="A1803" s="7">
        <v>42480.855694444443</v>
      </c>
      <c r="B1803" s="8" t="str">
        <f>HYPERLINK("https://twitter.com/IT2Industry","@IT2Industry")</f>
        <v>@IT2Industry</v>
      </c>
      <c r="C1803" s="9" t="s">
        <v>721</v>
      </c>
      <c r="D1803" s="9" t="s">
        <v>3357</v>
      </c>
      <c r="E1803" s="10" t="str">
        <f>HYPERLINK("https://twitter.com/IT2Industry/status/722802554317455360","722802554317455360")</f>
        <v>722802554317455360</v>
      </c>
      <c r="F1803" s="10" t="s">
        <v>723</v>
      </c>
      <c r="G1803" s="11">
        <v>1930</v>
      </c>
      <c r="H1803" s="11">
        <v>992</v>
      </c>
      <c r="I1803" s="11">
        <v>0</v>
      </c>
      <c r="J1803" s="11">
        <v>0</v>
      </c>
      <c r="K1803" s="11" t="s">
        <v>21</v>
      </c>
      <c r="L1803" s="7">
        <v>39771.779502314814</v>
      </c>
      <c r="M1803" s="12" t="s">
        <v>443</v>
      </c>
      <c r="N1803" s="12" t="s">
        <v>724</v>
      </c>
      <c r="O1803" s="10" t="str">
        <f>HYPERLINK("https://pbs.twimg.com/profile_images/489403559394304001/8SQlWWA1_normal.jpeg","View")</f>
        <v>View</v>
      </c>
      <c r="P1803" s="11"/>
    </row>
    <row r="1804" spans="1:16" ht="12.75" x14ac:dyDescent="0.35">
      <c r="A1804" s="7">
        <v>42480.857048611113</v>
      </c>
      <c r="B1804" s="8" t="str">
        <f>HYPERLINK("https://twitter.com/texdatacom","@texdatacom")</f>
        <v>@texdatacom</v>
      </c>
      <c r="C1804" s="9" t="s">
        <v>3358</v>
      </c>
      <c r="D1804" s="9" t="s">
        <v>2680</v>
      </c>
      <c r="E1804" s="10" t="str">
        <f>HYPERLINK("https://twitter.com/texdatacom/status/722803045218848768","722803045218848768")</f>
        <v>722803045218848768</v>
      </c>
      <c r="F1804" s="11" t="s">
        <v>29</v>
      </c>
      <c r="G1804" s="11">
        <v>163</v>
      </c>
      <c r="H1804" s="11">
        <v>343</v>
      </c>
      <c r="I1804" s="11">
        <v>5</v>
      </c>
      <c r="J1804" s="11">
        <v>0</v>
      </c>
      <c r="K1804" s="11" t="s">
        <v>21</v>
      </c>
      <c r="L1804" s="7">
        <v>40302.678518518514</v>
      </c>
      <c r="M1804" s="12"/>
      <c r="N1804" s="12" t="s">
        <v>3359</v>
      </c>
      <c r="O1804" s="10" t="str">
        <f>HYPERLINK("https://pbs.twimg.com/profile_images/664500546099912704/hBqsuX6w_normal.jpg","View")</f>
        <v>View</v>
      </c>
      <c r="P1804" s="11"/>
    </row>
    <row r="1805" spans="1:16" ht="12.75" x14ac:dyDescent="0.35">
      <c r="A1805" s="7">
        <v>42480.861296296294</v>
      </c>
      <c r="B1805" s="8" t="str">
        <f>HYPERLINK("https://twitter.com/BoschPresse","@BoschPresse")</f>
        <v>@BoschPresse</v>
      </c>
      <c r="C1805" s="9" t="s">
        <v>1782</v>
      </c>
      <c r="D1805" s="9" t="s">
        <v>3360</v>
      </c>
      <c r="E1805" s="10" t="str">
        <f>HYPERLINK("https://twitter.com/BoschPresse/status/722804583626620928","722804583626620928")</f>
        <v>722804583626620928</v>
      </c>
      <c r="F1805" s="11" t="s">
        <v>39</v>
      </c>
      <c r="G1805" s="11">
        <v>7560</v>
      </c>
      <c r="H1805" s="11">
        <v>389</v>
      </c>
      <c r="I1805" s="11">
        <v>1</v>
      </c>
      <c r="J1805" s="11">
        <v>0</v>
      </c>
      <c r="K1805" s="11" t="s">
        <v>21</v>
      </c>
      <c r="L1805" s="7">
        <v>40991.629687499997</v>
      </c>
      <c r="M1805" s="12" t="s">
        <v>162</v>
      </c>
      <c r="N1805" s="12" t="s">
        <v>1784</v>
      </c>
      <c r="O1805" s="10" t="str">
        <f>HYPERLINK("https://pbs.twimg.com/profile_images/2619086509/ld3z97zhhdbs2essw7s9_normal.jpeg","View")</f>
        <v>View</v>
      </c>
      <c r="P1805" s="11"/>
    </row>
    <row r="1806" spans="1:16" ht="12.75" x14ac:dyDescent="0.35">
      <c r="A1806" s="7">
        <v>42480.862187499995</v>
      </c>
      <c r="B1806" s="8" t="str">
        <f>HYPERLINK("https://twitter.com/INDIZbot","@INDIZbot")</f>
        <v>@INDIZbot</v>
      </c>
      <c r="C1806" s="9" t="s">
        <v>61</v>
      </c>
      <c r="D1806" s="9" t="s">
        <v>3361</v>
      </c>
      <c r="E1806" s="10" t="str">
        <f>HYPERLINK("https://twitter.com/INDIZbot/status/722804908408352769","722804908408352769")</f>
        <v>722804908408352769</v>
      </c>
      <c r="F1806" s="11" t="s">
        <v>62</v>
      </c>
      <c r="G1806" s="11">
        <v>1762</v>
      </c>
      <c r="H1806" s="11">
        <v>481</v>
      </c>
      <c r="I1806" s="11">
        <v>1</v>
      </c>
      <c r="J1806" s="11">
        <v>0</v>
      </c>
      <c r="K1806" s="11" t="s">
        <v>21</v>
      </c>
      <c r="L1806" s="7">
        <v>42267.011921296296</v>
      </c>
      <c r="M1806" s="12"/>
      <c r="N1806" s="12" t="s">
        <v>63</v>
      </c>
      <c r="O1806" s="10" t="str">
        <f>HYPERLINK("https://pbs.twimg.com/profile_images/645716711723925506/t5G0qOS6_normal.jpg","View")</f>
        <v>View</v>
      </c>
      <c r="P1806" s="11"/>
    </row>
    <row r="1807" spans="1:16" ht="12.75" x14ac:dyDescent="0.35">
      <c r="A1807" s="7">
        <v>42480.862511574072</v>
      </c>
      <c r="B1807" s="8" t="str">
        <f>HYPERLINK("https://twitter.com/QuickFindsIn","@QuickFindsIn")</f>
        <v>@QuickFindsIn</v>
      </c>
      <c r="C1807" s="9" t="s">
        <v>208</v>
      </c>
      <c r="D1807" s="9" t="s">
        <v>504</v>
      </c>
      <c r="E1807" s="10" t="str">
        <f>HYPERLINK("https://twitter.com/QuickFindsIn/status/722805024435245056","722805024435245056")</f>
        <v>722805024435245056</v>
      </c>
      <c r="F1807" s="11" t="s">
        <v>210</v>
      </c>
      <c r="G1807" s="11">
        <v>1895</v>
      </c>
      <c r="H1807" s="11">
        <v>2758</v>
      </c>
      <c r="I1807" s="11">
        <v>0</v>
      </c>
      <c r="J1807" s="11">
        <v>1</v>
      </c>
      <c r="K1807" s="11" t="s">
        <v>21</v>
      </c>
      <c r="L1807" s="7">
        <v>42069.582048611112</v>
      </c>
      <c r="M1807" s="12" t="s">
        <v>211</v>
      </c>
      <c r="N1807" s="12" t="s">
        <v>212</v>
      </c>
      <c r="O1807" s="10" t="str">
        <f>HYPERLINK("https://pbs.twimg.com/profile_images/591951396217327616/HbcCX2zX_normal.png","View")</f>
        <v>View</v>
      </c>
      <c r="P1807" s="11"/>
    </row>
    <row r="1808" spans="1:16" ht="12.75" x14ac:dyDescent="0.35">
      <c r="A1808" s="7">
        <v>42480.870162037041</v>
      </c>
      <c r="B1808" s="8" t="str">
        <f>HYPERLINK("https://twitter.com/AliceTimm1","@AliceTimm1")</f>
        <v>@AliceTimm1</v>
      </c>
      <c r="C1808" s="9" t="s">
        <v>3362</v>
      </c>
      <c r="D1808" s="9" t="s">
        <v>3363</v>
      </c>
      <c r="E1808" s="10" t="str">
        <f>HYPERLINK("https://twitter.com/AliceTimm1/status/722807797545594880","722807797545594880")</f>
        <v>722807797545594880</v>
      </c>
      <c r="F1808" s="11" t="s">
        <v>31</v>
      </c>
      <c r="G1808" s="11">
        <v>14</v>
      </c>
      <c r="H1808" s="11">
        <v>63</v>
      </c>
      <c r="I1808" s="11">
        <v>6</v>
      </c>
      <c r="J1808" s="11">
        <v>0</v>
      </c>
      <c r="K1808" s="11" t="s">
        <v>21</v>
      </c>
      <c r="L1808" s="7">
        <v>42451.121898148151</v>
      </c>
      <c r="M1808" s="12" t="s">
        <v>116</v>
      </c>
      <c r="N1808" s="12" t="s">
        <v>3364</v>
      </c>
      <c r="O1808" s="10" t="str">
        <f>HYPERLINK("https://pbs.twimg.com/profile_images/712401306082795521/Y0gvhjUD_normal.jpg","View")</f>
        <v>View</v>
      </c>
      <c r="P1808" s="11"/>
    </row>
    <row r="1809" spans="1:16" ht="12.75" x14ac:dyDescent="0.35">
      <c r="A1809" s="7">
        <v>42480.871574074074</v>
      </c>
      <c r="B1809" s="8" t="str">
        <f>HYPERLINK("https://twitter.com/AccenturePresse","@AccenturePresse")</f>
        <v>@AccenturePresse</v>
      </c>
      <c r="C1809" s="9" t="s">
        <v>3319</v>
      </c>
      <c r="D1809" s="9" t="s">
        <v>3365</v>
      </c>
      <c r="E1809" s="10" t="str">
        <f>HYPERLINK("https://twitter.com/AccenturePresse/status/722808306654322688","722808306654322688")</f>
        <v>722808306654322688</v>
      </c>
      <c r="F1809" s="11" t="s">
        <v>25</v>
      </c>
      <c r="G1809" s="11">
        <v>715</v>
      </c>
      <c r="H1809" s="11">
        <v>236</v>
      </c>
      <c r="I1809" s="11">
        <v>0</v>
      </c>
      <c r="J1809" s="11">
        <v>1</v>
      </c>
      <c r="K1809" s="11" t="s">
        <v>21</v>
      </c>
      <c r="L1809" s="7">
        <v>40116.818645833337</v>
      </c>
      <c r="M1809" s="12" t="s">
        <v>3321</v>
      </c>
      <c r="N1809" s="12" t="s">
        <v>3322</v>
      </c>
      <c r="O1809" s="10" t="str">
        <f>HYPERLINK("https://pbs.twimg.com/profile_images/470826247132438529/xf6oFNFR_normal.jpeg","View")</f>
        <v>View</v>
      </c>
      <c r="P1809" s="11"/>
    </row>
    <row r="1810" spans="1:16" ht="12.75" x14ac:dyDescent="0.35">
      <c r="A1810" s="7">
        <v>42480.871770833328</v>
      </c>
      <c r="B1810" s="8" t="str">
        <f>HYPERLINK("https://twitter.com/giocosopress","@giocosopress")</f>
        <v>@giocosopress</v>
      </c>
      <c r="C1810" s="9" t="s">
        <v>3366</v>
      </c>
      <c r="D1810" s="9" t="s">
        <v>3363</v>
      </c>
      <c r="E1810" s="10" t="str">
        <f>HYPERLINK("https://twitter.com/giocosopress/status/722808381652779008","722808381652779008")</f>
        <v>722808381652779008</v>
      </c>
      <c r="F1810" s="11" t="s">
        <v>31</v>
      </c>
      <c r="G1810" s="11">
        <v>333</v>
      </c>
      <c r="H1810" s="11">
        <v>1462</v>
      </c>
      <c r="I1810" s="11">
        <v>6</v>
      </c>
      <c r="J1810" s="11">
        <v>0</v>
      </c>
      <c r="K1810" s="11" t="s">
        <v>21</v>
      </c>
      <c r="L1810" s="7">
        <v>40922.733124999999</v>
      </c>
      <c r="M1810" s="12" t="s">
        <v>3367</v>
      </c>
      <c r="N1810" s="12" t="s">
        <v>3368</v>
      </c>
      <c r="O1810" s="10" t="str">
        <f>HYPERLINK("https://pbs.twimg.com/profile_images/698777247940005888/aZXu9Jf5_normal.jpg","View")</f>
        <v>View</v>
      </c>
      <c r="P1810" s="11"/>
    </row>
    <row r="1811" spans="1:16" ht="12.75" x14ac:dyDescent="0.35">
      <c r="A1811" s="7">
        <v>42480.881307870368</v>
      </c>
      <c r="B1811" s="8" t="str">
        <f>HYPERLINK("https://twitter.com/RalphRio","@RalphRio")</f>
        <v>@RalphRio</v>
      </c>
      <c r="C1811" s="9" t="s">
        <v>3369</v>
      </c>
      <c r="D1811" s="9" t="s">
        <v>3370</v>
      </c>
      <c r="E1811" s="10" t="str">
        <f>HYPERLINK("https://twitter.com/RalphRio/status/722811836958027776","722811836958027776")</f>
        <v>722811836958027776</v>
      </c>
      <c r="F1811" s="11" t="s">
        <v>115</v>
      </c>
      <c r="G1811" s="11">
        <v>1115</v>
      </c>
      <c r="H1811" s="11">
        <v>546</v>
      </c>
      <c r="I1811" s="11">
        <v>0</v>
      </c>
      <c r="J1811" s="11">
        <v>2</v>
      </c>
      <c r="K1811" s="11" t="s">
        <v>21</v>
      </c>
      <c r="L1811" s="7">
        <v>40899.976284722223</v>
      </c>
      <c r="M1811" s="12" t="s">
        <v>537</v>
      </c>
      <c r="N1811" s="12" t="s">
        <v>3371</v>
      </c>
      <c r="O1811" s="10" t="str">
        <f>HYPERLINK("https://pbs.twimg.com/profile_images/578551032625672192/aO-Yyvjx_normal.jpeg","View")</f>
        <v>View</v>
      </c>
      <c r="P1811" s="11"/>
    </row>
    <row r="1812" spans="1:16" ht="12.75" x14ac:dyDescent="0.35">
      <c r="A1812" s="7">
        <v>42480.882662037038</v>
      </c>
      <c r="B1812" s="8" t="str">
        <f>HYPERLINK("https://twitter.com/predigcorp","@predigcorp")</f>
        <v>@predigcorp</v>
      </c>
      <c r="C1812" s="9" t="s">
        <v>3372</v>
      </c>
      <c r="D1812" s="9" t="s">
        <v>3373</v>
      </c>
      <c r="E1812" s="10" t="str">
        <f>HYPERLINK("https://twitter.com/predigcorp/status/722812327922376704","722812327922376704")</f>
        <v>722812327922376704</v>
      </c>
      <c r="F1812" s="11" t="s">
        <v>39</v>
      </c>
      <c r="G1812" s="11">
        <v>397</v>
      </c>
      <c r="H1812" s="11">
        <v>391</v>
      </c>
      <c r="I1812" s="11">
        <v>0</v>
      </c>
      <c r="J1812" s="11">
        <v>0</v>
      </c>
      <c r="K1812" s="11" t="s">
        <v>21</v>
      </c>
      <c r="L1812" s="7">
        <v>40616.854618055557</v>
      </c>
      <c r="M1812" s="12" t="s">
        <v>3374</v>
      </c>
      <c r="N1812" s="12"/>
      <c r="O1812" s="10" t="str">
        <f>HYPERLINK("https://pbs.twimg.com/profile_images/513076194527285248/9M5kEuN6_normal.jpeg","View")</f>
        <v>View</v>
      </c>
      <c r="P1812" s="11"/>
    </row>
    <row r="1813" spans="1:16" ht="12.75" x14ac:dyDescent="0.35">
      <c r="A1813" s="7">
        <v>42480.882939814815</v>
      </c>
      <c r="B1813" s="8" t="str">
        <f>HYPERLINK("https://twitter.com/steffi04d","@steffi04d")</f>
        <v>@steffi04d</v>
      </c>
      <c r="C1813" s="9" t="s">
        <v>3375</v>
      </c>
      <c r="D1813" s="9" t="s">
        <v>3314</v>
      </c>
      <c r="E1813" s="10" t="str">
        <f>HYPERLINK("https://twitter.com/steffi04d/status/722812426362744833","722812426362744833")</f>
        <v>722812426362744833</v>
      </c>
      <c r="F1813" s="11" t="s">
        <v>115</v>
      </c>
      <c r="G1813" s="11">
        <v>28</v>
      </c>
      <c r="H1813" s="11">
        <v>56</v>
      </c>
      <c r="I1813" s="11">
        <v>5</v>
      </c>
      <c r="J1813" s="11">
        <v>0</v>
      </c>
      <c r="K1813" s="11" t="s">
        <v>21</v>
      </c>
      <c r="L1813" s="7">
        <v>40324.560740740737</v>
      </c>
      <c r="M1813" s="12"/>
      <c r="N1813" s="12"/>
      <c r="O1813" s="10" t="str">
        <f>HYPERLINK("https://pbs.twimg.com/profile_images/698459430262853632/aWQTuDjj_normal.jpg","View")</f>
        <v>View</v>
      </c>
      <c r="P1813" s="11"/>
    </row>
    <row r="1814" spans="1:16" ht="12.75" x14ac:dyDescent="0.35">
      <c r="A1814" s="7">
        <v>42480.884421296301</v>
      </c>
      <c r="B1814" s="8" t="str">
        <f>HYPERLINK("https://twitter.com/H_IT_D","@H_IT_D")</f>
        <v>@H_IT_D</v>
      </c>
      <c r="C1814" s="9" t="s">
        <v>159</v>
      </c>
      <c r="D1814" s="9" t="s">
        <v>3376</v>
      </c>
      <c r="E1814" s="10" t="str">
        <f>HYPERLINK("https://twitter.com/H_IT_D/status/722812966031138816","722812966031138816")</f>
        <v>722812966031138816</v>
      </c>
      <c r="F1814" s="11" t="s">
        <v>161</v>
      </c>
      <c r="G1814" s="11">
        <v>463</v>
      </c>
      <c r="H1814" s="11">
        <v>467</v>
      </c>
      <c r="I1814" s="11">
        <v>1</v>
      </c>
      <c r="J1814" s="11">
        <v>0</v>
      </c>
      <c r="K1814" s="11" t="s">
        <v>21</v>
      </c>
      <c r="L1814" s="7">
        <v>40723.867673611108</v>
      </c>
      <c r="M1814" s="12" t="s">
        <v>162</v>
      </c>
      <c r="N1814" s="12" t="s">
        <v>163</v>
      </c>
      <c r="O1814" s="10" t="str">
        <f>HYPERLINK("https://pbs.twimg.com/profile_images/662723326096224256/5V4KH9_O_normal.jpg","View")</f>
        <v>View</v>
      </c>
      <c r="P1814" s="11"/>
    </row>
    <row r="1815" spans="1:16" ht="12.75" x14ac:dyDescent="0.35">
      <c r="A1815" s="7">
        <v>42480.886782407411</v>
      </c>
      <c r="B1815" s="8" t="str">
        <f>HYPERLINK("https://twitter.com/Faheem_Farooq","@Faheem_Farooq")</f>
        <v>@Faheem_Farooq</v>
      </c>
      <c r="C1815" s="9" t="s">
        <v>3377</v>
      </c>
      <c r="D1815" s="9" t="s">
        <v>3363</v>
      </c>
      <c r="E1815" s="10" t="str">
        <f>HYPERLINK("https://twitter.com/Faheem_Farooq/status/722813817944678400","722813817944678400")</f>
        <v>722813817944678400</v>
      </c>
      <c r="F1815" s="11" t="s">
        <v>20</v>
      </c>
      <c r="G1815" s="11">
        <v>216</v>
      </c>
      <c r="H1815" s="11">
        <v>469</v>
      </c>
      <c r="I1815" s="11">
        <v>6</v>
      </c>
      <c r="J1815" s="11">
        <v>0</v>
      </c>
      <c r="K1815" s="11" t="s">
        <v>21</v>
      </c>
      <c r="L1815" s="7">
        <v>40872.704745370371</v>
      </c>
      <c r="M1815" s="12" t="s">
        <v>3378</v>
      </c>
      <c r="N1815" s="12" t="s">
        <v>3379</v>
      </c>
      <c r="O1815" s="10" t="str">
        <f>HYPERLINK("https://pbs.twimg.com/profile_images/640925612421414912/bO2Nzo73_normal.jpg","View")</f>
        <v>View</v>
      </c>
      <c r="P1815" s="11"/>
    </row>
    <row r="1816" spans="1:16" ht="12.75" x14ac:dyDescent="0.35">
      <c r="A1816" s="7">
        <v>42480.889780092592</v>
      </c>
      <c r="B1816" s="8" t="str">
        <f>HYPERLINK("https://twitter.com/Telit_IoT","@Telit_IoT")</f>
        <v>@Telit_IoT</v>
      </c>
      <c r="C1816" s="9" t="s">
        <v>3380</v>
      </c>
      <c r="D1816" s="9" t="s">
        <v>3381</v>
      </c>
      <c r="E1816" s="10" t="str">
        <f>HYPERLINK("https://twitter.com/Telit_IoT/status/722814907188690944","722814907188690944")</f>
        <v>722814907188690944</v>
      </c>
      <c r="F1816" s="11" t="s">
        <v>59</v>
      </c>
      <c r="G1816" s="11">
        <v>620</v>
      </c>
      <c r="H1816" s="11">
        <v>984</v>
      </c>
      <c r="I1816" s="11">
        <v>2</v>
      </c>
      <c r="J1816" s="11">
        <v>6</v>
      </c>
      <c r="K1816" s="11" t="s">
        <v>21</v>
      </c>
      <c r="L1816" s="7">
        <v>41774.814305555556</v>
      </c>
      <c r="M1816" s="12" t="s">
        <v>3382</v>
      </c>
      <c r="N1816" s="12" t="s">
        <v>3383</v>
      </c>
      <c r="O1816" s="10" t="str">
        <f>HYPERLINK("https://pbs.twimg.com/profile_images/639545317889822720/PXoKiaJf_normal.jpg","View")</f>
        <v>View</v>
      </c>
      <c r="P1816" s="11"/>
    </row>
    <row r="1817" spans="1:16" ht="12.75" x14ac:dyDescent="0.35">
      <c r="A1817" s="7">
        <v>42480.890115740738</v>
      </c>
      <c r="B1817" s="8" t="str">
        <f>HYPERLINK("https://twitter.com/Global_Fairs","@Global_Fairs")</f>
        <v>@Global_Fairs</v>
      </c>
      <c r="C1817" s="9" t="s">
        <v>533</v>
      </c>
      <c r="D1817" s="9" t="s">
        <v>3363</v>
      </c>
      <c r="E1817" s="10" t="str">
        <f>HYPERLINK("https://twitter.com/Global_Fairs/status/722815026520698880","722815026520698880")</f>
        <v>722815026520698880</v>
      </c>
      <c r="F1817" s="11" t="s">
        <v>25</v>
      </c>
      <c r="G1817" s="11">
        <v>358</v>
      </c>
      <c r="H1817" s="11">
        <v>674</v>
      </c>
      <c r="I1817" s="11">
        <v>6</v>
      </c>
      <c r="J1817" s="11">
        <v>0</v>
      </c>
      <c r="K1817" s="11" t="s">
        <v>21</v>
      </c>
      <c r="L1817" s="7">
        <v>41691.790775462963</v>
      </c>
      <c r="M1817" s="12" t="s">
        <v>243</v>
      </c>
      <c r="N1817" s="12" t="s">
        <v>534</v>
      </c>
      <c r="O1817" s="10" t="str">
        <f>HYPERLINK("https://pbs.twimg.com/profile_images/694530943139315712/TQHmYxMT_normal.png","View")</f>
        <v>View</v>
      </c>
      <c r="P1817" s="11"/>
    </row>
    <row r="1818" spans="1:16" ht="12.75" x14ac:dyDescent="0.35">
      <c r="A1818" s="7">
        <v>42480.890856481477</v>
      </c>
      <c r="B1818" s="8" t="str">
        <f>HYPERLINK("https://twitter.com/INDIZbot","@INDIZbot")</f>
        <v>@INDIZbot</v>
      </c>
      <c r="C1818" s="9" t="s">
        <v>61</v>
      </c>
      <c r="D1818" s="9" t="s">
        <v>3384</v>
      </c>
      <c r="E1818" s="10" t="str">
        <f>HYPERLINK("https://twitter.com/INDIZbot/status/722815297896509443","722815297896509443")</f>
        <v>722815297896509443</v>
      </c>
      <c r="F1818" s="11" t="s">
        <v>62</v>
      </c>
      <c r="G1818" s="11">
        <v>1762</v>
      </c>
      <c r="H1818" s="11">
        <v>481</v>
      </c>
      <c r="I1818" s="11">
        <v>1</v>
      </c>
      <c r="J1818" s="11">
        <v>0</v>
      </c>
      <c r="K1818" s="11" t="s">
        <v>21</v>
      </c>
      <c r="L1818" s="7">
        <v>42267.011921296296</v>
      </c>
      <c r="M1818" s="12"/>
      <c r="N1818" s="12" t="s">
        <v>63</v>
      </c>
      <c r="O1818" s="10" t="str">
        <f>HYPERLINK("https://pbs.twimg.com/profile_images/645716711723925506/t5G0qOS6_normal.jpg","View")</f>
        <v>View</v>
      </c>
      <c r="P1818" s="11"/>
    </row>
    <row r="1819" spans="1:16" ht="12.75" x14ac:dyDescent="0.35">
      <c r="A1819" s="7">
        <v>42480.893796296295</v>
      </c>
      <c r="B1819" s="8" t="str">
        <f>HYPERLINK("https://twitter.com/Global_Fairs","@Global_Fairs")</f>
        <v>@Global_Fairs</v>
      </c>
      <c r="C1819" s="9" t="s">
        <v>533</v>
      </c>
      <c r="D1819" s="9" t="s">
        <v>3385</v>
      </c>
      <c r="E1819" s="10" t="str">
        <f>HYPERLINK("https://twitter.com/Global_Fairs/status/722816359822786560","722816359822786560")</f>
        <v>722816359822786560</v>
      </c>
      <c r="F1819" s="11" t="s">
        <v>25</v>
      </c>
      <c r="G1819" s="11">
        <v>358</v>
      </c>
      <c r="H1819" s="11">
        <v>674</v>
      </c>
      <c r="I1819" s="11">
        <v>2</v>
      </c>
      <c r="J1819" s="11">
        <v>0</v>
      </c>
      <c r="K1819" s="11" t="s">
        <v>21</v>
      </c>
      <c r="L1819" s="7">
        <v>41691.790775462963</v>
      </c>
      <c r="M1819" s="12" t="s">
        <v>243</v>
      </c>
      <c r="N1819" s="12" t="s">
        <v>534</v>
      </c>
      <c r="O1819" s="10" t="str">
        <f>HYPERLINK("https://pbs.twimg.com/profile_images/694530943139315712/TQHmYxMT_normal.png","View")</f>
        <v>View</v>
      </c>
      <c r="P1819" s="11"/>
    </row>
    <row r="1820" spans="1:16" ht="12.75" x14ac:dyDescent="0.35">
      <c r="A1820" s="7">
        <v>42480.895335648151</v>
      </c>
      <c r="B1820" s="8" t="str">
        <f>HYPERLINK("https://twitter.com/HIVBERN","@HIVBERN")</f>
        <v>@HIVBERN</v>
      </c>
      <c r="C1820" s="9" t="s">
        <v>3386</v>
      </c>
      <c r="D1820" s="9" t="s">
        <v>3387</v>
      </c>
      <c r="E1820" s="10" t="str">
        <f>HYPERLINK("https://twitter.com/HIVBERN/status/722816919045320704","722816919045320704")</f>
        <v>722816919045320704</v>
      </c>
      <c r="F1820" s="11" t="s">
        <v>31</v>
      </c>
      <c r="G1820" s="11">
        <v>137</v>
      </c>
      <c r="H1820" s="11">
        <v>64</v>
      </c>
      <c r="I1820" s="11">
        <v>0</v>
      </c>
      <c r="J1820" s="11">
        <v>0</v>
      </c>
      <c r="K1820" s="11" t="s">
        <v>21</v>
      </c>
      <c r="L1820" s="7">
        <v>41247.765752314815</v>
      </c>
      <c r="M1820" s="12" t="s">
        <v>285</v>
      </c>
      <c r="N1820" s="12"/>
      <c r="O1820" s="10" t="str">
        <f>HYPERLINK("https://pbs.twimg.com/profile_images/591535147239002112/g9kA6jE8_normal.jpg","View")</f>
        <v>View</v>
      </c>
      <c r="P1820" s="11"/>
    </row>
    <row r="1821" spans="1:16" ht="12.75" x14ac:dyDescent="0.35">
      <c r="A1821" s="7">
        <v>42480.897592592592</v>
      </c>
      <c r="B1821" s="8" t="str">
        <f>HYPERLINK("https://twitter.com/bamitav","@bamitav")</f>
        <v>@bamitav</v>
      </c>
      <c r="C1821" s="9" t="s">
        <v>341</v>
      </c>
      <c r="D1821" s="9" t="s">
        <v>3388</v>
      </c>
      <c r="E1821" s="10" t="str">
        <f>HYPERLINK("https://twitter.com/bamitav/status/722817737584607234","722817737584607234")</f>
        <v>722817737584607234</v>
      </c>
      <c r="F1821" s="11" t="s">
        <v>20</v>
      </c>
      <c r="G1821" s="11">
        <v>7341</v>
      </c>
      <c r="H1821" s="11">
        <v>6333</v>
      </c>
      <c r="I1821" s="11">
        <v>0</v>
      </c>
      <c r="J1821" s="11">
        <v>1</v>
      </c>
      <c r="K1821" s="11" t="s">
        <v>21</v>
      </c>
      <c r="L1821" s="7">
        <v>40138.933622685188</v>
      </c>
      <c r="M1821" s="12" t="s">
        <v>343</v>
      </c>
      <c r="N1821" s="12" t="s">
        <v>344</v>
      </c>
      <c r="O1821" s="10" t="str">
        <f>HYPERLINK("https://pbs.twimg.com/profile_images/672794348442877952/m6Is-Nrc_normal.jpg","View")</f>
        <v>View</v>
      </c>
      <c r="P1821" s="11"/>
    </row>
    <row r="1822" spans="1:16" ht="12.75" x14ac:dyDescent="0.35">
      <c r="A1822" s="7">
        <v>42480.899629629625</v>
      </c>
      <c r="B1822" s="8" t="str">
        <f t="shared" ref="B1822:B1823" si="212">HYPERLINK("https://twitter.com/m_biscarrat","@m_biscarrat")</f>
        <v>@m_biscarrat</v>
      </c>
      <c r="C1822" s="9" t="s">
        <v>725</v>
      </c>
      <c r="D1822" s="9" t="s">
        <v>871</v>
      </c>
      <c r="E1822" s="10" t="str">
        <f>HYPERLINK("https://twitter.com/m_biscarrat/status/722818477405265921","722818477405265921")</f>
        <v>722818477405265921</v>
      </c>
      <c r="F1822" s="11" t="s">
        <v>25</v>
      </c>
      <c r="G1822" s="11">
        <v>217</v>
      </c>
      <c r="H1822" s="11">
        <v>398</v>
      </c>
      <c r="I1822" s="11">
        <v>2</v>
      </c>
      <c r="J1822" s="11">
        <v>0</v>
      </c>
      <c r="K1822" s="11" t="s">
        <v>21</v>
      </c>
      <c r="L1822" s="7">
        <v>40156.914143518516</v>
      </c>
      <c r="M1822" s="12" t="s">
        <v>243</v>
      </c>
      <c r="N1822" s="12" t="s">
        <v>727</v>
      </c>
      <c r="O1822" s="10" t="str">
        <f t="shared" ref="O1822:O1823" si="213">HYPERLINK("https://pbs.twimg.com/profile_images/699724829713428484/rUT0r7Dq_normal.jpg","View")</f>
        <v>View</v>
      </c>
      <c r="P1822" s="11"/>
    </row>
    <row r="1823" spans="1:16" ht="12.75" x14ac:dyDescent="0.35">
      <c r="A1823" s="7">
        <v>42480.899814814809</v>
      </c>
      <c r="B1823" s="8" t="str">
        <f t="shared" si="212"/>
        <v>@m_biscarrat</v>
      </c>
      <c r="C1823" s="9" t="s">
        <v>725</v>
      </c>
      <c r="D1823" s="9" t="s">
        <v>3389</v>
      </c>
      <c r="E1823" s="10" t="str">
        <f>HYPERLINK("https://twitter.com/m_biscarrat/status/722818541108355072","722818541108355072")</f>
        <v>722818541108355072</v>
      </c>
      <c r="F1823" s="11" t="s">
        <v>25</v>
      </c>
      <c r="G1823" s="11">
        <v>217</v>
      </c>
      <c r="H1823" s="11">
        <v>398</v>
      </c>
      <c r="I1823" s="11">
        <v>1</v>
      </c>
      <c r="J1823" s="11">
        <v>0</v>
      </c>
      <c r="K1823" s="11" t="s">
        <v>21</v>
      </c>
      <c r="L1823" s="7">
        <v>40156.914143518516</v>
      </c>
      <c r="M1823" s="12" t="s">
        <v>243</v>
      </c>
      <c r="N1823" s="12" t="s">
        <v>727</v>
      </c>
      <c r="O1823" s="10" t="str">
        <f t="shared" si="213"/>
        <v>View</v>
      </c>
      <c r="P1823" s="11"/>
    </row>
    <row r="1824" spans="1:16" ht="12.75" x14ac:dyDescent="0.35">
      <c r="A1824" s="7">
        <v>42480.904016203705</v>
      </c>
      <c r="B1824" s="8" t="str">
        <f>HYPERLINK("https://twitter.com/EskenSaskia","@EskenSaskia")</f>
        <v>@EskenSaskia</v>
      </c>
      <c r="C1824" s="9" t="s">
        <v>3390</v>
      </c>
      <c r="D1824" s="9" t="s">
        <v>2947</v>
      </c>
      <c r="E1824" s="10" t="str">
        <f>HYPERLINK("https://twitter.com/EskenSaskia/status/722820065545097218","722820065545097218")</f>
        <v>722820065545097218</v>
      </c>
      <c r="F1824" s="11" t="s">
        <v>31</v>
      </c>
      <c r="G1824" s="11">
        <v>2315</v>
      </c>
      <c r="H1824" s="11">
        <v>1089</v>
      </c>
      <c r="I1824" s="11">
        <v>21</v>
      </c>
      <c r="J1824" s="11">
        <v>0</v>
      </c>
      <c r="K1824" s="11" t="s">
        <v>21</v>
      </c>
      <c r="L1824" s="7">
        <v>41406.954918981479</v>
      </c>
      <c r="M1824" s="12" t="s">
        <v>3391</v>
      </c>
      <c r="N1824" s="12" t="s">
        <v>3392</v>
      </c>
      <c r="O1824" s="10" t="str">
        <f>HYPERLINK("https://pbs.twimg.com/profile_images/690542309776171008/TMMelY5K_normal.jpg","View")</f>
        <v>View</v>
      </c>
      <c r="P1824" s="11"/>
    </row>
    <row r="1825" spans="1:16" ht="12.75" x14ac:dyDescent="0.35">
      <c r="A1825" s="7">
        <v>42480.91369212963</v>
      </c>
      <c r="B1825" s="8" t="str">
        <f>HYPERLINK("https://twitter.com/gpodagrosi","@gpodagrosi")</f>
        <v>@gpodagrosi</v>
      </c>
      <c r="C1825" s="9" t="s">
        <v>346</v>
      </c>
      <c r="D1825" s="9" t="s">
        <v>3385</v>
      </c>
      <c r="E1825" s="10" t="str">
        <f>HYPERLINK("https://twitter.com/gpodagrosi/status/722823569357565952","722823569357565952")</f>
        <v>722823569357565952</v>
      </c>
      <c r="F1825" s="11" t="s">
        <v>20</v>
      </c>
      <c r="G1825" s="11">
        <v>2508</v>
      </c>
      <c r="H1825" s="11">
        <v>1479</v>
      </c>
      <c r="I1825" s="11">
        <v>2</v>
      </c>
      <c r="J1825" s="11">
        <v>0</v>
      </c>
      <c r="K1825" s="11" t="s">
        <v>21</v>
      </c>
      <c r="L1825" s="7">
        <v>40649.951840277776</v>
      </c>
      <c r="M1825" s="12" t="s">
        <v>347</v>
      </c>
      <c r="N1825" s="12" t="s">
        <v>348</v>
      </c>
      <c r="O1825" s="10" t="str">
        <f>HYPERLINK("https://pbs.twimg.com/profile_images/588981131996966912/55KBnYR7_normal.jpg","View")</f>
        <v>View</v>
      </c>
      <c r="P1825" s="11"/>
    </row>
    <row r="1826" spans="1:16" ht="12.75" x14ac:dyDescent="0.35">
      <c r="A1826" s="7">
        <v>42480.917280092588</v>
      </c>
      <c r="B1826" s="8" t="str">
        <f>HYPERLINK("https://twitter.com/GTAI_com","@GTAI_com")</f>
        <v>@GTAI_com</v>
      </c>
      <c r="C1826" s="9" t="s">
        <v>3393</v>
      </c>
      <c r="D1826" s="9" t="s">
        <v>3394</v>
      </c>
      <c r="E1826" s="10" t="str">
        <f>HYPERLINK("https://twitter.com/GTAI_com/status/722824871969951744","722824871969951744")</f>
        <v>722824871969951744</v>
      </c>
      <c r="F1826" s="11" t="s">
        <v>39</v>
      </c>
      <c r="G1826" s="11">
        <v>6145</v>
      </c>
      <c r="H1826" s="11">
        <v>518</v>
      </c>
      <c r="I1826" s="11">
        <v>0</v>
      </c>
      <c r="J1826" s="11">
        <v>0</v>
      </c>
      <c r="K1826" s="11" t="s">
        <v>21</v>
      </c>
      <c r="L1826" s="7">
        <v>40855.83326388889</v>
      </c>
      <c r="M1826" s="12" t="s">
        <v>218</v>
      </c>
      <c r="N1826" s="12" t="s">
        <v>3395</v>
      </c>
      <c r="O1826" s="10" t="str">
        <f>HYPERLINK("https://pbs.twimg.com/profile_images/716977461079179268/JVN5NZO8_normal.jpg","View")</f>
        <v>View</v>
      </c>
      <c r="P1826" s="11"/>
    </row>
    <row r="1827" spans="1:16" ht="12.75" x14ac:dyDescent="0.35">
      <c r="A1827" s="7">
        <v>42480.925069444449</v>
      </c>
      <c r="B1827" s="8" t="str">
        <f>HYPERLINK("https://twitter.com/INDIZbot","@INDIZbot")</f>
        <v>@INDIZbot</v>
      </c>
      <c r="C1827" s="9" t="s">
        <v>61</v>
      </c>
      <c r="D1827" s="9" t="s">
        <v>3396</v>
      </c>
      <c r="E1827" s="10" t="str">
        <f>HYPERLINK("https://twitter.com/INDIZbot/status/722827696313667584","722827696313667584")</f>
        <v>722827696313667584</v>
      </c>
      <c r="F1827" s="11" t="s">
        <v>31</v>
      </c>
      <c r="G1827" s="11">
        <v>1762</v>
      </c>
      <c r="H1827" s="11">
        <v>481</v>
      </c>
      <c r="I1827" s="11">
        <v>1</v>
      </c>
      <c r="J1827" s="11">
        <v>0</v>
      </c>
      <c r="K1827" s="11" t="s">
        <v>21</v>
      </c>
      <c r="L1827" s="7">
        <v>42267.011921296296</v>
      </c>
      <c r="M1827" s="12"/>
      <c r="N1827" s="12" t="s">
        <v>63</v>
      </c>
      <c r="O1827" s="10" t="str">
        <f>HYPERLINK("https://pbs.twimg.com/profile_images/645716711723925506/t5G0qOS6_normal.jpg","View")</f>
        <v>View</v>
      </c>
      <c r="P1827" s="11"/>
    </row>
    <row r="1828" spans="1:16" ht="12.75" x14ac:dyDescent="0.35">
      <c r="A1828" s="7">
        <v>42480.927141203705</v>
      </c>
      <c r="B1828" s="8" t="str">
        <f>HYPERLINK("https://twitter.com/EpicsBot","@EpicsBot")</f>
        <v>@EpicsBot</v>
      </c>
      <c r="C1828" s="9" t="s">
        <v>3397</v>
      </c>
      <c r="D1828" s="9" t="s">
        <v>3398</v>
      </c>
      <c r="E1828" s="10" t="str">
        <f>HYPERLINK("https://twitter.com/EpicsBot/status/722828445995122688","722828445995122688")</f>
        <v>722828445995122688</v>
      </c>
      <c r="F1828" s="11" t="s">
        <v>3399</v>
      </c>
      <c r="G1828" s="11">
        <v>111</v>
      </c>
      <c r="H1828" s="11">
        <v>2</v>
      </c>
      <c r="I1828" s="11">
        <v>1</v>
      </c>
      <c r="J1828" s="11">
        <v>0</v>
      </c>
      <c r="K1828" s="11" t="s">
        <v>21</v>
      </c>
      <c r="L1828" s="7">
        <v>42209.784375000003</v>
      </c>
      <c r="M1828" s="12"/>
      <c r="N1828" s="12" t="s">
        <v>3400</v>
      </c>
      <c r="O1828" s="10" t="str">
        <f>HYPERLINK("https://pbs.twimg.com/profile_images/658401095023226880/4qMv3IiK_normal.png","View")</f>
        <v>View</v>
      </c>
      <c r="P1828" s="11"/>
    </row>
    <row r="1829" spans="1:16" ht="12.75" x14ac:dyDescent="0.35">
      <c r="A1829" s="7">
        <v>42480.932384259257</v>
      </c>
      <c r="B1829" s="8" t="str">
        <f>HYPERLINK("https://twitter.com/INDIZbot","@INDIZbot")</f>
        <v>@INDIZbot</v>
      </c>
      <c r="C1829" s="9" t="s">
        <v>61</v>
      </c>
      <c r="D1829" s="9" t="s">
        <v>3401</v>
      </c>
      <c r="E1829" s="10" t="str">
        <f>HYPERLINK("https://twitter.com/INDIZbot/status/722830344500723717","722830344500723717")</f>
        <v>722830344500723717</v>
      </c>
      <c r="F1829" s="11" t="s">
        <v>62</v>
      </c>
      <c r="G1829" s="11">
        <v>1762</v>
      </c>
      <c r="H1829" s="11">
        <v>481</v>
      </c>
      <c r="I1829" s="11">
        <v>1</v>
      </c>
      <c r="J1829" s="11">
        <v>0</v>
      </c>
      <c r="K1829" s="11" t="s">
        <v>21</v>
      </c>
      <c r="L1829" s="7">
        <v>42267.011921296296</v>
      </c>
      <c r="M1829" s="12"/>
      <c r="N1829" s="12" t="s">
        <v>63</v>
      </c>
      <c r="O1829" s="10" t="str">
        <f>HYPERLINK("https://pbs.twimg.com/profile_images/645716711723925506/t5G0qOS6_normal.jpg","View")</f>
        <v>View</v>
      </c>
      <c r="P1829" s="11"/>
    </row>
    <row r="1830" spans="1:16" ht="12.75" x14ac:dyDescent="0.35">
      <c r="A1830" s="7">
        <v>42480.933472222227</v>
      </c>
      <c r="B1830" s="8" t="str">
        <f>HYPERLINK("https://twitter.com/mfmberlin","@mfmberlin")</f>
        <v>@mfmberlin</v>
      </c>
      <c r="C1830" s="9" t="s">
        <v>3402</v>
      </c>
      <c r="D1830" s="9" t="s">
        <v>3403</v>
      </c>
      <c r="E1830" s="10" t="str">
        <f>HYPERLINK("https://twitter.com/mfmberlin/status/722830738962317315","722830738962317315")</f>
        <v>722830738962317315</v>
      </c>
      <c r="F1830" s="11" t="s">
        <v>29</v>
      </c>
      <c r="G1830" s="11">
        <v>484</v>
      </c>
      <c r="H1830" s="11">
        <v>588</v>
      </c>
      <c r="I1830" s="11">
        <v>1</v>
      </c>
      <c r="J1830" s="11">
        <v>1</v>
      </c>
      <c r="K1830" s="11" t="s">
        <v>21</v>
      </c>
      <c r="L1830" s="7">
        <v>40924.845717592594</v>
      </c>
      <c r="M1830" s="12" t="s">
        <v>218</v>
      </c>
      <c r="N1830" s="12" t="s">
        <v>3404</v>
      </c>
      <c r="O1830" s="10" t="str">
        <f>HYPERLINK("https://pbs.twimg.com/profile_images/677089590499540992/Dli24AC7_normal.png","View")</f>
        <v>View</v>
      </c>
      <c r="P1830" s="11"/>
    </row>
    <row r="1831" spans="1:16" ht="12.75" x14ac:dyDescent="0.35">
      <c r="A1831" s="7">
        <v>42480.938773148147</v>
      </c>
      <c r="B1831" s="8" t="str">
        <f>HYPERLINK("https://twitter.com/INDIZbot","@INDIZbot")</f>
        <v>@INDIZbot</v>
      </c>
      <c r="C1831" s="9" t="s">
        <v>61</v>
      </c>
      <c r="D1831" s="9" t="s">
        <v>3405</v>
      </c>
      <c r="E1831" s="10" t="str">
        <f>HYPERLINK("https://twitter.com/INDIZbot/status/722832661941772288","722832661941772288")</f>
        <v>722832661941772288</v>
      </c>
      <c r="F1831" s="11" t="s">
        <v>62</v>
      </c>
      <c r="G1831" s="11">
        <v>1762</v>
      </c>
      <c r="H1831" s="11">
        <v>481</v>
      </c>
      <c r="I1831" s="11">
        <v>1</v>
      </c>
      <c r="J1831" s="11">
        <v>0</v>
      </c>
      <c r="K1831" s="11" t="s">
        <v>21</v>
      </c>
      <c r="L1831" s="7">
        <v>42267.011921296296</v>
      </c>
      <c r="M1831" s="12"/>
      <c r="N1831" s="12" t="s">
        <v>63</v>
      </c>
      <c r="O1831" s="10" t="str">
        <f>HYPERLINK("https://pbs.twimg.com/profile_images/645716711723925506/t5G0qOS6_normal.jpg","View")</f>
        <v>View</v>
      </c>
      <c r="P1831" s="11"/>
    </row>
    <row r="1832" spans="1:16" ht="12.75" x14ac:dyDescent="0.35">
      <c r="A1832" s="7">
        <v>42480.94939814815</v>
      </c>
      <c r="B1832" s="8" t="str">
        <f>HYPERLINK("https://twitter.com/bamitav","@bamitav")</f>
        <v>@bamitav</v>
      </c>
      <c r="C1832" s="9" t="s">
        <v>341</v>
      </c>
      <c r="D1832" s="9" t="s">
        <v>3406</v>
      </c>
      <c r="E1832" s="10" t="str">
        <f>HYPERLINK("https://twitter.com/bamitav/status/722836509779369985","722836509779369985")</f>
        <v>722836509779369985</v>
      </c>
      <c r="F1832" s="11" t="s">
        <v>20</v>
      </c>
      <c r="G1832" s="11">
        <v>7341</v>
      </c>
      <c r="H1832" s="11">
        <v>6333</v>
      </c>
      <c r="I1832" s="11">
        <v>0</v>
      </c>
      <c r="J1832" s="11">
        <v>0</v>
      </c>
      <c r="K1832" s="11" t="s">
        <v>21</v>
      </c>
      <c r="L1832" s="7">
        <v>40138.933622685188</v>
      </c>
      <c r="M1832" s="12" t="s">
        <v>343</v>
      </c>
      <c r="N1832" s="12" t="s">
        <v>344</v>
      </c>
      <c r="O1832" s="10" t="str">
        <f>HYPERLINK("https://pbs.twimg.com/profile_images/672794348442877952/m6Is-Nrc_normal.jpg","View")</f>
        <v>View</v>
      </c>
      <c r="P1832" s="11"/>
    </row>
    <row r="1833" spans="1:16" ht="12.75" x14ac:dyDescent="0.35">
      <c r="A1833" s="7">
        <v>42480.953344907408</v>
      </c>
      <c r="B1833" s="8" t="str">
        <f>HYPERLINK("https://twitter.com/Uli_Schumacher","@Uli_Schumacher")</f>
        <v>@Uli_Schumacher</v>
      </c>
      <c r="C1833" s="9" t="s">
        <v>3407</v>
      </c>
      <c r="D1833" s="9" t="s">
        <v>2947</v>
      </c>
      <c r="E1833" s="10" t="str">
        <f>HYPERLINK("https://twitter.com/Uli_Schumacher/status/722837940888403971","722837940888403971")</f>
        <v>722837940888403971</v>
      </c>
      <c r="F1833" s="11" t="s">
        <v>25</v>
      </c>
      <c r="G1833" s="11">
        <v>112</v>
      </c>
      <c r="H1833" s="11">
        <v>428</v>
      </c>
      <c r="I1833" s="11">
        <v>21</v>
      </c>
      <c r="J1833" s="11">
        <v>0</v>
      </c>
      <c r="K1833" s="11" t="s">
        <v>21</v>
      </c>
      <c r="L1833" s="7">
        <v>41258.073680555557</v>
      </c>
      <c r="M1833" s="12"/>
      <c r="N1833" s="12"/>
      <c r="O1833" s="10" t="str">
        <f>HYPERLINK("https://pbs.twimg.com/profile_images/645978534981292032/RdDVZDZZ_normal.jpg","View")</f>
        <v>View</v>
      </c>
      <c r="P1833" s="11"/>
    </row>
    <row r="1834" spans="1:16" ht="12.75" x14ac:dyDescent="0.35">
      <c r="A1834" s="7">
        <v>42480.957025462965</v>
      </c>
      <c r="B1834" s="8" t="str">
        <f>HYPERLINK("https://twitter.com/acatech_de","@acatech_de")</f>
        <v>@acatech_de</v>
      </c>
      <c r="C1834" s="9" t="s">
        <v>1667</v>
      </c>
      <c r="D1834" s="9" t="s">
        <v>3408</v>
      </c>
      <c r="E1834" s="10" t="str">
        <f>HYPERLINK("https://twitter.com/acatech_de/status/722839274039562241","722839274039562241")</f>
        <v>722839274039562241</v>
      </c>
      <c r="F1834" s="11" t="s">
        <v>115</v>
      </c>
      <c r="G1834" s="11">
        <v>201</v>
      </c>
      <c r="H1834" s="11">
        <v>204</v>
      </c>
      <c r="I1834" s="11">
        <v>2</v>
      </c>
      <c r="J1834" s="11">
        <v>2</v>
      </c>
      <c r="K1834" s="11" t="s">
        <v>21</v>
      </c>
      <c r="L1834" s="7">
        <v>42101.61513888889</v>
      </c>
      <c r="M1834" s="12" t="s">
        <v>1669</v>
      </c>
      <c r="N1834" s="12" t="s">
        <v>1670</v>
      </c>
      <c r="O1834" s="10" t="str">
        <f>HYPERLINK("https://pbs.twimg.com/profile_images/600969802908356609/3JqGMg38_normal.png","View")</f>
        <v>View</v>
      </c>
      <c r="P1834" s="11"/>
    </row>
    <row r="1835" spans="1:16" ht="12.75" x14ac:dyDescent="0.35">
      <c r="A1835" s="7">
        <v>42480.959143518514</v>
      </c>
      <c r="B1835" s="8" t="str">
        <f>HYPERLINK("https://twitter.com/andre_mundo","@andre_mundo")</f>
        <v>@andre_mundo</v>
      </c>
      <c r="C1835" s="9" t="s">
        <v>3409</v>
      </c>
      <c r="D1835" s="9" t="s">
        <v>3312</v>
      </c>
      <c r="E1835" s="10" t="str">
        <f>HYPERLINK("https://twitter.com/andre_mundo/status/722840041421193220","722840041421193220")</f>
        <v>722840041421193220</v>
      </c>
      <c r="F1835" s="11" t="s">
        <v>31</v>
      </c>
      <c r="G1835" s="11">
        <v>106</v>
      </c>
      <c r="H1835" s="11">
        <v>204</v>
      </c>
      <c r="I1835" s="11">
        <v>5</v>
      </c>
      <c r="J1835" s="11">
        <v>0</v>
      </c>
      <c r="K1835" s="11" t="s">
        <v>21</v>
      </c>
      <c r="L1835" s="7">
        <v>41954.611122685186</v>
      </c>
      <c r="M1835" s="12" t="s">
        <v>1290</v>
      </c>
      <c r="N1835" s="12" t="s">
        <v>3410</v>
      </c>
      <c r="O1835" s="10" t="str">
        <f>HYPERLINK("https://pbs.twimg.com/profile_images/699337426729361408/CRQQAGZq_normal.jpg","View")</f>
        <v>View</v>
      </c>
      <c r="P1835" s="11"/>
    </row>
    <row r="1836" spans="1:16" ht="12.75" x14ac:dyDescent="0.35">
      <c r="A1836" s="7">
        <v>42480.959629629629</v>
      </c>
      <c r="B1836" s="8" t="str">
        <f>HYPERLINK("https://twitter.com/UCoester","@UCoester")</f>
        <v>@UCoester</v>
      </c>
      <c r="C1836" s="9" t="s">
        <v>3411</v>
      </c>
      <c r="D1836" s="9" t="s">
        <v>3412</v>
      </c>
      <c r="E1836" s="10" t="str">
        <f>HYPERLINK("https://twitter.com/UCoester/status/722840219427295233","722840219427295233")</f>
        <v>722840219427295233</v>
      </c>
      <c r="F1836" s="11" t="s">
        <v>25</v>
      </c>
      <c r="G1836" s="11">
        <v>94</v>
      </c>
      <c r="H1836" s="11">
        <v>97</v>
      </c>
      <c r="I1836" s="11">
        <v>3</v>
      </c>
      <c r="J1836" s="11">
        <v>0</v>
      </c>
      <c r="K1836" s="11" t="s">
        <v>21</v>
      </c>
      <c r="L1836" s="7">
        <v>40271.780162037037</v>
      </c>
      <c r="M1836" s="12" t="s">
        <v>868</v>
      </c>
      <c r="N1836" s="12" t="s">
        <v>3413</v>
      </c>
      <c r="O1836" s="10" t="str">
        <f>HYPERLINK("https://pbs.twimg.com/profile_images/639837071213993984/W3GFbdQL_normal.png","View")</f>
        <v>View</v>
      </c>
      <c r="P1836" s="11"/>
    </row>
    <row r="1837" spans="1:16" ht="12.75" x14ac:dyDescent="0.35">
      <c r="A1837" s="7">
        <v>42480.961215277777</v>
      </c>
      <c r="B1837" s="8" t="str">
        <f>HYPERLINK("https://twitter.com/critmatrix","@critmatrix")</f>
        <v>@critmatrix</v>
      </c>
      <c r="C1837" s="9" t="s">
        <v>3414</v>
      </c>
      <c r="D1837" s="9" t="s">
        <v>3415</v>
      </c>
      <c r="E1837" s="10" t="str">
        <f>HYPERLINK("https://twitter.com/critmatrix/status/722840794479140864","722840794479140864")</f>
        <v>722840794479140864</v>
      </c>
      <c r="F1837" s="11" t="s">
        <v>31</v>
      </c>
      <c r="G1837" s="11">
        <v>30</v>
      </c>
      <c r="H1837" s="11">
        <v>184</v>
      </c>
      <c r="I1837" s="11">
        <v>0</v>
      </c>
      <c r="J1837" s="11">
        <v>1</v>
      </c>
      <c r="K1837" s="11" t="s">
        <v>21</v>
      </c>
      <c r="L1837" s="7">
        <v>42480.800636574073</v>
      </c>
      <c r="M1837" s="12" t="s">
        <v>3416</v>
      </c>
      <c r="N1837" s="12" t="s">
        <v>3417</v>
      </c>
      <c r="O1837" s="10" t="str">
        <f>HYPERLINK("https://pbs.twimg.com/profile_images/722786285123977216/jpQ6qPff_normal.jpg","View")</f>
        <v>View</v>
      </c>
      <c r="P1837" s="11"/>
    </row>
    <row r="1838" spans="1:16" ht="12.75" x14ac:dyDescent="0.35">
      <c r="A1838" s="7">
        <v>42480.961898148147</v>
      </c>
      <c r="B1838" s="8" t="str">
        <f>HYPERLINK("https://twitter.com/HOHMANN_Chris","@HOHMANN_Chris")</f>
        <v>@HOHMANN_Chris</v>
      </c>
      <c r="C1838" s="9" t="s">
        <v>2826</v>
      </c>
      <c r="D1838" s="9" t="s">
        <v>3418</v>
      </c>
      <c r="E1838" s="10" t="str">
        <f>HYPERLINK("https://twitter.com/HOHMANN_Chris/status/722841040370208768","722841040370208768")</f>
        <v>722841040370208768</v>
      </c>
      <c r="F1838" s="11" t="s">
        <v>39</v>
      </c>
      <c r="G1838" s="11">
        <v>1422</v>
      </c>
      <c r="H1838" s="11">
        <v>783</v>
      </c>
      <c r="I1838" s="11">
        <v>0</v>
      </c>
      <c r="J1838" s="11">
        <v>0</v>
      </c>
      <c r="K1838" s="11" t="s">
        <v>21</v>
      </c>
      <c r="L1838" s="7">
        <v>41335.99459490741</v>
      </c>
      <c r="M1838" s="12" t="s">
        <v>45</v>
      </c>
      <c r="N1838" s="12" t="s">
        <v>2828</v>
      </c>
      <c r="O1838" s="10" t="str">
        <f>HYPERLINK("https://pbs.twimg.com/profile_images/713694636490039296/ykcgR5ct_normal.jpg","View")</f>
        <v>View</v>
      </c>
      <c r="P1838" s="11"/>
    </row>
    <row r="1839" spans="1:16" ht="12.75" x14ac:dyDescent="0.35">
      <c r="A1839" s="7">
        <v>42480.962627314817</v>
      </c>
      <c r="B1839" s="8" t="str">
        <f>HYPERLINK("https://twitter.com/SiemensSensors","@SiemensSensors")</f>
        <v>@SiemensSensors</v>
      </c>
      <c r="C1839" s="9" t="s">
        <v>3419</v>
      </c>
      <c r="D1839" s="9" t="s">
        <v>3363</v>
      </c>
      <c r="E1839" s="10" t="str">
        <f>HYPERLINK("https://twitter.com/SiemensSensors/status/722841306834300928","722841306834300928")</f>
        <v>722841306834300928</v>
      </c>
      <c r="F1839" s="11" t="s">
        <v>115</v>
      </c>
      <c r="G1839" s="11">
        <v>11002</v>
      </c>
      <c r="H1839" s="11">
        <v>448</v>
      </c>
      <c r="I1839" s="11">
        <v>6</v>
      </c>
      <c r="J1839" s="11">
        <v>0</v>
      </c>
      <c r="K1839" s="11" t="s">
        <v>21</v>
      </c>
      <c r="L1839" s="7">
        <v>39545.889930555553</v>
      </c>
      <c r="M1839" s="12" t="s">
        <v>468</v>
      </c>
      <c r="N1839" s="12" t="s">
        <v>3420</v>
      </c>
      <c r="O1839" s="10" t="str">
        <f>HYPERLINK("https://pbs.twimg.com/profile_images/2709830901/804e985d337713b6f00e871606ed67e1_normal.png","View")</f>
        <v>View</v>
      </c>
      <c r="P1839" s="11"/>
    </row>
    <row r="1840" spans="1:16" ht="12.75" x14ac:dyDescent="0.35">
      <c r="A1840" s="7">
        <v>42480.969930555555</v>
      </c>
      <c r="B1840" s="8" t="str">
        <f>HYPERLINK("https://twitter.com/Gruendercoaches","@Gruendercoaches")</f>
        <v>@Gruendercoaches</v>
      </c>
      <c r="C1840" s="9" t="s">
        <v>987</v>
      </c>
      <c r="D1840" s="9" t="s">
        <v>3314</v>
      </c>
      <c r="E1840" s="10" t="str">
        <f>HYPERLINK("https://twitter.com/Gruendercoaches/status/722843952177668096","722843952177668096")</f>
        <v>722843952177668096</v>
      </c>
      <c r="F1840" s="11" t="s">
        <v>20</v>
      </c>
      <c r="G1840" s="11">
        <v>4951</v>
      </c>
      <c r="H1840" s="11">
        <v>1604</v>
      </c>
      <c r="I1840" s="11">
        <v>5</v>
      </c>
      <c r="J1840" s="11">
        <v>0</v>
      </c>
      <c r="K1840" s="11" t="s">
        <v>21</v>
      </c>
      <c r="L1840" s="7">
        <v>40865.780300925922</v>
      </c>
      <c r="M1840" s="12" t="s">
        <v>218</v>
      </c>
      <c r="N1840" s="12" t="s">
        <v>988</v>
      </c>
      <c r="O1840" s="10" t="str">
        <f>HYPERLINK("https://pbs.twimg.com/profile_images/561208179355185153/11KDu7Gt_normal.png","View")</f>
        <v>View</v>
      </c>
      <c r="P1840" s="11"/>
    </row>
    <row r="1841" spans="1:16" ht="12.75" x14ac:dyDescent="0.35">
      <c r="A1841" s="7">
        <v>42480.970509259263</v>
      </c>
      <c r="B1841" s="8" t="str">
        <f>HYPERLINK("https://twitter.com/H_IT_D","@H_IT_D")</f>
        <v>@H_IT_D</v>
      </c>
      <c r="C1841" s="9" t="s">
        <v>159</v>
      </c>
      <c r="D1841" s="9" t="s">
        <v>3421</v>
      </c>
      <c r="E1841" s="10" t="str">
        <f>HYPERLINK("https://twitter.com/H_IT_D/status/722844160282112002","722844160282112002")</f>
        <v>722844160282112002</v>
      </c>
      <c r="F1841" s="11" t="s">
        <v>161</v>
      </c>
      <c r="G1841" s="11">
        <v>463</v>
      </c>
      <c r="H1841" s="11">
        <v>467</v>
      </c>
      <c r="I1841" s="11">
        <v>0</v>
      </c>
      <c r="J1841" s="11">
        <v>1</v>
      </c>
      <c r="K1841" s="11" t="s">
        <v>21</v>
      </c>
      <c r="L1841" s="7">
        <v>40723.867673611108</v>
      </c>
      <c r="M1841" s="12" t="s">
        <v>162</v>
      </c>
      <c r="N1841" s="12" t="s">
        <v>163</v>
      </c>
      <c r="O1841" s="10" t="str">
        <f>HYPERLINK("https://pbs.twimg.com/profile_images/662723326096224256/5V4KH9_O_normal.jpg","View")</f>
        <v>View</v>
      </c>
      <c r="P1841" s="11"/>
    </row>
    <row r="1842" spans="1:16" ht="12.75" x14ac:dyDescent="0.35">
      <c r="A1842" s="7">
        <v>42480.97555555556</v>
      </c>
      <c r="B1842" s="8" t="str">
        <f>HYPERLINK("https://twitter.com/m_biscarrat","@m_biscarrat")</f>
        <v>@m_biscarrat</v>
      </c>
      <c r="C1842" s="9" t="s">
        <v>725</v>
      </c>
      <c r="D1842" s="9" t="s">
        <v>3422</v>
      </c>
      <c r="E1842" s="10" t="str">
        <f>HYPERLINK("https://twitter.com/m_biscarrat/status/722845989380468736","722845989380468736")</f>
        <v>722845989380468736</v>
      </c>
      <c r="F1842" s="11" t="s">
        <v>31</v>
      </c>
      <c r="G1842" s="11">
        <v>217</v>
      </c>
      <c r="H1842" s="11">
        <v>398</v>
      </c>
      <c r="I1842" s="11">
        <v>0</v>
      </c>
      <c r="J1842" s="11">
        <v>0</v>
      </c>
      <c r="K1842" s="11" t="s">
        <v>21</v>
      </c>
      <c r="L1842" s="7">
        <v>40156.914143518516</v>
      </c>
      <c r="M1842" s="12" t="s">
        <v>243</v>
      </c>
      <c r="N1842" s="12" t="s">
        <v>727</v>
      </c>
      <c r="O1842" s="10" t="str">
        <f>HYPERLINK("https://pbs.twimg.com/profile_images/699724829713428484/rUT0r7Dq_normal.jpg","View")</f>
        <v>View</v>
      </c>
      <c r="P1842" s="11"/>
    </row>
    <row r="1843" spans="1:16" ht="12.75" x14ac:dyDescent="0.35">
      <c r="A1843" s="7">
        <v>42480.987962962958</v>
      </c>
      <c r="B1843" s="8" t="str">
        <f>HYPERLINK("https://twitter.com/KesslerEllis","@KesslerEllis")</f>
        <v>@KesslerEllis</v>
      </c>
      <c r="C1843" s="9" t="s">
        <v>3423</v>
      </c>
      <c r="D1843" s="9" t="s">
        <v>3424</v>
      </c>
      <c r="E1843" s="10" t="str">
        <f>HYPERLINK("https://twitter.com/KesslerEllis/status/722850486009737216","722850486009737216")</f>
        <v>722850486009737216</v>
      </c>
      <c r="F1843" s="11" t="s">
        <v>25</v>
      </c>
      <c r="G1843" s="11">
        <v>25</v>
      </c>
      <c r="H1843" s="11">
        <v>27</v>
      </c>
      <c r="I1843" s="11">
        <v>0</v>
      </c>
      <c r="J1843" s="11">
        <v>1</v>
      </c>
      <c r="K1843" s="11" t="s">
        <v>21</v>
      </c>
      <c r="L1843" s="7">
        <v>41789.094988425924</v>
      </c>
      <c r="M1843" s="12"/>
      <c r="N1843" s="12"/>
      <c r="O1843" s="10" t="str">
        <f>HYPERLINK("https://pbs.twimg.com/profile_images/472122304088924160/kQxIVFut_normal.jpeg","View")</f>
        <v>View</v>
      </c>
      <c r="P1843" s="11"/>
    </row>
    <row r="1844" spans="1:16" ht="12.75" x14ac:dyDescent="0.35">
      <c r="A1844" s="7">
        <v>42480.99019675926</v>
      </c>
      <c r="B1844" s="8" t="str">
        <f>HYPERLINK("https://twitter.com/brohleder","@brohleder")</f>
        <v>@brohleder</v>
      </c>
      <c r="C1844" s="9" t="s">
        <v>3425</v>
      </c>
      <c r="D1844" s="9" t="s">
        <v>3314</v>
      </c>
      <c r="E1844" s="10" t="str">
        <f>HYPERLINK("https://twitter.com/brohleder/status/722851296504651776","722851296504651776")</f>
        <v>722851296504651776</v>
      </c>
      <c r="F1844" s="11" t="s">
        <v>31</v>
      </c>
      <c r="G1844" s="11">
        <v>662</v>
      </c>
      <c r="H1844" s="11">
        <v>54</v>
      </c>
      <c r="I1844" s="11">
        <v>5</v>
      </c>
      <c r="J1844" s="11">
        <v>0</v>
      </c>
      <c r="K1844" s="11" t="s">
        <v>21</v>
      </c>
      <c r="L1844" s="7">
        <v>39843.146655092591</v>
      </c>
      <c r="M1844" s="12" t="s">
        <v>218</v>
      </c>
      <c r="N1844" s="12" t="s">
        <v>3426</v>
      </c>
      <c r="O1844" s="10" t="str">
        <f>HYPERLINK("https://pbs.twimg.com/profile_images/477353857727492096/0AUf0UI-_normal.jpeg","View")</f>
        <v>View</v>
      </c>
      <c r="P1844" s="11"/>
    </row>
    <row r="1845" spans="1:16" ht="12.75" x14ac:dyDescent="0.35">
      <c r="A1845" s="7">
        <v>42480.993483796294</v>
      </c>
      <c r="B1845" s="8" t="str">
        <f>HYPERLINK("https://twitter.com/CapgeminiDE","@CapgeminiDE")</f>
        <v>@CapgeminiDE</v>
      </c>
      <c r="C1845" s="9" t="s">
        <v>280</v>
      </c>
      <c r="D1845" s="9" t="s">
        <v>3427</v>
      </c>
      <c r="E1845" s="10" t="str">
        <f>HYPERLINK("https://twitter.com/CapgeminiDE/status/722852486088957952","722852486088957952")</f>
        <v>722852486088957952</v>
      </c>
      <c r="F1845" s="11" t="s">
        <v>39</v>
      </c>
      <c r="G1845" s="11">
        <v>1640</v>
      </c>
      <c r="H1845" s="11">
        <v>509</v>
      </c>
      <c r="I1845" s="11">
        <v>1</v>
      </c>
      <c r="J1845" s="11">
        <v>1</v>
      </c>
      <c r="K1845" s="11" t="s">
        <v>21</v>
      </c>
      <c r="L1845" s="7">
        <v>40424.022048611107</v>
      </c>
      <c r="M1845" s="12" t="s">
        <v>218</v>
      </c>
      <c r="N1845" s="12" t="s">
        <v>282</v>
      </c>
      <c r="O1845" s="10" t="str">
        <f>HYPERLINK("https://pbs.twimg.com/profile_images/666911961599315968/aP7ID_qm_normal.png","View")</f>
        <v>View</v>
      </c>
      <c r="P1845" s="11"/>
    </row>
    <row r="1846" spans="1:16" ht="12.75" x14ac:dyDescent="0.35">
      <c r="A1846" s="7">
        <v>42480.995370370365</v>
      </c>
      <c r="B1846" s="8" t="str">
        <f>HYPERLINK("https://twitter.com/AMETRAInge","@AMETRAInge")</f>
        <v>@AMETRAInge</v>
      </c>
      <c r="C1846" s="9" t="s">
        <v>1168</v>
      </c>
      <c r="D1846" s="9" t="s">
        <v>3428</v>
      </c>
      <c r="E1846" s="10" t="str">
        <f>HYPERLINK("https://twitter.com/AMETRAInge/status/722853171811495936","722853171811495936")</f>
        <v>722853171811495936</v>
      </c>
      <c r="F1846" s="11" t="s">
        <v>59</v>
      </c>
      <c r="G1846" s="11">
        <v>603</v>
      </c>
      <c r="H1846" s="11">
        <v>2614</v>
      </c>
      <c r="I1846" s="11">
        <v>5</v>
      </c>
      <c r="J1846" s="11">
        <v>3</v>
      </c>
      <c r="K1846" s="11" t="s">
        <v>21</v>
      </c>
      <c r="L1846" s="7">
        <v>42341.674085648148</v>
      </c>
      <c r="M1846" s="12" t="s">
        <v>214</v>
      </c>
      <c r="N1846" s="12" t="s">
        <v>1170</v>
      </c>
      <c r="O1846" s="10" t="str">
        <f>HYPERLINK("https://pbs.twimg.com/profile_images/677781149037514752/TcTK8Bpv_normal.png","View")</f>
        <v>View</v>
      </c>
      <c r="P1846" s="11"/>
    </row>
    <row r="1847" spans="1:16" ht="12.75" x14ac:dyDescent="0.35">
      <c r="A1847" s="7">
        <v>42480.995648148149</v>
      </c>
      <c r="B1847" s="8" t="str">
        <f>HYPERLINK("https://twitter.com/tcerisier_johan","@tcerisier_johan")</f>
        <v>@tcerisier_johan</v>
      </c>
      <c r="C1847" s="9" t="s">
        <v>1292</v>
      </c>
      <c r="D1847" s="9" t="s">
        <v>3429</v>
      </c>
      <c r="E1847" s="10" t="str">
        <f>HYPERLINK("https://twitter.com/tcerisier_johan/status/722853271543660544","722853271543660544")</f>
        <v>722853271543660544</v>
      </c>
      <c r="F1847" s="11" t="s">
        <v>31</v>
      </c>
      <c r="G1847" s="11">
        <v>236</v>
      </c>
      <c r="H1847" s="11">
        <v>1763</v>
      </c>
      <c r="I1847" s="11">
        <v>5</v>
      </c>
      <c r="J1847" s="11">
        <v>0</v>
      </c>
      <c r="K1847" s="11" t="s">
        <v>21</v>
      </c>
      <c r="L1847" s="7">
        <v>42448.238032407404</v>
      </c>
      <c r="M1847" s="12"/>
      <c r="N1847" s="12"/>
      <c r="O1847" s="10" t="str">
        <f>HYPERLINK("https://pbs.twimg.com/profile_images/710982607606038528/t8IYX_cK_normal.jpg","View")</f>
        <v>View</v>
      </c>
      <c r="P1847" s="11"/>
    </row>
    <row r="1848" spans="1:16" ht="12.75" x14ac:dyDescent="0.35">
      <c r="A1848" s="7">
        <v>42480.99732638889</v>
      </c>
      <c r="B1848" s="8" t="str">
        <f>HYPERLINK("https://twitter.com/Louis55225271","@Louis55225271")</f>
        <v>@Louis55225271</v>
      </c>
      <c r="C1848" s="9" t="s">
        <v>3430</v>
      </c>
      <c r="D1848" s="9" t="s">
        <v>3429</v>
      </c>
      <c r="E1848" s="10" t="str">
        <f>HYPERLINK("https://twitter.com/Louis55225271/status/722853881059758080","722853881059758080")</f>
        <v>722853881059758080</v>
      </c>
      <c r="F1848" s="11" t="s">
        <v>25</v>
      </c>
      <c r="G1848" s="11">
        <v>2</v>
      </c>
      <c r="H1848" s="11">
        <v>56</v>
      </c>
      <c r="I1848" s="11">
        <v>5</v>
      </c>
      <c r="J1848" s="11">
        <v>0</v>
      </c>
      <c r="K1848" s="11" t="s">
        <v>21</v>
      </c>
      <c r="L1848" s="7">
        <v>42480.995972222227</v>
      </c>
      <c r="M1848" s="12"/>
      <c r="N1848" s="12"/>
      <c r="O1848" s="10" t="str">
        <f>HYPERLINK("https://abs.twimg.com/sticky/default_profile_images/default_profile_1_normal.png","View")</f>
        <v>View</v>
      </c>
      <c r="P1848" s="11"/>
    </row>
    <row r="1849" spans="1:16" ht="12.75" x14ac:dyDescent="0.35">
      <c r="A1849" s="7">
        <v>42480.999918981484</v>
      </c>
      <c r="B1849" s="8" t="str">
        <f>HYPERLINK("https://twitter.com/Nicola_Ciensk","@Nicola_Ciensk")</f>
        <v>@Nicola_Ciensk</v>
      </c>
      <c r="C1849" s="9" t="s">
        <v>3431</v>
      </c>
      <c r="D1849" s="9" t="s">
        <v>3432</v>
      </c>
      <c r="E1849" s="10" t="str">
        <f>HYPERLINK("https://twitter.com/Nicola_Ciensk/status/722854817970921472","722854817970921472")</f>
        <v>722854817970921472</v>
      </c>
      <c r="F1849" s="11" t="s">
        <v>31</v>
      </c>
      <c r="G1849" s="11">
        <v>155</v>
      </c>
      <c r="H1849" s="11">
        <v>195</v>
      </c>
      <c r="I1849" s="11">
        <v>1</v>
      </c>
      <c r="J1849" s="11">
        <v>0</v>
      </c>
      <c r="K1849" s="11" t="s">
        <v>21</v>
      </c>
      <c r="L1849" s="7">
        <v>41033.559930555552</v>
      </c>
      <c r="M1849" s="12" t="s">
        <v>218</v>
      </c>
      <c r="N1849" s="12" t="s">
        <v>3433</v>
      </c>
      <c r="O1849" s="10" t="str">
        <f>HYPERLINK("https://pbs.twimg.com/profile_images/658999934973321216/_4OxPNYS_normal.jpg","View")</f>
        <v>View</v>
      </c>
      <c r="P1849" s="11"/>
    </row>
    <row r="1850" spans="1:16" ht="12.75" x14ac:dyDescent="0.35">
      <c r="A1850" s="7">
        <v>42481.006967592592</v>
      </c>
      <c r="B1850" s="8" t="str">
        <f>HYPERLINK("https://twitter.com/quickfindseotip","@quickfindseotip")</f>
        <v>@quickfindseotip</v>
      </c>
      <c r="C1850" s="9" t="s">
        <v>453</v>
      </c>
      <c r="D1850" s="9" t="s">
        <v>3434</v>
      </c>
      <c r="E1850" s="10" t="str">
        <f>HYPERLINK("https://twitter.com/quickfindseotip/status/722857371341422592","722857371341422592")</f>
        <v>722857371341422592</v>
      </c>
      <c r="F1850" s="11" t="s">
        <v>455</v>
      </c>
      <c r="G1850" s="11">
        <v>1674</v>
      </c>
      <c r="H1850" s="11">
        <v>1698</v>
      </c>
      <c r="I1850" s="11">
        <v>0</v>
      </c>
      <c r="J1850" s="11">
        <v>0</v>
      </c>
      <c r="K1850" s="11" t="s">
        <v>21</v>
      </c>
      <c r="L1850" s="7">
        <v>42070.760324074072</v>
      </c>
      <c r="M1850" s="12" t="s">
        <v>456</v>
      </c>
      <c r="N1850" s="12" t="s">
        <v>457</v>
      </c>
      <c r="O1850" s="10" t="str">
        <f>HYPERLINK("https://pbs.twimg.com/profile_images/592208932988264449/bM2abhue_normal.png","View")</f>
        <v>View</v>
      </c>
      <c r="P1850" s="11"/>
    </row>
    <row r="1851" spans="1:16" ht="12.75" x14ac:dyDescent="0.35">
      <c r="A1851" s="7">
        <v>42481.013159722221</v>
      </c>
      <c r="B1851" s="8" t="str">
        <f>HYPERLINK("https://twitter.com/H_IT_D","@H_IT_D")</f>
        <v>@H_IT_D</v>
      </c>
      <c r="C1851" s="9" t="s">
        <v>159</v>
      </c>
      <c r="D1851" s="9" t="s">
        <v>3435</v>
      </c>
      <c r="E1851" s="10" t="str">
        <f>HYPERLINK("https://twitter.com/H_IT_D/status/722859616338444288","722859616338444288")</f>
        <v>722859616338444288</v>
      </c>
      <c r="F1851" s="11" t="s">
        <v>161</v>
      </c>
      <c r="G1851" s="11">
        <v>463</v>
      </c>
      <c r="H1851" s="11">
        <v>467</v>
      </c>
      <c r="I1851" s="11">
        <v>1</v>
      </c>
      <c r="J1851" s="11">
        <v>0</v>
      </c>
      <c r="K1851" s="11" t="s">
        <v>21</v>
      </c>
      <c r="L1851" s="7">
        <v>40723.867673611108</v>
      </c>
      <c r="M1851" s="12" t="s">
        <v>162</v>
      </c>
      <c r="N1851" s="12" t="s">
        <v>163</v>
      </c>
      <c r="O1851" s="10" t="str">
        <f>HYPERLINK("https://pbs.twimg.com/profile_images/662723326096224256/5V4KH9_O_normal.jpg","View")</f>
        <v>View</v>
      </c>
      <c r="P1851" s="11"/>
    </row>
    <row r="1852" spans="1:16" ht="12.75" x14ac:dyDescent="0.35">
      <c r="A1852" s="7">
        <v>42481.014918981484</v>
      </c>
      <c r="B1852" s="8" t="str">
        <f>HYPERLINK("https://twitter.com/brad_fedburn","@brad_fedburn")</f>
        <v>@brad_fedburn</v>
      </c>
      <c r="C1852" s="9" t="s">
        <v>3436</v>
      </c>
      <c r="D1852" s="9" t="s">
        <v>3429</v>
      </c>
      <c r="E1852" s="10" t="str">
        <f>HYPERLINK("https://twitter.com/brad_fedburn/status/722860256259256320","722860256259256320")</f>
        <v>722860256259256320</v>
      </c>
      <c r="F1852" s="11" t="s">
        <v>25</v>
      </c>
      <c r="G1852" s="11">
        <v>8</v>
      </c>
      <c r="H1852" s="11">
        <v>147</v>
      </c>
      <c r="I1852" s="11">
        <v>5</v>
      </c>
      <c r="J1852" s="11">
        <v>0</v>
      </c>
      <c r="K1852" s="11" t="s">
        <v>21</v>
      </c>
      <c r="L1852" s="7">
        <v>42481.012511574074</v>
      </c>
      <c r="M1852" s="12"/>
      <c r="N1852" s="12" t="s">
        <v>3437</v>
      </c>
      <c r="O1852" s="10" t="str">
        <f>HYPERLINK("https://pbs.twimg.com/profile_images/722859460138549248/9TXlqP2__normal.jpg","View")</f>
        <v>View</v>
      </c>
      <c r="P1852" s="11"/>
    </row>
    <row r="1853" spans="1:16" ht="12.75" x14ac:dyDescent="0.35">
      <c r="A1853" s="7">
        <v>42481.020856481482</v>
      </c>
      <c r="B1853" s="8" t="str">
        <f>HYPERLINK("https://twitter.com/kommoptimierer","@kommoptimierer")</f>
        <v>@kommoptimierer</v>
      </c>
      <c r="C1853" s="9" t="s">
        <v>270</v>
      </c>
      <c r="D1853" s="9" t="s">
        <v>669</v>
      </c>
      <c r="E1853" s="10" t="str">
        <f>HYPERLINK("https://twitter.com/kommoptimierer/status/722862408184786945","722862408184786945")</f>
        <v>722862408184786945</v>
      </c>
      <c r="F1853" s="11" t="s">
        <v>272</v>
      </c>
      <c r="G1853" s="11">
        <v>1347</v>
      </c>
      <c r="H1853" s="11">
        <v>1753</v>
      </c>
      <c r="I1853" s="11">
        <v>1</v>
      </c>
      <c r="J1853" s="11">
        <v>0</v>
      </c>
      <c r="K1853" s="11" t="s">
        <v>21</v>
      </c>
      <c r="L1853" s="7">
        <v>39986.860358796301</v>
      </c>
      <c r="M1853" s="12" t="s">
        <v>273</v>
      </c>
      <c r="N1853" s="12" t="s">
        <v>274</v>
      </c>
      <c r="O1853" s="10" t="str">
        <f>HYPERLINK("https://pbs.twimg.com/profile_images/541146126158536704/IYardufS_normal.jpeg","View")</f>
        <v>View</v>
      </c>
      <c r="P1853" s="11"/>
    </row>
    <row r="1854" spans="1:16" ht="12.75" x14ac:dyDescent="0.35">
      <c r="A1854" s="7">
        <v>42481.022685185184</v>
      </c>
      <c r="B1854" s="8" t="str">
        <f t="shared" ref="B1854:B1855" si="214">HYPERLINK("https://twitter.com/INDIZbot","@INDIZbot")</f>
        <v>@INDIZbot</v>
      </c>
      <c r="C1854" s="9" t="s">
        <v>61</v>
      </c>
      <c r="D1854" s="9" t="s">
        <v>1528</v>
      </c>
      <c r="E1854" s="10" t="str">
        <f>HYPERLINK("https://twitter.com/INDIZbot/status/722863068842192896","722863068842192896")</f>
        <v>722863068842192896</v>
      </c>
      <c r="F1854" s="11" t="s">
        <v>62</v>
      </c>
      <c r="G1854" s="11">
        <v>1762</v>
      </c>
      <c r="H1854" s="11">
        <v>481</v>
      </c>
      <c r="I1854" s="11">
        <v>1</v>
      </c>
      <c r="J1854" s="11">
        <v>0</v>
      </c>
      <c r="K1854" s="11" t="s">
        <v>21</v>
      </c>
      <c r="L1854" s="7">
        <v>42267.011921296296</v>
      </c>
      <c r="M1854" s="12"/>
      <c r="N1854" s="12" t="s">
        <v>63</v>
      </c>
      <c r="O1854" s="10" t="str">
        <f t="shared" ref="O1854:O1855" si="215">HYPERLINK("https://pbs.twimg.com/profile_images/645716711723925506/t5G0qOS6_normal.jpg","View")</f>
        <v>View</v>
      </c>
      <c r="P1854" s="11"/>
    </row>
    <row r="1855" spans="1:16" ht="12.75" x14ac:dyDescent="0.35">
      <c r="A1855" s="7">
        <v>42481.023321759261</v>
      </c>
      <c r="B1855" s="8" t="str">
        <f t="shared" si="214"/>
        <v>@INDIZbot</v>
      </c>
      <c r="C1855" s="9" t="s">
        <v>61</v>
      </c>
      <c r="D1855" s="9" t="s">
        <v>3438</v>
      </c>
      <c r="E1855" s="10" t="str">
        <f>HYPERLINK("https://twitter.com/INDIZbot/status/722863299331825668","722863299331825668")</f>
        <v>722863299331825668</v>
      </c>
      <c r="F1855" s="11" t="s">
        <v>62</v>
      </c>
      <c r="G1855" s="11">
        <v>1762</v>
      </c>
      <c r="H1855" s="11">
        <v>481</v>
      </c>
      <c r="I1855" s="11">
        <v>1</v>
      </c>
      <c r="J1855" s="11">
        <v>0</v>
      </c>
      <c r="K1855" s="11" t="s">
        <v>21</v>
      </c>
      <c r="L1855" s="7">
        <v>42267.011921296296</v>
      </c>
      <c r="M1855" s="12"/>
      <c r="N1855" s="12" t="s">
        <v>63</v>
      </c>
      <c r="O1855" s="10" t="str">
        <f t="shared" si="215"/>
        <v>View</v>
      </c>
      <c r="P1855" s="11"/>
    </row>
    <row r="1856" spans="1:16" ht="12.75" x14ac:dyDescent="0.35">
      <c r="A1856" s="7">
        <v>42481.025092592594</v>
      </c>
      <c r="B1856" s="8" t="str">
        <f>HYPERLINK("https://twitter.com/ThomasMannIT","@ThomasMannIT")</f>
        <v>@ThomasMannIT</v>
      </c>
      <c r="C1856" s="9" t="s">
        <v>3439</v>
      </c>
      <c r="D1856" s="9" t="s">
        <v>3312</v>
      </c>
      <c r="E1856" s="10" t="str">
        <f>HYPERLINK("https://twitter.com/ThomasMannIT/status/722863939613134848","722863939613134848")</f>
        <v>722863939613134848</v>
      </c>
      <c r="F1856" s="11" t="s">
        <v>25</v>
      </c>
      <c r="G1856" s="11">
        <v>23</v>
      </c>
      <c r="H1856" s="11">
        <v>53</v>
      </c>
      <c r="I1856" s="11">
        <v>5</v>
      </c>
      <c r="J1856" s="11">
        <v>0</v>
      </c>
      <c r="K1856" s="11" t="s">
        <v>21</v>
      </c>
      <c r="L1856" s="7">
        <v>41406.650925925926</v>
      </c>
      <c r="M1856" s="12" t="s">
        <v>121</v>
      </c>
      <c r="N1856" s="12" t="s">
        <v>3440</v>
      </c>
      <c r="O1856" s="10" t="str">
        <f>HYPERLINK("https://pbs.twimg.com/profile_images/454513656097566721/lzKn3ze7_normal.jpeg","View")</f>
        <v>View</v>
      </c>
      <c r="P1856" s="11"/>
    </row>
    <row r="1857" spans="1:16" ht="12.75" x14ac:dyDescent="0.35">
      <c r="A1857" s="7">
        <v>42481.041678240741</v>
      </c>
      <c r="B1857" s="8" t="str">
        <f>HYPERLINK("https://twitter.com/kommoptimierer","@kommoptimierer")</f>
        <v>@kommoptimierer</v>
      </c>
      <c r="C1857" s="9" t="s">
        <v>270</v>
      </c>
      <c r="D1857" s="9" t="s">
        <v>684</v>
      </c>
      <c r="E1857" s="10" t="str">
        <f>HYPERLINK("https://twitter.com/kommoptimierer/status/722869951690907651","722869951690907651")</f>
        <v>722869951690907651</v>
      </c>
      <c r="F1857" s="11" t="s">
        <v>272</v>
      </c>
      <c r="G1857" s="11">
        <v>1347</v>
      </c>
      <c r="H1857" s="11">
        <v>1753</v>
      </c>
      <c r="I1857" s="11">
        <v>0</v>
      </c>
      <c r="J1857" s="11">
        <v>0</v>
      </c>
      <c r="K1857" s="11" t="s">
        <v>21</v>
      </c>
      <c r="L1857" s="7">
        <v>39986.860358796301</v>
      </c>
      <c r="M1857" s="12" t="s">
        <v>273</v>
      </c>
      <c r="N1857" s="12" t="s">
        <v>274</v>
      </c>
      <c r="O1857" s="10" t="str">
        <f>HYPERLINK("https://pbs.twimg.com/profile_images/541146126158536704/IYardufS_normal.jpeg","View")</f>
        <v>View</v>
      </c>
      <c r="P1857" s="11"/>
    </row>
    <row r="1858" spans="1:16" ht="12.75" x14ac:dyDescent="0.35">
      <c r="A1858" s="7">
        <v>42481.053182870368</v>
      </c>
      <c r="B1858" s="8" t="str">
        <f>HYPERLINK("https://twitter.com/OJaeger","@OJaeger")</f>
        <v>@OJaeger</v>
      </c>
      <c r="C1858" s="9" t="s">
        <v>1102</v>
      </c>
      <c r="D1858" s="9" t="s">
        <v>3441</v>
      </c>
      <c r="E1858" s="10" t="str">
        <f>HYPERLINK("https://twitter.com/OJaeger/status/722874122880073729","722874122880073729")</f>
        <v>722874122880073729</v>
      </c>
      <c r="F1858" s="11" t="s">
        <v>1418</v>
      </c>
      <c r="G1858" s="11">
        <v>1824</v>
      </c>
      <c r="H1858" s="11">
        <v>2422</v>
      </c>
      <c r="I1858" s="11">
        <v>0</v>
      </c>
      <c r="J1858" s="11">
        <v>0</v>
      </c>
      <c r="K1858" s="11" t="s">
        <v>21</v>
      </c>
      <c r="L1858" s="7">
        <v>39906.567083333335</v>
      </c>
      <c r="M1858" s="12" t="s">
        <v>121</v>
      </c>
      <c r="N1858" s="12" t="s">
        <v>1104</v>
      </c>
      <c r="O1858" s="10" t="str">
        <f>HYPERLINK("https://pbs.twimg.com/profile_images/510721015945498624/1UpjmZMi_normal.jpeg","View")</f>
        <v>View</v>
      </c>
      <c r="P1858" s="11"/>
    </row>
    <row r="1859" spans="1:16" ht="12.75" x14ac:dyDescent="0.35">
      <c r="A1859" s="7">
        <v>42481.065983796296</v>
      </c>
      <c r="B1859" s="8" t="str">
        <f>HYPERLINK("https://twitter.com/kommoptimierer","@kommoptimierer")</f>
        <v>@kommoptimierer</v>
      </c>
      <c r="C1859" s="9" t="s">
        <v>270</v>
      </c>
      <c r="D1859" s="9" t="s">
        <v>691</v>
      </c>
      <c r="E1859" s="10" t="str">
        <f>HYPERLINK("https://twitter.com/kommoptimierer/status/722878761239240704","722878761239240704")</f>
        <v>722878761239240704</v>
      </c>
      <c r="F1859" s="11" t="s">
        <v>272</v>
      </c>
      <c r="G1859" s="11">
        <v>1347</v>
      </c>
      <c r="H1859" s="11">
        <v>1753</v>
      </c>
      <c r="I1859" s="11">
        <v>0</v>
      </c>
      <c r="J1859" s="11">
        <v>0</v>
      </c>
      <c r="K1859" s="11" t="s">
        <v>21</v>
      </c>
      <c r="L1859" s="7">
        <v>39986.860358796301</v>
      </c>
      <c r="M1859" s="12" t="s">
        <v>273</v>
      </c>
      <c r="N1859" s="12" t="s">
        <v>274</v>
      </c>
      <c r="O1859" s="10" t="str">
        <f>HYPERLINK("https://pbs.twimg.com/profile_images/541146126158536704/IYardufS_normal.jpeg","View")</f>
        <v>View</v>
      </c>
      <c r="P1859" s="11"/>
    </row>
    <row r="1860" spans="1:16" ht="12.75" x14ac:dyDescent="0.35">
      <c r="A1860" s="7">
        <v>42481.091122685189</v>
      </c>
      <c r="B1860" s="8" t="str">
        <f>HYPERLINK("https://twitter.com/SiePing","@SiePing")</f>
        <v>@SiePing</v>
      </c>
      <c r="C1860" s="9" t="s">
        <v>3442</v>
      </c>
      <c r="D1860" s="9" t="s">
        <v>2965</v>
      </c>
      <c r="E1860" s="10" t="str">
        <f>HYPERLINK("https://twitter.com/SiePing/status/722887870541729793","722887870541729793")</f>
        <v>722887870541729793</v>
      </c>
      <c r="F1860" s="11" t="s">
        <v>31</v>
      </c>
      <c r="G1860" s="11">
        <v>152</v>
      </c>
      <c r="H1860" s="11">
        <v>263</v>
      </c>
      <c r="I1860" s="11">
        <v>12</v>
      </c>
      <c r="J1860" s="11">
        <v>0</v>
      </c>
      <c r="K1860" s="11" t="s">
        <v>21</v>
      </c>
      <c r="L1860" s="7">
        <v>41808.732835648145</v>
      </c>
      <c r="M1860" s="12" t="s">
        <v>3443</v>
      </c>
      <c r="N1860" s="12" t="s">
        <v>3444</v>
      </c>
      <c r="O1860" s="10" t="str">
        <f>HYPERLINK("https://pbs.twimg.com/profile_images/479235073674182657/VBPTQP9b_normal.jpeg","View")</f>
        <v>View</v>
      </c>
      <c r="P1860" s="11"/>
    </row>
    <row r="1861" spans="1:16" ht="12.75" x14ac:dyDescent="0.35">
      <c r="A1861" s="7">
        <v>42481.095092592594</v>
      </c>
      <c r="B1861" s="8" t="str">
        <f t="shared" ref="B1861:B1862" si="216">HYPERLINK("https://twitter.com/vemdiearbeitgeb","@vemdiearbeitgeb")</f>
        <v>@vemdiearbeitgeb</v>
      </c>
      <c r="C1861" s="9" t="s">
        <v>3445</v>
      </c>
      <c r="D1861" s="9" t="s">
        <v>2938</v>
      </c>
      <c r="E1861" s="10" t="str">
        <f>HYPERLINK("https://twitter.com/vemdiearbeitgeb/status/722889310844747777","722889310844747777")</f>
        <v>722889310844747777</v>
      </c>
      <c r="F1861" s="11" t="s">
        <v>31</v>
      </c>
      <c r="G1861" s="11">
        <v>772</v>
      </c>
      <c r="H1861" s="11">
        <v>821</v>
      </c>
      <c r="I1861" s="11">
        <v>12</v>
      </c>
      <c r="J1861" s="11">
        <v>0</v>
      </c>
      <c r="K1861" s="11" t="s">
        <v>21</v>
      </c>
      <c r="L1861" s="7">
        <v>40248.606006944443</v>
      </c>
      <c r="M1861" s="12" t="s">
        <v>3446</v>
      </c>
      <c r="N1861" s="12" t="s">
        <v>3447</v>
      </c>
      <c r="O1861" s="10" t="str">
        <f t="shared" ref="O1861:O1862" si="217">HYPERLINK("https://pbs.twimg.com/profile_images/1281327600/VEM_LOGO_1101_4c_o_Twitter_normal.jpg","View")</f>
        <v>View</v>
      </c>
      <c r="P1861" s="11"/>
    </row>
    <row r="1862" spans="1:16" ht="12.75" x14ac:dyDescent="0.35">
      <c r="A1862" s="7">
        <v>42481.095451388886</v>
      </c>
      <c r="B1862" s="8" t="str">
        <f t="shared" si="216"/>
        <v>@vemdiearbeitgeb</v>
      </c>
      <c r="C1862" s="9" t="s">
        <v>3445</v>
      </c>
      <c r="D1862" s="9" t="s">
        <v>2965</v>
      </c>
      <c r="E1862" s="10" t="str">
        <f>HYPERLINK("https://twitter.com/vemdiearbeitgeb/status/722889440377475072","722889440377475072")</f>
        <v>722889440377475072</v>
      </c>
      <c r="F1862" s="11" t="s">
        <v>31</v>
      </c>
      <c r="G1862" s="11">
        <v>772</v>
      </c>
      <c r="H1862" s="11">
        <v>821</v>
      </c>
      <c r="I1862" s="11">
        <v>12</v>
      </c>
      <c r="J1862" s="11">
        <v>0</v>
      </c>
      <c r="K1862" s="11" t="s">
        <v>21</v>
      </c>
      <c r="L1862" s="7">
        <v>40248.606006944443</v>
      </c>
      <c r="M1862" s="12" t="s">
        <v>3446</v>
      </c>
      <c r="N1862" s="12" t="s">
        <v>3447</v>
      </c>
      <c r="O1862" s="10" t="str">
        <f t="shared" si="217"/>
        <v>View</v>
      </c>
      <c r="P1862" s="11"/>
    </row>
    <row r="1863" spans="1:16" ht="12.75" x14ac:dyDescent="0.35">
      <c r="A1863" s="7">
        <v>42481.09584490741</v>
      </c>
      <c r="B1863" s="8" t="str">
        <f>HYPERLINK("https://twitter.com/QuickFindsIn","@QuickFindsIn")</f>
        <v>@QuickFindsIn</v>
      </c>
      <c r="C1863" s="9" t="s">
        <v>208</v>
      </c>
      <c r="D1863" s="9" t="s">
        <v>710</v>
      </c>
      <c r="E1863" s="10" t="str">
        <f>HYPERLINK("https://twitter.com/QuickFindsIn/status/722889581473849344","722889581473849344")</f>
        <v>722889581473849344</v>
      </c>
      <c r="F1863" s="11" t="s">
        <v>210</v>
      </c>
      <c r="G1863" s="11">
        <v>1895</v>
      </c>
      <c r="H1863" s="11">
        <v>2758</v>
      </c>
      <c r="I1863" s="11">
        <v>0</v>
      </c>
      <c r="J1863" s="11">
        <v>0</v>
      </c>
      <c r="K1863" s="11" t="s">
        <v>21</v>
      </c>
      <c r="L1863" s="7">
        <v>42069.582048611112</v>
      </c>
      <c r="M1863" s="12" t="s">
        <v>211</v>
      </c>
      <c r="N1863" s="12" t="s">
        <v>212</v>
      </c>
      <c r="O1863" s="10" t="str">
        <f>HYPERLINK("https://pbs.twimg.com/profile_images/591951396217327616/HbcCX2zX_normal.png","View")</f>
        <v>View</v>
      </c>
      <c r="P1863" s="11"/>
    </row>
    <row r="1864" spans="1:16" ht="12.75" x14ac:dyDescent="0.35">
      <c r="A1864" s="7">
        <v>42481.098043981481</v>
      </c>
      <c r="B1864" s="8" t="str">
        <f>HYPERLINK("https://twitter.com/INDIZbot","@INDIZbot")</f>
        <v>@INDIZbot</v>
      </c>
      <c r="C1864" s="9" t="s">
        <v>61</v>
      </c>
      <c r="D1864" s="9" t="s">
        <v>2965</v>
      </c>
      <c r="E1864" s="10" t="str">
        <f>HYPERLINK("https://twitter.com/INDIZbot/status/722890377909276672","722890377909276672")</f>
        <v>722890377909276672</v>
      </c>
      <c r="F1864" s="11" t="s">
        <v>62</v>
      </c>
      <c r="G1864" s="11">
        <v>1762</v>
      </c>
      <c r="H1864" s="11">
        <v>481</v>
      </c>
      <c r="I1864" s="11">
        <v>12</v>
      </c>
      <c r="J1864" s="11">
        <v>0</v>
      </c>
      <c r="K1864" s="11" t="s">
        <v>21</v>
      </c>
      <c r="L1864" s="7">
        <v>42267.011921296296</v>
      </c>
      <c r="M1864" s="12"/>
      <c r="N1864" s="12" t="s">
        <v>63</v>
      </c>
      <c r="O1864" s="10" t="str">
        <f>HYPERLINK("https://pbs.twimg.com/profile_images/645716711723925506/t5G0qOS6_normal.jpg","View")</f>
        <v>View</v>
      </c>
      <c r="P1864" s="11"/>
    </row>
    <row r="1865" spans="1:16" ht="12.75" x14ac:dyDescent="0.35">
      <c r="A1865" s="7">
        <v>42481.100219907406</v>
      </c>
      <c r="B1865" s="8" t="str">
        <f>HYPERLINK("https://twitter.com/arnaud_the","@arnaud_the")</f>
        <v>@arnaud_the</v>
      </c>
      <c r="C1865" s="9" t="s">
        <v>3448</v>
      </c>
      <c r="D1865" s="9" t="s">
        <v>3429</v>
      </c>
      <c r="E1865" s="10" t="str">
        <f>HYPERLINK("https://twitter.com/arnaud_the/status/722891168451731456","722891168451731456")</f>
        <v>722891168451731456</v>
      </c>
      <c r="F1865" s="11" t="s">
        <v>31</v>
      </c>
      <c r="G1865" s="11">
        <v>12</v>
      </c>
      <c r="H1865" s="11">
        <v>147</v>
      </c>
      <c r="I1865" s="11">
        <v>5</v>
      </c>
      <c r="J1865" s="11">
        <v>0</v>
      </c>
      <c r="K1865" s="11" t="s">
        <v>21</v>
      </c>
      <c r="L1865" s="7">
        <v>41619.812037037038</v>
      </c>
      <c r="M1865" s="12" t="s">
        <v>3449</v>
      </c>
      <c r="N1865" s="12"/>
      <c r="O1865" s="10" t="str">
        <f>HYPERLINK("https://pbs.twimg.com/profile_images/665654555267461120/j3FKW-UG_normal.jpg","View")</f>
        <v>View</v>
      </c>
      <c r="P1865" s="11"/>
    </row>
    <row r="1866" spans="1:16" ht="12.75" x14ac:dyDescent="0.35">
      <c r="A1866" s="7">
        <v>42481.103078703702</v>
      </c>
      <c r="B1866" s="8" t="str">
        <f t="shared" ref="B1866:B1867" si="218">HYPERLINK("https://twitter.com/vemdiearbeitgeb","@vemdiearbeitgeb")</f>
        <v>@vemdiearbeitgeb</v>
      </c>
      <c r="C1866" s="9" t="s">
        <v>3445</v>
      </c>
      <c r="D1866" s="9" t="s">
        <v>3112</v>
      </c>
      <c r="E1866" s="10" t="str">
        <f>HYPERLINK("https://twitter.com/vemdiearbeitgeb/status/722892202972590081","722892202972590081")</f>
        <v>722892202972590081</v>
      </c>
      <c r="F1866" s="11" t="s">
        <v>31</v>
      </c>
      <c r="G1866" s="11">
        <v>772</v>
      </c>
      <c r="H1866" s="11">
        <v>821</v>
      </c>
      <c r="I1866" s="11">
        <v>2</v>
      </c>
      <c r="J1866" s="11">
        <v>0</v>
      </c>
      <c r="K1866" s="11" t="s">
        <v>21</v>
      </c>
      <c r="L1866" s="7">
        <v>40248.606006944443</v>
      </c>
      <c r="M1866" s="12" t="s">
        <v>3446</v>
      </c>
      <c r="N1866" s="12" t="s">
        <v>3447</v>
      </c>
      <c r="O1866" s="10" t="str">
        <f t="shared" ref="O1866:O1867" si="219">HYPERLINK("https://pbs.twimg.com/profile_images/1281327600/VEM_LOGO_1101_4c_o_Twitter_normal.jpg","View")</f>
        <v>View</v>
      </c>
      <c r="P1866" s="11"/>
    </row>
    <row r="1867" spans="1:16" ht="12.75" x14ac:dyDescent="0.35">
      <c r="A1867" s="7">
        <v>42481.103437500002</v>
      </c>
      <c r="B1867" s="8" t="str">
        <f t="shared" si="218"/>
        <v>@vemdiearbeitgeb</v>
      </c>
      <c r="C1867" s="9" t="s">
        <v>3445</v>
      </c>
      <c r="D1867" s="9" t="s">
        <v>3450</v>
      </c>
      <c r="E1867" s="10" t="str">
        <f>HYPERLINK("https://twitter.com/vemdiearbeitgeb/status/722892331955826688","722892331955826688")</f>
        <v>722892331955826688</v>
      </c>
      <c r="F1867" s="11" t="s">
        <v>31</v>
      </c>
      <c r="G1867" s="11">
        <v>772</v>
      </c>
      <c r="H1867" s="11">
        <v>821</v>
      </c>
      <c r="I1867" s="11">
        <v>2</v>
      </c>
      <c r="J1867" s="11">
        <v>0</v>
      </c>
      <c r="K1867" s="11" t="s">
        <v>21</v>
      </c>
      <c r="L1867" s="7">
        <v>40248.606006944443</v>
      </c>
      <c r="M1867" s="12" t="s">
        <v>3446</v>
      </c>
      <c r="N1867" s="12" t="s">
        <v>3447</v>
      </c>
      <c r="O1867" s="10" t="str">
        <f t="shared" si="219"/>
        <v>View</v>
      </c>
      <c r="P1867" s="11"/>
    </row>
    <row r="1868" spans="1:16" ht="12.75" x14ac:dyDescent="0.35">
      <c r="A1868" s="7">
        <v>42481.10423611111</v>
      </c>
      <c r="B1868" s="8" t="str">
        <f>HYPERLINK("https://twitter.com/Cathy_Brennan","@Cathy_Brennan")</f>
        <v>@Cathy_Brennan</v>
      </c>
      <c r="C1868" s="9" t="s">
        <v>1225</v>
      </c>
      <c r="D1868" s="9" t="s">
        <v>3353</v>
      </c>
      <c r="E1868" s="10" t="str">
        <f>HYPERLINK("https://twitter.com/Cathy_Brennan/status/722892622751080449","722892622751080449")</f>
        <v>722892622751080449</v>
      </c>
      <c r="F1868" s="11" t="s">
        <v>25</v>
      </c>
      <c r="G1868" s="11">
        <v>1101</v>
      </c>
      <c r="H1868" s="11">
        <v>1969</v>
      </c>
      <c r="I1868" s="11">
        <v>2</v>
      </c>
      <c r="J1868" s="11">
        <v>0</v>
      </c>
      <c r="K1868" s="11" t="s">
        <v>21</v>
      </c>
      <c r="L1868" s="7">
        <v>40642.06181712963</v>
      </c>
      <c r="M1868" s="12" t="s">
        <v>1227</v>
      </c>
      <c r="N1868" s="12" t="s">
        <v>1228</v>
      </c>
      <c r="O1868" s="10" t="str">
        <f>HYPERLINK("https://pbs.twimg.com/profile_images/530100288472903680/89b39upH_normal.jpeg","View")</f>
        <v>View</v>
      </c>
      <c r="P1868" s="11"/>
    </row>
    <row r="1869" spans="1:16" ht="12.75" x14ac:dyDescent="0.35">
      <c r="A1869" s="7">
        <v>42481.104976851857</v>
      </c>
      <c r="B1869" s="8" t="str">
        <f>HYPERLINK("https://twitter.com/INDIZbot","@INDIZbot")</f>
        <v>@INDIZbot</v>
      </c>
      <c r="C1869" s="9" t="s">
        <v>61</v>
      </c>
      <c r="D1869" s="9" t="s">
        <v>3450</v>
      </c>
      <c r="E1869" s="10" t="str">
        <f>HYPERLINK("https://twitter.com/INDIZbot/status/722892890767122434","722892890767122434")</f>
        <v>722892890767122434</v>
      </c>
      <c r="F1869" s="11" t="s">
        <v>62</v>
      </c>
      <c r="G1869" s="11">
        <v>1762</v>
      </c>
      <c r="H1869" s="11">
        <v>481</v>
      </c>
      <c r="I1869" s="11">
        <v>2</v>
      </c>
      <c r="J1869" s="11">
        <v>0</v>
      </c>
      <c r="K1869" s="11" t="s">
        <v>21</v>
      </c>
      <c r="L1869" s="7">
        <v>42267.011921296296</v>
      </c>
      <c r="M1869" s="12"/>
      <c r="N1869" s="12" t="s">
        <v>63</v>
      </c>
      <c r="O1869" s="10" t="str">
        <f>HYPERLINK("https://pbs.twimg.com/profile_images/645716711723925506/t5G0qOS6_normal.jpg","View")</f>
        <v>View</v>
      </c>
      <c r="P1869" s="11"/>
    </row>
    <row r="1870" spans="1:16" ht="12.75" x14ac:dyDescent="0.35">
      <c r="A1870" s="7">
        <v>42481.104999999996</v>
      </c>
      <c r="B1870" s="8" t="str">
        <f>HYPERLINK("https://twitter.com/APGuha","@APGuha")</f>
        <v>@APGuha</v>
      </c>
      <c r="C1870" s="9" t="s">
        <v>1543</v>
      </c>
      <c r="D1870" s="9" t="s">
        <v>3451</v>
      </c>
      <c r="E1870" s="10" t="str">
        <f>HYPERLINK("https://twitter.com/APGuha/status/722892899952697345","722892899952697345")</f>
        <v>722892899952697345</v>
      </c>
      <c r="F1870" s="11" t="s">
        <v>31</v>
      </c>
      <c r="G1870" s="11">
        <v>2640</v>
      </c>
      <c r="H1870" s="11">
        <v>3141</v>
      </c>
      <c r="I1870" s="11">
        <v>0</v>
      </c>
      <c r="J1870" s="11">
        <v>2</v>
      </c>
      <c r="K1870" s="11" t="s">
        <v>21</v>
      </c>
      <c r="L1870" s="7">
        <v>41721.293391203704</v>
      </c>
      <c r="M1870" s="12" t="s">
        <v>1545</v>
      </c>
      <c r="N1870" s="12" t="s">
        <v>1546</v>
      </c>
      <c r="O1870" s="10" t="str">
        <f>HYPERLINK("https://pbs.twimg.com/profile_images/480533400743182336/w7vvPFUY_normal.png","View")</f>
        <v>View</v>
      </c>
      <c r="P1870" s="11"/>
    </row>
    <row r="1871" spans="1:16" ht="12.75" x14ac:dyDescent="0.35">
      <c r="A1871" s="7">
        <v>42481.106192129635</v>
      </c>
      <c r="B1871" s="8" t="str">
        <f>HYPERLINK("https://twitter.com/Cathy_Brennan","@Cathy_Brennan")</f>
        <v>@Cathy_Brennan</v>
      </c>
      <c r="C1871" s="9" t="s">
        <v>1225</v>
      </c>
      <c r="D1871" s="9" t="s">
        <v>2575</v>
      </c>
      <c r="E1871" s="10" t="str">
        <f>HYPERLINK("https://twitter.com/Cathy_Brennan/status/722893330573471745","722893330573471745")</f>
        <v>722893330573471745</v>
      </c>
      <c r="F1871" s="11" t="s">
        <v>25</v>
      </c>
      <c r="G1871" s="11">
        <v>1101</v>
      </c>
      <c r="H1871" s="11">
        <v>1969</v>
      </c>
      <c r="I1871" s="11">
        <v>3</v>
      </c>
      <c r="J1871" s="11">
        <v>0</v>
      </c>
      <c r="K1871" s="11" t="s">
        <v>21</v>
      </c>
      <c r="L1871" s="7">
        <v>40642.06181712963</v>
      </c>
      <c r="M1871" s="12" t="s">
        <v>1227</v>
      </c>
      <c r="N1871" s="12" t="s">
        <v>1228</v>
      </c>
      <c r="O1871" s="10" t="str">
        <f>HYPERLINK("https://pbs.twimg.com/profile_images/530100288472903680/89b39upH_normal.jpeg","View")</f>
        <v>View</v>
      </c>
      <c r="P1871" s="11"/>
    </row>
    <row r="1872" spans="1:16" ht="12.75" x14ac:dyDescent="0.35">
      <c r="A1872" s="7">
        <v>42481.109826388885</v>
      </c>
      <c r="B1872" s="8" t="str">
        <f>HYPERLINK("https://twitter.com/ARichter_","@ARichter_")</f>
        <v>@ARichter_</v>
      </c>
      <c r="C1872" s="9" t="s">
        <v>3452</v>
      </c>
      <c r="D1872" s="9" t="s">
        <v>3453</v>
      </c>
      <c r="E1872" s="10" t="str">
        <f>HYPERLINK("https://twitter.com/ARichter_/status/722894647102611456","722894647102611456")</f>
        <v>722894647102611456</v>
      </c>
      <c r="F1872" s="11" t="s">
        <v>25</v>
      </c>
      <c r="G1872" s="11">
        <v>3</v>
      </c>
      <c r="H1872" s="11">
        <v>19</v>
      </c>
      <c r="I1872" s="11">
        <v>0</v>
      </c>
      <c r="J1872" s="11">
        <v>0</v>
      </c>
      <c r="K1872" s="11" t="s">
        <v>21</v>
      </c>
      <c r="L1872" s="7">
        <v>42480.620081018518</v>
      </c>
      <c r="M1872" s="12" t="s">
        <v>1308</v>
      </c>
      <c r="N1872" s="12" t="s">
        <v>3454</v>
      </c>
      <c r="O1872" s="10" t="str">
        <f>HYPERLINK("https://pbs.twimg.com/profile_images/722893980682362880/3c3Rk9yE_normal.jpg","View")</f>
        <v>View</v>
      </c>
      <c r="P1872" s="11"/>
    </row>
    <row r="1873" spans="1:16" ht="12.75" x14ac:dyDescent="0.35">
      <c r="A1873" s="7">
        <v>42481.110798611116</v>
      </c>
      <c r="B1873" s="8" t="str">
        <f>HYPERLINK("https://twitter.com/prxpragma","@prxpragma")</f>
        <v>@prxpragma</v>
      </c>
      <c r="C1873" s="9" t="s">
        <v>499</v>
      </c>
      <c r="D1873" s="9" t="s">
        <v>3455</v>
      </c>
      <c r="E1873" s="10" t="str">
        <f>HYPERLINK("https://twitter.com/prxpragma/status/722895001772957696","722895001772957696")</f>
        <v>722895001772957696</v>
      </c>
      <c r="F1873" s="11" t="s">
        <v>20</v>
      </c>
      <c r="G1873" s="11">
        <v>306</v>
      </c>
      <c r="H1873" s="11">
        <v>562</v>
      </c>
      <c r="I1873" s="11">
        <v>1</v>
      </c>
      <c r="J1873" s="11">
        <v>0</v>
      </c>
      <c r="K1873" s="11" t="s">
        <v>21</v>
      </c>
      <c r="L1873" s="7">
        <v>42129.922442129631</v>
      </c>
      <c r="M1873" s="12"/>
      <c r="N1873" s="12"/>
      <c r="O1873" s="10" t="str">
        <f>HYPERLINK("https://pbs.twimg.com/profile_images/595629691249233920/PnZxF5UO_normal.jpg","View")</f>
        <v>View</v>
      </c>
      <c r="P1873" s="11"/>
    </row>
    <row r="1874" spans="1:16" ht="12.75" x14ac:dyDescent="0.35">
      <c r="A1874" s="7">
        <v>42481.112187499995</v>
      </c>
      <c r="B1874" s="8" t="str">
        <f>HYPERLINK("https://twitter.com/DosOz42","@DosOz42")</f>
        <v>@DosOz42</v>
      </c>
      <c r="C1874" s="9" t="s">
        <v>3456</v>
      </c>
      <c r="D1874" s="9" t="s">
        <v>3457</v>
      </c>
      <c r="E1874" s="10" t="str">
        <f>HYPERLINK("https://twitter.com/DosOz42/status/722895501721403392","722895501721403392")</f>
        <v>722895501721403392</v>
      </c>
      <c r="F1874" s="11" t="s">
        <v>20</v>
      </c>
      <c r="G1874" s="11">
        <v>3093</v>
      </c>
      <c r="H1874" s="11">
        <v>503</v>
      </c>
      <c r="I1874" s="11">
        <v>3</v>
      </c>
      <c r="J1874" s="11">
        <v>0</v>
      </c>
      <c r="K1874" s="11" t="s">
        <v>21</v>
      </c>
      <c r="L1874" s="7">
        <v>40671.259317129632</v>
      </c>
      <c r="M1874" s="12"/>
      <c r="N1874" s="12" t="s">
        <v>3458</v>
      </c>
      <c r="O1874" s="10" t="str">
        <f>HYPERLINK("https://pbs.twimg.com/profile_images/550418294231273473/jfA3pOoK_normal.jpeg","View")</f>
        <v>View</v>
      </c>
      <c r="P1874" s="11"/>
    </row>
    <row r="1875" spans="1:16" ht="12.75" x14ac:dyDescent="0.35">
      <c r="A1875" s="7">
        <v>42481.122037037036</v>
      </c>
      <c r="B1875" s="8" t="str">
        <f t="shared" ref="B1875:B1877" si="220">HYPERLINK("https://twitter.com/prxagentur","@prxagentur")</f>
        <v>@prxagentur</v>
      </c>
      <c r="C1875" s="9" t="s">
        <v>1753</v>
      </c>
      <c r="D1875" s="9" t="s">
        <v>2947</v>
      </c>
      <c r="E1875" s="10" t="str">
        <f>HYPERLINK("https://twitter.com/prxagentur/status/722899072282009600","722899072282009600")</f>
        <v>722899072282009600</v>
      </c>
      <c r="F1875" s="11" t="s">
        <v>20</v>
      </c>
      <c r="G1875" s="11">
        <v>196</v>
      </c>
      <c r="H1875" s="11">
        <v>374</v>
      </c>
      <c r="I1875" s="11">
        <v>21</v>
      </c>
      <c r="J1875" s="11">
        <v>0</v>
      </c>
      <c r="K1875" s="11" t="s">
        <v>21</v>
      </c>
      <c r="L1875" s="7">
        <v>42128.001620370371</v>
      </c>
      <c r="M1875" s="12"/>
      <c r="N1875" s="12"/>
      <c r="O1875" s="10" t="str">
        <f t="shared" ref="O1875:O1877" si="221">HYPERLINK("https://pbs.twimg.com/profile_images/594934750122536960/nG4kmfDF_normal.jpg","View")</f>
        <v>View</v>
      </c>
      <c r="P1875" s="11"/>
    </row>
    <row r="1876" spans="1:16" ht="12.75" x14ac:dyDescent="0.35">
      <c r="A1876" s="7">
        <v>42481.122754629629</v>
      </c>
      <c r="B1876" s="8" t="str">
        <f t="shared" si="220"/>
        <v>@prxagentur</v>
      </c>
      <c r="C1876" s="9" t="s">
        <v>1753</v>
      </c>
      <c r="D1876" s="9" t="s">
        <v>3285</v>
      </c>
      <c r="E1876" s="10" t="str">
        <f>HYPERLINK("https://twitter.com/prxagentur/status/722899331196432384","722899331196432384")</f>
        <v>722899331196432384</v>
      </c>
      <c r="F1876" s="11" t="s">
        <v>20</v>
      </c>
      <c r="G1876" s="11">
        <v>196</v>
      </c>
      <c r="H1876" s="11">
        <v>374</v>
      </c>
      <c r="I1876" s="11">
        <v>2</v>
      </c>
      <c r="J1876" s="11">
        <v>0</v>
      </c>
      <c r="K1876" s="11" t="s">
        <v>21</v>
      </c>
      <c r="L1876" s="7">
        <v>42128.001620370371</v>
      </c>
      <c r="M1876" s="12"/>
      <c r="N1876" s="12"/>
      <c r="O1876" s="10" t="str">
        <f t="shared" si="221"/>
        <v>View</v>
      </c>
      <c r="P1876" s="11"/>
    </row>
    <row r="1877" spans="1:16" ht="12.75" x14ac:dyDescent="0.35">
      <c r="A1877" s="7">
        <v>42481.12568287037</v>
      </c>
      <c r="B1877" s="8" t="str">
        <f t="shared" si="220"/>
        <v>@prxagentur</v>
      </c>
      <c r="C1877" s="9" t="s">
        <v>1753</v>
      </c>
      <c r="D1877" s="9" t="s">
        <v>3459</v>
      </c>
      <c r="E1877" s="10" t="str">
        <f>HYPERLINK("https://twitter.com/prxagentur/status/722900394456645635","722900394456645635")</f>
        <v>722900394456645635</v>
      </c>
      <c r="F1877" s="11" t="s">
        <v>20</v>
      </c>
      <c r="G1877" s="11">
        <v>196</v>
      </c>
      <c r="H1877" s="11">
        <v>374</v>
      </c>
      <c r="I1877" s="11">
        <v>0</v>
      </c>
      <c r="J1877" s="11">
        <v>0</v>
      </c>
      <c r="K1877" s="11" t="s">
        <v>21</v>
      </c>
      <c r="L1877" s="7">
        <v>42128.001620370371</v>
      </c>
      <c r="M1877" s="12"/>
      <c r="N1877" s="12"/>
      <c r="O1877" s="10" t="str">
        <f t="shared" si="221"/>
        <v>View</v>
      </c>
      <c r="P1877" s="11"/>
    </row>
    <row r="1878" spans="1:16" ht="12.75" x14ac:dyDescent="0.35">
      <c r="A1878" s="7">
        <v>42481.133726851855</v>
      </c>
      <c r="B1878" s="8" t="str">
        <f>HYPERLINK("https://twitter.com/Stormchild3","@Stormchild3")</f>
        <v>@Stormchild3</v>
      </c>
      <c r="C1878" s="9" t="s">
        <v>3460</v>
      </c>
      <c r="D1878" s="9" t="s">
        <v>3457</v>
      </c>
      <c r="E1878" s="10" t="str">
        <f>HYPERLINK("https://twitter.com/Stormchild3/status/722903309015654400","722903309015654400")</f>
        <v>722903309015654400</v>
      </c>
      <c r="F1878" s="11" t="s">
        <v>25</v>
      </c>
      <c r="G1878" s="11">
        <v>247</v>
      </c>
      <c r="H1878" s="11">
        <v>382</v>
      </c>
      <c r="I1878" s="11">
        <v>3</v>
      </c>
      <c r="J1878" s="11">
        <v>0</v>
      </c>
      <c r="K1878" s="11" t="s">
        <v>21</v>
      </c>
      <c r="L1878" s="7">
        <v>41608.618495370371</v>
      </c>
      <c r="M1878" s="12"/>
      <c r="N1878" s="12" t="s">
        <v>3461</v>
      </c>
      <c r="O1878" s="10" t="str">
        <f>HYPERLINK("https://pbs.twimg.com/profile_images/429025632186429440/cK_cYt3I_normal.jpeg","View")</f>
        <v>View</v>
      </c>
      <c r="P1878" s="11"/>
    </row>
    <row r="1879" spans="1:16" ht="12.75" x14ac:dyDescent="0.35">
      <c r="A1879" s="7">
        <v>42481.134328703702</v>
      </c>
      <c r="B1879" s="8" t="str">
        <f t="shared" ref="B1879:B1880" si="222">HYPERLINK("https://twitter.com/RolandBent","@RolandBent")</f>
        <v>@RolandBent</v>
      </c>
      <c r="C1879" s="9" t="s">
        <v>1272</v>
      </c>
      <c r="D1879" s="9" t="s">
        <v>2775</v>
      </c>
      <c r="E1879" s="10" t="str">
        <f>HYPERLINK("https://twitter.com/RolandBent/status/722903527140397056","722903527140397056")</f>
        <v>722903527140397056</v>
      </c>
      <c r="F1879" s="11" t="s">
        <v>31</v>
      </c>
      <c r="G1879" s="11">
        <v>503</v>
      </c>
      <c r="H1879" s="11">
        <v>235</v>
      </c>
      <c r="I1879" s="11">
        <v>3</v>
      </c>
      <c r="J1879" s="11">
        <v>0</v>
      </c>
      <c r="K1879" s="11" t="s">
        <v>21</v>
      </c>
      <c r="L1879" s="7">
        <v>41733.564432870371</v>
      </c>
      <c r="M1879" s="12" t="s">
        <v>1273</v>
      </c>
      <c r="N1879" s="12" t="s">
        <v>1274</v>
      </c>
      <c r="O1879" s="10" t="str">
        <f t="shared" ref="O1879:O1880" si="223">HYPERLINK("https://pbs.twimg.com/profile_images/451994816889360385/SYPpc3iI_normal.jpeg","View")</f>
        <v>View</v>
      </c>
      <c r="P1879" s="11"/>
    </row>
    <row r="1880" spans="1:16" ht="12.75" x14ac:dyDescent="0.35">
      <c r="A1880" s="7">
        <v>42481.135057870371</v>
      </c>
      <c r="B1880" s="8" t="str">
        <f t="shared" si="222"/>
        <v>@RolandBent</v>
      </c>
      <c r="C1880" s="9" t="s">
        <v>1272</v>
      </c>
      <c r="D1880" s="9" t="s">
        <v>2938</v>
      </c>
      <c r="E1880" s="10" t="str">
        <f>HYPERLINK("https://twitter.com/RolandBent/status/722903793424183297","722903793424183297")</f>
        <v>722903793424183297</v>
      </c>
      <c r="F1880" s="11" t="s">
        <v>31</v>
      </c>
      <c r="G1880" s="11">
        <v>503</v>
      </c>
      <c r="H1880" s="11">
        <v>235</v>
      </c>
      <c r="I1880" s="11">
        <v>12</v>
      </c>
      <c r="J1880" s="11">
        <v>0</v>
      </c>
      <c r="K1880" s="11" t="s">
        <v>21</v>
      </c>
      <c r="L1880" s="7">
        <v>41733.564432870371</v>
      </c>
      <c r="M1880" s="12" t="s">
        <v>1273</v>
      </c>
      <c r="N1880" s="12" t="s">
        <v>1274</v>
      </c>
      <c r="O1880" s="10" t="str">
        <f t="shared" si="223"/>
        <v>View</v>
      </c>
      <c r="P1880" s="11"/>
    </row>
    <row r="1881" spans="1:16" ht="12.75" x14ac:dyDescent="0.35">
      <c r="A1881" s="7">
        <v>42481.151423611111</v>
      </c>
      <c r="B1881" s="8" t="str">
        <f>HYPERLINK("https://twitter.com/watumudeveku","@watumudeveku")</f>
        <v>@watumudeveku</v>
      </c>
      <c r="C1881" s="9" t="s">
        <v>3462</v>
      </c>
      <c r="D1881" s="9" t="s">
        <v>3463</v>
      </c>
      <c r="E1881" s="10" t="str">
        <f>HYPERLINK("https://twitter.com/watumudeveku/status/722909720898461697","722909720898461697")</f>
        <v>722909720898461697</v>
      </c>
      <c r="F1881" s="11" t="s">
        <v>25</v>
      </c>
      <c r="G1881" s="11">
        <v>24</v>
      </c>
      <c r="H1881" s="11">
        <v>504</v>
      </c>
      <c r="I1881" s="11">
        <v>3</v>
      </c>
      <c r="J1881" s="11">
        <v>0</v>
      </c>
      <c r="K1881" s="11" t="s">
        <v>21</v>
      </c>
      <c r="L1881" s="7">
        <v>41769.114560185189</v>
      </c>
      <c r="M1881" s="12" t="s">
        <v>3464</v>
      </c>
      <c r="N1881" s="12" t="s">
        <v>3465</v>
      </c>
      <c r="O1881" s="10" t="str">
        <f>HYPERLINK("https://pbs.twimg.com/profile_images/545472777956782081/TcFbbwNP_normal.jpeg","View")</f>
        <v>View</v>
      </c>
      <c r="P1881" s="11"/>
    </row>
    <row r="1882" spans="1:16" ht="12.75" x14ac:dyDescent="0.35">
      <c r="A1882" s="7">
        <v>42481.15357638889</v>
      </c>
      <c r="B1882" s="8" t="str">
        <f t="shared" ref="B1882:B1883" si="224">HYPERLINK("https://twitter.com/INDIZbot","@INDIZbot")</f>
        <v>@INDIZbot</v>
      </c>
      <c r="C1882" s="9" t="s">
        <v>61</v>
      </c>
      <c r="D1882" s="9" t="s">
        <v>3463</v>
      </c>
      <c r="E1882" s="10" t="str">
        <f>HYPERLINK("https://twitter.com/INDIZbot/status/722910503547179008","722910503547179008")</f>
        <v>722910503547179008</v>
      </c>
      <c r="F1882" s="11" t="s">
        <v>62</v>
      </c>
      <c r="G1882" s="11">
        <v>1762</v>
      </c>
      <c r="H1882" s="11">
        <v>481</v>
      </c>
      <c r="I1882" s="11">
        <v>3</v>
      </c>
      <c r="J1882" s="11">
        <v>0</v>
      </c>
      <c r="K1882" s="11" t="s">
        <v>21</v>
      </c>
      <c r="L1882" s="7">
        <v>42267.011921296296</v>
      </c>
      <c r="M1882" s="12"/>
      <c r="N1882" s="12" t="s">
        <v>63</v>
      </c>
      <c r="O1882" s="10" t="str">
        <f t="shared" ref="O1882:O1883" si="225">HYPERLINK("https://pbs.twimg.com/profile_images/645716711723925506/t5G0qOS6_normal.jpg","View")</f>
        <v>View</v>
      </c>
      <c r="P1882" s="11"/>
    </row>
    <row r="1883" spans="1:16" ht="12.75" x14ac:dyDescent="0.35">
      <c r="A1883" s="7">
        <v>42481.15420138889</v>
      </c>
      <c r="B1883" s="8" t="str">
        <f t="shared" si="224"/>
        <v>@INDIZbot</v>
      </c>
      <c r="C1883" s="9" t="s">
        <v>61</v>
      </c>
      <c r="D1883" s="9" t="s">
        <v>3457</v>
      </c>
      <c r="E1883" s="10" t="str">
        <f>HYPERLINK("https://twitter.com/INDIZbot/status/722910729414664192","722910729414664192")</f>
        <v>722910729414664192</v>
      </c>
      <c r="F1883" s="11" t="s">
        <v>62</v>
      </c>
      <c r="G1883" s="11">
        <v>1762</v>
      </c>
      <c r="H1883" s="11">
        <v>481</v>
      </c>
      <c r="I1883" s="11">
        <v>3</v>
      </c>
      <c r="J1883" s="11">
        <v>0</v>
      </c>
      <c r="K1883" s="11" t="s">
        <v>21</v>
      </c>
      <c r="L1883" s="7">
        <v>42267.011921296296</v>
      </c>
      <c r="M1883" s="12"/>
      <c r="N1883" s="12" t="s">
        <v>63</v>
      </c>
      <c r="O1883" s="10" t="str">
        <f t="shared" si="225"/>
        <v>View</v>
      </c>
      <c r="P1883" s="11"/>
    </row>
    <row r="1884" spans="1:16" ht="12.75" x14ac:dyDescent="0.35">
      <c r="A1884" s="7">
        <v>42481.184374999997</v>
      </c>
      <c r="B1884" s="8" t="str">
        <f>HYPERLINK("https://twitter.com/CSGermany","@CSGermany")</f>
        <v>@CSGermany</v>
      </c>
      <c r="C1884" s="9" t="s">
        <v>3466</v>
      </c>
      <c r="D1884" s="9" t="s">
        <v>3467</v>
      </c>
      <c r="E1884" s="10" t="str">
        <f>HYPERLINK("https://twitter.com/CSGermany/status/722921664846151680","722921664846151680")</f>
        <v>722921664846151680</v>
      </c>
      <c r="F1884" s="11" t="s">
        <v>29</v>
      </c>
      <c r="G1884" s="11">
        <v>1721</v>
      </c>
      <c r="H1884" s="11">
        <v>848</v>
      </c>
      <c r="I1884" s="11">
        <v>1</v>
      </c>
      <c r="J1884" s="11">
        <v>2</v>
      </c>
      <c r="K1884" s="11" t="s">
        <v>21</v>
      </c>
      <c r="L1884" s="7">
        <v>39863.867141203707</v>
      </c>
      <c r="M1884" s="12" t="s">
        <v>121</v>
      </c>
      <c r="N1884" s="12" t="s">
        <v>3468</v>
      </c>
      <c r="O1884" s="10" t="str">
        <f>HYPERLINK("https://pbs.twimg.com/profile_images/518189608098869249/udoveSaH_normal.jpeg","View")</f>
        <v>View</v>
      </c>
      <c r="P1884" s="11"/>
    </row>
    <row r="1885" spans="1:16" ht="12.75" x14ac:dyDescent="0.35">
      <c r="A1885" s="7">
        <v>42481.200752314813</v>
      </c>
      <c r="B1885" s="8" t="str">
        <f>HYPERLINK("https://twitter.com/mhaller1979","@mhaller1979")</f>
        <v>@mhaller1979</v>
      </c>
      <c r="C1885" s="9" t="s">
        <v>3469</v>
      </c>
      <c r="D1885" s="9" t="s">
        <v>3201</v>
      </c>
      <c r="E1885" s="10" t="str">
        <f>HYPERLINK("https://twitter.com/mhaller1979/status/722927599953969153","722927599953969153")</f>
        <v>722927599953969153</v>
      </c>
      <c r="F1885" s="11" t="s">
        <v>20</v>
      </c>
      <c r="G1885" s="11">
        <v>1215</v>
      </c>
      <c r="H1885" s="11">
        <v>3121</v>
      </c>
      <c r="I1885" s="11">
        <v>8</v>
      </c>
      <c r="J1885" s="11">
        <v>0</v>
      </c>
      <c r="K1885" s="11" t="s">
        <v>21</v>
      </c>
      <c r="L1885" s="7">
        <v>39869.180034722223</v>
      </c>
      <c r="M1885" s="12" t="s">
        <v>3470</v>
      </c>
      <c r="N1885" s="12" t="s">
        <v>3471</v>
      </c>
      <c r="O1885" s="10" t="str">
        <f>HYPERLINK("https://pbs.twimg.com/profile_images/538796736/mike-sunglasses_normal.jpg","View")</f>
        <v>View</v>
      </c>
      <c r="P1885" s="11"/>
    </row>
    <row r="1886" spans="1:16" ht="12.75" x14ac:dyDescent="0.35">
      <c r="A1886" s="7">
        <v>42481.202187499999</v>
      </c>
      <c r="B1886" s="8" t="str">
        <f>HYPERLINK("https://twitter.com/INDIZbot","@INDIZbot")</f>
        <v>@INDIZbot</v>
      </c>
      <c r="C1886" s="9" t="s">
        <v>61</v>
      </c>
      <c r="D1886" s="9" t="s">
        <v>3201</v>
      </c>
      <c r="E1886" s="10" t="str">
        <f>HYPERLINK("https://twitter.com/INDIZbot/status/722928118890110977","722928118890110977")</f>
        <v>722928118890110977</v>
      </c>
      <c r="F1886" s="11" t="s">
        <v>62</v>
      </c>
      <c r="G1886" s="11">
        <v>1762</v>
      </c>
      <c r="H1886" s="11">
        <v>481</v>
      </c>
      <c r="I1886" s="11">
        <v>8</v>
      </c>
      <c r="J1886" s="11">
        <v>0</v>
      </c>
      <c r="K1886" s="11" t="s">
        <v>21</v>
      </c>
      <c r="L1886" s="7">
        <v>42267.011921296296</v>
      </c>
      <c r="M1886" s="12"/>
      <c r="N1886" s="12" t="s">
        <v>63</v>
      </c>
      <c r="O1886" s="10" t="str">
        <f>HYPERLINK("https://pbs.twimg.com/profile_images/645716711723925506/t5G0qOS6_normal.jpg","View")</f>
        <v>View</v>
      </c>
      <c r="P1886" s="11"/>
    </row>
    <row r="1887" spans="1:16" ht="12.75" x14ac:dyDescent="0.35">
      <c r="A1887" s="7">
        <v>42481.215648148151</v>
      </c>
      <c r="B1887" s="8" t="str">
        <f>HYPERLINK("https://twitter.com/ExportArizona","@ExportArizona")</f>
        <v>@ExportArizona</v>
      </c>
      <c r="C1887" s="9" t="s">
        <v>3472</v>
      </c>
      <c r="D1887" s="9" t="s">
        <v>3473</v>
      </c>
      <c r="E1887" s="10" t="str">
        <f>HYPERLINK("https://twitter.com/ExportArizona/status/722932995703705600","722932995703705600")</f>
        <v>722932995703705600</v>
      </c>
      <c r="F1887" s="11" t="s">
        <v>29</v>
      </c>
      <c r="G1887" s="11">
        <v>812</v>
      </c>
      <c r="H1887" s="11">
        <v>211</v>
      </c>
      <c r="I1887" s="11">
        <v>1</v>
      </c>
      <c r="J1887" s="11">
        <v>0</v>
      </c>
      <c r="K1887" s="11" t="s">
        <v>21</v>
      </c>
      <c r="L1887" s="7">
        <v>40590.095486111109</v>
      </c>
      <c r="M1887" s="12" t="s">
        <v>3474</v>
      </c>
      <c r="N1887" s="12" t="s">
        <v>3475</v>
      </c>
      <c r="O1887" s="10" t="str">
        <f>HYPERLINK("https://pbs.twimg.com/profile_images/1245871742/AZDEC_normal.jpg","View")</f>
        <v>View</v>
      </c>
      <c r="P1887" s="11"/>
    </row>
    <row r="1888" spans="1:16" ht="12.75" x14ac:dyDescent="0.35">
      <c r="A1888" s="7">
        <v>42481.232118055559</v>
      </c>
      <c r="B1888" s="8" t="str">
        <f>HYPERLINK("https://twitter.com/H_IT_D","@H_IT_D")</f>
        <v>@H_IT_D</v>
      </c>
      <c r="C1888" s="9" t="s">
        <v>159</v>
      </c>
      <c r="D1888" s="9" t="s">
        <v>3476</v>
      </c>
      <c r="E1888" s="10" t="str">
        <f>HYPERLINK("https://twitter.com/H_IT_D/status/722938963174887424","722938963174887424")</f>
        <v>722938963174887424</v>
      </c>
      <c r="F1888" s="11" t="s">
        <v>161</v>
      </c>
      <c r="G1888" s="11">
        <v>463</v>
      </c>
      <c r="H1888" s="11">
        <v>467</v>
      </c>
      <c r="I1888" s="11">
        <v>1</v>
      </c>
      <c r="J1888" s="11">
        <v>0</v>
      </c>
      <c r="K1888" s="11" t="s">
        <v>21</v>
      </c>
      <c r="L1888" s="7">
        <v>40723.867673611108</v>
      </c>
      <c r="M1888" s="12" t="s">
        <v>162</v>
      </c>
      <c r="N1888" s="12" t="s">
        <v>163</v>
      </c>
      <c r="O1888" s="10" t="str">
        <f>HYPERLINK("https://pbs.twimg.com/profile_images/662723326096224256/5V4KH9_O_normal.jpg","View")</f>
        <v>View</v>
      </c>
      <c r="P1888" s="11"/>
    </row>
    <row r="1889" spans="1:16" ht="12.75" x14ac:dyDescent="0.35">
      <c r="A1889" s="7">
        <v>42481.235613425924</v>
      </c>
      <c r="B1889" s="8" t="str">
        <f>HYPERLINK("https://twitter.com/nicfm_usa","@nicfm_usa")</f>
        <v>@nicfm_usa</v>
      </c>
      <c r="C1889" s="9" t="s">
        <v>3477</v>
      </c>
      <c r="D1889" s="9" t="s">
        <v>2947</v>
      </c>
      <c r="E1889" s="10" t="str">
        <f>HYPERLINK("https://twitter.com/nicfm_usa/status/722940233088647168","722940233088647168")</f>
        <v>722940233088647168</v>
      </c>
      <c r="F1889" s="11" t="s">
        <v>29</v>
      </c>
      <c r="G1889" s="11">
        <v>15</v>
      </c>
      <c r="H1889" s="11">
        <v>21</v>
      </c>
      <c r="I1889" s="11">
        <v>21</v>
      </c>
      <c r="J1889" s="11">
        <v>0</v>
      </c>
      <c r="K1889" s="11" t="s">
        <v>21</v>
      </c>
      <c r="L1889" s="7">
        <v>42226.999085648145</v>
      </c>
      <c r="M1889" s="12"/>
      <c r="N1889" s="12"/>
      <c r="O1889" s="10" t="str">
        <f>HYPERLINK("https://pbs.twimg.com/profile_images/662969927985405952/Ufa-12SJ_normal.jpg","View")</f>
        <v>View</v>
      </c>
      <c r="P1889" s="11"/>
    </row>
    <row r="1890" spans="1:16" ht="12.75" x14ac:dyDescent="0.35">
      <c r="A1890" s="7">
        <v>42481.237187499995</v>
      </c>
      <c r="B1890" s="8" t="str">
        <f>HYPERLINK("https://twitter.com/INDIZbot","@INDIZbot")</f>
        <v>@INDIZbot</v>
      </c>
      <c r="C1890" s="9" t="s">
        <v>61</v>
      </c>
      <c r="D1890" s="9" t="s">
        <v>3478</v>
      </c>
      <c r="E1890" s="10" t="str">
        <f>HYPERLINK("https://twitter.com/INDIZbot/status/722940801966350336","722940801966350336")</f>
        <v>722940801966350336</v>
      </c>
      <c r="F1890" s="11" t="s">
        <v>62</v>
      </c>
      <c r="G1890" s="11">
        <v>1762</v>
      </c>
      <c r="H1890" s="11">
        <v>481</v>
      </c>
      <c r="I1890" s="11">
        <v>1</v>
      </c>
      <c r="J1890" s="11">
        <v>0</v>
      </c>
      <c r="K1890" s="11" t="s">
        <v>21</v>
      </c>
      <c r="L1890" s="7">
        <v>42267.011921296296</v>
      </c>
      <c r="M1890" s="12"/>
      <c r="N1890" s="12" t="s">
        <v>63</v>
      </c>
      <c r="O1890" s="10" t="str">
        <f>HYPERLINK("https://pbs.twimg.com/profile_images/645716711723925506/t5G0qOS6_normal.jpg","View")</f>
        <v>View</v>
      </c>
      <c r="P1890" s="11"/>
    </row>
    <row r="1891" spans="1:16" ht="12.75" x14ac:dyDescent="0.35">
      <c r="A1891" s="7">
        <v>42481.250219907408</v>
      </c>
      <c r="B1891" s="8" t="str">
        <f>HYPERLINK("https://twitter.com/MelanieVogel_","@MelanieVogel_")</f>
        <v>@MelanieVogel_</v>
      </c>
      <c r="C1891" s="9" t="s">
        <v>2067</v>
      </c>
      <c r="D1891" s="9" t="s">
        <v>3479</v>
      </c>
      <c r="E1891" s="10" t="str">
        <f>HYPERLINK("https://twitter.com/MelanieVogel_/status/722945525495001090","722945525495001090")</f>
        <v>722945525495001090</v>
      </c>
      <c r="F1891" s="11" t="s">
        <v>39</v>
      </c>
      <c r="G1891" s="11">
        <v>833</v>
      </c>
      <c r="H1891" s="11">
        <v>656</v>
      </c>
      <c r="I1891" s="11">
        <v>1</v>
      </c>
      <c r="J1891" s="11">
        <v>0</v>
      </c>
      <c r="K1891" s="11" t="s">
        <v>21</v>
      </c>
      <c r="L1891" s="7">
        <v>41428.938078703708</v>
      </c>
      <c r="M1891" s="12" t="s">
        <v>2069</v>
      </c>
      <c r="N1891" s="12" t="s">
        <v>2070</v>
      </c>
      <c r="O1891" s="10" t="str">
        <f>HYPERLINK("https://pbs.twimg.com/profile_images/696007904596463617/Y_yX9fUv_normal.jpg","View")</f>
        <v>View</v>
      </c>
      <c r="P1891" s="11"/>
    </row>
    <row r="1892" spans="1:16" ht="12.75" x14ac:dyDescent="0.35">
      <c r="A1892" s="7">
        <v>42481.250798611116</v>
      </c>
      <c r="B1892" s="8" t="str">
        <f>HYPERLINK("https://twitter.com/INDIZbot","@INDIZbot")</f>
        <v>@INDIZbot</v>
      </c>
      <c r="C1892" s="9" t="s">
        <v>61</v>
      </c>
      <c r="D1892" s="9" t="s">
        <v>3480</v>
      </c>
      <c r="E1892" s="10" t="str">
        <f>HYPERLINK("https://twitter.com/INDIZbot/status/722945735797391360","722945735797391360")</f>
        <v>722945735797391360</v>
      </c>
      <c r="F1892" s="11" t="s">
        <v>62</v>
      </c>
      <c r="G1892" s="11">
        <v>1762</v>
      </c>
      <c r="H1892" s="11">
        <v>481</v>
      </c>
      <c r="I1892" s="11">
        <v>1</v>
      </c>
      <c r="J1892" s="11">
        <v>0</v>
      </c>
      <c r="K1892" s="11" t="s">
        <v>21</v>
      </c>
      <c r="L1892" s="7">
        <v>42267.011921296296</v>
      </c>
      <c r="M1892" s="12"/>
      <c r="N1892" s="12" t="s">
        <v>63</v>
      </c>
      <c r="O1892" s="10" t="str">
        <f>HYPERLINK("https://pbs.twimg.com/profile_images/645716711723925506/t5G0qOS6_normal.jpg","View")</f>
        <v>View</v>
      </c>
      <c r="P1892" s="11"/>
    </row>
    <row r="1893" spans="1:16" ht="12.75" x14ac:dyDescent="0.35">
      <c r="A1893" s="7">
        <v>42481.272685185184</v>
      </c>
      <c r="B1893" s="8" t="str">
        <f>HYPERLINK("https://twitter.com/H_IT_D","@H_IT_D")</f>
        <v>@H_IT_D</v>
      </c>
      <c r="C1893" s="9" t="s">
        <v>159</v>
      </c>
      <c r="D1893" s="9" t="s">
        <v>3481</v>
      </c>
      <c r="E1893" s="10" t="str">
        <f>HYPERLINK("https://twitter.com/H_IT_D/status/722953664881512448","722953664881512448")</f>
        <v>722953664881512448</v>
      </c>
      <c r="F1893" s="11" t="s">
        <v>161</v>
      </c>
      <c r="G1893" s="11">
        <v>463</v>
      </c>
      <c r="H1893" s="11">
        <v>467</v>
      </c>
      <c r="I1893" s="11">
        <v>2</v>
      </c>
      <c r="J1893" s="11">
        <v>1</v>
      </c>
      <c r="K1893" s="11" t="s">
        <v>21</v>
      </c>
      <c r="L1893" s="7">
        <v>40723.867673611108</v>
      </c>
      <c r="M1893" s="12" t="s">
        <v>162</v>
      </c>
      <c r="N1893" s="12" t="s">
        <v>163</v>
      </c>
      <c r="O1893" s="10" t="str">
        <f>HYPERLINK("https://pbs.twimg.com/profile_images/662723326096224256/5V4KH9_O_normal.jpg","View")</f>
        <v>View</v>
      </c>
      <c r="P1893" s="11"/>
    </row>
    <row r="1894" spans="1:16" ht="12.75" x14ac:dyDescent="0.35">
      <c r="A1894" s="7">
        <v>42481.27851851852</v>
      </c>
      <c r="B1894" s="8" t="str">
        <f>HYPERLINK("https://twitter.com/mhaller1979","@mhaller1979")</f>
        <v>@mhaller1979</v>
      </c>
      <c r="C1894" s="9" t="s">
        <v>3469</v>
      </c>
      <c r="D1894" s="9" t="s">
        <v>3482</v>
      </c>
      <c r="E1894" s="10" t="str">
        <f>HYPERLINK("https://twitter.com/mhaller1979/status/722955778185797633","722955778185797633")</f>
        <v>722955778185797633</v>
      </c>
      <c r="F1894" s="11" t="s">
        <v>31</v>
      </c>
      <c r="G1894" s="11">
        <v>1215</v>
      </c>
      <c r="H1894" s="11">
        <v>3121</v>
      </c>
      <c r="I1894" s="11">
        <v>1</v>
      </c>
      <c r="J1894" s="11">
        <v>0</v>
      </c>
      <c r="K1894" s="11" t="s">
        <v>21</v>
      </c>
      <c r="L1894" s="7">
        <v>39869.180034722223</v>
      </c>
      <c r="M1894" s="12" t="s">
        <v>3470</v>
      </c>
      <c r="N1894" s="12" t="s">
        <v>3471</v>
      </c>
      <c r="O1894" s="10" t="str">
        <f>HYPERLINK("https://pbs.twimg.com/profile_images/538796736/mike-sunglasses_normal.jpg","View")</f>
        <v>View</v>
      </c>
      <c r="P1894" s="11"/>
    </row>
    <row r="1895" spans="1:16" ht="12.75" x14ac:dyDescent="0.35">
      <c r="A1895" s="7">
        <v>42481.278587962966</v>
      </c>
      <c r="B1895" s="8" t="str">
        <f>HYPERLINK("https://twitter.com/INDIZbot","@INDIZbot")</f>
        <v>@INDIZbot</v>
      </c>
      <c r="C1895" s="9" t="s">
        <v>61</v>
      </c>
      <c r="D1895" s="9" t="s">
        <v>3483</v>
      </c>
      <c r="E1895" s="10" t="str">
        <f>HYPERLINK("https://twitter.com/INDIZbot/status/722955806426144768","722955806426144768")</f>
        <v>722955806426144768</v>
      </c>
      <c r="F1895" s="11" t="s">
        <v>62</v>
      </c>
      <c r="G1895" s="11">
        <v>1762</v>
      </c>
      <c r="H1895" s="11">
        <v>481</v>
      </c>
      <c r="I1895" s="11">
        <v>2</v>
      </c>
      <c r="J1895" s="11">
        <v>0</v>
      </c>
      <c r="K1895" s="11" t="s">
        <v>21</v>
      </c>
      <c r="L1895" s="7">
        <v>42267.011921296296</v>
      </c>
      <c r="M1895" s="12"/>
      <c r="N1895" s="12" t="s">
        <v>63</v>
      </c>
      <c r="O1895" s="10" t="str">
        <f>HYPERLINK("https://pbs.twimg.com/profile_images/645716711723925506/t5G0qOS6_normal.jpg","View")</f>
        <v>View</v>
      </c>
      <c r="P1895" s="11"/>
    </row>
    <row r="1896" spans="1:16" ht="12.75" x14ac:dyDescent="0.35">
      <c r="A1896" s="7">
        <v>42481.307962962965</v>
      </c>
      <c r="B1896" s="8" t="str">
        <f>HYPERLINK("https://twitter.com/PierreKusz","@PierreKusz")</f>
        <v>@PierreKusz</v>
      </c>
      <c r="C1896" s="9" t="s">
        <v>3484</v>
      </c>
      <c r="D1896" s="9" t="s">
        <v>1904</v>
      </c>
      <c r="E1896" s="10" t="str">
        <f>HYPERLINK("https://twitter.com/PierreKusz/status/722966449132806144","722966449132806144")</f>
        <v>722966449132806144</v>
      </c>
      <c r="F1896" s="11" t="s">
        <v>447</v>
      </c>
      <c r="G1896" s="11">
        <v>873</v>
      </c>
      <c r="H1896" s="11">
        <v>1637</v>
      </c>
      <c r="I1896" s="11">
        <v>18</v>
      </c>
      <c r="J1896" s="11">
        <v>0</v>
      </c>
      <c r="K1896" s="11" t="s">
        <v>21</v>
      </c>
      <c r="L1896" s="7">
        <v>41455.699479166666</v>
      </c>
      <c r="M1896" s="12" t="s">
        <v>3485</v>
      </c>
      <c r="N1896" s="12" t="s">
        <v>3486</v>
      </c>
      <c r="O1896" s="10" t="str">
        <f>HYPERLINK("https://pbs.twimg.com/profile_images/722962855323119616/Zc0SkLPv_normal.jpg","View")</f>
        <v>View</v>
      </c>
      <c r="P1896" s="11"/>
    </row>
    <row r="1897" spans="1:16" ht="12.75" x14ac:dyDescent="0.35">
      <c r="A1897" s="7">
        <v>42481.318854166668</v>
      </c>
      <c r="B1897" s="8" t="str">
        <f>HYPERLINK("https://twitter.com/intranettoday","@intranettoday")</f>
        <v>@intranettoday</v>
      </c>
      <c r="C1897" s="9" t="s">
        <v>3487</v>
      </c>
      <c r="D1897" s="9" t="s">
        <v>3488</v>
      </c>
      <c r="E1897" s="10" t="str">
        <f>HYPERLINK("https://twitter.com/intranettoday/status/722970395679305728","722970395679305728")</f>
        <v>722970395679305728</v>
      </c>
      <c r="F1897" s="11" t="s">
        <v>59</v>
      </c>
      <c r="G1897" s="11">
        <v>1196</v>
      </c>
      <c r="H1897" s="11">
        <v>1262</v>
      </c>
      <c r="I1897" s="11">
        <v>1</v>
      </c>
      <c r="J1897" s="11">
        <v>1</v>
      </c>
      <c r="K1897" s="11" t="s">
        <v>21</v>
      </c>
      <c r="L1897" s="7">
        <v>40987.069062499999</v>
      </c>
      <c r="M1897" s="12" t="s">
        <v>49</v>
      </c>
      <c r="N1897" s="12" t="s">
        <v>3489</v>
      </c>
      <c r="O1897" s="10" t="str">
        <f>HYPERLINK("https://pbs.twimg.com/profile_images/615138499931570176/w-VYMBPx_normal.jpg","View")</f>
        <v>View</v>
      </c>
      <c r="P1897" s="11"/>
    </row>
    <row r="1898" spans="1:16" ht="12.75" x14ac:dyDescent="0.35">
      <c r="A1898" s="7">
        <v>42481.320266203707</v>
      </c>
      <c r="B1898" s="8" t="str">
        <f>HYPERLINK("https://twitter.com/INDIZbot","@INDIZbot")</f>
        <v>@INDIZbot</v>
      </c>
      <c r="C1898" s="9" t="s">
        <v>61</v>
      </c>
      <c r="D1898" s="9" t="s">
        <v>3490</v>
      </c>
      <c r="E1898" s="10" t="str">
        <f>HYPERLINK("https://twitter.com/INDIZbot/status/722970907967426560","722970907967426560")</f>
        <v>722970907967426560</v>
      </c>
      <c r="F1898" s="11" t="s">
        <v>62</v>
      </c>
      <c r="G1898" s="11">
        <v>1762</v>
      </c>
      <c r="H1898" s="11">
        <v>481</v>
      </c>
      <c r="I1898" s="11">
        <v>1</v>
      </c>
      <c r="J1898" s="11">
        <v>0</v>
      </c>
      <c r="K1898" s="11" t="s">
        <v>21</v>
      </c>
      <c r="L1898" s="7">
        <v>42267.011921296296</v>
      </c>
      <c r="M1898" s="12"/>
      <c r="N1898" s="12" t="s">
        <v>63</v>
      </c>
      <c r="O1898" s="10" t="str">
        <f>HYPERLINK("https://pbs.twimg.com/profile_images/645716711723925506/t5G0qOS6_normal.jpg","View")</f>
        <v>View</v>
      </c>
      <c r="P1898" s="11"/>
    </row>
    <row r="1899" spans="1:16" ht="12.75" x14ac:dyDescent="0.35">
      <c r="A1899" s="7">
        <v>42481.401030092587</v>
      </c>
      <c r="B1899" s="8" t="str">
        <f>HYPERLINK("https://twitter.com/AgustiPandora","@AgustiPandora")</f>
        <v>@AgustiPandora</v>
      </c>
      <c r="C1899" s="9" t="s">
        <v>3491</v>
      </c>
      <c r="D1899" s="9" t="s">
        <v>467</v>
      </c>
      <c r="E1899" s="10" t="str">
        <f>HYPERLINK("https://twitter.com/AgustiPandora/status/723000175137030144","723000175137030144")</f>
        <v>723000175137030144</v>
      </c>
      <c r="F1899" s="11" t="s">
        <v>31</v>
      </c>
      <c r="G1899" s="11">
        <v>46</v>
      </c>
      <c r="H1899" s="11">
        <v>194</v>
      </c>
      <c r="I1899" s="11">
        <v>65</v>
      </c>
      <c r="J1899" s="11">
        <v>0</v>
      </c>
      <c r="K1899" s="11" t="s">
        <v>21</v>
      </c>
      <c r="L1899" s="7">
        <v>42233.81958333333</v>
      </c>
      <c r="M1899" s="12"/>
      <c r="N1899" s="12"/>
      <c r="O1899" s="10" t="str">
        <f>HYPERLINK("https://pbs.twimg.com/profile_images/633279999945121792/PAxArY72_normal.jpg","View")</f>
        <v>View</v>
      </c>
      <c r="P1899" s="11"/>
    </row>
    <row r="1900" spans="1:16" ht="12.75" x14ac:dyDescent="0.35">
      <c r="A1900" s="7">
        <v>42481.402060185181</v>
      </c>
      <c r="B1900" s="8" t="str">
        <f>HYPERLINK("https://twitter.com/brill_stefan","@brill_stefan")</f>
        <v>@brill_stefan</v>
      </c>
      <c r="C1900" s="9" t="s">
        <v>641</v>
      </c>
      <c r="D1900" s="9" t="s">
        <v>2965</v>
      </c>
      <c r="E1900" s="10" t="str">
        <f>HYPERLINK("https://twitter.com/brill_stefan/status/723000551680692224","723000551680692224")</f>
        <v>723000551680692224</v>
      </c>
      <c r="F1900" s="11" t="s">
        <v>20</v>
      </c>
      <c r="G1900" s="11">
        <v>100</v>
      </c>
      <c r="H1900" s="11">
        <v>268</v>
      </c>
      <c r="I1900" s="11">
        <v>12</v>
      </c>
      <c r="J1900" s="11">
        <v>0</v>
      </c>
      <c r="K1900" s="11" t="s">
        <v>21</v>
      </c>
      <c r="L1900" s="7">
        <v>42136.926412037035</v>
      </c>
      <c r="M1900" s="12" t="s">
        <v>643</v>
      </c>
      <c r="N1900" s="12" t="s">
        <v>644</v>
      </c>
      <c r="O1900" s="10" t="str">
        <f>HYPERLINK("https://pbs.twimg.com/profile_images/598166829174005760/M39Pe098_normal.jpg","View")</f>
        <v>View</v>
      </c>
      <c r="P1900" s="11"/>
    </row>
    <row r="1901" spans="1:16" ht="12.75" x14ac:dyDescent="0.35">
      <c r="A1901" s="7">
        <v>42481.419583333336</v>
      </c>
      <c r="B1901" s="8" t="str">
        <f t="shared" ref="B1901:B1902" si="226">HYPERLINK("https://twitter.com/kommoptimierer","@kommoptimierer")</f>
        <v>@kommoptimierer</v>
      </c>
      <c r="C1901" s="9" t="s">
        <v>270</v>
      </c>
      <c r="D1901" s="9" t="s">
        <v>3492</v>
      </c>
      <c r="E1901" s="10" t="str">
        <f>HYPERLINK("https://twitter.com/kommoptimierer/status/723006900208472065","723006900208472065")</f>
        <v>723006900208472065</v>
      </c>
      <c r="F1901" s="11" t="s">
        <v>25</v>
      </c>
      <c r="G1901" s="11">
        <v>1347</v>
      </c>
      <c r="H1901" s="11">
        <v>1753</v>
      </c>
      <c r="I1901" s="11">
        <v>1</v>
      </c>
      <c r="J1901" s="11">
        <v>0</v>
      </c>
      <c r="K1901" s="11" t="s">
        <v>21</v>
      </c>
      <c r="L1901" s="7">
        <v>39986.860358796301</v>
      </c>
      <c r="M1901" s="12" t="s">
        <v>273</v>
      </c>
      <c r="N1901" s="12" t="s">
        <v>274</v>
      </c>
      <c r="O1901" s="10" t="str">
        <f t="shared" ref="O1901:O1902" si="227">HYPERLINK("https://pbs.twimg.com/profile_images/541146126158536704/IYardufS_normal.jpeg","View")</f>
        <v>View</v>
      </c>
      <c r="P1901" s="11"/>
    </row>
    <row r="1902" spans="1:16" ht="12.75" x14ac:dyDescent="0.35">
      <c r="A1902" s="7">
        <v>42481.437800925924</v>
      </c>
      <c r="B1902" s="8" t="str">
        <f t="shared" si="226"/>
        <v>@kommoptimierer</v>
      </c>
      <c r="C1902" s="9" t="s">
        <v>270</v>
      </c>
      <c r="D1902" s="9" t="s">
        <v>3493</v>
      </c>
      <c r="E1902" s="10" t="str">
        <f>HYPERLINK("https://twitter.com/kommoptimierer/status/723013503859060737","723013503859060737")</f>
        <v>723013503859060737</v>
      </c>
      <c r="F1902" s="11" t="s">
        <v>25</v>
      </c>
      <c r="G1902" s="11">
        <v>1347</v>
      </c>
      <c r="H1902" s="11">
        <v>1753</v>
      </c>
      <c r="I1902" s="11">
        <v>2</v>
      </c>
      <c r="J1902" s="11">
        <v>0</v>
      </c>
      <c r="K1902" s="11" t="s">
        <v>21</v>
      </c>
      <c r="L1902" s="7">
        <v>39986.860358796301</v>
      </c>
      <c r="M1902" s="12" t="s">
        <v>273</v>
      </c>
      <c r="N1902" s="12" t="s">
        <v>274</v>
      </c>
      <c r="O1902" s="10" t="str">
        <f t="shared" si="227"/>
        <v>View</v>
      </c>
      <c r="P1902" s="11"/>
    </row>
    <row r="1903" spans="1:16" ht="12.75" x14ac:dyDescent="0.35">
      <c r="A1903" s="7">
        <v>42481.438287037032</v>
      </c>
      <c r="B1903" s="8" t="str">
        <f>HYPERLINK("https://twitter.com/INDIZbot","@INDIZbot")</f>
        <v>@INDIZbot</v>
      </c>
      <c r="C1903" s="9" t="s">
        <v>61</v>
      </c>
      <c r="D1903" s="9" t="s">
        <v>3494</v>
      </c>
      <c r="E1903" s="10" t="str">
        <f>HYPERLINK("https://twitter.com/INDIZbot/status/723013680015794176","723013680015794176")</f>
        <v>723013680015794176</v>
      </c>
      <c r="F1903" s="11" t="s">
        <v>62</v>
      </c>
      <c r="G1903" s="11">
        <v>1762</v>
      </c>
      <c r="H1903" s="11">
        <v>481</v>
      </c>
      <c r="I1903" s="11">
        <v>2</v>
      </c>
      <c r="J1903" s="11">
        <v>0</v>
      </c>
      <c r="K1903" s="11" t="s">
        <v>21</v>
      </c>
      <c r="L1903" s="7">
        <v>42267.011921296296</v>
      </c>
      <c r="M1903" s="12"/>
      <c r="N1903" s="12" t="s">
        <v>63</v>
      </c>
      <c r="O1903" s="10" t="str">
        <f>HYPERLINK("https://pbs.twimg.com/profile_images/645716711723925506/t5G0qOS6_normal.jpg","View")</f>
        <v>View</v>
      </c>
      <c r="P1903" s="11"/>
    </row>
    <row r="1904" spans="1:16" ht="12.75" x14ac:dyDescent="0.35">
      <c r="A1904" s="7">
        <v>42481.438969907409</v>
      </c>
      <c r="B1904" s="8" t="str">
        <f>HYPERLINK("https://twitter.com/WalesBuzz","@WalesBuzz")</f>
        <v>@WalesBuzz</v>
      </c>
      <c r="C1904" s="9" t="s">
        <v>3495</v>
      </c>
      <c r="D1904" s="9" t="s">
        <v>3494</v>
      </c>
      <c r="E1904" s="10" t="str">
        <f>HYPERLINK("https://twitter.com/WalesBuzz/status/723013925428682752","723013925428682752")</f>
        <v>723013925428682752</v>
      </c>
      <c r="F1904" s="11" t="s">
        <v>3496</v>
      </c>
      <c r="G1904" s="11">
        <v>177</v>
      </c>
      <c r="H1904" s="11">
        <v>2</v>
      </c>
      <c r="I1904" s="11">
        <v>2</v>
      </c>
      <c r="J1904" s="11">
        <v>0</v>
      </c>
      <c r="K1904" s="11" t="s">
        <v>21</v>
      </c>
      <c r="L1904" s="7">
        <v>42210.871504629627</v>
      </c>
      <c r="M1904" s="12" t="s">
        <v>3497</v>
      </c>
      <c r="N1904" s="12" t="s">
        <v>3498</v>
      </c>
      <c r="O1904" s="10" t="str">
        <f>HYPERLINK("https://pbs.twimg.com/profile_images/624966917669974016/Sl2SOVQ0_normal.jpg","View")</f>
        <v>View</v>
      </c>
      <c r="P1904" s="11"/>
    </row>
    <row r="1905" spans="1:16" ht="12.75" x14ac:dyDescent="0.35">
      <c r="A1905" s="7">
        <v>42481.448692129634</v>
      </c>
      <c r="B1905" s="8" t="str">
        <f>HYPERLINK("https://twitter.com/oxaion","@oxaion")</f>
        <v>@oxaion</v>
      </c>
      <c r="C1905" s="9" t="s">
        <v>3499</v>
      </c>
      <c r="D1905" s="9" t="s">
        <v>2947</v>
      </c>
      <c r="E1905" s="10" t="str">
        <f>HYPERLINK("https://twitter.com/oxaion/status/723017450745294850","723017450745294850")</f>
        <v>723017450745294850</v>
      </c>
      <c r="F1905" s="11" t="s">
        <v>25</v>
      </c>
      <c r="G1905" s="11">
        <v>124</v>
      </c>
      <c r="H1905" s="11">
        <v>147</v>
      </c>
      <c r="I1905" s="11">
        <v>21</v>
      </c>
      <c r="J1905" s="11">
        <v>0</v>
      </c>
      <c r="K1905" s="11" t="s">
        <v>21</v>
      </c>
      <c r="L1905" s="7">
        <v>40249.617766203708</v>
      </c>
      <c r="M1905" s="12" t="s">
        <v>3500</v>
      </c>
      <c r="N1905" s="12" t="s">
        <v>3501</v>
      </c>
      <c r="O1905" s="10" t="str">
        <f>HYPERLINK("https://pbs.twimg.com/profile_images/654964085600165888/ptgcu9ub_normal.png","View")</f>
        <v>View</v>
      </c>
      <c r="P1905" s="11"/>
    </row>
    <row r="1906" spans="1:16" ht="12.75" x14ac:dyDescent="0.35">
      <c r="A1906" s="7">
        <v>42481.45758101852</v>
      </c>
      <c r="B1906" s="8" t="str">
        <f>HYPERLINK("https://twitter.com/NicolaPeschke","@NicolaPeschke")</f>
        <v>@NicolaPeschke</v>
      </c>
      <c r="C1906" s="9" t="s">
        <v>3502</v>
      </c>
      <c r="D1906" s="9" t="s">
        <v>3503</v>
      </c>
      <c r="E1906" s="10" t="str">
        <f>HYPERLINK("https://twitter.com/NicolaPeschke/status/723020670586654722","723020670586654722")</f>
        <v>723020670586654722</v>
      </c>
      <c r="F1906" s="11" t="s">
        <v>25</v>
      </c>
      <c r="G1906" s="11">
        <v>889</v>
      </c>
      <c r="H1906" s="11">
        <v>860</v>
      </c>
      <c r="I1906" s="11">
        <v>0</v>
      </c>
      <c r="J1906" s="11">
        <v>0</v>
      </c>
      <c r="K1906" s="11" t="s">
        <v>21</v>
      </c>
      <c r="L1906" s="7">
        <v>42048.662986111114</v>
      </c>
      <c r="M1906" s="12"/>
      <c r="N1906" s="12" t="s">
        <v>3504</v>
      </c>
      <c r="O1906" s="10" t="str">
        <f>HYPERLINK("https://pbs.twimg.com/profile_images/676695083283062784/riUxKLio_normal.jpg","View")</f>
        <v>View</v>
      </c>
      <c r="P1906" s="11"/>
    </row>
    <row r="1907" spans="1:16" ht="12.75" x14ac:dyDescent="0.35">
      <c r="A1907" s="7">
        <v>42481.46429398148</v>
      </c>
      <c r="B1907" s="8" t="str">
        <f>HYPERLINK("https://twitter.com/m_brueser","@m_brueser")</f>
        <v>@m_brueser</v>
      </c>
      <c r="C1907" s="9" t="s">
        <v>3505</v>
      </c>
      <c r="D1907" s="9" t="s">
        <v>3506</v>
      </c>
      <c r="E1907" s="10" t="str">
        <f>HYPERLINK("https://twitter.com/m_brueser/status/723023102775537664","723023102775537664")</f>
        <v>723023102775537664</v>
      </c>
      <c r="F1907" s="11" t="s">
        <v>20</v>
      </c>
      <c r="G1907" s="11">
        <v>61</v>
      </c>
      <c r="H1907" s="11">
        <v>47</v>
      </c>
      <c r="I1907" s="11">
        <v>1</v>
      </c>
      <c r="J1907" s="11">
        <v>1</v>
      </c>
      <c r="K1907" s="11" t="s">
        <v>21</v>
      </c>
      <c r="L1907" s="7">
        <v>42291.646331018521</v>
      </c>
      <c r="M1907" s="12" t="s">
        <v>3507</v>
      </c>
      <c r="N1907" s="12" t="s">
        <v>3508</v>
      </c>
      <c r="O1907" s="10" t="str">
        <f>HYPERLINK("https://pbs.twimg.com/profile_images/654297739132579840/RSnR7-8J_normal.jpg","View")</f>
        <v>View</v>
      </c>
      <c r="P1907" s="11"/>
    </row>
    <row r="1908" spans="1:16" ht="12.75" x14ac:dyDescent="0.35">
      <c r="A1908" s="7">
        <v>42481.466631944444</v>
      </c>
      <c r="B1908" s="8" t="str">
        <f>HYPERLINK("https://twitter.com/Schulrat","@Schulrat")</f>
        <v>@Schulrat</v>
      </c>
      <c r="C1908" s="9" t="s">
        <v>3439</v>
      </c>
      <c r="D1908" s="9" t="s">
        <v>3509</v>
      </c>
      <c r="E1908" s="10" t="str">
        <f>HYPERLINK("https://twitter.com/Schulrat/status/723023948322095104","723023948322095104")</f>
        <v>723023948322095104</v>
      </c>
      <c r="F1908" s="11" t="s">
        <v>31</v>
      </c>
      <c r="G1908" s="11">
        <v>145</v>
      </c>
      <c r="H1908" s="11">
        <v>196</v>
      </c>
      <c r="I1908" s="11">
        <v>1</v>
      </c>
      <c r="J1908" s="11">
        <v>0</v>
      </c>
      <c r="K1908" s="11" t="s">
        <v>21</v>
      </c>
      <c r="L1908" s="7">
        <v>42465.875949074078</v>
      </c>
      <c r="M1908" s="12" t="s">
        <v>3510</v>
      </c>
      <c r="N1908" s="12" t="s">
        <v>3511</v>
      </c>
      <c r="O1908" s="10" t="str">
        <f>HYPERLINK("https://pbs.twimg.com/profile_images/718079596034449412/I-W1Ldpd_normal.jpg","View")</f>
        <v>View</v>
      </c>
      <c r="P1908" s="11"/>
    </row>
    <row r="1909" spans="1:16" ht="12.75" x14ac:dyDescent="0.35">
      <c r="A1909" s="7">
        <v>42481.467233796298</v>
      </c>
      <c r="B1909" s="8" t="str">
        <f>HYPERLINK("https://twitter.com/LNI40","@LNI40")</f>
        <v>@LNI40</v>
      </c>
      <c r="C1909" s="9" t="s">
        <v>1888</v>
      </c>
      <c r="D1909" s="9" t="s">
        <v>3483</v>
      </c>
      <c r="E1909" s="10" t="str">
        <f>HYPERLINK("https://twitter.com/LNI40/status/723024168153964544","723024168153964544")</f>
        <v>723024168153964544</v>
      </c>
      <c r="F1909" s="11" t="s">
        <v>31</v>
      </c>
      <c r="G1909" s="11">
        <v>36</v>
      </c>
      <c r="H1909" s="11">
        <v>229</v>
      </c>
      <c r="I1909" s="11">
        <v>2</v>
      </c>
      <c r="J1909" s="11">
        <v>0</v>
      </c>
      <c r="K1909" s="11" t="s">
        <v>21</v>
      </c>
      <c r="L1909" s="7">
        <v>42477.465578703705</v>
      </c>
      <c r="M1909" s="12" t="s">
        <v>227</v>
      </c>
      <c r="N1909" s="12" t="s">
        <v>1889</v>
      </c>
      <c r="O1909" s="10" t="str">
        <f>HYPERLINK("https://pbs.twimg.com/profile_images/722098538604281856/CcBxk1_M_normal.jpg","View")</f>
        <v>View</v>
      </c>
      <c r="P1909" s="11"/>
    </row>
    <row r="1910" spans="1:16" ht="12.75" x14ac:dyDescent="0.35">
      <c r="A1910" s="7">
        <v>42481.472372685181</v>
      </c>
      <c r="B1910" s="8" t="str">
        <f>HYPERLINK("https://twitter.com/PW_InCub","@PW_InCub")</f>
        <v>@PW_InCub</v>
      </c>
      <c r="C1910" s="9" t="s">
        <v>1746</v>
      </c>
      <c r="D1910" s="9" t="s">
        <v>1747</v>
      </c>
      <c r="E1910" s="10" t="str">
        <f>HYPERLINK("https://twitter.com/PW_InCub/status/723026029246308353","723026029246308353")</f>
        <v>723026029246308353</v>
      </c>
      <c r="F1910" s="11" t="s">
        <v>39</v>
      </c>
      <c r="G1910" s="11">
        <v>59</v>
      </c>
      <c r="H1910" s="11">
        <v>38</v>
      </c>
      <c r="I1910" s="11">
        <v>0</v>
      </c>
      <c r="J1910" s="11">
        <v>0</v>
      </c>
      <c r="K1910" s="11" t="s">
        <v>21</v>
      </c>
      <c r="L1910" s="7">
        <v>42457.547430555554</v>
      </c>
      <c r="M1910" s="12" t="s">
        <v>1748</v>
      </c>
      <c r="N1910" s="12" t="s">
        <v>1749</v>
      </c>
      <c r="O1910" s="10" t="str">
        <f>HYPERLINK("https://pbs.twimg.com/profile_images/714369025355202560/vNKUaCLA_normal.jpg","View")</f>
        <v>View</v>
      </c>
      <c r="P1910" s="11"/>
    </row>
    <row r="1911" spans="1:16" ht="12.75" x14ac:dyDescent="0.35">
      <c r="A1911" s="7">
        <v>42481.479155092587</v>
      </c>
      <c r="B1911" s="8" t="str">
        <f>HYPERLINK("https://twitter.com/TLinn_Visionico","@TLinn_Visionico")</f>
        <v>@TLinn_Visionico</v>
      </c>
      <c r="C1911" s="9" t="s">
        <v>3512</v>
      </c>
      <c r="D1911" s="9" t="s">
        <v>3513</v>
      </c>
      <c r="E1911" s="10" t="str">
        <f>HYPERLINK("https://twitter.com/TLinn_Visionico/status/723028487380946948","723028487380946948")</f>
        <v>723028487380946948</v>
      </c>
      <c r="F1911" s="11" t="s">
        <v>25</v>
      </c>
      <c r="G1911" s="11">
        <v>1376</v>
      </c>
      <c r="H1911" s="11">
        <v>1181</v>
      </c>
      <c r="I1911" s="11">
        <v>0</v>
      </c>
      <c r="J1911" s="11">
        <v>0</v>
      </c>
      <c r="K1911" s="11" t="s">
        <v>21</v>
      </c>
      <c r="L1911" s="7">
        <v>40614.594791666663</v>
      </c>
      <c r="M1911" s="12" t="s">
        <v>3514</v>
      </c>
      <c r="N1911" s="12" t="s">
        <v>3515</v>
      </c>
      <c r="O1911" s="10" t="str">
        <f>HYPERLINK("https://pbs.twimg.com/profile_images/692017435269054464/uFlgRwyV_normal.jpg","View")</f>
        <v>View</v>
      </c>
      <c r="P1911" s="11"/>
    </row>
    <row r="1912" spans="1:16" ht="12.75" x14ac:dyDescent="0.35">
      <c r="A1912" s="7">
        <v>42481.479942129634</v>
      </c>
      <c r="B1912" s="8" t="str">
        <f>HYPERLINK("https://twitter.com/CapgeminiDE","@CapgeminiDE")</f>
        <v>@CapgeminiDE</v>
      </c>
      <c r="C1912" s="9" t="s">
        <v>280</v>
      </c>
      <c r="D1912" s="9" t="s">
        <v>3516</v>
      </c>
      <c r="E1912" s="10" t="str">
        <f>HYPERLINK("https://twitter.com/CapgeminiDE/status/723028773986246656","723028773986246656")</f>
        <v>723028773986246656</v>
      </c>
      <c r="F1912" s="11" t="s">
        <v>39</v>
      </c>
      <c r="G1912" s="11">
        <v>1640</v>
      </c>
      <c r="H1912" s="11">
        <v>509</v>
      </c>
      <c r="I1912" s="11">
        <v>0</v>
      </c>
      <c r="J1912" s="11">
        <v>0</v>
      </c>
      <c r="K1912" s="11" t="s">
        <v>21</v>
      </c>
      <c r="L1912" s="7">
        <v>40424.022048611107</v>
      </c>
      <c r="M1912" s="12" t="s">
        <v>218</v>
      </c>
      <c r="N1912" s="12" t="s">
        <v>282</v>
      </c>
      <c r="O1912" s="10" t="str">
        <f>HYPERLINK("https://pbs.twimg.com/profile_images/666911961599315968/aP7ID_qm_normal.png","View")</f>
        <v>View</v>
      </c>
      <c r="P1912" s="11"/>
    </row>
    <row r="1913" spans="1:16" ht="12.75" x14ac:dyDescent="0.35">
      <c r="A1913" s="7">
        <v>42481.4847337963</v>
      </c>
      <c r="B1913" s="8" t="str">
        <f>HYPERLINK("https://twitter.com/UL_Commercial","@UL_Commercial")</f>
        <v>@UL_Commercial</v>
      </c>
      <c r="C1913" s="9" t="s">
        <v>783</v>
      </c>
      <c r="D1913" s="9" t="s">
        <v>3517</v>
      </c>
      <c r="E1913" s="10" t="str">
        <f>HYPERLINK("https://twitter.com/UL_Commercial/status/723030511514345472","723030511514345472")</f>
        <v>723030511514345472</v>
      </c>
      <c r="F1913" s="11" t="s">
        <v>785</v>
      </c>
      <c r="G1913" s="11">
        <v>396</v>
      </c>
      <c r="H1913" s="11">
        <v>106</v>
      </c>
      <c r="I1913" s="11">
        <v>0</v>
      </c>
      <c r="J1913" s="11">
        <v>0</v>
      </c>
      <c r="K1913" s="11" t="s">
        <v>21</v>
      </c>
      <c r="L1913" s="7">
        <v>42311.859340277777</v>
      </c>
      <c r="M1913" s="12" t="s">
        <v>786</v>
      </c>
      <c r="N1913" s="12" t="s">
        <v>787</v>
      </c>
      <c r="O1913" s="10" t="str">
        <f>HYPERLINK("https://pbs.twimg.com/profile_images/661569725550469124/-Uzw8rQt_normal.jpg","View")</f>
        <v>View</v>
      </c>
      <c r="P1913" s="11"/>
    </row>
    <row r="1914" spans="1:16" ht="12.75" x14ac:dyDescent="0.35">
      <c r="A1914" s="7">
        <v>42481.48474537037</v>
      </c>
      <c r="B1914" s="8" t="str">
        <f>HYPERLINK("https://twitter.com/ULdialogue","@ULdialogue")</f>
        <v>@ULdialogue</v>
      </c>
      <c r="C1914" s="9" t="s">
        <v>788</v>
      </c>
      <c r="D1914" s="9" t="s">
        <v>3518</v>
      </c>
      <c r="E1914" s="10" t="str">
        <f>HYPERLINK("https://twitter.com/ULdialogue/status/723030513087213569","723030513087213569")</f>
        <v>723030513087213569</v>
      </c>
      <c r="F1914" s="11" t="s">
        <v>785</v>
      </c>
      <c r="G1914" s="11">
        <v>23159</v>
      </c>
      <c r="H1914" s="11">
        <v>1948</v>
      </c>
      <c r="I1914" s="11">
        <v>0</v>
      </c>
      <c r="J1914" s="11">
        <v>0</v>
      </c>
      <c r="K1914" s="11" t="s">
        <v>21</v>
      </c>
      <c r="L1914" s="7">
        <v>40897.152025462965</v>
      </c>
      <c r="M1914" s="12"/>
      <c r="N1914" s="12" t="s">
        <v>790</v>
      </c>
      <c r="O1914" s="10" t="str">
        <f>HYPERLINK("https://pbs.twimg.com/profile_images/458696399211606016/rUZELqAc_normal.jpeg","View")</f>
        <v>View</v>
      </c>
      <c r="P1914" s="11"/>
    </row>
    <row r="1915" spans="1:16" ht="12.75" x14ac:dyDescent="0.35">
      <c r="A1915" s="7">
        <v>42481.497546296298</v>
      </c>
      <c r="B1915" s="8" t="str">
        <f>HYPERLINK("https://twitter.com/AnnKatrin_K","@AnnKatrin_K")</f>
        <v>@AnnKatrin_K</v>
      </c>
      <c r="C1915" s="9" t="s">
        <v>3519</v>
      </c>
      <c r="D1915" s="9" t="s">
        <v>2752</v>
      </c>
      <c r="E1915" s="10" t="str">
        <f>HYPERLINK("https://twitter.com/AnnKatrin_K/status/723035153136640000","723035153136640000")</f>
        <v>723035153136640000</v>
      </c>
      <c r="F1915" s="11" t="s">
        <v>25</v>
      </c>
      <c r="G1915" s="11">
        <v>11</v>
      </c>
      <c r="H1915" s="11">
        <v>28</v>
      </c>
      <c r="I1915" s="11">
        <v>4</v>
      </c>
      <c r="J1915" s="11">
        <v>0</v>
      </c>
      <c r="K1915" s="11" t="s">
        <v>21</v>
      </c>
      <c r="L1915" s="7">
        <v>41299.609351851854</v>
      </c>
      <c r="M1915" s="12"/>
      <c r="N1915" s="12"/>
      <c r="O1915" s="10" t="str">
        <f>HYPERLINK("https://pbs.twimg.com/profile_images/620239829855563777/w-0wO7mb_normal.jpg","View")</f>
        <v>View</v>
      </c>
      <c r="P1915" s="11"/>
    </row>
    <row r="1916" spans="1:16" ht="12.75" x14ac:dyDescent="0.35">
      <c r="A1916" s="7">
        <v>42481.500428240739</v>
      </c>
      <c r="B1916" s="8" t="str">
        <f>HYPERLINK("https://twitter.com/GTAI_com","@GTAI_com")</f>
        <v>@GTAI_com</v>
      </c>
      <c r="C1916" s="9" t="s">
        <v>3393</v>
      </c>
      <c r="D1916" s="9" t="s">
        <v>3520</v>
      </c>
      <c r="E1916" s="10" t="str">
        <f>HYPERLINK("https://twitter.com/GTAI_com/status/723036196625108992","723036196625108992")</f>
        <v>723036196625108992</v>
      </c>
      <c r="F1916" s="11" t="s">
        <v>39</v>
      </c>
      <c r="G1916" s="11">
        <v>6145</v>
      </c>
      <c r="H1916" s="11">
        <v>518</v>
      </c>
      <c r="I1916" s="11">
        <v>0</v>
      </c>
      <c r="J1916" s="11">
        <v>0</v>
      </c>
      <c r="K1916" s="11" t="s">
        <v>21</v>
      </c>
      <c r="L1916" s="7">
        <v>40855.83326388889</v>
      </c>
      <c r="M1916" s="12" t="s">
        <v>218</v>
      </c>
      <c r="N1916" s="12" t="s">
        <v>3395</v>
      </c>
      <c r="O1916" s="10" t="str">
        <f>HYPERLINK("https://pbs.twimg.com/profile_images/716977461079179268/JVN5NZO8_normal.jpg","View")</f>
        <v>View</v>
      </c>
      <c r="P1916" s="11"/>
    </row>
    <row r="1917" spans="1:16" ht="12.75" x14ac:dyDescent="0.35">
      <c r="A1917" s="7">
        <v>42481.503564814819</v>
      </c>
      <c r="B1917" s="8" t="str">
        <f>HYPERLINK("https://twitter.com/Aravind_blr","@Aravind_blr")</f>
        <v>@Aravind_blr</v>
      </c>
      <c r="C1917" s="9" t="s">
        <v>3521</v>
      </c>
      <c r="D1917" s="9" t="s">
        <v>3298</v>
      </c>
      <c r="E1917" s="10" t="str">
        <f>HYPERLINK("https://twitter.com/Aravind_blr/status/723037334501892096","723037334501892096")</f>
        <v>723037334501892096</v>
      </c>
      <c r="F1917" s="11" t="s">
        <v>25</v>
      </c>
      <c r="G1917" s="11">
        <v>185</v>
      </c>
      <c r="H1917" s="11">
        <v>740</v>
      </c>
      <c r="I1917" s="11">
        <v>3</v>
      </c>
      <c r="J1917" s="11">
        <v>0</v>
      </c>
      <c r="K1917" s="11" t="s">
        <v>21</v>
      </c>
      <c r="L1917" s="7">
        <v>39966.803680555553</v>
      </c>
      <c r="M1917" s="12" t="s">
        <v>3522</v>
      </c>
      <c r="N1917" s="12" t="s">
        <v>3523</v>
      </c>
      <c r="O1917" s="10" t="str">
        <f>HYPERLINK("https://pbs.twimg.com/profile_images/378800000073107689/42be2e11591e72a4201ea41030ecef16_normal.jpeg","View")</f>
        <v>View</v>
      </c>
      <c r="P1917" s="11"/>
    </row>
    <row r="1918" spans="1:16" ht="12.75" x14ac:dyDescent="0.35">
      <c r="A1918" s="7">
        <v>42481.509027777778</v>
      </c>
      <c r="B1918" s="8" t="str">
        <f>HYPERLINK("https://twitter.com/BOLDLYGO_FFM","@BOLDLYGO_FFM")</f>
        <v>@BOLDLYGO_FFM</v>
      </c>
      <c r="C1918" s="9" t="s">
        <v>3524</v>
      </c>
      <c r="D1918" s="9" t="s">
        <v>3525</v>
      </c>
      <c r="E1918" s="10" t="str">
        <f>HYPERLINK("https://twitter.com/BOLDLYGO_FFM/status/723039314880397312","723039314880397312")</f>
        <v>723039314880397312</v>
      </c>
      <c r="F1918" s="11" t="s">
        <v>20</v>
      </c>
      <c r="G1918" s="11">
        <v>134</v>
      </c>
      <c r="H1918" s="11">
        <v>364</v>
      </c>
      <c r="I1918" s="11">
        <v>0</v>
      </c>
      <c r="J1918" s="11">
        <v>1</v>
      </c>
      <c r="K1918" s="11" t="s">
        <v>21</v>
      </c>
      <c r="L1918" s="7">
        <v>42211.596736111111</v>
      </c>
      <c r="M1918" s="12" t="s">
        <v>79</v>
      </c>
      <c r="N1918" s="12" t="s">
        <v>3526</v>
      </c>
      <c r="O1918" s="10" t="str">
        <f>HYPERLINK("https://pbs.twimg.com/profile_images/636836616263311360/-akWmcev_normal.png","View")</f>
        <v>View</v>
      </c>
      <c r="P1918" s="11"/>
    </row>
    <row r="1919" spans="1:16" ht="12.75" x14ac:dyDescent="0.35">
      <c r="A1919" s="7">
        <v>42481.511435185181</v>
      </c>
      <c r="B1919" s="8" t="str">
        <f>HYPERLINK("https://twitter.com/SAPFrance","@SAPFrance")</f>
        <v>@SAPFrance</v>
      </c>
      <c r="C1919" s="9" t="s">
        <v>1109</v>
      </c>
      <c r="D1919" s="9" t="s">
        <v>3527</v>
      </c>
      <c r="E1919" s="10" t="str">
        <f>HYPERLINK("https://twitter.com/SAPFrance/status/723040187786366976","723040187786366976")</f>
        <v>723040187786366976</v>
      </c>
      <c r="F1919" s="11" t="s">
        <v>1111</v>
      </c>
      <c r="G1919" s="11">
        <v>2054</v>
      </c>
      <c r="H1919" s="11">
        <v>1189</v>
      </c>
      <c r="I1919" s="11">
        <v>1</v>
      </c>
      <c r="J1919" s="11">
        <v>0</v>
      </c>
      <c r="K1919" s="11" t="s">
        <v>21</v>
      </c>
      <c r="L1919" s="7">
        <v>41078.552222222221</v>
      </c>
      <c r="M1919" s="12" t="s">
        <v>1112</v>
      </c>
      <c r="N1919" s="12" t="s">
        <v>1113</v>
      </c>
      <c r="O1919" s="10" t="str">
        <f>HYPERLINK("https://pbs.twimg.com/profile_images/713021101106995200/w4EIzjMN_normal.jpg","View")</f>
        <v>View</v>
      </c>
      <c r="P1919" s="11"/>
    </row>
    <row r="1920" spans="1:16" ht="12.75" x14ac:dyDescent="0.35">
      <c r="A1920" s="7">
        <v>42481.513923611114</v>
      </c>
      <c r="B1920" s="8" t="str">
        <f>HYPERLINK("https://twitter.com/VDI_News","@VDI_News")</f>
        <v>@VDI_News</v>
      </c>
      <c r="C1920" s="9" t="s">
        <v>118</v>
      </c>
      <c r="D1920" s="9" t="s">
        <v>3528</v>
      </c>
      <c r="E1920" s="10" t="str">
        <f>HYPERLINK("https://twitter.com/VDI_News/status/723041087632334849","723041087632334849")</f>
        <v>723041087632334849</v>
      </c>
      <c r="F1920" s="11" t="s">
        <v>120</v>
      </c>
      <c r="G1920" s="11">
        <v>8756</v>
      </c>
      <c r="H1920" s="11">
        <v>514</v>
      </c>
      <c r="I1920" s="11">
        <v>0</v>
      </c>
      <c r="J1920" s="11">
        <v>0</v>
      </c>
      <c r="K1920" s="11" t="s">
        <v>21</v>
      </c>
      <c r="L1920" s="7">
        <v>39876.69908564815</v>
      </c>
      <c r="M1920" s="12" t="s">
        <v>121</v>
      </c>
      <c r="N1920" s="12" t="s">
        <v>122</v>
      </c>
      <c r="O1920" s="10" t="str">
        <f>HYPERLINK("https://pbs.twimg.com/profile_images/469070945483628546/iD8AeJP6_normal.png","View")</f>
        <v>View</v>
      </c>
      <c r="P1920" s="11"/>
    </row>
    <row r="1921" spans="1:16" ht="12.75" x14ac:dyDescent="0.35">
      <c r="A1921" s="7">
        <v>42481.516250000001</v>
      </c>
      <c r="B1921" s="8" t="str">
        <f>HYPERLINK("https://twitter.com/viermac","@viermac")</f>
        <v>@viermac</v>
      </c>
      <c r="C1921" s="9" t="s">
        <v>3529</v>
      </c>
      <c r="D1921" s="9" t="s">
        <v>3530</v>
      </c>
      <c r="E1921" s="10" t="str">
        <f>HYPERLINK("https://twitter.com/viermac/status/723041929156419586","723041929156419586")</f>
        <v>723041929156419586</v>
      </c>
      <c r="F1921" s="11" t="s">
        <v>25</v>
      </c>
      <c r="G1921" s="11">
        <v>307</v>
      </c>
      <c r="H1921" s="11">
        <v>327</v>
      </c>
      <c r="I1921" s="11">
        <v>2</v>
      </c>
      <c r="J1921" s="11">
        <v>3</v>
      </c>
      <c r="K1921" s="11" t="s">
        <v>21</v>
      </c>
      <c r="L1921" s="7">
        <v>40982.861087962963</v>
      </c>
      <c r="M1921" s="12"/>
      <c r="N1921" s="12" t="s">
        <v>3531</v>
      </c>
      <c r="O1921" s="10" t="str">
        <f>HYPERLINK("https://pbs.twimg.com/profile_images/445540366637223937/HX8VPgJH_normal.jpeg","View")</f>
        <v>View</v>
      </c>
      <c r="P1921" s="11"/>
    </row>
    <row r="1922" spans="1:16" ht="12.75" x14ac:dyDescent="0.35">
      <c r="A1922" s="7">
        <v>42481.517013888893</v>
      </c>
      <c r="B1922" s="8" t="str">
        <f>HYPERLINK("https://twitter.com/YCOLLOT","@YCOLLOT")</f>
        <v>@YCOLLOT</v>
      </c>
      <c r="C1922" s="9" t="s">
        <v>3532</v>
      </c>
      <c r="D1922" s="9" t="s">
        <v>3533</v>
      </c>
      <c r="E1922" s="10" t="str">
        <f>HYPERLINK("https://twitter.com/YCOLLOT/status/723042206752333824","723042206752333824")</f>
        <v>723042206752333824</v>
      </c>
      <c r="F1922" s="11" t="s">
        <v>31</v>
      </c>
      <c r="G1922" s="11">
        <v>378</v>
      </c>
      <c r="H1922" s="11">
        <v>333</v>
      </c>
      <c r="I1922" s="11">
        <v>1</v>
      </c>
      <c r="J1922" s="11">
        <v>0</v>
      </c>
      <c r="K1922" s="11" t="s">
        <v>21</v>
      </c>
      <c r="L1922" s="7">
        <v>40369.901770833334</v>
      </c>
      <c r="M1922" s="12" t="s">
        <v>385</v>
      </c>
      <c r="N1922" s="12" t="s">
        <v>3534</v>
      </c>
      <c r="O1922" s="10" t="str">
        <f>HYPERLINK("https://pbs.twimg.com/profile_images/698088548205989888/DZKE5qbX_normal.jpg","View")</f>
        <v>View</v>
      </c>
      <c r="P1922" s="11"/>
    </row>
    <row r="1923" spans="1:16" ht="12.75" x14ac:dyDescent="0.35">
      <c r="A1923" s="7">
        <v>42481.519814814819</v>
      </c>
      <c r="B1923" s="8" t="str">
        <f>HYPERLINK("https://twitter.com/Gesamtmetall","@Gesamtmetall")</f>
        <v>@Gesamtmetall</v>
      </c>
      <c r="C1923" s="9" t="s">
        <v>877</v>
      </c>
      <c r="D1923" s="9" t="s">
        <v>3535</v>
      </c>
      <c r="E1923" s="10" t="str">
        <f>HYPERLINK("https://twitter.com/Gesamtmetall/status/723043221010550784","723043221010550784")</f>
        <v>723043221010550784</v>
      </c>
      <c r="F1923" s="11" t="s">
        <v>39</v>
      </c>
      <c r="G1923" s="11">
        <v>1457</v>
      </c>
      <c r="H1923" s="11">
        <v>283</v>
      </c>
      <c r="I1923" s="11">
        <v>1</v>
      </c>
      <c r="J1923" s="11">
        <v>0</v>
      </c>
      <c r="K1923" s="11" t="s">
        <v>21</v>
      </c>
      <c r="L1923" s="7">
        <v>39946.496504629627</v>
      </c>
      <c r="M1923" s="12" t="s">
        <v>218</v>
      </c>
      <c r="N1923" s="12" t="s">
        <v>879</v>
      </c>
      <c r="O1923" s="10" t="str">
        <f>HYPERLINK("https://pbs.twimg.com/profile_images/572721926804488192/AGAGHTgy_normal.jpeg","View")</f>
        <v>View</v>
      </c>
      <c r="P1923" s="11"/>
    </row>
    <row r="1924" spans="1:16" ht="12.75" x14ac:dyDescent="0.35">
      <c r="A1924" s="7">
        <v>42481.519814814819</v>
      </c>
      <c r="B1924" s="8" t="str">
        <f>HYPERLINK("https://twitter.com/MEArbeitgeber","@MEArbeitgeber")</f>
        <v>@MEArbeitgeber</v>
      </c>
      <c r="C1924" s="9" t="s">
        <v>873</v>
      </c>
      <c r="D1924" s="9" t="s">
        <v>3536</v>
      </c>
      <c r="E1924" s="10" t="str">
        <f>HYPERLINK("https://twitter.com/MEArbeitgeber/status/723043221249642496","723043221249642496")</f>
        <v>723043221249642496</v>
      </c>
      <c r="F1924" s="11" t="s">
        <v>39</v>
      </c>
      <c r="G1924" s="11">
        <v>2496</v>
      </c>
      <c r="H1924" s="11">
        <v>1025</v>
      </c>
      <c r="I1924" s="11">
        <v>1</v>
      </c>
      <c r="J1924" s="11">
        <v>1</v>
      </c>
      <c r="K1924" s="11" t="s">
        <v>21</v>
      </c>
      <c r="L1924" s="7">
        <v>39905.720543981479</v>
      </c>
      <c r="M1924" s="12" t="s">
        <v>875</v>
      </c>
      <c r="N1924" s="12" t="s">
        <v>876</v>
      </c>
      <c r="O1924" s="10" t="str">
        <f>HYPERLINK("https://pbs.twimg.com/profile_images/572722352144666624/2G6VnJJx_normal.jpeg","View")</f>
        <v>View</v>
      </c>
      <c r="P1924" s="11"/>
    </row>
    <row r="1925" spans="1:16" ht="12.75" x14ac:dyDescent="0.35">
      <c r="A1925" s="7">
        <v>42481.522256944445</v>
      </c>
      <c r="B1925" s="8" t="str">
        <f t="shared" ref="B1925:B1926" si="228">HYPERLINK("https://twitter.com/INDIZbot","@INDIZbot")</f>
        <v>@INDIZbot</v>
      </c>
      <c r="C1925" s="9" t="s">
        <v>61</v>
      </c>
      <c r="D1925" s="9" t="s">
        <v>3537</v>
      </c>
      <c r="E1925" s="10" t="str">
        <f>HYPERLINK("https://twitter.com/INDIZbot/status/723044109800361984","723044109800361984")</f>
        <v>723044109800361984</v>
      </c>
      <c r="F1925" s="11" t="s">
        <v>62</v>
      </c>
      <c r="G1925" s="11">
        <v>1762</v>
      </c>
      <c r="H1925" s="11">
        <v>481</v>
      </c>
      <c r="I1925" s="11">
        <v>1</v>
      </c>
      <c r="J1925" s="11">
        <v>0</v>
      </c>
      <c r="K1925" s="11" t="s">
        <v>21</v>
      </c>
      <c r="L1925" s="7">
        <v>42267.011921296296</v>
      </c>
      <c r="M1925" s="12"/>
      <c r="N1925" s="12" t="s">
        <v>63</v>
      </c>
      <c r="O1925" s="10" t="str">
        <f t="shared" ref="O1925:O1926" si="229">HYPERLINK("https://pbs.twimg.com/profile_images/645716711723925506/t5G0qOS6_normal.jpg","View")</f>
        <v>View</v>
      </c>
      <c r="P1925" s="11"/>
    </row>
    <row r="1926" spans="1:16" ht="12.75" x14ac:dyDescent="0.35">
      <c r="A1926" s="7">
        <v>42481.522604166668</v>
      </c>
      <c r="B1926" s="8" t="str">
        <f t="shared" si="228"/>
        <v>@INDIZbot</v>
      </c>
      <c r="C1926" s="9" t="s">
        <v>61</v>
      </c>
      <c r="D1926" s="9" t="s">
        <v>3538</v>
      </c>
      <c r="E1926" s="10" t="str">
        <f>HYPERLINK("https://twitter.com/INDIZbot/status/723044231837847552","723044231837847552")</f>
        <v>723044231837847552</v>
      </c>
      <c r="F1926" s="11" t="s">
        <v>62</v>
      </c>
      <c r="G1926" s="11">
        <v>1762</v>
      </c>
      <c r="H1926" s="11">
        <v>481</v>
      </c>
      <c r="I1926" s="11">
        <v>1</v>
      </c>
      <c r="J1926" s="11">
        <v>0</v>
      </c>
      <c r="K1926" s="11" t="s">
        <v>21</v>
      </c>
      <c r="L1926" s="7">
        <v>42267.011921296296</v>
      </c>
      <c r="M1926" s="12"/>
      <c r="N1926" s="12" t="s">
        <v>63</v>
      </c>
      <c r="O1926" s="10" t="str">
        <f t="shared" si="229"/>
        <v>View</v>
      </c>
      <c r="P1926" s="11"/>
    </row>
    <row r="1927" spans="1:16" ht="12.75" x14ac:dyDescent="0.35">
      <c r="A1927" s="7">
        <v>42481.523935185185</v>
      </c>
      <c r="B1927" s="8" t="str">
        <f>HYPERLINK("https://twitter.com/m_biscarrat","@m_biscarrat")</f>
        <v>@m_biscarrat</v>
      </c>
      <c r="C1927" s="9" t="s">
        <v>725</v>
      </c>
      <c r="D1927" s="9" t="s">
        <v>3539</v>
      </c>
      <c r="E1927" s="10" t="str">
        <f>HYPERLINK("https://twitter.com/m_biscarrat/status/723044718091841536","723044718091841536")</f>
        <v>723044718091841536</v>
      </c>
      <c r="F1927" s="10" t="s">
        <v>1820</v>
      </c>
      <c r="G1927" s="11">
        <v>217</v>
      </c>
      <c r="H1927" s="11">
        <v>398</v>
      </c>
      <c r="I1927" s="11">
        <v>0</v>
      </c>
      <c r="J1927" s="11">
        <v>0</v>
      </c>
      <c r="K1927" s="11" t="s">
        <v>21</v>
      </c>
      <c r="L1927" s="7">
        <v>40156.914143518516</v>
      </c>
      <c r="M1927" s="12" t="s">
        <v>243</v>
      </c>
      <c r="N1927" s="12" t="s">
        <v>727</v>
      </c>
      <c r="O1927" s="10" t="str">
        <f>HYPERLINK("https://pbs.twimg.com/profile_images/699724829713428484/rUT0r7Dq_normal.jpg","View")</f>
        <v>View</v>
      </c>
      <c r="P1927" s="11"/>
    </row>
    <row r="1928" spans="1:16" ht="12.75" x14ac:dyDescent="0.35">
      <c r="A1928" s="7">
        <v>42481.525023148148</v>
      </c>
      <c r="B1928" s="8" t="str">
        <f>HYPERLINK("https://twitter.com/Bitkom","@Bitkom")</f>
        <v>@Bitkom</v>
      </c>
      <c r="C1928" s="9" t="s">
        <v>216</v>
      </c>
      <c r="D1928" s="9" t="s">
        <v>3312</v>
      </c>
      <c r="E1928" s="10" t="str">
        <f>HYPERLINK("https://twitter.com/Bitkom/status/723045108455612416","723045108455612416")</f>
        <v>723045108455612416</v>
      </c>
      <c r="F1928" s="11" t="s">
        <v>25</v>
      </c>
      <c r="G1928" s="11">
        <v>21088</v>
      </c>
      <c r="H1928" s="11">
        <v>3258</v>
      </c>
      <c r="I1928" s="11">
        <v>5</v>
      </c>
      <c r="J1928" s="11">
        <v>0</v>
      </c>
      <c r="K1928" s="11" t="s">
        <v>21</v>
      </c>
      <c r="L1928" s="7">
        <v>39757.913229166668</v>
      </c>
      <c r="M1928" s="12" t="s">
        <v>218</v>
      </c>
      <c r="N1928" s="12" t="s">
        <v>219</v>
      </c>
      <c r="O1928" s="10" t="str">
        <f>HYPERLINK("https://pbs.twimg.com/profile_images/615797525040136192/CKF9-v_o_normal.jpg","View")</f>
        <v>View</v>
      </c>
      <c r="P1928" s="11"/>
    </row>
    <row r="1929" spans="1:16" ht="12.75" x14ac:dyDescent="0.35">
      <c r="A1929" s="7">
        <v>42481.528263888889</v>
      </c>
      <c r="B1929" s="8" t="str">
        <f>HYPERLINK("https://twitter.com/AccenturePresse","@AccenturePresse")</f>
        <v>@AccenturePresse</v>
      </c>
      <c r="C1929" s="9" t="s">
        <v>3319</v>
      </c>
      <c r="D1929" s="9" t="s">
        <v>3540</v>
      </c>
      <c r="E1929" s="10" t="str">
        <f>HYPERLINK("https://twitter.com/AccenturePresse/status/723046284626530304","723046284626530304")</f>
        <v>723046284626530304</v>
      </c>
      <c r="F1929" s="11" t="s">
        <v>25</v>
      </c>
      <c r="G1929" s="11">
        <v>715</v>
      </c>
      <c r="H1929" s="11">
        <v>236</v>
      </c>
      <c r="I1929" s="11">
        <v>0</v>
      </c>
      <c r="J1929" s="11">
        <v>0</v>
      </c>
      <c r="K1929" s="11" t="s">
        <v>21</v>
      </c>
      <c r="L1929" s="7">
        <v>40116.818645833337</v>
      </c>
      <c r="M1929" s="12" t="s">
        <v>3321</v>
      </c>
      <c r="N1929" s="12" t="s">
        <v>3322</v>
      </c>
      <c r="O1929" s="10" t="str">
        <f>HYPERLINK("https://pbs.twimg.com/profile_images/470826247132438529/xf6oFNFR_normal.jpeg","View")</f>
        <v>View</v>
      </c>
      <c r="P1929" s="11"/>
    </row>
    <row r="1930" spans="1:16" ht="12.75" x14ac:dyDescent="0.35">
      <c r="A1930" s="7">
        <v>42481.529513888891</v>
      </c>
      <c r="B1930" s="8" t="str">
        <f>HYPERLINK("https://twitter.com/H_IT_D","@H_IT_D")</f>
        <v>@H_IT_D</v>
      </c>
      <c r="C1930" s="9" t="s">
        <v>159</v>
      </c>
      <c r="D1930" s="9" t="s">
        <v>3541</v>
      </c>
      <c r="E1930" s="10" t="str">
        <f>HYPERLINK("https://twitter.com/H_IT_D/status/723046736671821824","723046736671821824")</f>
        <v>723046736671821824</v>
      </c>
      <c r="F1930" s="11" t="s">
        <v>161</v>
      </c>
      <c r="G1930" s="11">
        <v>463</v>
      </c>
      <c r="H1930" s="11">
        <v>467</v>
      </c>
      <c r="I1930" s="11">
        <v>0</v>
      </c>
      <c r="J1930" s="11">
        <v>0</v>
      </c>
      <c r="K1930" s="11" t="s">
        <v>21</v>
      </c>
      <c r="L1930" s="7">
        <v>40723.867673611108</v>
      </c>
      <c r="M1930" s="12" t="s">
        <v>162</v>
      </c>
      <c r="N1930" s="12" t="s">
        <v>163</v>
      </c>
      <c r="O1930" s="10" t="str">
        <f>HYPERLINK("https://pbs.twimg.com/profile_images/662723326096224256/5V4KH9_O_normal.jpg","View")</f>
        <v>View</v>
      </c>
      <c r="P1930" s="11"/>
    </row>
    <row r="1931" spans="1:16" ht="12.75" x14ac:dyDescent="0.35">
      <c r="A1931" s="7">
        <v>42481.529953703706</v>
      </c>
      <c r="B1931" s="8" t="str">
        <f>HYPERLINK("https://twitter.com/DegosSandrine","@DegosSandrine")</f>
        <v>@DegosSandrine</v>
      </c>
      <c r="C1931" s="9" t="s">
        <v>3542</v>
      </c>
      <c r="D1931" s="9" t="s">
        <v>3543</v>
      </c>
      <c r="E1931" s="10" t="str">
        <f>HYPERLINK("https://twitter.com/DegosSandrine/status/723046897544470528","723046897544470528")</f>
        <v>723046897544470528</v>
      </c>
      <c r="F1931" s="11" t="s">
        <v>31</v>
      </c>
      <c r="G1931" s="11">
        <v>525</v>
      </c>
      <c r="H1931" s="11">
        <v>304</v>
      </c>
      <c r="I1931" s="11">
        <v>1</v>
      </c>
      <c r="J1931" s="11">
        <v>0</v>
      </c>
      <c r="K1931" s="11" t="s">
        <v>21</v>
      </c>
      <c r="L1931" s="7">
        <v>41338.067800925928</v>
      </c>
      <c r="M1931" s="12"/>
      <c r="N1931" s="12" t="s">
        <v>3544</v>
      </c>
      <c r="O1931" s="10" t="str">
        <f>HYPERLINK("https://pbs.twimg.com/profile_images/3339096919/cc86be1409630f4274c8e25c831e58f6_normal.jpeg","View")</f>
        <v>View</v>
      </c>
      <c r="P1931" s="11"/>
    </row>
    <row r="1932" spans="1:16" ht="12.75" x14ac:dyDescent="0.35">
      <c r="A1932" s="7">
        <v>42481.531863425931</v>
      </c>
      <c r="B1932" s="8" t="str">
        <f>HYPERLINK("https://twitter.com/HilgerVoss","@HilgerVoss")</f>
        <v>@HilgerVoss</v>
      </c>
      <c r="C1932" s="9" t="s">
        <v>966</v>
      </c>
      <c r="D1932" s="9" t="s">
        <v>3545</v>
      </c>
      <c r="E1932" s="10" t="str">
        <f>HYPERLINK("https://twitter.com/HilgerVoss/status/723047590762147840","723047590762147840")</f>
        <v>723047590762147840</v>
      </c>
      <c r="F1932" s="11" t="s">
        <v>25</v>
      </c>
      <c r="G1932" s="11">
        <v>873</v>
      </c>
      <c r="H1932" s="11">
        <v>1069</v>
      </c>
      <c r="I1932" s="11">
        <v>2</v>
      </c>
      <c r="J1932" s="11">
        <v>0</v>
      </c>
      <c r="K1932" s="11" t="s">
        <v>21</v>
      </c>
      <c r="L1932" s="7">
        <v>42270.528460648144</v>
      </c>
      <c r="M1932" s="12" t="s">
        <v>116</v>
      </c>
      <c r="N1932" s="12" t="s">
        <v>967</v>
      </c>
      <c r="O1932" s="10" t="str">
        <f>HYPERLINK("https://pbs.twimg.com/profile_images/647052308170297344/Q29AIuZ__normal.jpg","View")</f>
        <v>View</v>
      </c>
      <c r="P1932" s="11"/>
    </row>
    <row r="1933" spans="1:16" ht="12.75" x14ac:dyDescent="0.35">
      <c r="A1933" s="7">
        <v>42481.532500000001</v>
      </c>
      <c r="B1933" s="8" t="str">
        <f>HYPERLINK("https://twitter.com/foresight_lab","@foresight_lab")</f>
        <v>@foresight_lab</v>
      </c>
      <c r="C1933" s="9" t="s">
        <v>1735</v>
      </c>
      <c r="D1933" s="9" t="s">
        <v>3546</v>
      </c>
      <c r="E1933" s="10" t="str">
        <f>HYPERLINK("https://twitter.com/foresight_lab/status/723047818269597696","723047818269597696")</f>
        <v>723047818269597696</v>
      </c>
      <c r="F1933" s="11" t="s">
        <v>25</v>
      </c>
      <c r="G1933" s="11">
        <v>673</v>
      </c>
      <c r="H1933" s="11">
        <v>1023</v>
      </c>
      <c r="I1933" s="11">
        <v>4</v>
      </c>
      <c r="J1933" s="11">
        <v>4</v>
      </c>
      <c r="K1933" s="11" t="s">
        <v>21</v>
      </c>
      <c r="L1933" s="7">
        <v>42322.787974537037</v>
      </c>
      <c r="M1933" s="12" t="s">
        <v>581</v>
      </c>
      <c r="N1933" s="12" t="s">
        <v>1737</v>
      </c>
      <c r="O1933" s="10" t="str">
        <f>HYPERLINK("https://pbs.twimg.com/profile_images/665798535779065856/sbUN3m6Q_normal.jpg","View")</f>
        <v>View</v>
      </c>
      <c r="P1933" s="11"/>
    </row>
    <row r="1934" spans="1:16" ht="12.75" x14ac:dyDescent="0.35">
      <c r="A1934" s="7">
        <v>42481.534351851849</v>
      </c>
      <c r="B1934" s="8" t="str">
        <f>HYPERLINK("https://twitter.com/VDMAonline","@VDMAonline")</f>
        <v>@VDMAonline</v>
      </c>
      <c r="C1934" s="9" t="s">
        <v>191</v>
      </c>
      <c r="D1934" s="9" t="s">
        <v>3547</v>
      </c>
      <c r="E1934" s="10" t="str">
        <f>HYPERLINK("https://twitter.com/VDMAonline/status/723048490838962176","723048490838962176")</f>
        <v>723048490838962176</v>
      </c>
      <c r="F1934" s="11" t="s">
        <v>115</v>
      </c>
      <c r="G1934" s="11">
        <v>6793</v>
      </c>
      <c r="H1934" s="11">
        <v>4</v>
      </c>
      <c r="I1934" s="11">
        <v>3</v>
      </c>
      <c r="J1934" s="11">
        <v>2</v>
      </c>
      <c r="K1934" s="11" t="s">
        <v>21</v>
      </c>
      <c r="L1934" s="7">
        <v>39932.616342592592</v>
      </c>
      <c r="M1934" s="12" t="s">
        <v>49</v>
      </c>
      <c r="N1934" s="12" t="s">
        <v>193</v>
      </c>
      <c r="O1934" s="10" t="str">
        <f>HYPERLINK("https://pbs.twimg.com/profile_images/609375510158774272/P5glOk4b_normal.jpg","View")</f>
        <v>View</v>
      </c>
      <c r="P1934" s="11"/>
    </row>
    <row r="1935" spans="1:16" ht="12.75" x14ac:dyDescent="0.35">
      <c r="A1935" s="7">
        <v>42481.535324074073</v>
      </c>
      <c r="B1935" s="8" t="str">
        <f>HYPERLINK("https://twitter.com/ChrStebler","@ChrStebler")</f>
        <v>@ChrStebler</v>
      </c>
      <c r="C1935" s="9" t="s">
        <v>3548</v>
      </c>
      <c r="D1935" s="9" t="s">
        <v>3549</v>
      </c>
      <c r="E1935" s="10" t="str">
        <f>HYPERLINK("https://twitter.com/ChrStebler/status/723048844422983681","723048844422983681")</f>
        <v>723048844422983681</v>
      </c>
      <c r="F1935" s="11" t="s">
        <v>31</v>
      </c>
      <c r="G1935" s="11">
        <v>27</v>
      </c>
      <c r="H1935" s="11">
        <v>99</v>
      </c>
      <c r="I1935" s="11">
        <v>5</v>
      </c>
      <c r="J1935" s="11">
        <v>0</v>
      </c>
      <c r="K1935" s="11" t="s">
        <v>21</v>
      </c>
      <c r="L1935" s="7">
        <v>42117.42863425926</v>
      </c>
      <c r="M1935" s="12" t="s">
        <v>3550</v>
      </c>
      <c r="N1935" s="12"/>
      <c r="O1935" s="10" t="str">
        <f>HYPERLINK("https://pbs.twimg.com/profile_images/591103646370287616/y7wAOMwj_normal.jpg","View")</f>
        <v>View</v>
      </c>
      <c r="P1935" s="11"/>
    </row>
    <row r="1936" spans="1:16" ht="12.75" x14ac:dyDescent="0.35">
      <c r="A1936" s="7">
        <v>42481.542395833334</v>
      </c>
      <c r="B1936" s="8" t="str">
        <f>HYPERLINK("https://twitter.com/m_biscarrat","@m_biscarrat")</f>
        <v>@m_biscarrat</v>
      </c>
      <c r="C1936" s="9" t="s">
        <v>725</v>
      </c>
      <c r="D1936" s="9" t="s">
        <v>3551</v>
      </c>
      <c r="E1936" s="10" t="str">
        <f>HYPERLINK("https://twitter.com/m_biscarrat/status/723051404798099456","723051404798099456")</f>
        <v>723051404798099456</v>
      </c>
      <c r="F1936" s="10" t="s">
        <v>1820</v>
      </c>
      <c r="G1936" s="11">
        <v>217</v>
      </c>
      <c r="H1936" s="11">
        <v>398</v>
      </c>
      <c r="I1936" s="11">
        <v>0</v>
      </c>
      <c r="J1936" s="11">
        <v>0</v>
      </c>
      <c r="K1936" s="11" t="s">
        <v>21</v>
      </c>
      <c r="L1936" s="7">
        <v>40156.914143518516</v>
      </c>
      <c r="M1936" s="12" t="s">
        <v>243</v>
      </c>
      <c r="N1936" s="12" t="s">
        <v>727</v>
      </c>
      <c r="O1936" s="10" t="str">
        <f>HYPERLINK("https://pbs.twimg.com/profile_images/699724829713428484/rUT0r7Dq_normal.jpg","View")</f>
        <v>View</v>
      </c>
      <c r="P1936" s="11"/>
    </row>
    <row r="1937" spans="1:16" ht="12.75" x14ac:dyDescent="0.35">
      <c r="A1937" s="7">
        <v>42481.542534722219</v>
      </c>
      <c r="B1937" s="8" t="str">
        <f>HYPERLINK("https://twitter.com/fh_stpoelten","@fh_stpoelten")</f>
        <v>@fh_stpoelten</v>
      </c>
      <c r="C1937" s="9" t="s">
        <v>3552</v>
      </c>
      <c r="D1937" s="9" t="s">
        <v>3553</v>
      </c>
      <c r="E1937" s="10" t="str">
        <f>HYPERLINK("https://twitter.com/fh_stpoelten/status/723051455985246208","723051455985246208")</f>
        <v>723051455985246208</v>
      </c>
      <c r="F1937" s="11" t="s">
        <v>25</v>
      </c>
      <c r="G1937" s="11">
        <v>1978</v>
      </c>
      <c r="H1937" s="11">
        <v>2243</v>
      </c>
      <c r="I1937" s="11">
        <v>0</v>
      </c>
      <c r="J1937" s="11">
        <v>0</v>
      </c>
      <c r="K1937" s="11" t="s">
        <v>21</v>
      </c>
      <c r="L1937" s="7">
        <v>39947.629571759258</v>
      </c>
      <c r="M1937" s="12" t="s">
        <v>3554</v>
      </c>
      <c r="N1937" s="12" t="s">
        <v>3555</v>
      </c>
      <c r="O1937" s="10" t="str">
        <f>HYPERLINK("https://pbs.twimg.com/profile_images/211406395/FH_logobox_4c_normal.jpg","View")</f>
        <v>View</v>
      </c>
      <c r="P1937" s="11"/>
    </row>
    <row r="1938" spans="1:16" ht="12.75" x14ac:dyDescent="0.35">
      <c r="A1938" s="7">
        <v>42481.542731481481</v>
      </c>
      <c r="B1938" s="8" t="str">
        <f>HYPERLINK("https://twitter.com/handling","@handling")</f>
        <v>@handling</v>
      </c>
      <c r="C1938" s="9" t="s">
        <v>1565</v>
      </c>
      <c r="D1938" s="9" t="s">
        <v>3556</v>
      </c>
      <c r="E1938" s="10" t="str">
        <f>HYPERLINK("https://twitter.com/handling/status/723051526726377472","723051526726377472")</f>
        <v>723051526726377472</v>
      </c>
      <c r="F1938" s="11" t="s">
        <v>25</v>
      </c>
      <c r="G1938" s="11">
        <v>1541</v>
      </c>
      <c r="H1938" s="11">
        <v>1027</v>
      </c>
      <c r="I1938" s="11">
        <v>0</v>
      </c>
      <c r="J1938" s="11">
        <v>0</v>
      </c>
      <c r="K1938" s="11" t="s">
        <v>21</v>
      </c>
      <c r="L1938" s="7">
        <v>39667.882245370369</v>
      </c>
      <c r="M1938" s="12" t="s">
        <v>1566</v>
      </c>
      <c r="N1938" s="12" t="s">
        <v>1567</v>
      </c>
      <c r="O1938" s="10" t="str">
        <f>HYPERLINK("https://pbs.twimg.com/profile_images/648776467464212480/zcXaLLGc_normal.png","View")</f>
        <v>View</v>
      </c>
      <c r="P1938" s="11"/>
    </row>
    <row r="1939" spans="1:16" ht="12.75" x14ac:dyDescent="0.35">
      <c r="A1939" s="7">
        <v>42481.545543981483</v>
      </c>
      <c r="B1939" s="8" t="str">
        <f>HYPERLINK("https://twitter.com/TRUMPF_News","@TRUMPF_News")</f>
        <v>@TRUMPF_News</v>
      </c>
      <c r="C1939" s="9" t="s">
        <v>3557</v>
      </c>
      <c r="D1939" s="9" t="s">
        <v>3558</v>
      </c>
      <c r="E1939" s="10" t="str">
        <f>HYPERLINK("https://twitter.com/TRUMPF_News/status/723052545275469824","723052545275469824")</f>
        <v>723052545275469824</v>
      </c>
      <c r="F1939" s="11" t="s">
        <v>39</v>
      </c>
      <c r="G1939" s="11">
        <v>3662</v>
      </c>
      <c r="H1939" s="11">
        <v>115</v>
      </c>
      <c r="I1939" s="11">
        <v>0</v>
      </c>
      <c r="J1939" s="11">
        <v>1</v>
      </c>
      <c r="K1939" s="11" t="s">
        <v>21</v>
      </c>
      <c r="L1939" s="7">
        <v>39966.532002314816</v>
      </c>
      <c r="M1939" s="12" t="s">
        <v>3559</v>
      </c>
      <c r="N1939" s="12" t="s">
        <v>3560</v>
      </c>
      <c r="O1939" s="10" t="str">
        <f>HYPERLINK("https://pbs.twimg.com/profile_images/378800000636761416/0c916a417072b2289236209bec90b201_normal.jpeg","View")</f>
        <v>View</v>
      </c>
      <c r="P1939" s="11"/>
    </row>
    <row r="1940" spans="1:16" ht="12.75" x14ac:dyDescent="0.35">
      <c r="A1940" s="7">
        <v>42481.54822916667</v>
      </c>
      <c r="B1940" s="8" t="str">
        <f>HYPERLINK("https://twitter.com/bigdata_insider","@bigdata_insider")</f>
        <v>@bigdata_insider</v>
      </c>
      <c r="C1940" s="9" t="s">
        <v>2818</v>
      </c>
      <c r="D1940" s="9" t="s">
        <v>3561</v>
      </c>
      <c r="E1940" s="10" t="str">
        <f>HYPERLINK("https://twitter.com/bigdata_insider/status/723053521851961344","723053521851961344")</f>
        <v>723053521851961344</v>
      </c>
      <c r="F1940" s="11" t="s">
        <v>25</v>
      </c>
      <c r="G1940" s="11">
        <v>1231</v>
      </c>
      <c r="H1940" s="11">
        <v>1782</v>
      </c>
      <c r="I1940" s="11">
        <v>0</v>
      </c>
      <c r="J1940" s="11">
        <v>0</v>
      </c>
      <c r="K1940" s="11" t="s">
        <v>21</v>
      </c>
      <c r="L1940" s="7">
        <v>41820.673807870371</v>
      </c>
      <c r="M1940" s="12" t="s">
        <v>102</v>
      </c>
      <c r="N1940" s="12" t="s">
        <v>2820</v>
      </c>
      <c r="O1940" s="10" t="str">
        <f>HYPERLINK("https://pbs.twimg.com/profile_images/494807363572875265/EUm9CELG_normal.jpeg","View")</f>
        <v>View</v>
      </c>
      <c r="P1940" s="11"/>
    </row>
    <row r="1941" spans="1:16" ht="12.75" x14ac:dyDescent="0.35">
      <c r="A1941" s="7">
        <v>42481.548680555556</v>
      </c>
      <c r="B1941" s="8" t="str">
        <f>HYPERLINK("https://twitter.com/Apandia","@Apandia")</f>
        <v>@Apandia</v>
      </c>
      <c r="C1941" s="9" t="s">
        <v>245</v>
      </c>
      <c r="D1941" s="9" t="s">
        <v>3562</v>
      </c>
      <c r="E1941" s="10" t="str">
        <f>HYPERLINK("https://twitter.com/Apandia/status/723053682086944769","723053682086944769")</f>
        <v>723053682086944769</v>
      </c>
      <c r="F1941" s="11" t="s">
        <v>115</v>
      </c>
      <c r="G1941" s="11">
        <v>196</v>
      </c>
      <c r="H1941" s="11">
        <v>384</v>
      </c>
      <c r="I1941" s="11">
        <v>1</v>
      </c>
      <c r="J1941" s="11">
        <v>2</v>
      </c>
      <c r="K1941" s="11" t="s">
        <v>21</v>
      </c>
      <c r="L1941" s="7">
        <v>39966.049884259257</v>
      </c>
      <c r="M1941" s="12" t="s">
        <v>247</v>
      </c>
      <c r="N1941" s="12" t="s">
        <v>248</v>
      </c>
      <c r="O1941" s="10" t="str">
        <f>HYPERLINK("https://pbs.twimg.com/profile_images/685327213/Apandia_normal.gif","View")</f>
        <v>View</v>
      </c>
      <c r="P1941" s="11"/>
    </row>
    <row r="1942" spans="1:16" ht="12.75" x14ac:dyDescent="0.35">
      <c r="A1942" s="7">
        <v>42481.54960648148</v>
      </c>
      <c r="B1942" s="8" t="str">
        <f>HYPERLINK("https://twitter.com/INDIZbot","@INDIZbot")</f>
        <v>@INDIZbot</v>
      </c>
      <c r="C1942" s="9" t="s">
        <v>61</v>
      </c>
      <c r="D1942" s="9" t="s">
        <v>3563</v>
      </c>
      <c r="E1942" s="10" t="str">
        <f>HYPERLINK("https://twitter.com/INDIZbot/status/723054018327646208","723054018327646208")</f>
        <v>723054018327646208</v>
      </c>
      <c r="F1942" s="11" t="s">
        <v>62</v>
      </c>
      <c r="G1942" s="11">
        <v>1762</v>
      </c>
      <c r="H1942" s="11">
        <v>481</v>
      </c>
      <c r="I1942" s="11">
        <v>1</v>
      </c>
      <c r="J1942" s="11">
        <v>0</v>
      </c>
      <c r="K1942" s="11" t="s">
        <v>21</v>
      </c>
      <c r="L1942" s="7">
        <v>42267.011921296296</v>
      </c>
      <c r="M1942" s="12"/>
      <c r="N1942" s="12" t="s">
        <v>63</v>
      </c>
      <c r="O1942" s="10" t="str">
        <f>HYPERLINK("https://pbs.twimg.com/profile_images/645716711723925506/t5G0qOS6_normal.jpg","View")</f>
        <v>View</v>
      </c>
      <c r="P1942" s="11"/>
    </row>
    <row r="1943" spans="1:16" ht="12.75" x14ac:dyDescent="0.35">
      <c r="A1943" s="7">
        <v>42481.552314814813</v>
      </c>
      <c r="B1943" s="8" t="str">
        <f>HYPERLINK("https://twitter.com/reanvent","@reanvent")</f>
        <v>@reanvent</v>
      </c>
      <c r="C1943" s="9" t="s">
        <v>1630</v>
      </c>
      <c r="D1943" s="9" t="s">
        <v>3564</v>
      </c>
      <c r="E1943" s="10" t="str">
        <f>HYPERLINK("https://twitter.com/reanvent/status/723054998939140096","723054998939140096")</f>
        <v>723054998939140096</v>
      </c>
      <c r="F1943" s="11" t="s">
        <v>39</v>
      </c>
      <c r="G1943" s="11">
        <v>44</v>
      </c>
      <c r="H1943" s="11">
        <v>73</v>
      </c>
      <c r="I1943" s="11">
        <v>1</v>
      </c>
      <c r="J1943" s="11">
        <v>0</v>
      </c>
      <c r="K1943" s="11" t="s">
        <v>21</v>
      </c>
      <c r="L1943" s="7">
        <v>41114.744502314818</v>
      </c>
      <c r="M1943" s="12" t="s">
        <v>121</v>
      </c>
      <c r="N1943" s="12" t="s">
        <v>1632</v>
      </c>
      <c r="O1943" s="10" t="str">
        <f>HYPERLINK("https://pbs.twimg.com/profile_images/698748740811821056/qse_j83N_normal.jpg","View")</f>
        <v>View</v>
      </c>
      <c r="P1943" s="11"/>
    </row>
    <row r="1944" spans="1:16" ht="12.75" x14ac:dyDescent="0.35">
      <c r="A1944" s="7">
        <v>42481.553449074076</v>
      </c>
      <c r="B1944" s="8" t="str">
        <f>HYPERLINK("https://twitter.com/FM_Elektro","@FM_Elektro")</f>
        <v>@FM_Elektro</v>
      </c>
      <c r="C1944" s="9" t="s">
        <v>2360</v>
      </c>
      <c r="D1944" s="9" t="s">
        <v>3565</v>
      </c>
      <c r="E1944" s="10" t="str">
        <f>HYPERLINK("https://twitter.com/FM_Elektro/status/723055410308112384","723055410308112384")</f>
        <v>723055410308112384</v>
      </c>
      <c r="F1944" s="11" t="s">
        <v>39</v>
      </c>
      <c r="G1944" s="11">
        <v>185</v>
      </c>
      <c r="H1944" s="11">
        <v>231</v>
      </c>
      <c r="I1944" s="11">
        <v>0</v>
      </c>
      <c r="J1944" s="11">
        <v>0</v>
      </c>
      <c r="K1944" s="11" t="s">
        <v>21</v>
      </c>
      <c r="L1944" s="7">
        <v>41464.652106481481</v>
      </c>
      <c r="M1944" s="12" t="s">
        <v>2362</v>
      </c>
      <c r="N1944" s="12" t="s">
        <v>2363</v>
      </c>
      <c r="O1944" s="10" t="str">
        <f>HYPERLINK("https://pbs.twimg.com/profile_images/699912588302426112/2kZQzAuA_normal.jpg","View")</f>
        <v>View</v>
      </c>
      <c r="P1944" s="11"/>
    </row>
    <row r="1945" spans="1:16" ht="12.75" x14ac:dyDescent="0.35">
      <c r="A1945" s="7">
        <v>42481.553657407407</v>
      </c>
      <c r="B1945" s="8" t="str">
        <f>HYPERLINK("https://twitter.com/topometric","@topometric")</f>
        <v>@topometric</v>
      </c>
      <c r="C1945" s="9" t="s">
        <v>979</v>
      </c>
      <c r="D1945" s="9" t="s">
        <v>3566</v>
      </c>
      <c r="E1945" s="10" t="str">
        <f>HYPERLINK("https://twitter.com/topometric/status/723055487667695621","723055487667695621")</f>
        <v>723055487667695621</v>
      </c>
      <c r="F1945" s="11" t="s">
        <v>25</v>
      </c>
      <c r="G1945" s="11">
        <v>194</v>
      </c>
      <c r="H1945" s="11">
        <v>184</v>
      </c>
      <c r="I1945" s="11">
        <v>0</v>
      </c>
      <c r="J1945" s="11">
        <v>2</v>
      </c>
      <c r="K1945" s="11" t="s">
        <v>21</v>
      </c>
      <c r="L1945" s="7">
        <v>40260.605613425927</v>
      </c>
      <c r="M1945" s="12" t="s">
        <v>981</v>
      </c>
      <c r="N1945" s="12" t="s">
        <v>982</v>
      </c>
      <c r="O1945" s="10" t="str">
        <f>HYPERLINK("https://pbs.twimg.com/profile_images/2852333596/b758613f0f0e093a5895033c8ef9e6d1_normal.png","View")</f>
        <v>View</v>
      </c>
      <c r="P1945" s="11"/>
    </row>
    <row r="1946" spans="1:16" ht="12.75" x14ac:dyDescent="0.35">
      <c r="A1946" s="7">
        <v>42481.555023148147</v>
      </c>
      <c r="B1946" s="8" t="str">
        <f t="shared" ref="B1946:B1947" si="230">HYPERLINK("https://twitter.com/itsOWL_Cluster","@itsOWL_Cluster")</f>
        <v>@itsOWL_Cluster</v>
      </c>
      <c r="C1946" s="9" t="s">
        <v>2440</v>
      </c>
      <c r="D1946" s="9" t="s">
        <v>3567</v>
      </c>
      <c r="E1946" s="10" t="str">
        <f>HYPERLINK("https://twitter.com/itsOWL_Cluster/status/723055981697982464","723055981697982464")</f>
        <v>723055981697982464</v>
      </c>
      <c r="F1946" s="11" t="s">
        <v>25</v>
      </c>
      <c r="G1946" s="11">
        <v>375</v>
      </c>
      <c r="H1946" s="11">
        <v>359</v>
      </c>
      <c r="I1946" s="11">
        <v>0</v>
      </c>
      <c r="J1946" s="11">
        <v>0</v>
      </c>
      <c r="K1946" s="11" t="s">
        <v>21</v>
      </c>
      <c r="L1946" s="7">
        <v>41289.849050925928</v>
      </c>
      <c r="M1946" s="12" t="s">
        <v>2442</v>
      </c>
      <c r="N1946" s="12" t="s">
        <v>2443</v>
      </c>
      <c r="O1946" s="10" t="str">
        <f t="shared" ref="O1946:O1947" si="231">HYPERLINK("https://pbs.twimg.com/profile_images/3542998130/5e65449daa56d18e9aab7f6535dc25fc_normal.jpeg","View")</f>
        <v>View</v>
      </c>
      <c r="P1946" s="11"/>
    </row>
    <row r="1947" spans="1:16" ht="12.75" x14ac:dyDescent="0.35">
      <c r="A1947" s="7">
        <v>42481.557199074072</v>
      </c>
      <c r="B1947" s="8" t="str">
        <f t="shared" si="230"/>
        <v>@itsOWL_Cluster</v>
      </c>
      <c r="C1947" s="9" t="s">
        <v>2440</v>
      </c>
      <c r="D1947" s="9" t="s">
        <v>3158</v>
      </c>
      <c r="E1947" s="10" t="str">
        <f>HYPERLINK("https://twitter.com/itsOWL_Cluster/status/723056768725590016","723056768725590016")</f>
        <v>723056768725590016</v>
      </c>
      <c r="F1947" s="11" t="s">
        <v>25</v>
      </c>
      <c r="G1947" s="11">
        <v>375</v>
      </c>
      <c r="H1947" s="11">
        <v>359</v>
      </c>
      <c r="I1947" s="11">
        <v>9</v>
      </c>
      <c r="J1947" s="11">
        <v>0</v>
      </c>
      <c r="K1947" s="11" t="s">
        <v>21</v>
      </c>
      <c r="L1947" s="7">
        <v>41289.849050925928</v>
      </c>
      <c r="M1947" s="12" t="s">
        <v>2442</v>
      </c>
      <c r="N1947" s="12" t="s">
        <v>2443</v>
      </c>
      <c r="O1947" s="10" t="str">
        <f t="shared" si="231"/>
        <v>View</v>
      </c>
      <c r="P1947" s="11"/>
    </row>
    <row r="1948" spans="1:16" ht="12.75" x14ac:dyDescent="0.35">
      <c r="A1948" s="7">
        <v>42481.557326388887</v>
      </c>
      <c r="B1948" s="8" t="str">
        <f>HYPERLINK("https://twitter.com/itelligence_de","@itelligence_de")</f>
        <v>@itelligence_de</v>
      </c>
      <c r="C1948" s="9" t="s">
        <v>1060</v>
      </c>
      <c r="D1948" s="9" t="s">
        <v>3568</v>
      </c>
      <c r="E1948" s="10" t="str">
        <f>HYPERLINK("https://twitter.com/itelligence_de/status/723056817014628352","723056817014628352")</f>
        <v>723056817014628352</v>
      </c>
      <c r="F1948" s="11" t="s">
        <v>25</v>
      </c>
      <c r="G1948" s="11">
        <v>909</v>
      </c>
      <c r="H1948" s="11">
        <v>464</v>
      </c>
      <c r="I1948" s="11">
        <v>0</v>
      </c>
      <c r="J1948" s="11">
        <v>1</v>
      </c>
      <c r="K1948" s="11" t="s">
        <v>21</v>
      </c>
      <c r="L1948" s="7">
        <v>40485.820717592593</v>
      </c>
      <c r="M1948" s="12" t="s">
        <v>1062</v>
      </c>
      <c r="N1948" s="12" t="s">
        <v>1063</v>
      </c>
      <c r="O1948" s="10" t="str">
        <f>HYPERLINK("https://pbs.twimg.com/profile_images/712650491361157121/__DqibYq_normal.jpg","View")</f>
        <v>View</v>
      </c>
      <c r="P1948" s="11"/>
    </row>
    <row r="1949" spans="1:16" ht="12.75" x14ac:dyDescent="0.35">
      <c r="A1949" s="7">
        <v>42481.558553240742</v>
      </c>
      <c r="B1949" s="8" t="str">
        <f>HYPERLINK("https://twitter.com/bamitav","@bamitav")</f>
        <v>@bamitav</v>
      </c>
      <c r="C1949" s="9" t="s">
        <v>341</v>
      </c>
      <c r="D1949" s="9" t="s">
        <v>3569</v>
      </c>
      <c r="E1949" s="10" t="str">
        <f>HYPERLINK("https://twitter.com/bamitav/status/723057261652791296","723057261652791296")</f>
        <v>723057261652791296</v>
      </c>
      <c r="F1949" s="11" t="s">
        <v>25</v>
      </c>
      <c r="G1949" s="11">
        <v>7341</v>
      </c>
      <c r="H1949" s="11">
        <v>6333</v>
      </c>
      <c r="I1949" s="11">
        <v>0</v>
      </c>
      <c r="J1949" s="11">
        <v>0</v>
      </c>
      <c r="K1949" s="11" t="s">
        <v>21</v>
      </c>
      <c r="L1949" s="7">
        <v>40138.933622685188</v>
      </c>
      <c r="M1949" s="12" t="s">
        <v>343</v>
      </c>
      <c r="N1949" s="12" t="s">
        <v>344</v>
      </c>
      <c r="O1949" s="10" t="str">
        <f>HYPERLINK("https://pbs.twimg.com/profile_images/672794348442877952/m6Is-Nrc_normal.jpg","View")</f>
        <v>View</v>
      </c>
      <c r="P1949" s="11"/>
    </row>
    <row r="1950" spans="1:16" ht="12.75" x14ac:dyDescent="0.35">
      <c r="A1950" s="7">
        <v>42481.558819444443</v>
      </c>
      <c r="B1950" s="8" t="str">
        <f>HYPERLINK("https://twitter.com/aengelhorn","@aengelhorn")</f>
        <v>@aengelhorn</v>
      </c>
      <c r="C1950" s="9" t="s">
        <v>3570</v>
      </c>
      <c r="D1950" s="9" t="s">
        <v>3571</v>
      </c>
      <c r="E1950" s="10" t="str">
        <f>HYPERLINK("https://twitter.com/aengelhorn/status/723057355961692161","723057355961692161")</f>
        <v>723057355961692161</v>
      </c>
      <c r="F1950" s="11" t="s">
        <v>25</v>
      </c>
      <c r="G1950" s="11">
        <v>312</v>
      </c>
      <c r="H1950" s="11">
        <v>168</v>
      </c>
      <c r="I1950" s="11">
        <v>0</v>
      </c>
      <c r="J1950" s="11">
        <v>0</v>
      </c>
      <c r="K1950" s="11" t="s">
        <v>21</v>
      </c>
      <c r="L1950" s="7">
        <v>39772.948344907403</v>
      </c>
      <c r="M1950" s="12" t="s">
        <v>3572</v>
      </c>
      <c r="N1950" s="12" t="s">
        <v>3573</v>
      </c>
      <c r="O1950" s="10" t="str">
        <f>HYPERLINK("https://pbs.twimg.com/profile_images/104506457/100_0328_normal.JPG","View")</f>
        <v>View</v>
      </c>
      <c r="P1950" s="11"/>
    </row>
    <row r="1951" spans="1:16" ht="12.75" x14ac:dyDescent="0.35">
      <c r="A1951" s="7">
        <v>42481.560891203699</v>
      </c>
      <c r="B1951" s="8" t="str">
        <f>HYPERLINK("https://twitter.com/DerKonstrukteu","@DerKonstrukteu")</f>
        <v>@DerKonstrukteu</v>
      </c>
      <c r="C1951" s="9" t="s">
        <v>2098</v>
      </c>
      <c r="D1951" s="9" t="s">
        <v>3574</v>
      </c>
      <c r="E1951" s="10" t="str">
        <f>HYPERLINK("https://twitter.com/DerKonstrukteu/status/723058107039911936","723058107039911936")</f>
        <v>723058107039911936</v>
      </c>
      <c r="F1951" s="11" t="s">
        <v>25</v>
      </c>
      <c r="G1951" s="11">
        <v>1142</v>
      </c>
      <c r="H1951" s="11">
        <v>610</v>
      </c>
      <c r="I1951" s="11">
        <v>2</v>
      </c>
      <c r="J1951" s="11">
        <v>0</v>
      </c>
      <c r="K1951" s="11" t="s">
        <v>21</v>
      </c>
      <c r="L1951" s="7">
        <v>41612.809548611112</v>
      </c>
      <c r="M1951" s="12" t="s">
        <v>2100</v>
      </c>
      <c r="N1951" s="12" t="s">
        <v>2101</v>
      </c>
      <c r="O1951" s="10" t="str">
        <f>HYPERLINK("https://pbs.twimg.com/profile_images/448785978165968896/SQOcI8cJ_normal.png","View")</f>
        <v>View</v>
      </c>
      <c r="P1951" s="11"/>
    </row>
    <row r="1952" spans="1:16" ht="12.75" x14ac:dyDescent="0.35">
      <c r="A1952" s="7">
        <v>42481.560891203699</v>
      </c>
      <c r="B1952" s="8" t="str">
        <f>HYPERLINK("https://twitter.com/kvdnews","@kvdnews")</f>
        <v>@kvdnews</v>
      </c>
      <c r="C1952" s="9" t="s">
        <v>3575</v>
      </c>
      <c r="D1952" s="9" t="s">
        <v>3576</v>
      </c>
      <c r="E1952" s="10" t="str">
        <f>HYPERLINK("https://twitter.com/kvdnews/status/723058109946556416","723058109946556416")</f>
        <v>723058109946556416</v>
      </c>
      <c r="F1952" s="11" t="s">
        <v>25</v>
      </c>
      <c r="G1952" s="11">
        <v>240</v>
      </c>
      <c r="H1952" s="11">
        <v>299</v>
      </c>
      <c r="I1952" s="11">
        <v>0</v>
      </c>
      <c r="J1952" s="11">
        <v>0</v>
      </c>
      <c r="K1952" s="11" t="s">
        <v>21</v>
      </c>
      <c r="L1952" s="7">
        <v>41610.941863425927</v>
      </c>
      <c r="M1952" s="12" t="s">
        <v>3577</v>
      </c>
      <c r="N1952" s="12" t="s">
        <v>3578</v>
      </c>
      <c r="O1952" s="10" t="str">
        <f>HYPERLINK("https://pbs.twimg.com/profile_images/378800000821000829/bd0a7e59cc638909a219a082e3383993_normal.png","View")</f>
        <v>View</v>
      </c>
      <c r="P1952" s="11"/>
    </row>
    <row r="1953" spans="1:16" ht="12.75" x14ac:dyDescent="0.35">
      <c r="A1953" s="7">
        <v>42481.563125000001</v>
      </c>
      <c r="B1953" s="8" t="str">
        <f>HYPERLINK("https://twitter.com/kion_group","@kion_group")</f>
        <v>@kion_group</v>
      </c>
      <c r="C1953" s="9" t="s">
        <v>1789</v>
      </c>
      <c r="D1953" s="9" t="s">
        <v>3579</v>
      </c>
      <c r="E1953" s="10" t="str">
        <f>HYPERLINK("https://twitter.com/kion_group/status/723058916175798272","723058916175798272")</f>
        <v>723058916175798272</v>
      </c>
      <c r="F1953" s="11" t="s">
        <v>39</v>
      </c>
      <c r="G1953" s="11">
        <v>454</v>
      </c>
      <c r="H1953" s="11">
        <v>282</v>
      </c>
      <c r="I1953" s="11">
        <v>0</v>
      </c>
      <c r="J1953" s="11">
        <v>0</v>
      </c>
      <c r="K1953" s="11" t="s">
        <v>21</v>
      </c>
      <c r="L1953" s="7">
        <v>41835.045775462961</v>
      </c>
      <c r="M1953" s="12" t="s">
        <v>1791</v>
      </c>
      <c r="N1953" s="12" t="s">
        <v>1792</v>
      </c>
      <c r="O1953" s="10" t="str">
        <f>HYPERLINK("https://pbs.twimg.com/profile_images/502066779590385665/YElxw-eg_normal.jpeg","View")</f>
        <v>View</v>
      </c>
      <c r="P1953" s="11"/>
    </row>
    <row r="1954" spans="1:16" ht="12.75" x14ac:dyDescent="0.35">
      <c r="A1954" s="7">
        <v>42481.563275462962</v>
      </c>
      <c r="B1954" s="8" t="str">
        <f>HYPERLINK("https://twitter.com/markherten","@markherten")</f>
        <v>@markherten</v>
      </c>
      <c r="C1954" s="9" t="s">
        <v>37</v>
      </c>
      <c r="D1954" s="9" t="s">
        <v>3580</v>
      </c>
      <c r="E1954" s="10" t="str">
        <f>HYPERLINK("https://twitter.com/markherten/status/723058974140993537","723058974140993537")</f>
        <v>723058974140993537</v>
      </c>
      <c r="F1954" s="11" t="s">
        <v>39</v>
      </c>
      <c r="G1954" s="11">
        <v>96</v>
      </c>
      <c r="H1954" s="11">
        <v>176</v>
      </c>
      <c r="I1954" s="11">
        <v>0</v>
      </c>
      <c r="J1954" s="11">
        <v>0</v>
      </c>
      <c r="K1954" s="11" t="s">
        <v>21</v>
      </c>
      <c r="L1954" s="7">
        <v>40249.947696759264</v>
      </c>
      <c r="M1954" s="12" t="s">
        <v>40</v>
      </c>
      <c r="N1954" s="12" t="s">
        <v>41</v>
      </c>
      <c r="O1954" s="10" t="str">
        <f>HYPERLINK("https://pbs.twimg.com/profile_images/718175389890310145/GX8DLe_h_normal.jpg","View")</f>
        <v>View</v>
      </c>
      <c r="P1954" s="11"/>
    </row>
    <row r="1955" spans="1:16" ht="12.75" x14ac:dyDescent="0.35">
      <c r="A1955" s="7">
        <v>42481.565648148149</v>
      </c>
      <c r="B1955" s="8" t="str">
        <f t="shared" ref="B1955:B1956" si="232">HYPERLINK("https://twitter.com/ITK_OWL","@ITK_OWL")</f>
        <v>@ITK_OWL</v>
      </c>
      <c r="C1955" s="9" t="s">
        <v>220</v>
      </c>
      <c r="D1955" s="9" t="s">
        <v>3581</v>
      </c>
      <c r="E1955" s="10" t="str">
        <f>HYPERLINK("https://twitter.com/ITK_OWL/status/723059833621102592","723059833621102592")</f>
        <v>723059833621102592</v>
      </c>
      <c r="F1955" s="11" t="s">
        <v>222</v>
      </c>
      <c r="G1955" s="11">
        <v>199</v>
      </c>
      <c r="H1955" s="11">
        <v>389</v>
      </c>
      <c r="I1955" s="11">
        <v>0</v>
      </c>
      <c r="J1955" s="11">
        <v>1</v>
      </c>
      <c r="K1955" s="11" t="s">
        <v>21</v>
      </c>
      <c r="L1955" s="7">
        <v>42146.57880787037</v>
      </c>
      <c r="M1955" s="12" t="s">
        <v>223</v>
      </c>
      <c r="N1955" s="12" t="s">
        <v>224</v>
      </c>
      <c r="O1955" s="10" t="str">
        <f t="shared" ref="O1955:O1956" si="233">HYPERLINK("https://pbs.twimg.com/profile_images/601673968551075840/MnulnKkj_normal.png","View")</f>
        <v>View</v>
      </c>
      <c r="P1955" s="11"/>
    </row>
    <row r="1956" spans="1:16" ht="12.75" x14ac:dyDescent="0.35">
      <c r="A1956" s="7">
        <v>42481.565659722226</v>
      </c>
      <c r="B1956" s="8" t="str">
        <f t="shared" si="232"/>
        <v>@ITK_OWL</v>
      </c>
      <c r="C1956" s="9" t="s">
        <v>220</v>
      </c>
      <c r="D1956" s="9" t="s">
        <v>3582</v>
      </c>
      <c r="E1956" s="10" t="str">
        <f>HYPERLINK("https://twitter.com/ITK_OWL/status/723059835781189632","723059835781189632")</f>
        <v>723059835781189632</v>
      </c>
      <c r="F1956" s="11" t="s">
        <v>222</v>
      </c>
      <c r="G1956" s="11">
        <v>199</v>
      </c>
      <c r="H1956" s="11">
        <v>389</v>
      </c>
      <c r="I1956" s="11">
        <v>1</v>
      </c>
      <c r="J1956" s="11">
        <v>0</v>
      </c>
      <c r="K1956" s="11" t="s">
        <v>21</v>
      </c>
      <c r="L1956" s="7">
        <v>42146.57880787037</v>
      </c>
      <c r="M1956" s="12" t="s">
        <v>223</v>
      </c>
      <c r="N1956" s="12" t="s">
        <v>224</v>
      </c>
      <c r="O1956" s="10" t="str">
        <f t="shared" si="233"/>
        <v>View</v>
      </c>
      <c r="P1956" s="11"/>
    </row>
    <row r="1957" spans="1:16" ht="12.75" x14ac:dyDescent="0.35">
      <c r="A1957" s="7">
        <v>42481.567523148144</v>
      </c>
      <c r="B1957" s="8" t="str">
        <f>HYPERLINK("https://twitter.com/Bitkom","@Bitkom")</f>
        <v>@Bitkom</v>
      </c>
      <c r="C1957" s="9" t="s">
        <v>216</v>
      </c>
      <c r="D1957" s="9" t="s">
        <v>3583</v>
      </c>
      <c r="E1957" s="10" t="str">
        <f>HYPERLINK("https://twitter.com/Bitkom/status/723060513177899008","723060513177899008")</f>
        <v>723060513177899008</v>
      </c>
      <c r="F1957" s="11" t="s">
        <v>25</v>
      </c>
      <c r="G1957" s="11">
        <v>21088</v>
      </c>
      <c r="H1957" s="11">
        <v>3258</v>
      </c>
      <c r="I1957" s="11">
        <v>24</v>
      </c>
      <c r="J1957" s="11">
        <v>7</v>
      </c>
      <c r="K1957" s="11" t="s">
        <v>21</v>
      </c>
      <c r="L1957" s="7">
        <v>39757.913229166668</v>
      </c>
      <c r="M1957" s="12" t="s">
        <v>218</v>
      </c>
      <c r="N1957" s="12" t="s">
        <v>219</v>
      </c>
      <c r="O1957" s="10" t="str">
        <f>HYPERLINK("https://pbs.twimg.com/profile_images/615797525040136192/CKF9-v_o_normal.jpg","View")</f>
        <v>View</v>
      </c>
      <c r="P1957" s="11"/>
    </row>
    <row r="1958" spans="1:16" ht="12.75" x14ac:dyDescent="0.35">
      <c r="A1958" s="7">
        <v>42481.568159722221</v>
      </c>
      <c r="B1958" s="8" t="str">
        <f>HYPERLINK("https://twitter.com/mkoeppen","@mkoeppen")</f>
        <v>@mkoeppen</v>
      </c>
      <c r="C1958" s="9" t="s">
        <v>3584</v>
      </c>
      <c r="D1958" s="9" t="s">
        <v>3585</v>
      </c>
      <c r="E1958" s="10" t="str">
        <f>HYPERLINK("https://twitter.com/mkoeppen/status/723060743424380928","723060743424380928")</f>
        <v>723060743424380928</v>
      </c>
      <c r="F1958" s="11" t="s">
        <v>31</v>
      </c>
      <c r="G1958" s="11">
        <v>3261</v>
      </c>
      <c r="H1958" s="11">
        <v>3620</v>
      </c>
      <c r="I1958" s="11">
        <v>2</v>
      </c>
      <c r="J1958" s="11">
        <v>0</v>
      </c>
      <c r="K1958" s="11" t="s">
        <v>21</v>
      </c>
      <c r="L1958" s="7">
        <v>39884.633900462963</v>
      </c>
      <c r="M1958" s="12" t="s">
        <v>92</v>
      </c>
      <c r="N1958" s="12" t="s">
        <v>3586</v>
      </c>
      <c r="O1958" s="10" t="str">
        <f>HYPERLINK("https://pbs.twimg.com/profile_images/655007155955875841/PtDd93ap_normal.png","View")</f>
        <v>View</v>
      </c>
      <c r="P1958" s="11"/>
    </row>
    <row r="1959" spans="1:16" ht="12.75" x14ac:dyDescent="0.35">
      <c r="A1959" s="7">
        <v>42481.568171296298</v>
      </c>
      <c r="B1959" s="8" t="str">
        <f>HYPERLINK("https://twitter.com/foresight_lab","@foresight_lab")</f>
        <v>@foresight_lab</v>
      </c>
      <c r="C1959" s="9" t="s">
        <v>1735</v>
      </c>
      <c r="D1959" s="9" t="s">
        <v>3587</v>
      </c>
      <c r="E1959" s="10" t="str">
        <f>HYPERLINK("https://twitter.com/foresight_lab/status/723060745756237825","723060745756237825")</f>
        <v>723060745756237825</v>
      </c>
      <c r="F1959" s="11" t="s">
        <v>25</v>
      </c>
      <c r="G1959" s="11">
        <v>673</v>
      </c>
      <c r="H1959" s="11">
        <v>1023</v>
      </c>
      <c r="I1959" s="11">
        <v>0</v>
      </c>
      <c r="J1959" s="11">
        <v>0</v>
      </c>
      <c r="K1959" s="11" t="s">
        <v>21</v>
      </c>
      <c r="L1959" s="7">
        <v>42322.787974537037</v>
      </c>
      <c r="M1959" s="12" t="s">
        <v>581</v>
      </c>
      <c r="N1959" s="12" t="s">
        <v>1737</v>
      </c>
      <c r="O1959" s="10" t="str">
        <f>HYPERLINK("https://pbs.twimg.com/profile_images/665798535779065856/sbUN3m6Q_normal.jpg","View")</f>
        <v>View</v>
      </c>
      <c r="P1959" s="11"/>
    </row>
    <row r="1960" spans="1:16" ht="12.75" x14ac:dyDescent="0.35">
      <c r="A1960" s="7">
        <v>42481.568449074075</v>
      </c>
      <c r="B1960" s="8" t="str">
        <f>HYPERLINK("https://twitter.com/BakerMcGER","@BakerMcGER")</f>
        <v>@BakerMcGER</v>
      </c>
      <c r="C1960" s="9" t="s">
        <v>935</v>
      </c>
      <c r="D1960" s="9" t="s">
        <v>3588</v>
      </c>
      <c r="E1960" s="10" t="str">
        <f>HYPERLINK("https://twitter.com/BakerMcGER/status/723060846658613248","723060846658613248")</f>
        <v>723060846658613248</v>
      </c>
      <c r="F1960" s="11" t="s">
        <v>25</v>
      </c>
      <c r="G1960" s="11">
        <v>457</v>
      </c>
      <c r="H1960" s="11">
        <v>215</v>
      </c>
      <c r="I1960" s="11">
        <v>24</v>
      </c>
      <c r="J1960" s="11">
        <v>0</v>
      </c>
      <c r="K1960" s="11" t="s">
        <v>21</v>
      </c>
      <c r="L1960" s="7">
        <v>41578.702696759261</v>
      </c>
      <c r="M1960" s="12" t="s">
        <v>936</v>
      </c>
      <c r="N1960" s="12" t="s">
        <v>937</v>
      </c>
      <c r="O1960" s="10" t="str">
        <f>HYPERLINK("https://pbs.twimg.com/profile_images/707877685721231360/0WBLwHQ-_normal.jpg","View")</f>
        <v>View</v>
      </c>
      <c r="P1960" s="11"/>
    </row>
    <row r="1961" spans="1:16" ht="12.75" x14ac:dyDescent="0.35">
      <c r="A1961" s="7">
        <v>42481.568483796298</v>
      </c>
      <c r="B1961" s="8" t="str">
        <f>HYPERLINK("https://twitter.com/bizadilly","@bizadilly")</f>
        <v>@bizadilly</v>
      </c>
      <c r="C1961" s="9" t="s">
        <v>3589</v>
      </c>
      <c r="D1961" s="9" t="s">
        <v>3588</v>
      </c>
      <c r="E1961" s="10" t="str">
        <f>HYPERLINK("https://twitter.com/bizadilly/status/723060859296047104","723060859296047104")</f>
        <v>723060859296047104</v>
      </c>
      <c r="F1961" s="11" t="s">
        <v>25</v>
      </c>
      <c r="G1961" s="11">
        <v>95</v>
      </c>
      <c r="H1961" s="11">
        <v>412</v>
      </c>
      <c r="I1961" s="11">
        <v>24</v>
      </c>
      <c r="J1961" s="11">
        <v>0</v>
      </c>
      <c r="K1961" s="11" t="s">
        <v>21</v>
      </c>
      <c r="L1961" s="7">
        <v>42435.713009259256</v>
      </c>
      <c r="M1961" s="12" t="s">
        <v>440</v>
      </c>
      <c r="N1961" s="12" t="s">
        <v>3590</v>
      </c>
      <c r="O1961" s="10" t="str">
        <f>HYPERLINK("https://pbs.twimg.com/profile_images/711938400417419264/wOo1VTyR_normal.jpg","View")</f>
        <v>View</v>
      </c>
      <c r="P1961" s="11"/>
    </row>
    <row r="1962" spans="1:16" ht="12.75" x14ac:dyDescent="0.35">
      <c r="A1962" s="7">
        <v>42481.568703703699</v>
      </c>
      <c r="B1962" s="8" t="str">
        <f>HYPERLINK("https://twitter.com/RolandDuerre","@RolandDuerre")</f>
        <v>@RolandDuerre</v>
      </c>
      <c r="C1962" s="9" t="s">
        <v>3591</v>
      </c>
      <c r="D1962" s="9" t="s">
        <v>3592</v>
      </c>
      <c r="E1962" s="10" t="str">
        <f>HYPERLINK("https://twitter.com/RolandDuerre/status/723060941726732288","723060941726732288")</f>
        <v>723060941726732288</v>
      </c>
      <c r="F1962" s="11" t="s">
        <v>25</v>
      </c>
      <c r="G1962" s="11">
        <v>1254</v>
      </c>
      <c r="H1962" s="11">
        <v>1207</v>
      </c>
      <c r="I1962" s="11">
        <v>4</v>
      </c>
      <c r="J1962" s="11">
        <v>0</v>
      </c>
      <c r="K1962" s="11" t="s">
        <v>21</v>
      </c>
      <c r="L1962" s="7">
        <v>39913.853576388887</v>
      </c>
      <c r="M1962" s="12" t="s">
        <v>3593</v>
      </c>
      <c r="N1962" s="12" t="s">
        <v>3594</v>
      </c>
      <c r="O1962" s="10" t="str">
        <f>HYPERLINK("https://pbs.twimg.com/profile_images/3083763260/1ea674655cb6144191e83d3ee23b16b6_normal.jpeg","View")</f>
        <v>View</v>
      </c>
      <c r="P1962" s="11"/>
    </row>
    <row r="1963" spans="1:16" ht="12.75" x14ac:dyDescent="0.35">
      <c r="A1963" s="7">
        <v>42481.569560185184</v>
      </c>
      <c r="B1963" s="8" t="str">
        <f>HYPERLINK("https://twitter.com/SICK_Karriere","@SICK_Karriere")</f>
        <v>@SICK_Karriere</v>
      </c>
      <c r="C1963" s="9" t="s">
        <v>1596</v>
      </c>
      <c r="D1963" s="9" t="s">
        <v>3595</v>
      </c>
      <c r="E1963" s="10" t="str">
        <f>HYPERLINK("https://twitter.com/SICK_Karriere/status/723061248426913793","723061248426913793")</f>
        <v>723061248426913793</v>
      </c>
      <c r="F1963" s="11" t="s">
        <v>39</v>
      </c>
      <c r="G1963" s="11">
        <v>570</v>
      </c>
      <c r="H1963" s="11">
        <v>535</v>
      </c>
      <c r="I1963" s="11">
        <v>1</v>
      </c>
      <c r="J1963" s="11">
        <v>0</v>
      </c>
      <c r="K1963" s="11" t="s">
        <v>21</v>
      </c>
      <c r="L1963" s="7">
        <v>40863.876527777778</v>
      </c>
      <c r="M1963" s="12" t="s">
        <v>1597</v>
      </c>
      <c r="N1963" s="12" t="s">
        <v>1598</v>
      </c>
      <c r="O1963" s="10" t="str">
        <f>HYPERLINK("https://pbs.twimg.com/profile_images/616135945973317632/te85BV7p_normal.jpg","View")</f>
        <v>View</v>
      </c>
      <c r="P1963" s="11"/>
    </row>
    <row r="1964" spans="1:16" ht="12.75" x14ac:dyDescent="0.35">
      <c r="A1964" s="7">
        <v>42481.570567129631</v>
      </c>
      <c r="B1964" s="8" t="str">
        <f t="shared" ref="B1964:B1965" si="234">HYPERLINK("https://twitter.com/INDIZbot","@INDIZbot")</f>
        <v>@INDIZbot</v>
      </c>
      <c r="C1964" s="9" t="s">
        <v>61</v>
      </c>
      <c r="D1964" s="9" t="s">
        <v>3596</v>
      </c>
      <c r="E1964" s="10" t="str">
        <f>HYPERLINK("https://twitter.com/INDIZbot/status/723061615537606657","723061615537606657")</f>
        <v>723061615537606657</v>
      </c>
      <c r="F1964" s="11" t="s">
        <v>62</v>
      </c>
      <c r="G1964" s="11">
        <v>1762</v>
      </c>
      <c r="H1964" s="11">
        <v>481</v>
      </c>
      <c r="I1964" s="11">
        <v>1</v>
      </c>
      <c r="J1964" s="11">
        <v>0</v>
      </c>
      <c r="K1964" s="11" t="s">
        <v>21</v>
      </c>
      <c r="L1964" s="7">
        <v>42267.011921296296</v>
      </c>
      <c r="M1964" s="12"/>
      <c r="N1964" s="12" t="s">
        <v>63</v>
      </c>
      <c r="O1964" s="10" t="str">
        <f t="shared" ref="O1964:O1965" si="235">HYPERLINK("https://pbs.twimg.com/profile_images/645716711723925506/t5G0qOS6_normal.jpg","View")</f>
        <v>View</v>
      </c>
      <c r="P1964" s="11"/>
    </row>
    <row r="1965" spans="1:16" ht="12.75" x14ac:dyDescent="0.35">
      <c r="A1965" s="7">
        <v>42481.570856481485</v>
      </c>
      <c r="B1965" s="8" t="str">
        <f t="shared" si="234"/>
        <v>@INDIZbot</v>
      </c>
      <c r="C1965" s="9" t="s">
        <v>61</v>
      </c>
      <c r="D1965" s="9" t="s">
        <v>3592</v>
      </c>
      <c r="E1965" s="10" t="str">
        <f>HYPERLINK("https://twitter.com/INDIZbot/status/723061721259237376","723061721259237376")</f>
        <v>723061721259237376</v>
      </c>
      <c r="F1965" s="11" t="s">
        <v>62</v>
      </c>
      <c r="G1965" s="11">
        <v>1762</v>
      </c>
      <c r="H1965" s="11">
        <v>481</v>
      </c>
      <c r="I1965" s="11">
        <v>4</v>
      </c>
      <c r="J1965" s="11">
        <v>0</v>
      </c>
      <c r="K1965" s="11" t="s">
        <v>21</v>
      </c>
      <c r="L1965" s="7">
        <v>42267.011921296296</v>
      </c>
      <c r="M1965" s="12"/>
      <c r="N1965" s="12" t="s">
        <v>63</v>
      </c>
      <c r="O1965" s="10" t="str">
        <f t="shared" si="235"/>
        <v>View</v>
      </c>
      <c r="P1965" s="11"/>
    </row>
    <row r="1966" spans="1:16" ht="12.75" x14ac:dyDescent="0.35">
      <c r="A1966" s="7">
        <v>42481.571469907409</v>
      </c>
      <c r="B1966" s="8" t="str">
        <f>HYPERLINK("https://twitter.com/GermanIOD","@GermanIOD")</f>
        <v>@GermanIOD</v>
      </c>
      <c r="C1966" s="9" t="s">
        <v>2949</v>
      </c>
      <c r="D1966" s="9" t="s">
        <v>3592</v>
      </c>
      <c r="E1966" s="10" t="str">
        <f>HYPERLINK("https://twitter.com/GermanIOD/status/723061940734414848","723061940734414848")</f>
        <v>723061940734414848</v>
      </c>
      <c r="F1966" s="11" t="s">
        <v>25</v>
      </c>
      <c r="G1966" s="11">
        <v>214</v>
      </c>
      <c r="H1966" s="11">
        <v>322</v>
      </c>
      <c r="I1966" s="11">
        <v>4</v>
      </c>
      <c r="J1966" s="11">
        <v>0</v>
      </c>
      <c r="K1966" s="11" t="s">
        <v>21</v>
      </c>
      <c r="L1966" s="7">
        <v>42245.884421296301</v>
      </c>
      <c r="M1966" s="12" t="s">
        <v>116</v>
      </c>
      <c r="N1966" s="12" t="s">
        <v>2950</v>
      </c>
      <c r="O1966" s="10" t="str">
        <f>HYPERLINK("https://pbs.twimg.com/profile_images/637652033793851392/sK5pDpLB_normal.png","View")</f>
        <v>View</v>
      </c>
      <c r="P1966" s="11"/>
    </row>
    <row r="1967" spans="1:16" ht="12.75" x14ac:dyDescent="0.35">
      <c r="A1967" s="7">
        <v>42481.572106481486</v>
      </c>
      <c r="B1967" s="8" t="str">
        <f>HYPERLINK("https://twitter.com/H_IT_D","@H_IT_D")</f>
        <v>@H_IT_D</v>
      </c>
      <c r="C1967" s="9" t="s">
        <v>159</v>
      </c>
      <c r="D1967" s="9" t="s">
        <v>3597</v>
      </c>
      <c r="E1967" s="10" t="str">
        <f>HYPERLINK("https://twitter.com/H_IT_D/status/723062174227132417","723062174227132417")</f>
        <v>723062174227132417</v>
      </c>
      <c r="F1967" s="11" t="s">
        <v>161</v>
      </c>
      <c r="G1967" s="11">
        <v>463</v>
      </c>
      <c r="H1967" s="11">
        <v>467</v>
      </c>
      <c r="I1967" s="11">
        <v>0</v>
      </c>
      <c r="J1967" s="11">
        <v>0</v>
      </c>
      <c r="K1967" s="11" t="s">
        <v>21</v>
      </c>
      <c r="L1967" s="7">
        <v>40723.867673611108</v>
      </c>
      <c r="M1967" s="12" t="s">
        <v>162</v>
      </c>
      <c r="N1967" s="12" t="s">
        <v>163</v>
      </c>
      <c r="O1967" s="10" t="str">
        <f>HYPERLINK("https://pbs.twimg.com/profile_images/662723326096224256/5V4KH9_O_normal.jpg","View")</f>
        <v>View</v>
      </c>
      <c r="P1967" s="11"/>
    </row>
    <row r="1968" spans="1:16" ht="12.75" x14ac:dyDescent="0.35">
      <c r="A1968" s="7">
        <v>42481.572465277779</v>
      </c>
      <c r="B1968" s="8" t="str">
        <f>HYPERLINK("https://twitter.com/ManaleOss","@ManaleOss")</f>
        <v>@ManaleOss</v>
      </c>
      <c r="C1968" s="9" t="s">
        <v>3598</v>
      </c>
      <c r="D1968" s="9" t="s">
        <v>3599</v>
      </c>
      <c r="E1968" s="10" t="str">
        <f>HYPERLINK("https://twitter.com/ManaleOss/status/723062302568681472","723062302568681472")</f>
        <v>723062302568681472</v>
      </c>
      <c r="F1968" s="11" t="s">
        <v>25</v>
      </c>
      <c r="G1968" s="11">
        <v>313</v>
      </c>
      <c r="H1968" s="11">
        <v>287</v>
      </c>
      <c r="I1968" s="11">
        <v>1</v>
      </c>
      <c r="J1968" s="11">
        <v>0</v>
      </c>
      <c r="K1968" s="11" t="s">
        <v>21</v>
      </c>
      <c r="L1968" s="7">
        <v>41615.11142361111</v>
      </c>
      <c r="M1968" s="12" t="s">
        <v>45</v>
      </c>
      <c r="N1968" s="12" t="s">
        <v>3600</v>
      </c>
      <c r="O1968" s="10" t="str">
        <f>HYPERLINK("https://pbs.twimg.com/profile_images/719878563600691201/rtZLKfp__normal.jpg","View")</f>
        <v>View</v>
      </c>
      <c r="P1968" s="11"/>
    </row>
    <row r="1969" spans="1:16" ht="12.75" x14ac:dyDescent="0.35">
      <c r="A1969" s="7">
        <v>42481.572650462964</v>
      </c>
      <c r="B1969" s="8" t="str">
        <f>HYPERLINK("https://twitter.com/markherten","@markherten")</f>
        <v>@markherten</v>
      </c>
      <c r="C1969" s="9" t="s">
        <v>37</v>
      </c>
      <c r="D1969" s="9" t="s">
        <v>3601</v>
      </c>
      <c r="E1969" s="10" t="str">
        <f>HYPERLINK("https://twitter.com/markherten/status/723062368968826880","723062368968826880")</f>
        <v>723062368968826880</v>
      </c>
      <c r="F1969" s="11" t="s">
        <v>39</v>
      </c>
      <c r="G1969" s="11">
        <v>96</v>
      </c>
      <c r="H1969" s="11">
        <v>176</v>
      </c>
      <c r="I1969" s="11">
        <v>0</v>
      </c>
      <c r="J1969" s="11">
        <v>0</v>
      </c>
      <c r="K1969" s="11" t="s">
        <v>21</v>
      </c>
      <c r="L1969" s="7">
        <v>40249.947696759264</v>
      </c>
      <c r="M1969" s="12" t="s">
        <v>40</v>
      </c>
      <c r="N1969" s="12" t="s">
        <v>41</v>
      </c>
      <c r="O1969" s="10" t="str">
        <f>HYPERLINK("https://pbs.twimg.com/profile_images/718175389890310145/GX8DLe_h_normal.jpg","View")</f>
        <v>View</v>
      </c>
      <c r="P1969" s="11"/>
    </row>
    <row r="1970" spans="1:16" ht="12.75" x14ac:dyDescent="0.35">
      <c r="A1970" s="7">
        <v>42481.576203703706</v>
      </c>
      <c r="B1970" s="8" t="str">
        <f>HYPERLINK("https://twitter.com/BStBKaktuell","@BStBKaktuell")</f>
        <v>@BStBKaktuell</v>
      </c>
      <c r="C1970" s="9" t="s">
        <v>3602</v>
      </c>
      <c r="D1970" s="9" t="s">
        <v>3545</v>
      </c>
      <c r="E1970" s="10" t="str">
        <f>HYPERLINK("https://twitter.com/BStBKaktuell/status/723063657383383040","723063657383383040")</f>
        <v>723063657383383040</v>
      </c>
      <c r="F1970" s="11" t="s">
        <v>25</v>
      </c>
      <c r="G1970" s="11">
        <v>167</v>
      </c>
      <c r="H1970" s="11">
        <v>127</v>
      </c>
      <c r="I1970" s="11">
        <v>2</v>
      </c>
      <c r="J1970" s="11">
        <v>0</v>
      </c>
      <c r="K1970" s="11" t="s">
        <v>21</v>
      </c>
      <c r="L1970" s="7">
        <v>42226.690046296295</v>
      </c>
      <c r="M1970" s="12" t="s">
        <v>116</v>
      </c>
      <c r="N1970" s="12" t="s">
        <v>3603</v>
      </c>
      <c r="O1970" s="10" t="str">
        <f>HYPERLINK("https://pbs.twimg.com/profile_images/654600500386603008/CLtAW2Jp_normal.jpg","View")</f>
        <v>View</v>
      </c>
      <c r="P1970" s="11"/>
    </row>
    <row r="1971" spans="1:16" ht="12.75" x14ac:dyDescent="0.35">
      <c r="A1971" s="7">
        <v>42481.577453703707</v>
      </c>
      <c r="B1971" s="8" t="str">
        <f>HYPERLINK("https://twitter.com/itmeetsindustry","@itmeetsindustry")</f>
        <v>@itmeetsindustry</v>
      </c>
      <c r="C1971" s="9" t="s">
        <v>2555</v>
      </c>
      <c r="D1971" s="9" t="s">
        <v>2296</v>
      </c>
      <c r="E1971" s="10" t="str">
        <f>HYPERLINK("https://twitter.com/itmeetsindustry/status/723064110443683840","723064110443683840")</f>
        <v>723064110443683840</v>
      </c>
      <c r="F1971" s="11" t="s">
        <v>25</v>
      </c>
      <c r="G1971" s="11">
        <v>81</v>
      </c>
      <c r="H1971" s="11">
        <v>150</v>
      </c>
      <c r="I1971" s="11">
        <v>5</v>
      </c>
      <c r="J1971" s="11">
        <v>0</v>
      </c>
      <c r="K1971" s="11" t="s">
        <v>21</v>
      </c>
      <c r="L1971" s="7">
        <v>42426.838252314818</v>
      </c>
      <c r="M1971" s="12" t="s">
        <v>92</v>
      </c>
      <c r="N1971" s="12" t="s">
        <v>2557</v>
      </c>
      <c r="O1971" s="10" t="str">
        <f>HYPERLINK("https://pbs.twimg.com/profile_images/703227748383330304/U06-eqpr_normal.jpg","View")</f>
        <v>View</v>
      </c>
      <c r="P1971" s="11"/>
    </row>
    <row r="1972" spans="1:16" ht="12.75" x14ac:dyDescent="0.35">
      <c r="A1972" s="7">
        <v>42481.577569444446</v>
      </c>
      <c r="B1972" s="8" t="str">
        <f>HYPERLINK("https://twitter.com/JoergNbr","@JoergNbr")</f>
        <v>@JoergNbr</v>
      </c>
      <c r="C1972" s="9" t="s">
        <v>3604</v>
      </c>
      <c r="D1972" s="9" t="s">
        <v>3158</v>
      </c>
      <c r="E1972" s="10" t="str">
        <f>HYPERLINK("https://twitter.com/JoergNbr/status/723064154614059008","723064154614059008")</f>
        <v>723064154614059008</v>
      </c>
      <c r="F1972" s="11" t="s">
        <v>20</v>
      </c>
      <c r="G1972" s="11">
        <v>69</v>
      </c>
      <c r="H1972" s="11">
        <v>95</v>
      </c>
      <c r="I1972" s="11">
        <v>9</v>
      </c>
      <c r="J1972" s="11">
        <v>0</v>
      </c>
      <c r="K1972" s="11" t="s">
        <v>21</v>
      </c>
      <c r="L1972" s="7">
        <v>42096.609282407408</v>
      </c>
      <c r="M1972" s="12" t="s">
        <v>3605</v>
      </c>
      <c r="N1972" s="12" t="s">
        <v>3606</v>
      </c>
      <c r="O1972" s="10" t="str">
        <f>HYPERLINK("https://pbs.twimg.com/profile_images/644766811079213056/zcG4l1nW_normal.jpg","View")</f>
        <v>View</v>
      </c>
      <c r="P1972" s="11"/>
    </row>
    <row r="1973" spans="1:16" ht="12.75" x14ac:dyDescent="0.35">
      <c r="A1973" s="7">
        <v>42481.579953703702</v>
      </c>
      <c r="B1973" s="8" t="str">
        <f>HYPERLINK("https://twitter.com/HTxAlive","@HTxAlive")</f>
        <v>@HTxAlive</v>
      </c>
      <c r="C1973" s="9" t="s">
        <v>2844</v>
      </c>
      <c r="D1973" s="9" t="s">
        <v>3607</v>
      </c>
      <c r="E1973" s="10" t="str">
        <f>HYPERLINK("https://twitter.com/HTxAlive/status/723065014672863232","723065014672863232")</f>
        <v>723065014672863232</v>
      </c>
      <c r="F1973" s="11" t="s">
        <v>20</v>
      </c>
      <c r="G1973" s="11">
        <v>42</v>
      </c>
      <c r="H1973" s="11">
        <v>5</v>
      </c>
      <c r="I1973" s="11">
        <v>0</v>
      </c>
      <c r="J1973" s="11">
        <v>1</v>
      </c>
      <c r="K1973" s="11" t="s">
        <v>21</v>
      </c>
      <c r="L1973" s="7">
        <v>42432.556180555555</v>
      </c>
      <c r="M1973" s="12" t="s">
        <v>2846</v>
      </c>
      <c r="N1973" s="12" t="s">
        <v>2847</v>
      </c>
      <c r="O1973" s="10" t="str">
        <f>HYPERLINK("https://pbs.twimg.com/profile_images/705302839937990656/1KfW5-Ht_normal.jpg","View")</f>
        <v>View</v>
      </c>
      <c r="P1973" s="11"/>
    </row>
    <row r="1974" spans="1:16" ht="12.75" x14ac:dyDescent="0.35">
      <c r="A1974" s="7">
        <v>42481.579988425925</v>
      </c>
      <c r="B1974" s="8" t="str">
        <f>HYPERLINK("https://twitter.com/BoschPresse","@BoschPresse")</f>
        <v>@BoschPresse</v>
      </c>
      <c r="C1974" s="9" t="s">
        <v>1782</v>
      </c>
      <c r="D1974" s="9" t="s">
        <v>3608</v>
      </c>
      <c r="E1974" s="10" t="str">
        <f>HYPERLINK("https://twitter.com/BoschPresse/status/723065027306115072","723065027306115072")</f>
        <v>723065027306115072</v>
      </c>
      <c r="F1974" s="11" t="s">
        <v>39</v>
      </c>
      <c r="G1974" s="11">
        <v>7560</v>
      </c>
      <c r="H1974" s="11">
        <v>389</v>
      </c>
      <c r="I1974" s="11">
        <v>5</v>
      </c>
      <c r="J1974" s="11">
        <v>4</v>
      </c>
      <c r="K1974" s="11" t="s">
        <v>21</v>
      </c>
      <c r="L1974" s="7">
        <v>40991.629687499997</v>
      </c>
      <c r="M1974" s="12" t="s">
        <v>162</v>
      </c>
      <c r="N1974" s="12" t="s">
        <v>1784</v>
      </c>
      <c r="O1974" s="10" t="str">
        <f>HYPERLINK("https://pbs.twimg.com/profile_images/2619086509/ld3z97zhhdbs2essw7s9_normal.jpeg","View")</f>
        <v>View</v>
      </c>
      <c r="P1974" s="11"/>
    </row>
    <row r="1975" spans="1:16" ht="12.75" x14ac:dyDescent="0.35">
      <c r="A1975" s="7">
        <v>42481.580231481479</v>
      </c>
      <c r="B1975" s="8" t="str">
        <f>HYPERLINK("https://twitter.com/Bitkom_I40","@Bitkom_I40")</f>
        <v>@Bitkom_I40</v>
      </c>
      <c r="C1975" s="9" t="s">
        <v>1857</v>
      </c>
      <c r="D1975" s="9" t="s">
        <v>3588</v>
      </c>
      <c r="E1975" s="10" t="str">
        <f>HYPERLINK("https://twitter.com/Bitkom_I40/status/723065115201953792","723065115201953792")</f>
        <v>723065115201953792</v>
      </c>
      <c r="F1975" s="11" t="s">
        <v>115</v>
      </c>
      <c r="G1975" s="11">
        <v>754</v>
      </c>
      <c r="H1975" s="11">
        <v>44</v>
      </c>
      <c r="I1975" s="11">
        <v>24</v>
      </c>
      <c r="J1975" s="11">
        <v>0</v>
      </c>
      <c r="K1975" s="11" t="s">
        <v>21</v>
      </c>
      <c r="L1975" s="7">
        <v>41613.773194444446</v>
      </c>
      <c r="M1975" s="12" t="s">
        <v>218</v>
      </c>
      <c r="N1975" s="12" t="s">
        <v>1860</v>
      </c>
      <c r="O1975" s="10" t="str">
        <f>HYPERLINK("https://pbs.twimg.com/profile_images/723407487395713024/0hZv7R8S_normal.jpg","View")</f>
        <v>View</v>
      </c>
      <c r="P1975" s="11"/>
    </row>
    <row r="1976" spans="1:16" ht="12.75" x14ac:dyDescent="0.35">
      <c r="A1976" s="7">
        <v>42481.580416666664</v>
      </c>
      <c r="B1976" s="8" t="str">
        <f>HYPERLINK("https://twitter.com/AHK_Oesterreich","@AHK_Oesterreich")</f>
        <v>@AHK_Oesterreich</v>
      </c>
      <c r="C1976" s="9" t="s">
        <v>2113</v>
      </c>
      <c r="D1976" s="9" t="s">
        <v>3609</v>
      </c>
      <c r="E1976" s="10" t="str">
        <f>HYPERLINK("https://twitter.com/AHK_Oesterreich/status/723065182583296001","723065182583296001")</f>
        <v>723065182583296001</v>
      </c>
      <c r="F1976" s="11" t="s">
        <v>25</v>
      </c>
      <c r="G1976" s="11">
        <v>606</v>
      </c>
      <c r="H1976" s="11">
        <v>116</v>
      </c>
      <c r="I1976" s="11">
        <v>0</v>
      </c>
      <c r="J1976" s="11">
        <v>1</v>
      </c>
      <c r="K1976" s="11" t="s">
        <v>21</v>
      </c>
      <c r="L1976" s="7">
        <v>41088.669212962966</v>
      </c>
      <c r="M1976" s="12" t="s">
        <v>406</v>
      </c>
      <c r="N1976" s="12" t="s">
        <v>2115</v>
      </c>
      <c r="O1976" s="10" t="str">
        <f>HYPERLINK("https://pbs.twimg.com/profile_images/714710040301666304/f92qxjPD_normal.jpg","View")</f>
        <v>View</v>
      </c>
      <c r="P1976" s="11"/>
    </row>
    <row r="1977" spans="1:16" ht="12.75" x14ac:dyDescent="0.35">
      <c r="A1977" s="7">
        <v>42481.58079861111</v>
      </c>
      <c r="B1977" s="8" t="str">
        <f>HYPERLINK("https://twitter.com/Bitkom_I40","@Bitkom_I40")</f>
        <v>@Bitkom_I40</v>
      </c>
      <c r="C1977" s="9" t="s">
        <v>1857</v>
      </c>
      <c r="D1977" s="9" t="s">
        <v>3610</v>
      </c>
      <c r="E1977" s="10" t="str">
        <f>HYPERLINK("https://twitter.com/Bitkom_I40/status/723065321964339200","723065321964339200")</f>
        <v>723065321964339200</v>
      </c>
      <c r="F1977" s="11" t="s">
        <v>1859</v>
      </c>
      <c r="G1977" s="11">
        <v>754</v>
      </c>
      <c r="H1977" s="11">
        <v>44</v>
      </c>
      <c r="I1977" s="11">
        <v>0</v>
      </c>
      <c r="J1977" s="11">
        <v>2</v>
      </c>
      <c r="K1977" s="11" t="s">
        <v>21</v>
      </c>
      <c r="L1977" s="7">
        <v>41613.773194444446</v>
      </c>
      <c r="M1977" s="12" t="s">
        <v>218</v>
      </c>
      <c r="N1977" s="12" t="s">
        <v>1860</v>
      </c>
      <c r="O1977" s="10" t="str">
        <f>HYPERLINK("https://pbs.twimg.com/profile_images/723407487395713024/0hZv7R8S_normal.jpg","View")</f>
        <v>View</v>
      </c>
      <c r="P1977" s="11"/>
    </row>
    <row r="1978" spans="1:16" ht="12.75" x14ac:dyDescent="0.35">
      <c r="A1978" s="7">
        <v>42481.581886574073</v>
      </c>
      <c r="B1978" s="8" t="str">
        <f>HYPERLINK("https://twitter.com/croXXing_IBD","@croXXing_IBD")</f>
        <v>@croXXing_IBD</v>
      </c>
      <c r="C1978" s="9" t="s">
        <v>252</v>
      </c>
      <c r="D1978" s="9" t="s">
        <v>3611</v>
      </c>
      <c r="E1978" s="10" t="str">
        <f>HYPERLINK("https://twitter.com/croXXing_IBD/status/723065718024097792","723065718024097792")</f>
        <v>723065718024097792</v>
      </c>
      <c r="F1978" s="11" t="s">
        <v>222</v>
      </c>
      <c r="G1978" s="11">
        <v>40</v>
      </c>
      <c r="H1978" s="11">
        <v>137</v>
      </c>
      <c r="I1978" s="11">
        <v>0</v>
      </c>
      <c r="J1978" s="11">
        <v>0</v>
      </c>
      <c r="K1978" s="11" t="s">
        <v>21</v>
      </c>
      <c r="L1978" s="7">
        <v>42140.148263888885</v>
      </c>
      <c r="M1978" s="12" t="s">
        <v>223</v>
      </c>
      <c r="N1978" s="12" t="s">
        <v>254</v>
      </c>
      <c r="O1978" s="10" t="str">
        <f>HYPERLINK("https://pbs.twimg.com/profile_images/600279861282869249/IpIJ3MKX_normal.png","View")</f>
        <v>View</v>
      </c>
      <c r="P1978" s="11"/>
    </row>
    <row r="1979" spans="1:16" ht="12.75" x14ac:dyDescent="0.35">
      <c r="A1979" s="7">
        <v>42481.58221064815</v>
      </c>
      <c r="B1979" s="8" t="str">
        <f>HYPERLINK("https://twitter.com/EugenieNicoud","@EugenieNicoud")</f>
        <v>@EugenieNicoud</v>
      </c>
      <c r="C1979" s="9" t="s">
        <v>3612</v>
      </c>
      <c r="D1979" s="9" t="s">
        <v>3613</v>
      </c>
      <c r="E1979" s="10" t="str">
        <f>HYPERLINK("https://twitter.com/EugenieNicoud/status/723065833165987840","723065833165987840")</f>
        <v>723065833165987840</v>
      </c>
      <c r="F1979" s="11" t="s">
        <v>25</v>
      </c>
      <c r="G1979" s="11">
        <v>117</v>
      </c>
      <c r="H1979" s="11">
        <v>202</v>
      </c>
      <c r="I1979" s="11">
        <v>0</v>
      </c>
      <c r="J1979" s="11">
        <v>0</v>
      </c>
      <c r="K1979" s="11" t="s">
        <v>21</v>
      </c>
      <c r="L1979" s="7">
        <v>40797.063958333332</v>
      </c>
      <c r="M1979" s="12" t="s">
        <v>3614</v>
      </c>
      <c r="N1979" s="12" t="s">
        <v>3615</v>
      </c>
      <c r="O1979" s="10" t="str">
        <f>HYPERLINK("https://pbs.twimg.com/profile_images/687181037000994816/jJUieqYp_normal.jpg","View")</f>
        <v>View</v>
      </c>
      <c r="P1979" s="11"/>
    </row>
    <row r="1980" spans="1:16" ht="12.75" x14ac:dyDescent="0.35">
      <c r="A1980" s="7">
        <v>42481.582303240742</v>
      </c>
      <c r="B1980" s="8" t="str">
        <f>HYPERLINK("https://twitter.com/MargotReb","@MargotReb")</f>
        <v>@MargotReb</v>
      </c>
      <c r="C1980" s="9" t="s">
        <v>3616</v>
      </c>
      <c r="D1980" s="9" t="s">
        <v>3617</v>
      </c>
      <c r="E1980" s="10" t="str">
        <f>HYPERLINK("https://twitter.com/MargotReb/status/723065867055992833","723065867055992833")</f>
        <v>723065867055992833</v>
      </c>
      <c r="F1980" s="11" t="s">
        <v>25</v>
      </c>
      <c r="G1980" s="11">
        <v>214</v>
      </c>
      <c r="H1980" s="11">
        <v>433</v>
      </c>
      <c r="I1980" s="11">
        <v>0</v>
      </c>
      <c r="J1980" s="11">
        <v>1</v>
      </c>
      <c r="K1980" s="11" t="s">
        <v>21</v>
      </c>
      <c r="L1980" s="7">
        <v>41876.866388888891</v>
      </c>
      <c r="M1980" s="12" t="s">
        <v>243</v>
      </c>
      <c r="N1980" s="12" t="s">
        <v>3618</v>
      </c>
      <c r="O1980" s="10" t="str">
        <f>HYPERLINK("https://pbs.twimg.com/profile_images/720617927934943232/xmh2VSTG_normal.jpg","View")</f>
        <v>View</v>
      </c>
      <c r="P1980" s="11"/>
    </row>
    <row r="1981" spans="1:16" ht="12.75" x14ac:dyDescent="0.35">
      <c r="A1981" s="7">
        <v>42481.582615740743</v>
      </c>
      <c r="B1981" s="8" t="str">
        <f>HYPERLINK("https://twitter.com/FM_Elektro","@FM_Elektro")</f>
        <v>@FM_Elektro</v>
      </c>
      <c r="C1981" s="9" t="s">
        <v>2360</v>
      </c>
      <c r="D1981" s="9" t="s">
        <v>3619</v>
      </c>
      <c r="E1981" s="10" t="str">
        <f>HYPERLINK("https://twitter.com/FM_Elektro/status/723065981342502913","723065981342502913")</f>
        <v>723065981342502913</v>
      </c>
      <c r="F1981" s="11" t="s">
        <v>39</v>
      </c>
      <c r="G1981" s="11">
        <v>185</v>
      </c>
      <c r="H1981" s="11">
        <v>231</v>
      </c>
      <c r="I1981" s="11">
        <v>0</v>
      </c>
      <c r="J1981" s="11">
        <v>0</v>
      </c>
      <c r="K1981" s="11" t="s">
        <v>21</v>
      </c>
      <c r="L1981" s="7">
        <v>41464.652106481481</v>
      </c>
      <c r="M1981" s="12" t="s">
        <v>2362</v>
      </c>
      <c r="N1981" s="12" t="s">
        <v>2363</v>
      </c>
      <c r="O1981" s="10" t="str">
        <f>HYPERLINK("https://pbs.twimg.com/profile_images/699912588302426112/2kZQzAuA_normal.jpg","View")</f>
        <v>View</v>
      </c>
      <c r="P1981" s="11"/>
    </row>
    <row r="1982" spans="1:16" ht="12.75" x14ac:dyDescent="0.35">
      <c r="A1982" s="7">
        <v>42481.582835648151</v>
      </c>
      <c r="B1982" s="8" t="str">
        <f>HYPERLINK("https://twitter.com/EugenieNicoud","@EugenieNicoud")</f>
        <v>@EugenieNicoud</v>
      </c>
      <c r="C1982" s="9" t="s">
        <v>3612</v>
      </c>
      <c r="D1982" s="9" t="s">
        <v>3592</v>
      </c>
      <c r="E1982" s="10" t="str">
        <f>HYPERLINK("https://twitter.com/EugenieNicoud/status/723066059163463680","723066059163463680")</f>
        <v>723066059163463680</v>
      </c>
      <c r="F1982" s="11" t="s">
        <v>25</v>
      </c>
      <c r="G1982" s="11">
        <v>117</v>
      </c>
      <c r="H1982" s="11">
        <v>202</v>
      </c>
      <c r="I1982" s="11">
        <v>4</v>
      </c>
      <c r="J1982" s="11">
        <v>0</v>
      </c>
      <c r="K1982" s="11" t="s">
        <v>21</v>
      </c>
      <c r="L1982" s="7">
        <v>40797.063958333332</v>
      </c>
      <c r="M1982" s="12" t="s">
        <v>3614</v>
      </c>
      <c r="N1982" s="12" t="s">
        <v>3615</v>
      </c>
      <c r="O1982" s="10" t="str">
        <f>HYPERLINK("https://pbs.twimg.com/profile_images/687181037000994816/jJUieqYp_normal.jpg","View")</f>
        <v>View</v>
      </c>
      <c r="P1982" s="11"/>
    </row>
    <row r="1983" spans="1:16" ht="12.75" x14ac:dyDescent="0.35">
      <c r="A1983" s="7">
        <v>42481.583449074074</v>
      </c>
      <c r="B1983" s="8" t="str">
        <f>HYPERLINK("https://twitter.com/einkauf_mgmt","@einkauf_mgmt")</f>
        <v>@einkauf_mgmt</v>
      </c>
      <c r="C1983" s="9" t="s">
        <v>2425</v>
      </c>
      <c r="D1983" s="9" t="s">
        <v>3588</v>
      </c>
      <c r="E1983" s="10" t="str">
        <f>HYPERLINK("https://twitter.com/einkauf_mgmt/status/723066282728255489","723066282728255489")</f>
        <v>723066282728255489</v>
      </c>
      <c r="F1983" s="11" t="s">
        <v>25</v>
      </c>
      <c r="G1983" s="11">
        <v>773</v>
      </c>
      <c r="H1983" s="11">
        <v>1039</v>
      </c>
      <c r="I1983" s="11">
        <v>24</v>
      </c>
      <c r="J1983" s="11">
        <v>0</v>
      </c>
      <c r="K1983" s="11" t="s">
        <v>21</v>
      </c>
      <c r="L1983" s="7">
        <v>40112.815520833334</v>
      </c>
      <c r="M1983" s="12" t="s">
        <v>2427</v>
      </c>
      <c r="N1983" s="12" t="s">
        <v>2428</v>
      </c>
      <c r="O1983" s="10" t="str">
        <f>HYPERLINK("https://pbs.twimg.com/profile_images/463608454624448512/0DV5XX08_normal.jpeg","View")</f>
        <v>View</v>
      </c>
      <c r="P1983" s="11"/>
    </row>
    <row r="1984" spans="1:16" ht="12.75" x14ac:dyDescent="0.35">
      <c r="A1984" s="7">
        <v>42481.584293981483</v>
      </c>
      <c r="B1984" s="8" t="str">
        <f>HYPERLINK("https://twitter.com/BitkomResearch","@BitkomResearch")</f>
        <v>@BitkomResearch</v>
      </c>
      <c r="C1984" s="9" t="s">
        <v>238</v>
      </c>
      <c r="D1984" s="9" t="s">
        <v>3620</v>
      </c>
      <c r="E1984" s="10" t="str">
        <f>HYPERLINK("https://twitter.com/BitkomResearch/status/723066590623752193","723066590623752193")</f>
        <v>723066590623752193</v>
      </c>
      <c r="F1984" s="11" t="s">
        <v>25</v>
      </c>
      <c r="G1984" s="11">
        <v>7067</v>
      </c>
      <c r="H1984" s="11">
        <v>6781</v>
      </c>
      <c r="I1984" s="11">
        <v>7</v>
      </c>
      <c r="J1984" s="11">
        <v>4</v>
      </c>
      <c r="K1984" s="11" t="s">
        <v>21</v>
      </c>
      <c r="L1984" s="7">
        <v>42227.56631944445</v>
      </c>
      <c r="M1984" s="12" t="s">
        <v>116</v>
      </c>
      <c r="N1984" s="12" t="s">
        <v>240</v>
      </c>
      <c r="O1984" s="10" t="str">
        <f>HYPERLINK("https://pbs.twimg.com/profile_images/631021673857290240/dsNYkRwd_normal.jpg","View")</f>
        <v>View</v>
      </c>
      <c r="P1984" s="11"/>
    </row>
    <row r="1985" spans="1:16" ht="12.75" x14ac:dyDescent="0.35">
      <c r="A1985" s="7">
        <v>42481.586388888885</v>
      </c>
      <c r="B1985" s="8" t="str">
        <f>HYPERLINK("https://twitter.com/einkauf_mgmt","@einkauf_mgmt")</f>
        <v>@einkauf_mgmt</v>
      </c>
      <c r="C1985" s="9" t="s">
        <v>2425</v>
      </c>
      <c r="D1985" s="9" t="s">
        <v>3621</v>
      </c>
      <c r="E1985" s="10" t="str">
        <f>HYPERLINK("https://twitter.com/einkauf_mgmt/status/723067350652579840","723067350652579840")</f>
        <v>723067350652579840</v>
      </c>
      <c r="F1985" s="11" t="s">
        <v>25</v>
      </c>
      <c r="G1985" s="11">
        <v>773</v>
      </c>
      <c r="H1985" s="11">
        <v>1039</v>
      </c>
      <c r="I1985" s="11">
        <v>2</v>
      </c>
      <c r="J1985" s="11">
        <v>0</v>
      </c>
      <c r="K1985" s="11" t="s">
        <v>21</v>
      </c>
      <c r="L1985" s="7">
        <v>40112.815520833334</v>
      </c>
      <c r="M1985" s="12" t="s">
        <v>2427</v>
      </c>
      <c r="N1985" s="12" t="s">
        <v>2428</v>
      </c>
      <c r="O1985" s="10" t="str">
        <f>HYPERLINK("https://pbs.twimg.com/profile_images/463608454624448512/0DV5XX08_normal.jpeg","View")</f>
        <v>View</v>
      </c>
      <c r="P1985" s="11"/>
    </row>
    <row r="1986" spans="1:16" ht="12.75" x14ac:dyDescent="0.35">
      <c r="A1986" s="7">
        <v>42481.586550925931</v>
      </c>
      <c r="B1986" s="8" t="str">
        <f>HYPERLINK("https://twitter.com/it_rebellen","@it_rebellen")</f>
        <v>@it_rebellen</v>
      </c>
      <c r="C1986" s="9" t="s">
        <v>975</v>
      </c>
      <c r="D1986" s="9" t="s">
        <v>3622</v>
      </c>
      <c r="E1986" s="10" t="str">
        <f>HYPERLINK("https://twitter.com/it_rebellen/status/723067408269889536","723067408269889536")</f>
        <v>723067408269889536</v>
      </c>
      <c r="F1986" s="11" t="s">
        <v>115</v>
      </c>
      <c r="G1986" s="11">
        <v>573</v>
      </c>
      <c r="H1986" s="11">
        <v>253</v>
      </c>
      <c r="I1986" s="11">
        <v>0</v>
      </c>
      <c r="J1986" s="11">
        <v>0</v>
      </c>
      <c r="K1986" s="11" t="s">
        <v>21</v>
      </c>
      <c r="L1986" s="7">
        <v>41401.659270833334</v>
      </c>
      <c r="M1986" s="12"/>
      <c r="N1986" s="12"/>
      <c r="O1986" s="10" t="str">
        <f>HYPERLINK("https://pbs.twimg.com/profile_images/3625979673/acb661eae563d818836eb138c74e91f7_normal.jpeg","View")</f>
        <v>View</v>
      </c>
      <c r="P1986" s="11"/>
    </row>
    <row r="1987" spans="1:16" ht="12.75" x14ac:dyDescent="0.35">
      <c r="A1987" s="7">
        <v>42481.586550925931</v>
      </c>
      <c r="B1987" s="8" t="str">
        <f>HYPERLINK("https://twitter.com/christophwitte","@christophwitte")</f>
        <v>@christophwitte</v>
      </c>
      <c r="C1987" s="9" t="s">
        <v>972</v>
      </c>
      <c r="D1987" s="9" t="s">
        <v>3623</v>
      </c>
      <c r="E1987" s="10" t="str">
        <f>HYPERLINK("https://twitter.com/christophwitte/status/723067408307617792","723067408307617792")</f>
        <v>723067408307617792</v>
      </c>
      <c r="F1987" s="11" t="s">
        <v>115</v>
      </c>
      <c r="G1987" s="11">
        <v>1402</v>
      </c>
      <c r="H1987" s="11">
        <v>622</v>
      </c>
      <c r="I1987" s="11">
        <v>0</v>
      </c>
      <c r="J1987" s="11">
        <v>0</v>
      </c>
      <c r="K1987" s="11" t="s">
        <v>21</v>
      </c>
      <c r="L1987" s="7">
        <v>40378.60528935185</v>
      </c>
      <c r="M1987" s="12" t="s">
        <v>689</v>
      </c>
      <c r="N1987" s="12" t="s">
        <v>974</v>
      </c>
      <c r="O1987" s="10" t="str">
        <f>HYPERLINK("https://pbs.twimg.com/profile_images/618449316055748612/F_9LrZDf_normal.jpg","View")</f>
        <v>View</v>
      </c>
      <c r="P1987" s="11"/>
    </row>
    <row r="1988" spans="1:16" ht="12.75" x14ac:dyDescent="0.35">
      <c r="A1988" s="7">
        <v>42481.586967592593</v>
      </c>
      <c r="B1988" s="8" t="str">
        <f>HYPERLINK("https://twitter.com/TUI_InfoTec","@TUI_InfoTec")</f>
        <v>@TUI_InfoTec</v>
      </c>
      <c r="C1988" s="9" t="s">
        <v>3624</v>
      </c>
      <c r="D1988" s="9" t="s">
        <v>3625</v>
      </c>
      <c r="E1988" s="10" t="str">
        <f>HYPERLINK("https://twitter.com/TUI_InfoTec/status/723067560007217152","723067560007217152")</f>
        <v>723067560007217152</v>
      </c>
      <c r="F1988" s="11" t="s">
        <v>39</v>
      </c>
      <c r="G1988" s="11">
        <v>344</v>
      </c>
      <c r="H1988" s="11">
        <v>609</v>
      </c>
      <c r="I1988" s="11">
        <v>0</v>
      </c>
      <c r="J1988" s="11">
        <v>0</v>
      </c>
      <c r="K1988" s="11" t="s">
        <v>21</v>
      </c>
      <c r="L1988" s="7">
        <v>40428.771145833336</v>
      </c>
      <c r="M1988" s="12" t="s">
        <v>752</v>
      </c>
      <c r="N1988" s="12" t="s">
        <v>3626</v>
      </c>
      <c r="O1988" s="10" t="str">
        <f>HYPERLINK("https://pbs.twimg.com/profile_images/565062387749773313/MqpJDTDP_normal.png","View")</f>
        <v>View</v>
      </c>
      <c r="P1988" s="11"/>
    </row>
    <row r="1989" spans="1:16" ht="12.75" x14ac:dyDescent="0.35">
      <c r="A1989" s="7">
        <v>42481.587511574078</v>
      </c>
      <c r="B1989" s="8" t="str">
        <f>HYPERLINK("https://twitter.com/QuickFindsIn","@QuickFindsIn")</f>
        <v>@QuickFindsIn</v>
      </c>
      <c r="C1989" s="9" t="s">
        <v>208</v>
      </c>
      <c r="D1989" s="9" t="s">
        <v>452</v>
      </c>
      <c r="E1989" s="10" t="str">
        <f>HYPERLINK("https://twitter.com/QuickFindsIn/status/723067755981762561","723067755981762561")</f>
        <v>723067755981762561</v>
      </c>
      <c r="F1989" s="11" t="s">
        <v>210</v>
      </c>
      <c r="G1989" s="11">
        <v>1895</v>
      </c>
      <c r="H1989" s="11">
        <v>2758</v>
      </c>
      <c r="I1989" s="11">
        <v>0</v>
      </c>
      <c r="J1989" s="11">
        <v>0</v>
      </c>
      <c r="K1989" s="11" t="s">
        <v>21</v>
      </c>
      <c r="L1989" s="7">
        <v>42069.582048611112</v>
      </c>
      <c r="M1989" s="12" t="s">
        <v>211</v>
      </c>
      <c r="N1989" s="12" t="s">
        <v>212</v>
      </c>
      <c r="O1989" s="10" t="str">
        <f>HYPERLINK("https://pbs.twimg.com/profile_images/591951396217327616/HbcCX2zX_normal.png","View")</f>
        <v>View</v>
      </c>
      <c r="P1989" s="11"/>
    </row>
    <row r="1990" spans="1:16" ht="12.75" x14ac:dyDescent="0.35">
      <c r="A1990" s="7">
        <v>42481.588483796295</v>
      </c>
      <c r="B1990" s="8" t="str">
        <f>HYPERLINK("https://twitter.com/ITK_OWL","@ITK_OWL")</f>
        <v>@ITK_OWL</v>
      </c>
      <c r="C1990" s="9" t="s">
        <v>220</v>
      </c>
      <c r="D1990" s="9" t="s">
        <v>3627</v>
      </c>
      <c r="E1990" s="10" t="str">
        <f>HYPERLINK("https://twitter.com/ITK_OWL/status/723068109054201856","723068109054201856")</f>
        <v>723068109054201856</v>
      </c>
      <c r="F1990" s="11" t="s">
        <v>222</v>
      </c>
      <c r="G1990" s="11">
        <v>199</v>
      </c>
      <c r="H1990" s="11">
        <v>389</v>
      </c>
      <c r="I1990" s="11">
        <v>1</v>
      </c>
      <c r="J1990" s="11">
        <v>0</v>
      </c>
      <c r="K1990" s="11" t="s">
        <v>21</v>
      </c>
      <c r="L1990" s="7">
        <v>42146.57880787037</v>
      </c>
      <c r="M1990" s="12" t="s">
        <v>223</v>
      </c>
      <c r="N1990" s="12" t="s">
        <v>224</v>
      </c>
      <c r="O1990" s="10" t="str">
        <f>HYPERLINK("https://pbs.twimg.com/profile_images/601673968551075840/MnulnKkj_normal.png","View")</f>
        <v>View</v>
      </c>
      <c r="P1990" s="11"/>
    </row>
    <row r="1991" spans="1:16" ht="12.75" x14ac:dyDescent="0.35">
      <c r="A1991" s="7">
        <v>42481.590324074074</v>
      </c>
      <c r="B1991" s="8" t="str">
        <f>HYPERLINK("https://twitter.com/Apandia","@Apandia")</f>
        <v>@Apandia</v>
      </c>
      <c r="C1991" s="9" t="s">
        <v>245</v>
      </c>
      <c r="D1991" s="9" t="s">
        <v>3628</v>
      </c>
      <c r="E1991" s="10" t="str">
        <f>HYPERLINK("https://twitter.com/Apandia/status/723068773800906753","723068773800906753")</f>
        <v>723068773800906753</v>
      </c>
      <c r="F1991" s="11" t="s">
        <v>115</v>
      </c>
      <c r="G1991" s="11">
        <v>196</v>
      </c>
      <c r="H1991" s="11">
        <v>384</v>
      </c>
      <c r="I1991" s="11">
        <v>0</v>
      </c>
      <c r="J1991" s="11">
        <v>1</v>
      </c>
      <c r="K1991" s="11" t="s">
        <v>21</v>
      </c>
      <c r="L1991" s="7">
        <v>39966.049884259257</v>
      </c>
      <c r="M1991" s="12" t="s">
        <v>247</v>
      </c>
      <c r="N1991" s="12" t="s">
        <v>248</v>
      </c>
      <c r="O1991" s="10" t="str">
        <f>HYPERLINK("https://pbs.twimg.com/profile_images/685327213/Apandia_normal.gif","View")</f>
        <v>View</v>
      </c>
      <c r="P1991" s="11"/>
    </row>
    <row r="1992" spans="1:16" ht="12.75" x14ac:dyDescent="0.35">
      <c r="A1992" s="7">
        <v>42481.59376157407</v>
      </c>
      <c r="B1992" s="8" t="str">
        <f>HYPERLINK("https://twitter.com/kklive","@kklive")</f>
        <v>@kklive</v>
      </c>
      <c r="C1992" s="9" t="s">
        <v>3629</v>
      </c>
      <c r="D1992" s="9" t="s">
        <v>3630</v>
      </c>
      <c r="E1992" s="10" t="str">
        <f>HYPERLINK("https://twitter.com/kklive/status/723070021069582336","723070021069582336")</f>
        <v>723070021069582336</v>
      </c>
      <c r="F1992" s="11" t="s">
        <v>31</v>
      </c>
      <c r="G1992" s="11">
        <v>769</v>
      </c>
      <c r="H1992" s="11">
        <v>127</v>
      </c>
      <c r="I1992" s="11">
        <v>1</v>
      </c>
      <c r="J1992" s="11">
        <v>0</v>
      </c>
      <c r="K1992" s="11" t="s">
        <v>21</v>
      </c>
      <c r="L1992" s="7">
        <v>39871.646828703706</v>
      </c>
      <c r="M1992" s="12" t="s">
        <v>3631</v>
      </c>
      <c r="N1992" s="12" t="s">
        <v>3632</v>
      </c>
      <c r="O1992" s="10" t="str">
        <f>HYPERLINK("https://pbs.twimg.com/profile_images/639031651515920384/qwABQBI8_normal.jpg","View")</f>
        <v>View</v>
      </c>
      <c r="P1992" s="11"/>
    </row>
    <row r="1993" spans="1:16" ht="12.75" x14ac:dyDescent="0.35">
      <c r="A1993" s="7">
        <v>42481.596099537041</v>
      </c>
      <c r="B1993" s="8" t="str">
        <f>HYPERLINK("https://twitter.com/SGE","@SGE")</f>
        <v>@SGE</v>
      </c>
      <c r="C1993" s="9" t="s">
        <v>3633</v>
      </c>
      <c r="D1993" s="9" t="s">
        <v>3634</v>
      </c>
      <c r="E1993" s="10" t="str">
        <f>HYPERLINK("https://twitter.com/SGE/status/723070869552025600","723070869552025600")</f>
        <v>723070869552025600</v>
      </c>
      <c r="F1993" s="11" t="s">
        <v>39</v>
      </c>
      <c r="G1993" s="11">
        <v>1901</v>
      </c>
      <c r="H1993" s="11">
        <v>231</v>
      </c>
      <c r="I1993" s="11">
        <v>1</v>
      </c>
      <c r="J1993" s="11">
        <v>1</v>
      </c>
      <c r="K1993" s="11" t="s">
        <v>21</v>
      </c>
      <c r="L1993" s="7">
        <v>39937.802928240737</v>
      </c>
      <c r="M1993" s="12" t="s">
        <v>3635</v>
      </c>
      <c r="N1993" s="12" t="s">
        <v>3636</v>
      </c>
      <c r="O1993" s="10" t="str">
        <f>HYPERLINK("https://pbs.twimg.com/profile_images/471312276767535104/TIanhngf_normal.jpeg","View")</f>
        <v>View</v>
      </c>
      <c r="P1993" s="11"/>
    </row>
    <row r="1994" spans="1:16" ht="12.75" x14ac:dyDescent="0.35">
      <c r="A1994" s="7">
        <v>42481.596354166672</v>
      </c>
      <c r="B1994" s="8" t="str">
        <f>HYPERLINK("https://twitter.com/edmundkomar","@edmundkomar")</f>
        <v>@edmundkomar</v>
      </c>
      <c r="C1994" s="9" t="s">
        <v>3637</v>
      </c>
      <c r="D1994" s="9" t="s">
        <v>3588</v>
      </c>
      <c r="E1994" s="10" t="str">
        <f>HYPERLINK("https://twitter.com/edmundkomar/status/723070959503200256","723070959503200256")</f>
        <v>723070959503200256</v>
      </c>
      <c r="F1994" s="11" t="s">
        <v>29</v>
      </c>
      <c r="G1994" s="11">
        <v>655</v>
      </c>
      <c r="H1994" s="11">
        <v>693</v>
      </c>
      <c r="I1994" s="11">
        <v>24</v>
      </c>
      <c r="J1994" s="11">
        <v>0</v>
      </c>
      <c r="K1994" s="11" t="s">
        <v>21</v>
      </c>
      <c r="L1994" s="7">
        <v>40566.840081018519</v>
      </c>
      <c r="M1994" s="12" t="s">
        <v>92</v>
      </c>
      <c r="N1994" s="12" t="s">
        <v>3638</v>
      </c>
      <c r="O1994" s="10" t="str">
        <f>HYPERLINK("https://pbs.twimg.com/profile_images/2389009916/image_normal.jpg","View")</f>
        <v>View</v>
      </c>
      <c r="P1994" s="11"/>
    </row>
    <row r="1995" spans="1:16" ht="12.75" x14ac:dyDescent="0.35">
      <c r="A1995" s="7">
        <v>42481.598402777774</v>
      </c>
      <c r="B1995" s="8" t="str">
        <f>HYPERLINK("https://twitter.com/SY_HCL","@SY_HCL")</f>
        <v>@SY_HCL</v>
      </c>
      <c r="C1995" s="9" t="s">
        <v>3639</v>
      </c>
      <c r="D1995" s="9" t="s">
        <v>3640</v>
      </c>
      <c r="E1995" s="10" t="str">
        <f>HYPERLINK("https://twitter.com/SY_HCL/status/723071700707991552","723071700707991552")</f>
        <v>723071700707991552</v>
      </c>
      <c r="F1995" s="11" t="s">
        <v>437</v>
      </c>
      <c r="G1995" s="11">
        <v>2223</v>
      </c>
      <c r="H1995" s="11">
        <v>2131</v>
      </c>
      <c r="I1995" s="11">
        <v>1</v>
      </c>
      <c r="J1995" s="11">
        <v>0</v>
      </c>
      <c r="K1995" s="11" t="s">
        <v>21</v>
      </c>
      <c r="L1995" s="7">
        <v>41892.133414351854</v>
      </c>
      <c r="M1995" s="12" t="s">
        <v>3641</v>
      </c>
      <c r="N1995" s="12" t="s">
        <v>3642</v>
      </c>
      <c r="O1995" s="10" t="str">
        <f>HYPERLINK("https://pbs.twimg.com/profile_images/509470222244249600/93cDgKgI_normal.jpeg","View")</f>
        <v>View</v>
      </c>
      <c r="P1995" s="11"/>
    </row>
    <row r="1996" spans="1:16" ht="12.75" x14ac:dyDescent="0.35">
      <c r="A1996" s="7">
        <v>42481.598703703705</v>
      </c>
      <c r="B1996" s="8" t="str">
        <f>HYPERLINK("https://twitter.com/ZVEIorg","@ZVEIorg")</f>
        <v>@ZVEIorg</v>
      </c>
      <c r="C1996" s="9" t="s">
        <v>390</v>
      </c>
      <c r="D1996" s="9" t="s">
        <v>3643</v>
      </c>
      <c r="E1996" s="10" t="str">
        <f>HYPERLINK("https://twitter.com/ZVEIorg/status/723071812498644992","723071812498644992")</f>
        <v>723071812498644992</v>
      </c>
      <c r="F1996" s="11" t="s">
        <v>25</v>
      </c>
      <c r="G1996" s="11">
        <v>2546</v>
      </c>
      <c r="H1996" s="11">
        <v>581</v>
      </c>
      <c r="I1996" s="11">
        <v>11</v>
      </c>
      <c r="J1996" s="11">
        <v>4</v>
      </c>
      <c r="K1996" s="11" t="s">
        <v>21</v>
      </c>
      <c r="L1996" s="7">
        <v>41247.641875000001</v>
      </c>
      <c r="M1996" s="12" t="s">
        <v>392</v>
      </c>
      <c r="N1996" s="12" t="s">
        <v>393</v>
      </c>
      <c r="O1996" s="10" t="str">
        <f>HYPERLINK("https://pbs.twimg.com/profile_images/479147477975588864/z94n3mRF_normal.jpeg","View")</f>
        <v>View</v>
      </c>
      <c r="P1996" s="11"/>
    </row>
    <row r="1997" spans="1:16" ht="12.75" x14ac:dyDescent="0.35">
      <c r="A1997" s="7">
        <v>42481.599016203705</v>
      </c>
      <c r="B1997" s="8" t="str">
        <f>HYPERLINK("https://twitter.com/ZuliefermarktDE","@ZuliefermarktDE")</f>
        <v>@ZuliefermarktDE</v>
      </c>
      <c r="C1997" s="9" t="s">
        <v>818</v>
      </c>
      <c r="D1997" s="9" t="s">
        <v>3644</v>
      </c>
      <c r="E1997" s="10" t="str">
        <f>HYPERLINK("https://twitter.com/ZuliefermarktDE/status/723071926122479616","723071926122479616")</f>
        <v>723071926122479616</v>
      </c>
      <c r="F1997" s="11" t="s">
        <v>115</v>
      </c>
      <c r="G1997" s="11">
        <v>671</v>
      </c>
      <c r="H1997" s="11">
        <v>1259</v>
      </c>
      <c r="I1997" s="11">
        <v>1</v>
      </c>
      <c r="J1997" s="11">
        <v>0</v>
      </c>
      <c r="K1997" s="11" t="s">
        <v>21</v>
      </c>
      <c r="L1997" s="7">
        <v>42186.652627314819</v>
      </c>
      <c r="M1997" s="12" t="s">
        <v>440</v>
      </c>
      <c r="N1997" s="12" t="s">
        <v>820</v>
      </c>
      <c r="O1997" s="10" t="str">
        <f>HYPERLINK("https://pbs.twimg.com/profile_images/621343128902107136/CU4aO3wi_normal.jpg","View")</f>
        <v>View</v>
      </c>
      <c r="P1997" s="11"/>
    </row>
    <row r="1998" spans="1:16" ht="12.75" x14ac:dyDescent="0.35">
      <c r="A1998" s="7">
        <v>42481.599270833336</v>
      </c>
      <c r="B1998" s="8" t="str">
        <f>HYPERLINK("https://twitter.com/NicolasChulot","@NicolasChulot")</f>
        <v>@NicolasChulot</v>
      </c>
      <c r="C1998" s="9" t="s">
        <v>1621</v>
      </c>
      <c r="D1998" s="9" t="s">
        <v>3429</v>
      </c>
      <c r="E1998" s="10" t="str">
        <f>HYPERLINK("https://twitter.com/NicolasChulot/status/723072017054867456","723072017054867456")</f>
        <v>723072017054867456</v>
      </c>
      <c r="F1998" s="11" t="s">
        <v>25</v>
      </c>
      <c r="G1998" s="11">
        <v>68</v>
      </c>
      <c r="H1998" s="11">
        <v>432</v>
      </c>
      <c r="I1998" s="11">
        <v>5</v>
      </c>
      <c r="J1998" s="11">
        <v>0</v>
      </c>
      <c r="K1998" s="11" t="s">
        <v>21</v>
      </c>
      <c r="L1998" s="7">
        <v>42451.762048611112</v>
      </c>
      <c r="M1998" s="12" t="s">
        <v>1622</v>
      </c>
      <c r="N1998" s="12" t="s">
        <v>1623</v>
      </c>
      <c r="O1998" s="10" t="str">
        <f>HYPERLINK("https://pbs.twimg.com/profile_images/712259533599580160/jLEP38YT_normal.jpg","View")</f>
        <v>View</v>
      </c>
      <c r="P1998" s="11"/>
    </row>
    <row r="1999" spans="1:16" ht="12.75" x14ac:dyDescent="0.35">
      <c r="A1999" s="7">
        <v>42481.600486111114</v>
      </c>
      <c r="B1999" s="8" t="str">
        <f t="shared" ref="B1999:B2000" si="236">HYPERLINK("https://twitter.com/Balluff_Service","@Balluff_Service")</f>
        <v>@Balluff_Service</v>
      </c>
      <c r="C1999" s="9" t="s">
        <v>3645</v>
      </c>
      <c r="D1999" s="9" t="s">
        <v>3646</v>
      </c>
      <c r="E1999" s="10" t="str">
        <f>HYPERLINK("https://twitter.com/Balluff_Service/status/723072455422529536","723072455422529536")</f>
        <v>723072455422529536</v>
      </c>
      <c r="F1999" s="11" t="s">
        <v>25</v>
      </c>
      <c r="G1999" s="11">
        <v>12</v>
      </c>
      <c r="H1999" s="11">
        <v>25</v>
      </c>
      <c r="I1999" s="11">
        <v>11</v>
      </c>
      <c r="J1999" s="11">
        <v>0</v>
      </c>
      <c r="K1999" s="11" t="s">
        <v>21</v>
      </c>
      <c r="L1999" s="7">
        <v>41967.080046296294</v>
      </c>
      <c r="M1999" s="12" t="s">
        <v>3647</v>
      </c>
      <c r="N1999" s="12" t="s">
        <v>3648</v>
      </c>
      <c r="O1999" s="10" t="str">
        <f t="shared" ref="O1999:O2000" si="237">HYPERLINK("https://pbs.twimg.com/profile_images/576038384629469184/KCHV0Anq_normal.png","View")</f>
        <v>View</v>
      </c>
      <c r="P1999" s="11"/>
    </row>
    <row r="2000" spans="1:16" ht="12.75" x14ac:dyDescent="0.35">
      <c r="A2000" s="7">
        <v>42481.600659722222</v>
      </c>
      <c r="B2000" s="8" t="str">
        <f t="shared" si="236"/>
        <v>@Balluff_Service</v>
      </c>
      <c r="C2000" s="9" t="s">
        <v>3645</v>
      </c>
      <c r="D2000" s="9" t="s">
        <v>3649</v>
      </c>
      <c r="E2000" s="10" t="str">
        <f>HYPERLINK("https://twitter.com/Balluff_Service/status/723072518202904577","723072518202904577")</f>
        <v>723072518202904577</v>
      </c>
      <c r="F2000" s="11" t="s">
        <v>25</v>
      </c>
      <c r="G2000" s="11">
        <v>12</v>
      </c>
      <c r="H2000" s="11">
        <v>25</v>
      </c>
      <c r="I2000" s="11">
        <v>5</v>
      </c>
      <c r="J2000" s="11">
        <v>0</v>
      </c>
      <c r="K2000" s="11" t="s">
        <v>21</v>
      </c>
      <c r="L2000" s="7">
        <v>41967.080046296294</v>
      </c>
      <c r="M2000" s="12" t="s">
        <v>3647</v>
      </c>
      <c r="N2000" s="12" t="s">
        <v>3648</v>
      </c>
      <c r="O2000" s="10" t="str">
        <f t="shared" si="237"/>
        <v>View</v>
      </c>
      <c r="P2000" s="11"/>
    </row>
    <row r="2001" spans="1:16" ht="12.75" x14ac:dyDescent="0.35">
      <c r="A2001" s="7">
        <v>42481.600787037038</v>
      </c>
      <c r="B2001" s="8" t="str">
        <f>HYPERLINK("https://twitter.com/DigitalTrans_HS","@DigitalTrans_HS")</f>
        <v>@DigitalTrans_HS</v>
      </c>
      <c r="C2001" s="9" t="s">
        <v>3650</v>
      </c>
      <c r="D2001" s="9" t="s">
        <v>3651</v>
      </c>
      <c r="E2001" s="10" t="str">
        <f>HYPERLINK("https://twitter.com/DigitalTrans_HS/status/723072565586042880","723072565586042880")</f>
        <v>723072565586042880</v>
      </c>
      <c r="F2001" s="11" t="s">
        <v>39</v>
      </c>
      <c r="G2001" s="11">
        <v>522</v>
      </c>
      <c r="H2001" s="11">
        <v>22</v>
      </c>
      <c r="I2001" s="11">
        <v>2</v>
      </c>
      <c r="J2001" s="11">
        <v>0</v>
      </c>
      <c r="K2001" s="11" t="s">
        <v>21</v>
      </c>
      <c r="L2001" s="7">
        <v>42030.804988425924</v>
      </c>
      <c r="M2001" s="12" t="s">
        <v>3652</v>
      </c>
      <c r="N2001" s="12" t="s">
        <v>3653</v>
      </c>
      <c r="O2001" s="10" t="str">
        <f>HYPERLINK("https://pbs.twimg.com/profile_images/685894100067991553/nISPLP0O_normal.jpg","View")</f>
        <v>View</v>
      </c>
      <c r="P2001" s="11"/>
    </row>
    <row r="2002" spans="1:16" ht="12.75" x14ac:dyDescent="0.35">
      <c r="A2002" s="7">
        <v>42481.600787037038</v>
      </c>
      <c r="B2002" s="8" t="str">
        <f>HYPERLINK("https://twitter.com/HolgerSchmidt","@HolgerSchmidt")</f>
        <v>@HolgerSchmidt</v>
      </c>
      <c r="C2002" s="9" t="s">
        <v>3650</v>
      </c>
      <c r="D2002" s="9" t="s">
        <v>3654</v>
      </c>
      <c r="E2002" s="10" t="str">
        <f>HYPERLINK("https://twitter.com/HolgerSchmidt/status/723072565879672833","723072565879672833")</f>
        <v>723072565879672833</v>
      </c>
      <c r="F2002" s="11" t="s">
        <v>39</v>
      </c>
      <c r="G2002" s="11">
        <v>40909</v>
      </c>
      <c r="H2002" s="11">
        <v>730</v>
      </c>
      <c r="I2002" s="11">
        <v>10</v>
      </c>
      <c r="J2002" s="11">
        <v>4</v>
      </c>
      <c r="K2002" s="11" t="s">
        <v>21</v>
      </c>
      <c r="L2002" s="7">
        <v>39607.053877314815</v>
      </c>
      <c r="M2002" s="12" t="s">
        <v>3655</v>
      </c>
      <c r="N2002" s="12" t="s">
        <v>3656</v>
      </c>
      <c r="O2002" s="10" t="str">
        <f>HYPERLINK("https://pbs.twimg.com/profile_images/643020582188130304/nh8hXpkM_normal.jpg","View")</f>
        <v>View</v>
      </c>
      <c r="P2002" s="11"/>
    </row>
    <row r="2003" spans="1:16" ht="12.75" x14ac:dyDescent="0.35">
      <c r="A2003" s="7">
        <v>42481.60092592593</v>
      </c>
      <c r="B2003" s="8" t="str">
        <f>HYPERLINK("https://twitter.com/EKlingenburg","@EKlingenburg")</f>
        <v>@EKlingenburg</v>
      </c>
      <c r="C2003" s="9" t="s">
        <v>3272</v>
      </c>
      <c r="D2003" s="9" t="s">
        <v>3657</v>
      </c>
      <c r="E2003" s="10" t="str">
        <f>HYPERLINK("https://twitter.com/EKlingenburg/status/723072618316873728","723072618316873728")</f>
        <v>723072618316873728</v>
      </c>
      <c r="F2003" s="11" t="s">
        <v>115</v>
      </c>
      <c r="G2003" s="11">
        <v>87</v>
      </c>
      <c r="H2003" s="11">
        <v>694</v>
      </c>
      <c r="I2003" s="11">
        <v>10</v>
      </c>
      <c r="J2003" s="11">
        <v>0</v>
      </c>
      <c r="K2003" s="11" t="s">
        <v>21</v>
      </c>
      <c r="L2003" s="7">
        <v>42184.798020833332</v>
      </c>
      <c r="M2003" s="12" t="s">
        <v>2654</v>
      </c>
      <c r="N2003" s="12" t="s">
        <v>3658</v>
      </c>
      <c r="O2003" s="10" t="str">
        <f>HYPERLINK("https://pbs.twimg.com/profile_images/668918617162055680/1_xGD9Jm_normal.jpg","View")</f>
        <v>View</v>
      </c>
      <c r="P2003" s="11"/>
    </row>
    <row r="2004" spans="1:16" ht="12.75" x14ac:dyDescent="0.35">
      <c r="A2004" s="7">
        <v>42481.601076388892</v>
      </c>
      <c r="B2004" s="8" t="str">
        <f>HYPERLINK("https://twitter.com/ATS_news","@ATS_news")</f>
        <v>@ATS_news</v>
      </c>
      <c r="C2004" s="9" t="s">
        <v>3659</v>
      </c>
      <c r="D2004" s="9" t="s">
        <v>3657</v>
      </c>
      <c r="E2004" s="10" t="str">
        <f>HYPERLINK("https://twitter.com/ATS_news/status/723072672461152256","723072672461152256")</f>
        <v>723072672461152256</v>
      </c>
      <c r="F2004" s="11" t="s">
        <v>115</v>
      </c>
      <c r="G2004" s="11">
        <v>34</v>
      </c>
      <c r="H2004" s="11">
        <v>26</v>
      </c>
      <c r="I2004" s="11">
        <v>10</v>
      </c>
      <c r="J2004" s="11">
        <v>0</v>
      </c>
      <c r="K2004" s="11" t="s">
        <v>21</v>
      </c>
      <c r="L2004" s="7">
        <v>42326.590081018519</v>
      </c>
      <c r="M2004" s="12" t="s">
        <v>227</v>
      </c>
      <c r="N2004" s="12" t="s">
        <v>3660</v>
      </c>
      <c r="O2004" s="10" t="str">
        <f>HYPERLINK("https://pbs.twimg.com/profile_images/699901160942149632/lf7nX7j1_normal.jpg","View")</f>
        <v>View</v>
      </c>
      <c r="P2004" s="11"/>
    </row>
    <row r="2005" spans="1:16" ht="12.75" x14ac:dyDescent="0.35">
      <c r="A2005" s="7">
        <v>42481.601747685185</v>
      </c>
      <c r="B2005" s="8" t="str">
        <f>HYPERLINK("https://twitter.com/itandbusinessDE","@itandbusinessDE")</f>
        <v>@itandbusinessDE</v>
      </c>
      <c r="C2005" s="9" t="s">
        <v>3661</v>
      </c>
      <c r="D2005" s="9" t="s">
        <v>3662</v>
      </c>
      <c r="E2005" s="10" t="str">
        <f>HYPERLINK("https://twitter.com/itandbusinessDE/status/723072913008656384","723072913008656384")</f>
        <v>723072913008656384</v>
      </c>
      <c r="F2005" s="11" t="s">
        <v>39</v>
      </c>
      <c r="G2005" s="11">
        <v>4183</v>
      </c>
      <c r="H2005" s="11">
        <v>2884</v>
      </c>
      <c r="I2005" s="11">
        <v>0</v>
      </c>
      <c r="J2005" s="11">
        <v>0</v>
      </c>
      <c r="K2005" s="11" t="s">
        <v>21</v>
      </c>
      <c r="L2005" s="7">
        <v>40068.705810185187</v>
      </c>
      <c r="M2005" s="12" t="s">
        <v>3663</v>
      </c>
      <c r="N2005" s="12" t="s">
        <v>3664</v>
      </c>
      <c r="O2005" s="10" t="str">
        <f>HYPERLINK("https://pbs.twimg.com/profile_images/563252945509036033/3wwTevl0_normal.jpeg","View")</f>
        <v>View</v>
      </c>
      <c r="P2005" s="11"/>
    </row>
    <row r="2006" spans="1:16" ht="12.75" x14ac:dyDescent="0.35">
      <c r="A2006" s="7">
        <v>42481.601840277777</v>
      </c>
      <c r="B2006" s="8" t="str">
        <f>HYPERLINK("https://twitter.com/ZuliefermarktDE","@ZuliefermarktDE")</f>
        <v>@ZuliefermarktDE</v>
      </c>
      <c r="C2006" s="9" t="s">
        <v>818</v>
      </c>
      <c r="D2006" s="9" t="s">
        <v>3665</v>
      </c>
      <c r="E2006" s="10" t="str">
        <f>HYPERLINK("https://twitter.com/ZuliefermarktDE/status/723072948635078656","723072948635078656")</f>
        <v>723072948635078656</v>
      </c>
      <c r="F2006" s="11" t="s">
        <v>115</v>
      </c>
      <c r="G2006" s="11">
        <v>671</v>
      </c>
      <c r="H2006" s="11">
        <v>1259</v>
      </c>
      <c r="I2006" s="11">
        <v>1</v>
      </c>
      <c r="J2006" s="11">
        <v>0</v>
      </c>
      <c r="K2006" s="11" t="s">
        <v>21</v>
      </c>
      <c r="L2006" s="7">
        <v>42186.652627314819</v>
      </c>
      <c r="M2006" s="12" t="s">
        <v>440</v>
      </c>
      <c r="N2006" s="12" t="s">
        <v>820</v>
      </c>
      <c r="O2006" s="10" t="str">
        <f>HYPERLINK("https://pbs.twimg.com/profile_images/621343128902107136/CU4aO3wi_normal.jpg","View")</f>
        <v>View</v>
      </c>
      <c r="P2006" s="11"/>
    </row>
    <row r="2007" spans="1:16" ht="12.75" x14ac:dyDescent="0.35">
      <c r="A2007" s="7">
        <v>42481.602453703701</v>
      </c>
      <c r="B2007" s="8" t="str">
        <f>HYPERLINK("https://twitter.com/tobias_goers","@tobias_goers")</f>
        <v>@tobias_goers</v>
      </c>
      <c r="C2007" s="9" t="s">
        <v>1020</v>
      </c>
      <c r="D2007" s="9" t="s">
        <v>3666</v>
      </c>
      <c r="E2007" s="10" t="str">
        <f>HYPERLINK("https://twitter.com/tobias_goers/status/723073168924008448","723073168924008448")</f>
        <v>723073168924008448</v>
      </c>
      <c r="F2007" s="11" t="s">
        <v>25</v>
      </c>
      <c r="G2007" s="11">
        <v>649</v>
      </c>
      <c r="H2007" s="11">
        <v>1310</v>
      </c>
      <c r="I2007" s="11">
        <v>2</v>
      </c>
      <c r="J2007" s="11">
        <v>0</v>
      </c>
      <c r="K2007" s="11" t="s">
        <v>21</v>
      </c>
      <c r="L2007" s="7">
        <v>42195.589988425927</v>
      </c>
      <c r="M2007" s="12" t="s">
        <v>549</v>
      </c>
      <c r="N2007" s="12" t="s">
        <v>1022</v>
      </c>
      <c r="O2007" s="10" t="str">
        <f>HYPERLINK("https://pbs.twimg.com/profile_images/619429467434434560/ywWYiH5V_normal.jpg","View")</f>
        <v>View</v>
      </c>
      <c r="P2007" s="11"/>
    </row>
    <row r="2008" spans="1:16" ht="12.75" x14ac:dyDescent="0.35">
      <c r="A2008" s="7">
        <v>42481.602581018524</v>
      </c>
      <c r="B2008" s="8" t="str">
        <f>HYPERLINK("https://twitter.com/BMAS_Bund","@BMAS_Bund")</f>
        <v>@BMAS_Bund</v>
      </c>
      <c r="C2008" s="9" t="s">
        <v>3667</v>
      </c>
      <c r="D2008" s="9" t="s">
        <v>3668</v>
      </c>
      <c r="E2008" s="10" t="str">
        <f>HYPERLINK("https://twitter.com/BMAS_Bund/status/723073217242476544","723073217242476544")</f>
        <v>723073217242476544</v>
      </c>
      <c r="F2008" s="11" t="s">
        <v>115</v>
      </c>
      <c r="G2008" s="11">
        <v>6633</v>
      </c>
      <c r="H2008" s="11">
        <v>158</v>
      </c>
      <c r="I2008" s="11">
        <v>1</v>
      </c>
      <c r="J2008" s="11">
        <v>0</v>
      </c>
      <c r="K2008" s="11" t="s">
        <v>21</v>
      </c>
      <c r="L2008" s="7">
        <v>41449.835231481484</v>
      </c>
      <c r="M2008" s="12" t="s">
        <v>218</v>
      </c>
      <c r="N2008" s="12" t="s">
        <v>3669</v>
      </c>
      <c r="O2008" s="10" t="str">
        <f>HYPERLINK("https://pbs.twimg.com/profile_images/458890407313559552/jLyIiacO_normal.png","View")</f>
        <v>View</v>
      </c>
      <c r="P2008" s="11"/>
    </row>
    <row r="2009" spans="1:16" ht="12.75" x14ac:dyDescent="0.35">
      <c r="A2009" s="7">
        <v>42481.602766203709</v>
      </c>
      <c r="B2009" s="8" t="str">
        <f>HYPERLINK("https://twitter.com/VhUHessen","@VhUHessen")</f>
        <v>@VhUHessen</v>
      </c>
      <c r="C2009" s="9" t="s">
        <v>3062</v>
      </c>
      <c r="D2009" s="9" t="s">
        <v>3670</v>
      </c>
      <c r="E2009" s="10" t="str">
        <f>HYPERLINK("https://twitter.com/VhUHessen/status/723073283554455552","723073283554455552")</f>
        <v>723073283554455552</v>
      </c>
      <c r="F2009" s="11" t="s">
        <v>39</v>
      </c>
      <c r="G2009" s="11">
        <v>454</v>
      </c>
      <c r="H2009" s="11">
        <v>98</v>
      </c>
      <c r="I2009" s="11">
        <v>7</v>
      </c>
      <c r="J2009" s="11">
        <v>0</v>
      </c>
      <c r="K2009" s="11" t="s">
        <v>21</v>
      </c>
      <c r="L2009" s="7">
        <v>39910.635138888887</v>
      </c>
      <c r="M2009" s="12" t="s">
        <v>1290</v>
      </c>
      <c r="N2009" s="12" t="s">
        <v>3063</v>
      </c>
      <c r="O2009" s="10" t="str">
        <f>HYPERLINK("https://pbs.twimg.com/profile_images/514736619115384832/edvgJxyt_normal.png","View")</f>
        <v>View</v>
      </c>
      <c r="P2009" s="11"/>
    </row>
    <row r="2010" spans="1:16" ht="12.75" x14ac:dyDescent="0.35">
      <c r="A2010" s="7">
        <v>42481.60355324074</v>
      </c>
      <c r="B2010" s="8" t="str">
        <f>HYPERLINK("https://twitter.com/LWalendy","@LWalendy")</f>
        <v>@LWalendy</v>
      </c>
      <c r="C2010" s="9" t="s">
        <v>805</v>
      </c>
      <c r="D2010" s="9" t="s">
        <v>3657</v>
      </c>
      <c r="E2010" s="10" t="str">
        <f>HYPERLINK("https://twitter.com/LWalendy/status/723073569589063680","723073569589063680")</f>
        <v>723073569589063680</v>
      </c>
      <c r="F2010" s="11" t="s">
        <v>25</v>
      </c>
      <c r="G2010" s="11">
        <v>412</v>
      </c>
      <c r="H2010" s="11">
        <v>588</v>
      </c>
      <c r="I2010" s="11">
        <v>10</v>
      </c>
      <c r="J2010" s="11">
        <v>0</v>
      </c>
      <c r="K2010" s="11" t="s">
        <v>21</v>
      </c>
      <c r="L2010" s="7">
        <v>42156.821215277778</v>
      </c>
      <c r="M2010" s="12"/>
      <c r="N2010" s="12" t="s">
        <v>807</v>
      </c>
      <c r="O2010" s="10" t="str">
        <f>HYPERLINK("https://pbs.twimg.com/profile_images/606758558391246848/OeI4jq0j_normal.jpg","View")</f>
        <v>View</v>
      </c>
      <c r="P2010" s="11"/>
    </row>
    <row r="2011" spans="1:16" ht="12.75" x14ac:dyDescent="0.35">
      <c r="A2011" s="7">
        <v>42481.603946759264</v>
      </c>
      <c r="B2011" s="8" t="str">
        <f>HYPERLINK("https://twitter.com/EFFRA_Live","@EFFRA_Live")</f>
        <v>@EFFRA_Live</v>
      </c>
      <c r="C2011" s="9" t="s">
        <v>3671</v>
      </c>
      <c r="D2011" s="9" t="s">
        <v>3672</v>
      </c>
      <c r="E2011" s="10" t="str">
        <f>HYPERLINK("https://twitter.com/EFFRA_Live/status/723073710144380928","723073710144380928")</f>
        <v>723073710144380928</v>
      </c>
      <c r="F2011" s="11" t="s">
        <v>25</v>
      </c>
      <c r="G2011" s="11">
        <v>1357</v>
      </c>
      <c r="H2011" s="11">
        <v>479</v>
      </c>
      <c r="I2011" s="11">
        <v>1</v>
      </c>
      <c r="J2011" s="11">
        <v>2</v>
      </c>
      <c r="K2011" s="11" t="s">
        <v>21</v>
      </c>
      <c r="L2011" s="7">
        <v>40877.621319444443</v>
      </c>
      <c r="M2011" s="12" t="s">
        <v>2350</v>
      </c>
      <c r="N2011" s="12" t="s">
        <v>3673</v>
      </c>
      <c r="O2011" s="10" t="str">
        <f>HYPERLINK("https://pbs.twimg.com/profile_images/1666247023/Logo1_normal.jpg","View")</f>
        <v>View</v>
      </c>
      <c r="P2011" s="11"/>
    </row>
    <row r="2012" spans="1:16" ht="12.75" x14ac:dyDescent="0.35">
      <c r="A2012" s="7">
        <v>42481.604363425926</v>
      </c>
      <c r="B2012" s="8" t="str">
        <f>HYPERLINK("https://twitter.com/verlinked","@verlinked")</f>
        <v>@verlinked</v>
      </c>
      <c r="C2012" s="9" t="s">
        <v>263</v>
      </c>
      <c r="D2012" s="9" t="s">
        <v>3674</v>
      </c>
      <c r="E2012" s="10" t="str">
        <f>HYPERLINK("https://twitter.com/verlinked/status/723073864222175233","723073864222175233")</f>
        <v>723073864222175233</v>
      </c>
      <c r="F2012" s="11" t="s">
        <v>115</v>
      </c>
      <c r="G2012" s="11">
        <v>600</v>
      </c>
      <c r="H2012" s="11">
        <v>1201</v>
      </c>
      <c r="I2012" s="11">
        <v>1</v>
      </c>
      <c r="J2012" s="11">
        <v>2</v>
      </c>
      <c r="K2012" s="11" t="s">
        <v>21</v>
      </c>
      <c r="L2012" s="7">
        <v>41463.077627314815</v>
      </c>
      <c r="M2012" s="12" t="s">
        <v>265</v>
      </c>
      <c r="N2012" s="12" t="s">
        <v>266</v>
      </c>
      <c r="O2012" s="10" t="str">
        <f>HYPERLINK("https://pbs.twimg.com/profile_images/722385992343285760/ww8YLZ2q_normal.jpg","View")</f>
        <v>View</v>
      </c>
      <c r="P2012" s="11"/>
    </row>
    <row r="2013" spans="1:16" ht="12.75" x14ac:dyDescent="0.35">
      <c r="A2013" s="7">
        <v>42481.604456018518</v>
      </c>
      <c r="B2013" s="8" t="str">
        <f>HYPERLINK("https://twitter.com/Bitkom_I40","@Bitkom_I40")</f>
        <v>@Bitkom_I40</v>
      </c>
      <c r="C2013" s="9" t="s">
        <v>1857</v>
      </c>
      <c r="D2013" s="9" t="s">
        <v>3675</v>
      </c>
      <c r="E2013" s="10" t="str">
        <f>HYPERLINK("https://twitter.com/Bitkom_I40/status/723073894484086784","723073894484086784")</f>
        <v>723073894484086784</v>
      </c>
      <c r="F2013" s="11" t="s">
        <v>115</v>
      </c>
      <c r="G2013" s="11">
        <v>754</v>
      </c>
      <c r="H2013" s="11">
        <v>44</v>
      </c>
      <c r="I2013" s="11">
        <v>4</v>
      </c>
      <c r="J2013" s="11">
        <v>4</v>
      </c>
      <c r="K2013" s="11" t="s">
        <v>21</v>
      </c>
      <c r="L2013" s="7">
        <v>41613.773194444446</v>
      </c>
      <c r="M2013" s="12" t="s">
        <v>218</v>
      </c>
      <c r="N2013" s="12" t="s">
        <v>1860</v>
      </c>
      <c r="O2013" s="10" t="str">
        <f>HYPERLINK("https://pbs.twimg.com/profile_images/723407487395713024/0hZv7R8S_normal.jpg","View")</f>
        <v>View</v>
      </c>
      <c r="P2013" s="11"/>
    </row>
    <row r="2014" spans="1:16" ht="12.75" x14ac:dyDescent="0.35">
      <c r="A2014" s="7">
        <v>42481.604467592595</v>
      </c>
      <c r="B2014" s="8" t="str">
        <f>HYPERLINK("https://twitter.com/kommoptimierer","@kommoptimierer")</f>
        <v>@kommoptimierer</v>
      </c>
      <c r="C2014" s="9" t="s">
        <v>270</v>
      </c>
      <c r="D2014" s="9" t="s">
        <v>271</v>
      </c>
      <c r="E2014" s="10" t="str">
        <f>HYPERLINK("https://twitter.com/kommoptimierer/status/723073902134603778","723073902134603778")</f>
        <v>723073902134603778</v>
      </c>
      <c r="F2014" s="11" t="s">
        <v>272</v>
      </c>
      <c r="G2014" s="11">
        <v>1347</v>
      </c>
      <c r="H2014" s="11">
        <v>1753</v>
      </c>
      <c r="I2014" s="11">
        <v>1</v>
      </c>
      <c r="J2014" s="11">
        <v>0</v>
      </c>
      <c r="K2014" s="11" t="s">
        <v>21</v>
      </c>
      <c r="L2014" s="7">
        <v>39986.860358796301</v>
      </c>
      <c r="M2014" s="12" t="s">
        <v>273</v>
      </c>
      <c r="N2014" s="12" t="s">
        <v>274</v>
      </c>
      <c r="O2014" s="10" t="str">
        <f>HYPERLINK("https://pbs.twimg.com/profile_images/541146126158536704/IYardufS_normal.jpeg","View")</f>
        <v>View</v>
      </c>
      <c r="P2014" s="11"/>
    </row>
    <row r="2015" spans="1:16" ht="12.75" x14ac:dyDescent="0.35">
      <c r="A2015" s="7">
        <v>42481.604745370365</v>
      </c>
      <c r="B2015" s="8" t="str">
        <f>HYPERLINK("https://twitter.com/koernerpark","@koernerpark")</f>
        <v>@koernerpark</v>
      </c>
      <c r="C2015" s="9" t="s">
        <v>2550</v>
      </c>
      <c r="D2015" s="9" t="s">
        <v>3666</v>
      </c>
      <c r="E2015" s="10" t="str">
        <f>HYPERLINK("https://twitter.com/koernerpark/status/723073999308115968","723073999308115968")</f>
        <v>723073999308115968</v>
      </c>
      <c r="F2015" s="11" t="s">
        <v>25</v>
      </c>
      <c r="G2015" s="11">
        <v>261</v>
      </c>
      <c r="H2015" s="11">
        <v>1047</v>
      </c>
      <c r="I2015" s="11">
        <v>2</v>
      </c>
      <c r="J2015" s="11">
        <v>0</v>
      </c>
      <c r="K2015" s="11" t="s">
        <v>21</v>
      </c>
      <c r="L2015" s="7">
        <v>39993.724305555559</v>
      </c>
      <c r="M2015" s="12" t="s">
        <v>227</v>
      </c>
      <c r="N2015" s="12"/>
      <c r="O2015" s="10" t="str">
        <f>HYPERLINK("https://pbs.twimg.com/profile_images/554579761817600000/2PbZshfI_normal.jpeg","View")</f>
        <v>View</v>
      </c>
      <c r="P2015" s="11"/>
    </row>
    <row r="2016" spans="1:16" ht="12.75" x14ac:dyDescent="0.35">
      <c r="A2016" s="7">
        <v>42481.604814814811</v>
      </c>
      <c r="B2016" s="8" t="str">
        <f>HYPERLINK("https://twitter.com/b2b_nachrichten","@b2b_nachrichten")</f>
        <v>@b2b_nachrichten</v>
      </c>
      <c r="C2016" s="9" t="s">
        <v>3676</v>
      </c>
      <c r="D2016" s="9" t="s">
        <v>3677</v>
      </c>
      <c r="E2016" s="10" t="str">
        <f>HYPERLINK("https://twitter.com/b2b_nachrichten/status/723074024503287809","723074024503287809")</f>
        <v>723074024503287809</v>
      </c>
      <c r="F2016" s="11" t="s">
        <v>25</v>
      </c>
      <c r="G2016" s="11">
        <v>672</v>
      </c>
      <c r="H2016" s="11">
        <v>595</v>
      </c>
      <c r="I2016" s="11">
        <v>2</v>
      </c>
      <c r="J2016" s="11">
        <v>1</v>
      </c>
      <c r="K2016" s="11" t="s">
        <v>21</v>
      </c>
      <c r="L2016" s="7">
        <v>40197.799201388887</v>
      </c>
      <c r="M2016" s="12" t="s">
        <v>1043</v>
      </c>
      <c r="N2016" s="12" t="s">
        <v>3678</v>
      </c>
      <c r="O2016" s="10" t="str">
        <f>HYPERLINK("https://pbs.twimg.com/profile_images/641773023/b2b-news_normal.jpg","View")</f>
        <v>View</v>
      </c>
      <c r="P2016" s="11"/>
    </row>
    <row r="2017" spans="1:16" ht="12.75" x14ac:dyDescent="0.35">
      <c r="A2017" s="7">
        <v>42481.60491898148</v>
      </c>
      <c r="B2017" s="8" t="str">
        <f>HYPERLINK("https://twitter.com/IDKOMPASS","@IDKOMPASS")</f>
        <v>@IDKOMPASS</v>
      </c>
      <c r="C2017" s="9" t="s">
        <v>2251</v>
      </c>
      <c r="D2017" s="9" t="s">
        <v>3679</v>
      </c>
      <c r="E2017" s="10" t="str">
        <f>HYPERLINK("https://twitter.com/IDKOMPASS/status/723074062390456321","723074062390456321")</f>
        <v>723074062390456321</v>
      </c>
      <c r="F2017" s="11" t="s">
        <v>115</v>
      </c>
      <c r="G2017" s="11">
        <v>266</v>
      </c>
      <c r="H2017" s="11">
        <v>97</v>
      </c>
      <c r="I2017" s="11">
        <v>0</v>
      </c>
      <c r="J2017" s="11">
        <v>0</v>
      </c>
      <c r="K2017" s="11" t="s">
        <v>21</v>
      </c>
      <c r="L2017" s="7">
        <v>42052.908912037034</v>
      </c>
      <c r="M2017" s="12" t="s">
        <v>92</v>
      </c>
      <c r="N2017" s="12" t="s">
        <v>2253</v>
      </c>
      <c r="O2017" s="10" t="str">
        <f>HYPERLINK("https://pbs.twimg.com/profile_images/574932942327144450/RsjsUSUd_normal.jpeg","View")</f>
        <v>View</v>
      </c>
      <c r="P2017" s="11"/>
    </row>
    <row r="2018" spans="1:16" ht="12.75" x14ac:dyDescent="0.35">
      <c r="A2018" s="7">
        <v>42481.604965277773</v>
      </c>
      <c r="B2018" s="8" t="str">
        <f t="shared" ref="B2018:B2019" si="238">HYPERLINK("https://twitter.com/INDIZbot","@INDIZbot")</f>
        <v>@INDIZbot</v>
      </c>
      <c r="C2018" s="9" t="s">
        <v>61</v>
      </c>
      <c r="D2018" s="9" t="s">
        <v>275</v>
      </c>
      <c r="E2018" s="10" t="str">
        <f>HYPERLINK("https://twitter.com/INDIZbot/status/723074079868223492","723074079868223492")</f>
        <v>723074079868223492</v>
      </c>
      <c r="F2018" s="11" t="s">
        <v>62</v>
      </c>
      <c r="G2018" s="11">
        <v>1762</v>
      </c>
      <c r="H2018" s="11">
        <v>481</v>
      </c>
      <c r="I2018" s="11">
        <v>1</v>
      </c>
      <c r="J2018" s="11">
        <v>0</v>
      </c>
      <c r="K2018" s="11" t="s">
        <v>21</v>
      </c>
      <c r="L2018" s="7">
        <v>42267.011921296296</v>
      </c>
      <c r="M2018" s="12"/>
      <c r="N2018" s="12" t="s">
        <v>63</v>
      </c>
      <c r="O2018" s="10" t="str">
        <f t="shared" ref="O2018:O2019" si="239">HYPERLINK("https://pbs.twimg.com/profile_images/645716711723925506/t5G0qOS6_normal.jpg","View")</f>
        <v>View</v>
      </c>
      <c r="P2018" s="11"/>
    </row>
    <row r="2019" spans="1:16" ht="12.75" x14ac:dyDescent="0.35">
      <c r="A2019" s="7">
        <v>42481.605104166665</v>
      </c>
      <c r="B2019" s="8" t="str">
        <f t="shared" si="238"/>
        <v>@INDIZbot</v>
      </c>
      <c r="C2019" s="9" t="s">
        <v>61</v>
      </c>
      <c r="D2019" s="9" t="s">
        <v>3680</v>
      </c>
      <c r="E2019" s="10" t="str">
        <f>HYPERLINK("https://twitter.com/INDIZbot/status/723074128786415616","723074128786415616")</f>
        <v>723074128786415616</v>
      </c>
      <c r="F2019" s="11" t="s">
        <v>62</v>
      </c>
      <c r="G2019" s="11">
        <v>1762</v>
      </c>
      <c r="H2019" s="11">
        <v>481</v>
      </c>
      <c r="I2019" s="11">
        <v>4</v>
      </c>
      <c r="J2019" s="11">
        <v>0</v>
      </c>
      <c r="K2019" s="11" t="s">
        <v>21</v>
      </c>
      <c r="L2019" s="7">
        <v>42267.011921296296</v>
      </c>
      <c r="M2019" s="12"/>
      <c r="N2019" s="12" t="s">
        <v>63</v>
      </c>
      <c r="O2019" s="10" t="str">
        <f t="shared" si="239"/>
        <v>View</v>
      </c>
      <c r="P2019" s="11"/>
    </row>
    <row r="2020" spans="1:16" ht="12.75" x14ac:dyDescent="0.35">
      <c r="A2020" s="7">
        <v>42481.605300925927</v>
      </c>
      <c r="B2020" s="8" t="str">
        <f>HYPERLINK("https://twitter.com/MoradSalehi","@MoradSalehi")</f>
        <v>@MoradSalehi</v>
      </c>
      <c r="C2020" s="9" t="s">
        <v>3681</v>
      </c>
      <c r="D2020" s="9" t="s">
        <v>3682</v>
      </c>
      <c r="E2020" s="10" t="str">
        <f>HYPERLINK("https://twitter.com/MoradSalehi/status/723074200294952965","723074200294952965")</f>
        <v>723074200294952965</v>
      </c>
      <c r="F2020" s="11" t="s">
        <v>25</v>
      </c>
      <c r="G2020" s="11">
        <v>487</v>
      </c>
      <c r="H2020" s="11">
        <v>1536</v>
      </c>
      <c r="I2020" s="11">
        <v>0</v>
      </c>
      <c r="J2020" s="11">
        <v>1</v>
      </c>
      <c r="K2020" s="11" t="s">
        <v>21</v>
      </c>
      <c r="L2020" s="7">
        <v>40888.861689814818</v>
      </c>
      <c r="M2020" s="12" t="s">
        <v>45</v>
      </c>
      <c r="N2020" s="12" t="s">
        <v>3683</v>
      </c>
      <c r="O2020" s="10" t="str">
        <f>HYPERLINK("https://pbs.twimg.com/profile_images/574251461883789312/ixWyym3U_normal.jpeg","View")</f>
        <v>View</v>
      </c>
      <c r="P2020" s="11"/>
    </row>
    <row r="2021" spans="1:16" ht="12.75" x14ac:dyDescent="0.35">
      <c r="A2021" s="7">
        <v>42481.605324074073</v>
      </c>
      <c r="B2021" s="8" t="str">
        <f>HYPERLINK("https://twitter.com/INDIZbot","@INDIZbot")</f>
        <v>@INDIZbot</v>
      </c>
      <c r="C2021" s="9" t="s">
        <v>61</v>
      </c>
      <c r="D2021" s="9" t="s">
        <v>3684</v>
      </c>
      <c r="E2021" s="10" t="str">
        <f>HYPERLINK("https://twitter.com/INDIZbot/status/723074209182830592","723074209182830592")</f>
        <v>723074209182830592</v>
      </c>
      <c r="F2021" s="11" t="s">
        <v>62</v>
      </c>
      <c r="G2021" s="11">
        <v>1762</v>
      </c>
      <c r="H2021" s="11">
        <v>481</v>
      </c>
      <c r="I2021" s="11">
        <v>1</v>
      </c>
      <c r="J2021" s="11">
        <v>0</v>
      </c>
      <c r="K2021" s="11" t="s">
        <v>21</v>
      </c>
      <c r="L2021" s="7">
        <v>42267.011921296296</v>
      </c>
      <c r="M2021" s="12"/>
      <c r="N2021" s="12" t="s">
        <v>63</v>
      </c>
      <c r="O2021" s="10" t="str">
        <f>HYPERLINK("https://pbs.twimg.com/profile_images/645716711723925506/t5G0qOS6_normal.jpg","View")</f>
        <v>View</v>
      </c>
      <c r="P2021" s="11"/>
    </row>
    <row r="2022" spans="1:16" ht="12.75" x14ac:dyDescent="0.35">
      <c r="A2022" s="7">
        <v>42481.605370370366</v>
      </c>
      <c r="B2022" s="8" t="str">
        <f>HYPERLINK("https://twitter.com/Balluff_Service","@Balluff_Service")</f>
        <v>@Balluff_Service</v>
      </c>
      <c r="C2022" s="9" t="s">
        <v>3645</v>
      </c>
      <c r="D2022" s="9" t="s">
        <v>2938</v>
      </c>
      <c r="E2022" s="10" t="str">
        <f>HYPERLINK("https://twitter.com/Balluff_Service/status/723074229202083842","723074229202083842")</f>
        <v>723074229202083842</v>
      </c>
      <c r="F2022" s="11" t="s">
        <v>25</v>
      </c>
      <c r="G2022" s="11">
        <v>12</v>
      </c>
      <c r="H2022" s="11">
        <v>25</v>
      </c>
      <c r="I2022" s="11">
        <v>12</v>
      </c>
      <c r="J2022" s="11">
        <v>0</v>
      </c>
      <c r="K2022" s="11" t="s">
        <v>21</v>
      </c>
      <c r="L2022" s="7">
        <v>41967.080046296294</v>
      </c>
      <c r="M2022" s="12" t="s">
        <v>3647</v>
      </c>
      <c r="N2022" s="12" t="s">
        <v>3648</v>
      </c>
      <c r="O2022" s="10" t="str">
        <f>HYPERLINK("https://pbs.twimg.com/profile_images/576038384629469184/KCHV0Anq_normal.png","View")</f>
        <v>View</v>
      </c>
      <c r="P2022" s="11"/>
    </row>
    <row r="2023" spans="1:16" ht="12.75" x14ac:dyDescent="0.35">
      <c r="A2023" s="7">
        <v>42481.605520833335</v>
      </c>
      <c r="B2023" s="8" t="str">
        <f>HYPERLINK("https://twitter.com/INDIZbot","@INDIZbot")</f>
        <v>@INDIZbot</v>
      </c>
      <c r="C2023" s="9" t="s">
        <v>61</v>
      </c>
      <c r="D2023" s="9" t="s">
        <v>3657</v>
      </c>
      <c r="E2023" s="10" t="str">
        <f>HYPERLINK("https://twitter.com/INDIZbot/status/723074280297250816","723074280297250816")</f>
        <v>723074280297250816</v>
      </c>
      <c r="F2023" s="11" t="s">
        <v>62</v>
      </c>
      <c r="G2023" s="11">
        <v>1762</v>
      </c>
      <c r="H2023" s="11">
        <v>481</v>
      </c>
      <c r="I2023" s="11">
        <v>10</v>
      </c>
      <c r="J2023" s="11">
        <v>0</v>
      </c>
      <c r="K2023" s="11" t="s">
        <v>21</v>
      </c>
      <c r="L2023" s="7">
        <v>42267.011921296296</v>
      </c>
      <c r="M2023" s="12"/>
      <c r="N2023" s="12" t="s">
        <v>63</v>
      </c>
      <c r="O2023" s="10" t="str">
        <f>HYPERLINK("https://pbs.twimg.com/profile_images/645716711723925506/t5G0qOS6_normal.jpg","View")</f>
        <v>View</v>
      </c>
      <c r="P2023" s="11"/>
    </row>
    <row r="2024" spans="1:16" ht="12.75" x14ac:dyDescent="0.35">
      <c r="A2024" s="7">
        <v>42481.605636574073</v>
      </c>
      <c r="B2024" s="8" t="str">
        <f>HYPERLINK("https://twitter.com/Angela_Josephs","@Angela_Josephs")</f>
        <v>@Angela_Josephs</v>
      </c>
      <c r="C2024" s="9" t="s">
        <v>1612</v>
      </c>
      <c r="D2024" s="9" t="s">
        <v>3646</v>
      </c>
      <c r="E2024" s="10" t="str">
        <f>HYPERLINK("https://twitter.com/Angela_Josephs/status/723074324144504832","723074324144504832")</f>
        <v>723074324144504832</v>
      </c>
      <c r="F2024" s="11" t="s">
        <v>115</v>
      </c>
      <c r="G2024" s="11">
        <v>173</v>
      </c>
      <c r="H2024" s="11">
        <v>83</v>
      </c>
      <c r="I2024" s="11">
        <v>11</v>
      </c>
      <c r="J2024" s="11">
        <v>0</v>
      </c>
      <c r="K2024" s="11" t="s">
        <v>21</v>
      </c>
      <c r="L2024" s="7">
        <v>41954.653541666667</v>
      </c>
      <c r="M2024" s="12" t="s">
        <v>1273</v>
      </c>
      <c r="N2024" s="12" t="s">
        <v>1614</v>
      </c>
      <c r="O2024" s="10" t="str">
        <f>HYPERLINK("https://pbs.twimg.com/profile_images/649572788148285440/Sxl5vTa3_normal.jpg","View")</f>
        <v>View</v>
      </c>
      <c r="P2024" s="11"/>
    </row>
    <row r="2025" spans="1:16" ht="12.75" x14ac:dyDescent="0.35">
      <c r="A2025" s="7">
        <v>42481.605682870373</v>
      </c>
      <c r="B2025" s="8" t="str">
        <f>HYPERLINK("https://twitter.com/INDIZbot","@INDIZbot")</f>
        <v>@INDIZbot</v>
      </c>
      <c r="C2025" s="9" t="s">
        <v>61</v>
      </c>
      <c r="D2025" s="9" t="s">
        <v>3670</v>
      </c>
      <c r="E2025" s="10" t="str">
        <f>HYPERLINK("https://twitter.com/INDIZbot/status/723074342305861632","723074342305861632")</f>
        <v>723074342305861632</v>
      </c>
      <c r="F2025" s="11" t="s">
        <v>62</v>
      </c>
      <c r="G2025" s="11">
        <v>1762</v>
      </c>
      <c r="H2025" s="11">
        <v>481</v>
      </c>
      <c r="I2025" s="11">
        <v>7</v>
      </c>
      <c r="J2025" s="11">
        <v>0</v>
      </c>
      <c r="K2025" s="11" t="s">
        <v>21</v>
      </c>
      <c r="L2025" s="7">
        <v>42267.011921296296</v>
      </c>
      <c r="M2025" s="12"/>
      <c r="N2025" s="12" t="s">
        <v>63</v>
      </c>
      <c r="O2025" s="10" t="str">
        <f>HYPERLINK("https://pbs.twimg.com/profile_images/645716711723925506/t5G0qOS6_normal.jpg","View")</f>
        <v>View</v>
      </c>
      <c r="P2025" s="11"/>
    </row>
    <row r="2026" spans="1:16" ht="12.75" x14ac:dyDescent="0.35">
      <c r="A2026" s="7">
        <v>42481.605798611112</v>
      </c>
      <c r="B2026" s="8" t="str">
        <f>HYPERLINK("https://twitter.com/MoellerHorcher","@MoellerHorcher")</f>
        <v>@MoellerHorcher</v>
      </c>
      <c r="C2026" s="9" t="s">
        <v>3685</v>
      </c>
      <c r="D2026" s="9" t="s">
        <v>3686</v>
      </c>
      <c r="E2026" s="10" t="str">
        <f>HYPERLINK("https://twitter.com/MoellerHorcher/status/723074382164320256","723074382164320256")</f>
        <v>723074382164320256</v>
      </c>
      <c r="F2026" s="11" t="s">
        <v>39</v>
      </c>
      <c r="G2026" s="11">
        <v>327</v>
      </c>
      <c r="H2026" s="11">
        <v>478</v>
      </c>
      <c r="I2026" s="11">
        <v>0</v>
      </c>
      <c r="J2026" s="11">
        <v>0</v>
      </c>
      <c r="K2026" s="11" t="s">
        <v>21</v>
      </c>
      <c r="L2026" s="7">
        <v>40956.667511574073</v>
      </c>
      <c r="M2026" s="12" t="s">
        <v>3687</v>
      </c>
      <c r="N2026" s="12" t="s">
        <v>3688</v>
      </c>
      <c r="O2026" s="10" t="str">
        <f>HYPERLINK("https://pbs.twimg.com/profile_images/593771436461977601/JLe43OHw_normal.png","View")</f>
        <v>View</v>
      </c>
      <c r="P2026" s="11"/>
    </row>
    <row r="2027" spans="1:16" ht="12.75" x14ac:dyDescent="0.35">
      <c r="A2027" s="7">
        <v>42481.606180555551</v>
      </c>
      <c r="B2027" s="8" t="str">
        <f>HYPERLINK("https://twitter.com/HESSENMETALL","@HESSENMETALL")</f>
        <v>@HESSENMETALL</v>
      </c>
      <c r="C2027" s="9" t="s">
        <v>2983</v>
      </c>
      <c r="D2027" s="9" t="s">
        <v>3588</v>
      </c>
      <c r="E2027" s="10" t="str">
        <f>HYPERLINK("https://twitter.com/HESSENMETALL/status/723074522077904896","723074522077904896")</f>
        <v>723074522077904896</v>
      </c>
      <c r="F2027" s="11" t="s">
        <v>39</v>
      </c>
      <c r="G2027" s="11">
        <v>201</v>
      </c>
      <c r="H2027" s="11">
        <v>149</v>
      </c>
      <c r="I2027" s="11">
        <v>24</v>
      </c>
      <c r="J2027" s="11">
        <v>0</v>
      </c>
      <c r="K2027" s="11" t="s">
        <v>21</v>
      </c>
      <c r="L2027" s="7">
        <v>41830.710995370369</v>
      </c>
      <c r="M2027" s="12" t="s">
        <v>1290</v>
      </c>
      <c r="N2027" s="12" t="s">
        <v>2985</v>
      </c>
      <c r="O2027" s="10" t="str">
        <f>HYPERLINK("https://pbs.twimg.com/profile_images/573131119459090433/chvdSZ_E_normal.png","View")</f>
        <v>View</v>
      </c>
      <c r="P2027" s="11"/>
    </row>
    <row r="2028" spans="1:16" ht="12.75" x14ac:dyDescent="0.35">
      <c r="A2028" s="7">
        <v>42481.607488425929</v>
      </c>
      <c r="B2028" s="8" t="str">
        <f>HYPERLINK("https://twitter.com/OuestValo","@OuestValo")</f>
        <v>@OuestValo</v>
      </c>
      <c r="C2028" s="9" t="s">
        <v>2493</v>
      </c>
      <c r="D2028" s="9" t="s">
        <v>3689</v>
      </c>
      <c r="E2028" s="10" t="str">
        <f>HYPERLINK("https://twitter.com/OuestValo/status/723074993379225600","723074993379225600")</f>
        <v>723074993379225600</v>
      </c>
      <c r="F2028" s="10" t="s">
        <v>1820</v>
      </c>
      <c r="G2028" s="11">
        <v>1529</v>
      </c>
      <c r="H2028" s="11">
        <v>749</v>
      </c>
      <c r="I2028" s="11">
        <v>0</v>
      </c>
      <c r="J2028" s="11">
        <v>1</v>
      </c>
      <c r="K2028" s="11" t="s">
        <v>21</v>
      </c>
      <c r="L2028" s="7">
        <v>40844.609791666662</v>
      </c>
      <c r="M2028" s="12" t="s">
        <v>2495</v>
      </c>
      <c r="N2028" s="12" t="s">
        <v>2496</v>
      </c>
      <c r="O2028" s="10" t="str">
        <f>HYPERLINK("https://pbs.twimg.com/profile_images/3078390929/8847ca0ee77a15179992b5695c5c4905_normal.png","View")</f>
        <v>View</v>
      </c>
      <c r="P2028" s="11"/>
    </row>
    <row r="2029" spans="1:16" ht="12.75" x14ac:dyDescent="0.35">
      <c r="A2029" s="7">
        <v>42481.607581018514</v>
      </c>
      <c r="B2029" s="8" t="str">
        <f>HYPERLINK("https://twitter.com/FOMforscht","@FOMforscht")</f>
        <v>@FOMforscht</v>
      </c>
      <c r="C2029" s="9" t="s">
        <v>3690</v>
      </c>
      <c r="D2029" s="9" t="s">
        <v>3657</v>
      </c>
      <c r="E2029" s="10" t="str">
        <f>HYPERLINK("https://twitter.com/FOMforscht/status/723075030435958784","723075030435958784")</f>
        <v>723075030435958784</v>
      </c>
      <c r="F2029" s="11" t="s">
        <v>39</v>
      </c>
      <c r="G2029" s="11">
        <v>37</v>
      </c>
      <c r="H2029" s="11">
        <v>222</v>
      </c>
      <c r="I2029" s="11">
        <v>10</v>
      </c>
      <c r="J2029" s="11">
        <v>0</v>
      </c>
      <c r="K2029" s="11" t="s">
        <v>21</v>
      </c>
      <c r="L2029" s="7">
        <v>42472.570798611108</v>
      </c>
      <c r="M2029" s="12" t="s">
        <v>1186</v>
      </c>
      <c r="N2029" s="12" t="s">
        <v>3691</v>
      </c>
      <c r="O2029" s="10" t="str">
        <f>HYPERLINK("https://pbs.twimg.com/profile_images/719800651530821632/YzeSH6er_normal.jpg","View")</f>
        <v>View</v>
      </c>
      <c r="P2029" s="11"/>
    </row>
    <row r="2030" spans="1:16" ht="12.75" x14ac:dyDescent="0.35">
      <c r="A2030" s="7">
        <v>42481.607708333337</v>
      </c>
      <c r="B2030" s="8" t="str">
        <f>HYPERLINK("https://twitter.com/lotsize1","@lotsize1")</f>
        <v>@lotsize1</v>
      </c>
      <c r="C2030" s="9" t="s">
        <v>3272</v>
      </c>
      <c r="D2030" s="9" t="s">
        <v>3657</v>
      </c>
      <c r="E2030" s="10" t="str">
        <f>HYPERLINK("https://twitter.com/lotsize1/status/723075074949939200","723075074949939200")</f>
        <v>723075074949939200</v>
      </c>
      <c r="F2030" s="11" t="s">
        <v>25</v>
      </c>
      <c r="G2030" s="11">
        <v>5</v>
      </c>
      <c r="H2030" s="11">
        <v>60</v>
      </c>
      <c r="I2030" s="11">
        <v>10</v>
      </c>
      <c r="J2030" s="11">
        <v>0</v>
      </c>
      <c r="K2030" s="11" t="s">
        <v>21</v>
      </c>
      <c r="L2030" s="7">
        <v>42480.768935185188</v>
      </c>
      <c r="M2030" s="12"/>
      <c r="N2030" s="12"/>
      <c r="O2030" s="10" t="str">
        <f>HYPERLINK("https://abs.twimg.com/sticky/default_profile_images/default_profile_2_normal.png","View")</f>
        <v>View</v>
      </c>
      <c r="P2030" s="11"/>
    </row>
    <row r="2031" spans="1:16" ht="12.75" x14ac:dyDescent="0.35">
      <c r="A2031" s="7">
        <v>42481.610682870371</v>
      </c>
      <c r="B2031" s="8" t="str">
        <f>HYPERLINK("https://twitter.com/Infineon","@Infineon")</f>
        <v>@Infineon</v>
      </c>
      <c r="C2031" s="9" t="s">
        <v>3692</v>
      </c>
      <c r="D2031" s="9" t="s">
        <v>3646</v>
      </c>
      <c r="E2031" s="10" t="str">
        <f>HYPERLINK("https://twitter.com/Infineon/status/723076154345820160","723076154345820160")</f>
        <v>723076154345820160</v>
      </c>
      <c r="F2031" s="11" t="s">
        <v>31</v>
      </c>
      <c r="G2031" s="11">
        <v>3900</v>
      </c>
      <c r="H2031" s="11">
        <v>462</v>
      </c>
      <c r="I2031" s="11">
        <v>11</v>
      </c>
      <c r="J2031" s="11">
        <v>0</v>
      </c>
      <c r="K2031" s="11" t="s">
        <v>21</v>
      </c>
      <c r="L2031" s="7">
        <v>39968.566203703704</v>
      </c>
      <c r="M2031" s="12"/>
      <c r="N2031" s="12" t="s">
        <v>3693</v>
      </c>
      <c r="O2031" s="10" t="str">
        <f>HYPERLINK("https://pbs.twimg.com/profile_images/713304949757755392/c4EhSmgZ_normal.jpg","View")</f>
        <v>View</v>
      </c>
      <c r="P2031" s="11"/>
    </row>
    <row r="2032" spans="1:16" ht="12.75" x14ac:dyDescent="0.35">
      <c r="A2032" s="7">
        <v>42481.612384259264</v>
      </c>
      <c r="B2032" s="8" t="str">
        <f>HYPERLINK("https://twitter.com/INDIZbot","@INDIZbot")</f>
        <v>@INDIZbot</v>
      </c>
      <c r="C2032" s="9" t="s">
        <v>61</v>
      </c>
      <c r="D2032" s="9" t="s">
        <v>3646</v>
      </c>
      <c r="E2032" s="10" t="str">
        <f>HYPERLINK("https://twitter.com/INDIZbot/status/723076770233200640","723076770233200640")</f>
        <v>723076770233200640</v>
      </c>
      <c r="F2032" s="11" t="s">
        <v>62</v>
      </c>
      <c r="G2032" s="11">
        <v>1762</v>
      </c>
      <c r="H2032" s="11">
        <v>481</v>
      </c>
      <c r="I2032" s="11">
        <v>11</v>
      </c>
      <c r="J2032" s="11">
        <v>0</v>
      </c>
      <c r="K2032" s="11" t="s">
        <v>21</v>
      </c>
      <c r="L2032" s="7">
        <v>42267.011921296296</v>
      </c>
      <c r="M2032" s="12"/>
      <c r="N2032" s="12" t="s">
        <v>63</v>
      </c>
      <c r="O2032" s="10" t="str">
        <f>HYPERLINK("https://pbs.twimg.com/profile_images/645716711723925506/t5G0qOS6_normal.jpg","View")</f>
        <v>View</v>
      </c>
      <c r="P2032" s="11"/>
    </row>
    <row r="2033" spans="1:16" ht="12.75" x14ac:dyDescent="0.35">
      <c r="A2033" s="7">
        <v>42481.612476851849</v>
      </c>
      <c r="B2033" s="8" t="str">
        <f>HYPERLINK("https://twitter.com/EAutoPionier","@EAutoPionier")</f>
        <v>@EAutoPionier</v>
      </c>
      <c r="C2033" s="9" t="s">
        <v>3126</v>
      </c>
      <c r="D2033" s="9" t="s">
        <v>3646</v>
      </c>
      <c r="E2033" s="10" t="str">
        <f>HYPERLINK("https://twitter.com/EAutoPionier/status/723076801342246913","723076801342246913")</f>
        <v>723076801342246913</v>
      </c>
      <c r="F2033" s="11" t="s">
        <v>25</v>
      </c>
      <c r="G2033" s="11">
        <v>78</v>
      </c>
      <c r="H2033" s="11">
        <v>103</v>
      </c>
      <c r="I2033" s="11">
        <v>11</v>
      </c>
      <c r="J2033" s="11">
        <v>0</v>
      </c>
      <c r="K2033" s="11" t="s">
        <v>21</v>
      </c>
      <c r="L2033" s="7">
        <v>40340.442789351851</v>
      </c>
      <c r="M2033" s="12"/>
      <c r="N2033" s="12"/>
      <c r="O2033" s="10" t="str">
        <f>HYPERLINK("https://pbs.twimg.com/profile_images/700576331407298560/RJ0M_dZd_normal.jpg","View")</f>
        <v>View</v>
      </c>
      <c r="P2033" s="11"/>
    </row>
    <row r="2034" spans="1:16" ht="12.75" x14ac:dyDescent="0.35">
      <c r="A2034" s="7">
        <v>42481.613240740742</v>
      </c>
      <c r="B2034" s="8" t="str">
        <f>HYPERLINK("https://twitter.com/Scheer_GmbH","@Scheer_GmbH")</f>
        <v>@Scheer_GmbH</v>
      </c>
      <c r="C2034" s="9" t="s">
        <v>2449</v>
      </c>
      <c r="D2034" s="9" t="s">
        <v>3680</v>
      </c>
      <c r="E2034" s="10" t="str">
        <f>HYPERLINK("https://twitter.com/Scheer_GmbH/status/723077078334087168","723077078334087168")</f>
        <v>723077078334087168</v>
      </c>
      <c r="F2034" s="11" t="s">
        <v>25</v>
      </c>
      <c r="G2034" s="11">
        <v>190</v>
      </c>
      <c r="H2034" s="11">
        <v>97</v>
      </c>
      <c r="I2034" s="11">
        <v>4</v>
      </c>
      <c r="J2034" s="11">
        <v>0</v>
      </c>
      <c r="K2034" s="11" t="s">
        <v>21</v>
      </c>
      <c r="L2034" s="7">
        <v>40609.808171296296</v>
      </c>
      <c r="M2034" s="12" t="s">
        <v>2451</v>
      </c>
      <c r="N2034" s="12" t="s">
        <v>2452</v>
      </c>
      <c r="O2034" s="10" t="str">
        <f>HYPERLINK("https://pbs.twimg.com/profile_images/686924088154140672/1_ZIe3FE_normal.png","View")</f>
        <v>View</v>
      </c>
      <c r="P2034" s="11"/>
    </row>
    <row r="2035" spans="1:16" ht="12.75" x14ac:dyDescent="0.35">
      <c r="A2035" s="7">
        <v>42481.61550925926</v>
      </c>
      <c r="B2035" s="8" t="str">
        <f>HYPERLINK("https://twitter.com/H_IT_D","@H_IT_D")</f>
        <v>@H_IT_D</v>
      </c>
      <c r="C2035" s="9" t="s">
        <v>159</v>
      </c>
      <c r="D2035" s="9" t="s">
        <v>3694</v>
      </c>
      <c r="E2035" s="10" t="str">
        <f>HYPERLINK("https://twitter.com/H_IT_D/status/723077901743087618","723077901743087618")</f>
        <v>723077901743087618</v>
      </c>
      <c r="F2035" s="11" t="s">
        <v>161</v>
      </c>
      <c r="G2035" s="11">
        <v>463</v>
      </c>
      <c r="H2035" s="11">
        <v>467</v>
      </c>
      <c r="I2035" s="11">
        <v>0</v>
      </c>
      <c r="J2035" s="11">
        <v>0</v>
      </c>
      <c r="K2035" s="11" t="s">
        <v>21</v>
      </c>
      <c r="L2035" s="7">
        <v>40723.867673611108</v>
      </c>
      <c r="M2035" s="12" t="s">
        <v>162</v>
      </c>
      <c r="N2035" s="12" t="s">
        <v>163</v>
      </c>
      <c r="O2035" s="10" t="str">
        <f>HYPERLINK("https://pbs.twimg.com/profile_images/662723326096224256/5V4KH9_O_normal.jpg","View")</f>
        <v>View</v>
      </c>
      <c r="P2035" s="11"/>
    </row>
    <row r="2036" spans="1:16" ht="12.75" x14ac:dyDescent="0.35">
      <c r="A2036" s="7">
        <v>42481.619467592594</v>
      </c>
      <c r="B2036" s="8" t="str">
        <f>HYPERLINK("https://twitter.com/SAP_IoT","@SAP_IoT")</f>
        <v>@SAP_IoT</v>
      </c>
      <c r="C2036" s="9" t="s">
        <v>2384</v>
      </c>
      <c r="D2036" s="9" t="s">
        <v>3162</v>
      </c>
      <c r="E2036" s="10" t="str">
        <f>HYPERLINK("https://twitter.com/SAP_IoT/status/723079335461183488","723079335461183488")</f>
        <v>723079335461183488</v>
      </c>
      <c r="F2036" s="11" t="s">
        <v>1111</v>
      </c>
      <c r="G2036" s="11">
        <v>8221</v>
      </c>
      <c r="H2036" s="11">
        <v>418</v>
      </c>
      <c r="I2036" s="11">
        <v>2</v>
      </c>
      <c r="J2036" s="11">
        <v>0</v>
      </c>
      <c r="K2036" s="11" t="s">
        <v>21</v>
      </c>
      <c r="L2036" s="7">
        <v>41479.231076388889</v>
      </c>
      <c r="M2036" s="12" t="s">
        <v>1178</v>
      </c>
      <c r="N2036" s="12" t="s">
        <v>2386</v>
      </c>
      <c r="O2036" s="10" t="str">
        <f>HYPERLINK("https://pbs.twimg.com/profile_images/557581621725908992/S7PfOb5r_normal.png","View")</f>
        <v>View</v>
      </c>
      <c r="P2036" s="11"/>
    </row>
    <row r="2037" spans="1:16" ht="12.75" x14ac:dyDescent="0.35">
      <c r="A2037" s="7">
        <v>42481.619560185187</v>
      </c>
      <c r="B2037" s="8" t="str">
        <f>HYPERLINK("https://twitter.com/startuptickerCH","@startuptickerCH")</f>
        <v>@startuptickerCH</v>
      </c>
      <c r="C2037" s="9" t="s">
        <v>3695</v>
      </c>
      <c r="D2037" s="9" t="s">
        <v>3696</v>
      </c>
      <c r="E2037" s="10" t="str">
        <f>HYPERLINK("https://twitter.com/startuptickerCH/status/723079369686695936","723079369686695936")</f>
        <v>723079369686695936</v>
      </c>
      <c r="F2037" s="11" t="s">
        <v>20</v>
      </c>
      <c r="G2037" s="11">
        <v>5454</v>
      </c>
      <c r="H2037" s="11">
        <v>1320</v>
      </c>
      <c r="I2037" s="11">
        <v>1</v>
      </c>
      <c r="J2037" s="11">
        <v>0</v>
      </c>
      <c r="K2037" s="11" t="s">
        <v>21</v>
      </c>
      <c r="L2037" s="7">
        <v>40826.811273148152</v>
      </c>
      <c r="M2037" s="12" t="s">
        <v>3614</v>
      </c>
      <c r="N2037" s="12" t="s">
        <v>3697</v>
      </c>
      <c r="O2037" s="10" t="str">
        <f>HYPERLINK("https://pbs.twimg.com/profile_images/598501391561134080/_vzA3Neu_normal.jpg","View")</f>
        <v>View</v>
      </c>
      <c r="P2037" s="11"/>
    </row>
    <row r="2038" spans="1:16" ht="12.75" x14ac:dyDescent="0.35">
      <c r="A2038" s="7">
        <v>42481.62023148148</v>
      </c>
      <c r="B2038" s="8" t="str">
        <f>HYPERLINK("https://twitter.com/Markenartikler","@Markenartikler")</f>
        <v>@Markenartikler</v>
      </c>
      <c r="C2038" s="9" t="s">
        <v>551</v>
      </c>
      <c r="D2038" s="9" t="s">
        <v>3698</v>
      </c>
      <c r="E2038" s="10" t="str">
        <f>HYPERLINK("https://twitter.com/Markenartikler/status/723079611886624769","723079611886624769")</f>
        <v>723079611886624769</v>
      </c>
      <c r="F2038" s="11" t="s">
        <v>115</v>
      </c>
      <c r="G2038" s="11">
        <v>1417</v>
      </c>
      <c r="H2038" s="11">
        <v>417</v>
      </c>
      <c r="I2038" s="11">
        <v>1</v>
      </c>
      <c r="J2038" s="11">
        <v>2</v>
      </c>
      <c r="K2038" s="11" t="s">
        <v>21</v>
      </c>
      <c r="L2038" s="7">
        <v>41599.61445601852</v>
      </c>
      <c r="M2038" s="12" t="s">
        <v>549</v>
      </c>
      <c r="N2038" s="12" t="s">
        <v>553</v>
      </c>
      <c r="O2038" s="10" t="str">
        <f>HYPERLINK("https://pbs.twimg.com/profile_images/684297499461423104/URLCw8tn_normal.jpg","View")</f>
        <v>View</v>
      </c>
      <c r="P2038" s="11"/>
    </row>
    <row r="2039" spans="1:16" ht="12.75" x14ac:dyDescent="0.35">
      <c r="A2039" s="7">
        <v>42481.620879629627</v>
      </c>
      <c r="B2039" s="8" t="str">
        <f>HYPERLINK("https://twitter.com/catkinEU","@catkinEU")</f>
        <v>@catkinEU</v>
      </c>
      <c r="C2039" s="9" t="s">
        <v>781</v>
      </c>
      <c r="D2039" s="9" t="s">
        <v>3699</v>
      </c>
      <c r="E2039" s="10" t="str">
        <f>HYPERLINK("https://twitter.com/catkinEU/status/723079846415323137","723079846415323137")</f>
        <v>723079846415323137</v>
      </c>
      <c r="F2039" s="11" t="s">
        <v>115</v>
      </c>
      <c r="G2039" s="11">
        <v>403</v>
      </c>
      <c r="H2039" s="11">
        <v>541</v>
      </c>
      <c r="I2039" s="11">
        <v>2</v>
      </c>
      <c r="J2039" s="11">
        <v>1</v>
      </c>
      <c r="K2039" s="11" t="s">
        <v>21</v>
      </c>
      <c r="L2039" s="7">
        <v>42153.955763888887</v>
      </c>
      <c r="M2039" s="12"/>
      <c r="N2039" s="12" t="s">
        <v>782</v>
      </c>
      <c r="O2039" s="10" t="str">
        <f>HYPERLINK("https://pbs.twimg.com/profile_images/604338428227010560/6jzSa8us_normal.png","View")</f>
        <v>View</v>
      </c>
      <c r="P2039" s="11"/>
    </row>
    <row r="2040" spans="1:16" ht="12.75" x14ac:dyDescent="0.35">
      <c r="A2040" s="7">
        <v>42481.624386574069</v>
      </c>
      <c r="B2040" s="8" t="str">
        <f>HYPERLINK("https://twitter.com/Apandia","@Apandia")</f>
        <v>@Apandia</v>
      </c>
      <c r="C2040" s="9" t="s">
        <v>245</v>
      </c>
      <c r="D2040" s="9" t="s">
        <v>3700</v>
      </c>
      <c r="E2040" s="10" t="str">
        <f>HYPERLINK("https://twitter.com/Apandia/status/723081117771939840","723081117771939840")</f>
        <v>723081117771939840</v>
      </c>
      <c r="F2040" s="11" t="s">
        <v>115</v>
      </c>
      <c r="G2040" s="11">
        <v>196</v>
      </c>
      <c r="H2040" s="11">
        <v>384</v>
      </c>
      <c r="I2040" s="11">
        <v>2</v>
      </c>
      <c r="J2040" s="11">
        <v>0</v>
      </c>
      <c r="K2040" s="11" t="s">
        <v>21</v>
      </c>
      <c r="L2040" s="7">
        <v>39966.049884259257</v>
      </c>
      <c r="M2040" s="12" t="s">
        <v>247</v>
      </c>
      <c r="N2040" s="12" t="s">
        <v>248</v>
      </c>
      <c r="O2040" s="10" t="str">
        <f>HYPERLINK("https://pbs.twimg.com/profile_images/685327213/Apandia_normal.gif","View")</f>
        <v>View</v>
      </c>
      <c r="P2040" s="11"/>
    </row>
    <row r="2041" spans="1:16" ht="12.75" x14ac:dyDescent="0.35">
      <c r="A2041" s="7">
        <v>42481.625474537039</v>
      </c>
      <c r="B2041" s="8" t="str">
        <f>HYPERLINK("https://twitter.com/AbockAngela","@AbockAngela")</f>
        <v>@AbockAngela</v>
      </c>
      <c r="C2041" s="9" t="s">
        <v>719</v>
      </c>
      <c r="D2041" s="9" t="s">
        <v>3670</v>
      </c>
      <c r="E2041" s="10" t="str">
        <f>HYPERLINK("https://twitter.com/AbockAngela/status/723081511768068096","723081511768068096")</f>
        <v>723081511768068096</v>
      </c>
      <c r="F2041" s="11" t="s">
        <v>29</v>
      </c>
      <c r="G2041" s="11">
        <v>36</v>
      </c>
      <c r="H2041" s="11">
        <v>99</v>
      </c>
      <c r="I2041" s="11">
        <v>7</v>
      </c>
      <c r="J2041" s="11">
        <v>0</v>
      </c>
      <c r="K2041" s="11" t="s">
        <v>21</v>
      </c>
      <c r="L2041" s="7">
        <v>41208.956863425927</v>
      </c>
      <c r="M2041" s="12" t="s">
        <v>720</v>
      </c>
      <c r="N2041" s="12"/>
      <c r="O2041" s="10" t="str">
        <f>HYPERLINK("https://abs.twimg.com/sticky/default_profile_images/default_profile_1_normal.png","View")</f>
        <v>View</v>
      </c>
      <c r="P2041" s="11"/>
    </row>
    <row r="2042" spans="1:16" ht="12.75" x14ac:dyDescent="0.35">
      <c r="A2042" s="7">
        <v>42481.62672453704</v>
      </c>
      <c r="B2042" s="8" t="str">
        <f>HYPERLINK("https://twitter.com/ECKELMANN_AG","@ECKELMANN_AG")</f>
        <v>@ECKELMANN_AG</v>
      </c>
      <c r="C2042" s="9" t="s">
        <v>3701</v>
      </c>
      <c r="D2042" s="9" t="s">
        <v>3621</v>
      </c>
      <c r="E2042" s="10" t="str">
        <f>HYPERLINK("https://twitter.com/ECKELMANN_AG/status/723081967797829632","723081967797829632")</f>
        <v>723081967797829632</v>
      </c>
      <c r="F2042" s="11" t="s">
        <v>25</v>
      </c>
      <c r="G2042" s="11">
        <v>823</v>
      </c>
      <c r="H2042" s="11">
        <v>476</v>
      </c>
      <c r="I2042" s="11">
        <v>2</v>
      </c>
      <c r="J2042" s="11">
        <v>0</v>
      </c>
      <c r="K2042" s="11" t="s">
        <v>21</v>
      </c>
      <c r="L2042" s="7">
        <v>40219.152673611112</v>
      </c>
      <c r="M2042" s="12" t="s">
        <v>2513</v>
      </c>
      <c r="N2042" s="12" t="s">
        <v>3702</v>
      </c>
      <c r="O2042" s="10" t="str">
        <f>HYPERLINK("https://pbs.twimg.com/profile_images/2360611695/a72vv3lrlnwxhpk618rk_normal.jpeg","View")</f>
        <v>View</v>
      </c>
      <c r="P2042" s="11"/>
    </row>
    <row r="2043" spans="1:16" ht="12.75" x14ac:dyDescent="0.35">
      <c r="A2043" s="7">
        <v>42481.627789351856</v>
      </c>
      <c r="B2043" s="8" t="str">
        <f>HYPERLINK("https://twitter.com/hbde_wirtschaft","@hbde_wirtschaft")</f>
        <v>@hbde_wirtschaft</v>
      </c>
      <c r="C2043" s="9" t="s">
        <v>3703</v>
      </c>
      <c r="D2043" s="9" t="s">
        <v>3704</v>
      </c>
      <c r="E2043" s="10" t="str">
        <f>HYPERLINK("https://twitter.com/hbde_wirtschaft/status/723082351551635456","723082351551635456")</f>
        <v>723082351551635456</v>
      </c>
      <c r="F2043" s="11" t="s">
        <v>39</v>
      </c>
      <c r="G2043" s="11">
        <v>908</v>
      </c>
      <c r="H2043" s="11">
        <v>130</v>
      </c>
      <c r="I2043" s="11">
        <v>1</v>
      </c>
      <c r="J2043" s="11">
        <v>0</v>
      </c>
      <c r="K2043" s="11" t="s">
        <v>21</v>
      </c>
      <c r="L2043" s="7">
        <v>41253.66233796296</v>
      </c>
      <c r="M2043" s="12" t="s">
        <v>3705</v>
      </c>
      <c r="N2043" s="12" t="s">
        <v>3706</v>
      </c>
      <c r="O2043" s="10" t="str">
        <f>HYPERLINK("https://pbs.twimg.com/profile_images/666267785098616832/qQ9r56p0_normal.jpg","View")</f>
        <v>View</v>
      </c>
      <c r="P2043" s="11"/>
    </row>
    <row r="2044" spans="1:16" ht="12.75" x14ac:dyDescent="0.35">
      <c r="A2044" s="7">
        <v>42481.628645833334</v>
      </c>
      <c r="B2044" s="8" t="str">
        <f>HYPERLINK("https://twitter.com/IT_Connection","@IT_Connection")</f>
        <v>@IT_Connection</v>
      </c>
      <c r="C2044" s="9" t="s">
        <v>368</v>
      </c>
      <c r="D2044" s="9" t="s">
        <v>3707</v>
      </c>
      <c r="E2044" s="10" t="str">
        <f>HYPERLINK("https://twitter.com/IT_Connection/status/723082660311097344","723082660311097344")</f>
        <v>723082660311097344</v>
      </c>
      <c r="F2044" s="11" t="s">
        <v>39</v>
      </c>
      <c r="G2044" s="11">
        <v>10900</v>
      </c>
      <c r="H2044" s="11">
        <v>10875</v>
      </c>
      <c r="I2044" s="11">
        <v>0</v>
      </c>
      <c r="J2044" s="11">
        <v>0</v>
      </c>
      <c r="K2044" s="11" t="s">
        <v>21</v>
      </c>
      <c r="L2044" s="7">
        <v>40411.751539351855</v>
      </c>
      <c r="M2044" s="12" t="s">
        <v>369</v>
      </c>
      <c r="N2044" s="12" t="s">
        <v>370</v>
      </c>
      <c r="O2044" s="10" t="str">
        <f>HYPERLINK("https://pbs.twimg.com/profile_images/566986293888835584/_uYTcau__normal.png","View")</f>
        <v>View</v>
      </c>
      <c r="P2044" s="11"/>
    </row>
    <row r="2045" spans="1:16" ht="12.75" x14ac:dyDescent="0.35">
      <c r="A2045" s="7">
        <v>42481.628680555557</v>
      </c>
      <c r="B2045" s="8" t="str">
        <f>HYPERLINK("https://twitter.com/AvidokKiel","@AvidokKiel")</f>
        <v>@AvidokKiel</v>
      </c>
      <c r="C2045" s="9" t="s">
        <v>3708</v>
      </c>
      <c r="D2045" s="9" t="s">
        <v>3709</v>
      </c>
      <c r="E2045" s="10" t="str">
        <f>HYPERLINK("https://twitter.com/AvidokKiel/status/723082674106175492","723082674106175492")</f>
        <v>723082674106175492</v>
      </c>
      <c r="F2045" s="11" t="s">
        <v>39</v>
      </c>
      <c r="G2045" s="11">
        <v>105</v>
      </c>
      <c r="H2045" s="11">
        <v>118</v>
      </c>
      <c r="I2045" s="11">
        <v>0</v>
      </c>
      <c r="J2045" s="11">
        <v>0</v>
      </c>
      <c r="K2045" s="11" t="s">
        <v>21</v>
      </c>
      <c r="L2045" s="7">
        <v>41872.736527777779</v>
      </c>
      <c r="M2045" s="12" t="s">
        <v>3710</v>
      </c>
      <c r="N2045" s="12" t="s">
        <v>3711</v>
      </c>
      <c r="O2045" s="10" t="str">
        <f>HYPERLINK("https://pbs.twimg.com/profile_images/502433997083770880/CUYqr_Em_normal.jpeg","View")</f>
        <v>View</v>
      </c>
      <c r="P2045" s="11"/>
    </row>
    <row r="2046" spans="1:16" ht="12.75" x14ac:dyDescent="0.35">
      <c r="A2046" s="7">
        <v>42481.628888888888</v>
      </c>
      <c r="B2046" s="8" t="str">
        <f>HYPERLINK("https://twitter.com/THINK_ING","@THINK_ING")</f>
        <v>@THINK_ING</v>
      </c>
      <c r="C2046" s="9" t="s">
        <v>3016</v>
      </c>
      <c r="D2046" s="9" t="s">
        <v>3712</v>
      </c>
      <c r="E2046" s="10" t="str">
        <f>HYPERLINK("https://twitter.com/THINK_ING/status/723082751138652160","723082751138652160")</f>
        <v>723082751138652160</v>
      </c>
      <c r="F2046" s="11" t="s">
        <v>25</v>
      </c>
      <c r="G2046" s="11">
        <v>2829</v>
      </c>
      <c r="H2046" s="11">
        <v>559</v>
      </c>
      <c r="I2046" s="11">
        <v>0</v>
      </c>
      <c r="J2046" s="11">
        <v>0</v>
      </c>
      <c r="K2046" s="11" t="s">
        <v>21</v>
      </c>
      <c r="L2046" s="7">
        <v>39918.776770833334</v>
      </c>
      <c r="M2046" s="12" t="s">
        <v>218</v>
      </c>
      <c r="N2046" s="12" t="s">
        <v>3018</v>
      </c>
      <c r="O2046" s="10" t="str">
        <f>HYPERLINK("https://pbs.twimg.com/profile_images/3191720682/19efed020ebf3a2098abea8c1436d948_normal.jpeg","View")</f>
        <v>View</v>
      </c>
      <c r="P2046" s="11"/>
    </row>
    <row r="2047" spans="1:16" ht="12.75" x14ac:dyDescent="0.35">
      <c r="A2047" s="7">
        <v>42481.630439814813</v>
      </c>
      <c r="B2047" s="8" t="str">
        <f>HYPERLINK("https://twitter.com/LReehten","@LReehten")</f>
        <v>@LReehten</v>
      </c>
      <c r="C2047" s="9" t="s">
        <v>1998</v>
      </c>
      <c r="D2047" s="9" t="s">
        <v>3713</v>
      </c>
      <c r="E2047" s="10" t="str">
        <f>HYPERLINK("https://twitter.com/LReehten/status/723083312072261632","723083312072261632")</f>
        <v>723083312072261632</v>
      </c>
      <c r="F2047" s="11" t="s">
        <v>25</v>
      </c>
      <c r="G2047" s="11">
        <v>2334</v>
      </c>
      <c r="H2047" s="11">
        <v>2836</v>
      </c>
      <c r="I2047" s="11">
        <v>0</v>
      </c>
      <c r="J2047" s="11">
        <v>1</v>
      </c>
      <c r="K2047" s="11" t="s">
        <v>21</v>
      </c>
      <c r="L2047" s="7">
        <v>41618.817071759258</v>
      </c>
      <c r="M2047" s="12"/>
      <c r="N2047" s="12" t="s">
        <v>2000</v>
      </c>
      <c r="O2047" s="10" t="str">
        <f>HYPERLINK("https://pbs.twimg.com/profile_images/623849156159868928/BetFDR_i_normal.jpg","View")</f>
        <v>View</v>
      </c>
      <c r="P2047" s="11"/>
    </row>
    <row r="2048" spans="1:16" ht="12.75" x14ac:dyDescent="0.35">
      <c r="A2048" s="7">
        <v>42481.631041666667</v>
      </c>
      <c r="B2048" s="8" t="str">
        <f>HYPERLINK("https://twitter.com/CapgeminiDE","@CapgeminiDE")</f>
        <v>@CapgeminiDE</v>
      </c>
      <c r="C2048" s="9" t="s">
        <v>280</v>
      </c>
      <c r="D2048" s="9" t="s">
        <v>3714</v>
      </c>
      <c r="E2048" s="10" t="str">
        <f>HYPERLINK("https://twitter.com/CapgeminiDE/status/723083531371569152","723083531371569152")</f>
        <v>723083531371569152</v>
      </c>
      <c r="F2048" s="11" t="s">
        <v>39</v>
      </c>
      <c r="G2048" s="11">
        <v>1640</v>
      </c>
      <c r="H2048" s="11">
        <v>509</v>
      </c>
      <c r="I2048" s="11">
        <v>0</v>
      </c>
      <c r="J2048" s="11">
        <v>1</v>
      </c>
      <c r="K2048" s="11" t="s">
        <v>21</v>
      </c>
      <c r="L2048" s="7">
        <v>40424.022048611107</v>
      </c>
      <c r="M2048" s="12" t="s">
        <v>218</v>
      </c>
      <c r="N2048" s="12" t="s">
        <v>282</v>
      </c>
      <c r="O2048" s="10" t="str">
        <f>HYPERLINK("https://pbs.twimg.com/profile_images/666911961599315968/aP7ID_qm_normal.png","View")</f>
        <v>View</v>
      </c>
      <c r="P2048" s="11"/>
    </row>
    <row r="2049" spans="1:16" ht="12.75" x14ac:dyDescent="0.35">
      <c r="A2049" s="7">
        <v>42481.631053240737</v>
      </c>
      <c r="B2049" s="8" t="str">
        <f>HYPERLINK("https://twitter.com/LReehten","@LReehten")</f>
        <v>@LReehten</v>
      </c>
      <c r="C2049" s="9" t="s">
        <v>1998</v>
      </c>
      <c r="D2049" s="9" t="s">
        <v>3700</v>
      </c>
      <c r="E2049" s="10" t="str">
        <f>HYPERLINK("https://twitter.com/LReehten/status/723083532709416960","723083532709416960")</f>
        <v>723083532709416960</v>
      </c>
      <c r="F2049" s="11" t="s">
        <v>25</v>
      </c>
      <c r="G2049" s="11">
        <v>2334</v>
      </c>
      <c r="H2049" s="11">
        <v>2836</v>
      </c>
      <c r="I2049" s="11">
        <v>2</v>
      </c>
      <c r="J2049" s="11">
        <v>0</v>
      </c>
      <c r="K2049" s="11" t="s">
        <v>21</v>
      </c>
      <c r="L2049" s="7">
        <v>41618.817071759258</v>
      </c>
      <c r="M2049" s="12"/>
      <c r="N2049" s="12" t="s">
        <v>2000</v>
      </c>
      <c r="O2049" s="10" t="str">
        <f>HYPERLINK("https://pbs.twimg.com/profile_images/623849156159868928/BetFDR_i_normal.jpg","View")</f>
        <v>View</v>
      </c>
      <c r="P2049" s="11"/>
    </row>
    <row r="2050" spans="1:16" ht="12.75" x14ac:dyDescent="0.35">
      <c r="A2050" s="7">
        <v>42481.63553240741</v>
      </c>
      <c r="B2050" s="8" t="str">
        <f>HYPERLINK("https://twitter.com/Bridge_imp","@Bridge_imp")</f>
        <v>@Bridge_imp</v>
      </c>
      <c r="C2050" s="9" t="s">
        <v>3715</v>
      </c>
      <c r="D2050" s="9" t="s">
        <v>3716</v>
      </c>
      <c r="E2050" s="10" t="str">
        <f>HYPERLINK("https://twitter.com/Bridge_imp/status/723085159650598912","723085159650598912")</f>
        <v>723085159650598912</v>
      </c>
      <c r="F2050" s="11" t="s">
        <v>25</v>
      </c>
      <c r="G2050" s="11">
        <v>167</v>
      </c>
      <c r="H2050" s="11">
        <v>178</v>
      </c>
      <c r="I2050" s="11">
        <v>1</v>
      </c>
      <c r="J2050" s="11">
        <v>0</v>
      </c>
      <c r="K2050" s="11" t="s">
        <v>21</v>
      </c>
      <c r="L2050" s="7">
        <v>40533.63921296296</v>
      </c>
      <c r="M2050" s="12" t="s">
        <v>3717</v>
      </c>
      <c r="N2050" s="12" t="s">
        <v>3718</v>
      </c>
      <c r="O2050" s="10" t="str">
        <f>HYPERLINK("https://pbs.twimg.com/profile_images/717643307002646532/K0aVxfqN_normal.jpg","View")</f>
        <v>View</v>
      </c>
      <c r="P2050" s="11"/>
    </row>
    <row r="2051" spans="1:16" ht="12.75" x14ac:dyDescent="0.35">
      <c r="A2051" s="7">
        <v>42481.635740740741</v>
      </c>
      <c r="B2051" s="8" t="str">
        <f>HYPERLINK("https://twitter.com/LReehten","@LReehten")</f>
        <v>@LReehten</v>
      </c>
      <c r="C2051" s="9" t="s">
        <v>1998</v>
      </c>
      <c r="D2051" s="9" t="s">
        <v>3719</v>
      </c>
      <c r="E2051" s="10" t="str">
        <f>HYPERLINK("https://twitter.com/LReehten/status/723085233818468352","723085233818468352")</f>
        <v>723085233818468352</v>
      </c>
      <c r="F2051" s="11" t="s">
        <v>25</v>
      </c>
      <c r="G2051" s="11">
        <v>2334</v>
      </c>
      <c r="H2051" s="11">
        <v>2836</v>
      </c>
      <c r="I2051" s="11">
        <v>0</v>
      </c>
      <c r="J2051" s="11">
        <v>1</v>
      </c>
      <c r="K2051" s="11" t="s">
        <v>21</v>
      </c>
      <c r="L2051" s="7">
        <v>41618.817071759258</v>
      </c>
      <c r="M2051" s="12"/>
      <c r="N2051" s="12" t="s">
        <v>2000</v>
      </c>
      <c r="O2051" s="10" t="str">
        <f>HYPERLINK("https://pbs.twimg.com/profile_images/623849156159868928/BetFDR_i_normal.jpg","View")</f>
        <v>View</v>
      </c>
      <c r="P2051" s="11"/>
    </row>
    <row r="2052" spans="1:16" ht="12.75" x14ac:dyDescent="0.35">
      <c r="A2052" s="7">
        <v>42481.635868055557</v>
      </c>
      <c r="B2052" s="8" t="str">
        <f>HYPERLINK("https://twitter.com/Bitkom","@Bitkom")</f>
        <v>@Bitkom</v>
      </c>
      <c r="C2052" s="9" t="s">
        <v>216</v>
      </c>
      <c r="D2052" s="9" t="s">
        <v>3680</v>
      </c>
      <c r="E2052" s="10" t="str">
        <f>HYPERLINK("https://twitter.com/Bitkom/status/723085281251856392","723085281251856392")</f>
        <v>723085281251856392</v>
      </c>
      <c r="F2052" s="11" t="s">
        <v>25</v>
      </c>
      <c r="G2052" s="11">
        <v>21088</v>
      </c>
      <c r="H2052" s="11">
        <v>3258</v>
      </c>
      <c r="I2052" s="11">
        <v>4</v>
      </c>
      <c r="J2052" s="11">
        <v>0</v>
      </c>
      <c r="K2052" s="11" t="s">
        <v>21</v>
      </c>
      <c r="L2052" s="7">
        <v>39757.913229166668</v>
      </c>
      <c r="M2052" s="12" t="s">
        <v>218</v>
      </c>
      <c r="N2052" s="12" t="s">
        <v>219</v>
      </c>
      <c r="O2052" s="10" t="str">
        <f>HYPERLINK("https://pbs.twimg.com/profile_images/615797525040136192/CKF9-v_o_normal.jpg","View")</f>
        <v>View</v>
      </c>
      <c r="P2052" s="11"/>
    </row>
    <row r="2053" spans="1:16" ht="12.75" x14ac:dyDescent="0.35">
      <c r="A2053" s="7">
        <v>42481.637719907405</v>
      </c>
      <c r="B2053" s="8" t="str">
        <f>HYPERLINK("https://twitter.com/LReehten","@LReehten")</f>
        <v>@LReehten</v>
      </c>
      <c r="C2053" s="9" t="s">
        <v>1998</v>
      </c>
      <c r="D2053" s="9" t="s">
        <v>3720</v>
      </c>
      <c r="E2053" s="10" t="str">
        <f>HYPERLINK("https://twitter.com/LReehten/status/723085949400281088","723085949400281088")</f>
        <v>723085949400281088</v>
      </c>
      <c r="F2053" s="11" t="s">
        <v>25</v>
      </c>
      <c r="G2053" s="11">
        <v>2334</v>
      </c>
      <c r="H2053" s="11">
        <v>2836</v>
      </c>
      <c r="I2053" s="11">
        <v>1</v>
      </c>
      <c r="J2053" s="11">
        <v>0</v>
      </c>
      <c r="K2053" s="11" t="s">
        <v>21</v>
      </c>
      <c r="L2053" s="7">
        <v>41618.817071759258</v>
      </c>
      <c r="M2053" s="12"/>
      <c r="N2053" s="12" t="s">
        <v>2000</v>
      </c>
      <c r="O2053" s="10" t="str">
        <f>HYPERLINK("https://pbs.twimg.com/profile_images/623849156159868928/BetFDR_i_normal.jpg","View")</f>
        <v>View</v>
      </c>
      <c r="P2053" s="11"/>
    </row>
    <row r="2054" spans="1:16" ht="12.75" x14ac:dyDescent="0.35">
      <c r="A2054" s="7">
        <v>42481.638009259259</v>
      </c>
      <c r="B2054" s="8" t="str">
        <f>HYPERLINK("https://twitter.com/tagderlogistik","@tagderlogistik")</f>
        <v>@tagderlogistik</v>
      </c>
      <c r="C2054" s="9" t="s">
        <v>3721</v>
      </c>
      <c r="D2054" s="9" t="s">
        <v>3722</v>
      </c>
      <c r="E2054" s="10" t="str">
        <f>HYPERLINK("https://twitter.com/tagderlogistik/status/723086054471786497","723086054471786497")</f>
        <v>723086054471786497</v>
      </c>
      <c r="F2054" s="11" t="s">
        <v>25</v>
      </c>
      <c r="G2054" s="11">
        <v>1559</v>
      </c>
      <c r="H2054" s="11">
        <v>723</v>
      </c>
      <c r="I2054" s="11">
        <v>1</v>
      </c>
      <c r="J2054" s="11">
        <v>0</v>
      </c>
      <c r="K2054" s="11" t="s">
        <v>21</v>
      </c>
      <c r="L2054" s="7">
        <v>39909.771365740744</v>
      </c>
      <c r="M2054" s="12" t="s">
        <v>121</v>
      </c>
      <c r="N2054" s="12" t="s">
        <v>3723</v>
      </c>
      <c r="O2054" s="10" t="str">
        <f>HYPERLINK("https://pbs.twimg.com/profile_images/464022439555395585/vhqz1-ar_normal.jpeg","View")</f>
        <v>View</v>
      </c>
      <c r="P2054" s="11"/>
    </row>
    <row r="2055" spans="1:16" ht="12.75" x14ac:dyDescent="0.35">
      <c r="A2055" s="7">
        <v>42481.640150462961</v>
      </c>
      <c r="B2055" s="8" t="str">
        <f>HYPERLINK("https://twitter.com/AndyBaldauf","@AndyBaldauf")</f>
        <v>@AndyBaldauf</v>
      </c>
      <c r="C2055" s="9" t="s">
        <v>1988</v>
      </c>
      <c r="D2055" s="9" t="s">
        <v>3724</v>
      </c>
      <c r="E2055" s="10" t="str">
        <f>HYPERLINK("https://twitter.com/AndyBaldauf/status/723086830049042432","723086830049042432")</f>
        <v>723086830049042432</v>
      </c>
      <c r="F2055" s="11" t="s">
        <v>31</v>
      </c>
      <c r="G2055" s="11">
        <v>442</v>
      </c>
      <c r="H2055" s="11">
        <v>1013</v>
      </c>
      <c r="I2055" s="11">
        <v>0</v>
      </c>
      <c r="J2055" s="11">
        <v>0</v>
      </c>
      <c r="K2055" s="11" t="s">
        <v>21</v>
      </c>
      <c r="L2055" s="7">
        <v>40697.888159722221</v>
      </c>
      <c r="M2055" s="12" t="s">
        <v>1990</v>
      </c>
      <c r="N2055" s="12" t="s">
        <v>1991</v>
      </c>
      <c r="O2055" s="10" t="str">
        <f>HYPERLINK("https://pbs.twimg.com/profile_images/573719685306388481/QCug9raA_normal.jpeg","View")</f>
        <v>View</v>
      </c>
      <c r="P2055" s="11"/>
    </row>
    <row r="2056" spans="1:16" ht="12.75" x14ac:dyDescent="0.35">
      <c r="A2056" s="7">
        <v>42481.641608796301</v>
      </c>
      <c r="B2056" s="8" t="str">
        <f>HYPERLINK("https://twitter.com/APRIOR24","@APRIOR24")</f>
        <v>@APRIOR24</v>
      </c>
      <c r="C2056" s="9" t="s">
        <v>3725</v>
      </c>
      <c r="D2056" s="9" t="s">
        <v>3670</v>
      </c>
      <c r="E2056" s="10" t="str">
        <f>HYPERLINK("https://twitter.com/APRIOR24/status/723087361316253698","723087361316253698")</f>
        <v>723087361316253698</v>
      </c>
      <c r="F2056" s="11" t="s">
        <v>25</v>
      </c>
      <c r="G2056" s="11">
        <v>1154</v>
      </c>
      <c r="H2056" s="11">
        <v>2662</v>
      </c>
      <c r="I2056" s="11">
        <v>7</v>
      </c>
      <c r="J2056" s="11">
        <v>0</v>
      </c>
      <c r="K2056" s="11" t="s">
        <v>21</v>
      </c>
      <c r="L2056" s="7">
        <v>41214.688946759255</v>
      </c>
      <c r="M2056" s="12" t="s">
        <v>3726</v>
      </c>
      <c r="N2056" s="12" t="s">
        <v>3727</v>
      </c>
      <c r="O2056" s="10" t="str">
        <f>HYPERLINK("https://pbs.twimg.com/profile_images/3378366810/363099b91cc6453286c2eed06f36a6c4_normal.jpeg","View")</f>
        <v>View</v>
      </c>
      <c r="P2056" s="11"/>
    </row>
    <row r="2057" spans="1:16" ht="12.75" x14ac:dyDescent="0.35">
      <c r="A2057" s="7">
        <v>42481.641747685186</v>
      </c>
      <c r="B2057" s="8" t="str">
        <f>HYPERLINK("https://twitter.com/joachimjoachim","@joachimjoachim")</f>
        <v>@joachimjoachim</v>
      </c>
      <c r="C2057" s="9" t="s">
        <v>3728</v>
      </c>
      <c r="D2057" s="9" t="s">
        <v>3657</v>
      </c>
      <c r="E2057" s="10" t="str">
        <f>HYPERLINK("https://twitter.com/joachimjoachim/status/723087409928351744","723087409928351744")</f>
        <v>723087409928351744</v>
      </c>
      <c r="F2057" s="11" t="s">
        <v>29</v>
      </c>
      <c r="G2057" s="11">
        <v>318</v>
      </c>
      <c r="H2057" s="11">
        <v>1400</v>
      </c>
      <c r="I2057" s="11">
        <v>10</v>
      </c>
      <c r="J2057" s="11">
        <v>0</v>
      </c>
      <c r="K2057" s="11" t="s">
        <v>21</v>
      </c>
      <c r="L2057" s="7">
        <v>40574.769224537034</v>
      </c>
      <c r="M2057" s="12" t="s">
        <v>689</v>
      </c>
      <c r="N2057" s="12" t="s">
        <v>3729</v>
      </c>
      <c r="O2057" s="10" t="str">
        <f>HYPERLINK("https://pbs.twimg.com/profile_images/3196289737/ef73448b33a643e43b6371349d10a761_normal.jpeg","View")</f>
        <v>View</v>
      </c>
      <c r="P2057" s="11"/>
    </row>
    <row r="2058" spans="1:16" ht="12.75" x14ac:dyDescent="0.35">
      <c r="A2058" s="7">
        <v>42481.642824074079</v>
      </c>
      <c r="B2058" s="8" t="str">
        <f>HYPERLINK("https://twitter.com/Marcvanderham","@Marcvanderham")</f>
        <v>@Marcvanderham</v>
      </c>
      <c r="C2058" s="9" t="s">
        <v>3730</v>
      </c>
      <c r="D2058" s="9" t="s">
        <v>3731</v>
      </c>
      <c r="E2058" s="10" t="str">
        <f>HYPERLINK("https://twitter.com/Marcvanderham/status/723087801747558400","723087801747558400")</f>
        <v>723087801747558400</v>
      </c>
      <c r="F2058" s="11" t="s">
        <v>25</v>
      </c>
      <c r="G2058" s="11">
        <v>2203</v>
      </c>
      <c r="H2058" s="11">
        <v>1582</v>
      </c>
      <c r="I2058" s="11">
        <v>0</v>
      </c>
      <c r="J2058" s="11">
        <v>1</v>
      </c>
      <c r="K2058" s="11" t="s">
        <v>21</v>
      </c>
      <c r="L2058" s="7">
        <v>39891.692025462966</v>
      </c>
      <c r="M2058" s="12" t="s">
        <v>545</v>
      </c>
      <c r="N2058" s="12" t="s">
        <v>3732</v>
      </c>
      <c r="O2058" s="10" t="str">
        <f>HYPERLINK("https://pbs.twimg.com/profile_images/703485385662451712/O77nJKVS_normal.jpg","View")</f>
        <v>View</v>
      </c>
      <c r="P2058" s="11"/>
    </row>
    <row r="2059" spans="1:16" ht="12.75" x14ac:dyDescent="0.35">
      <c r="A2059" s="7">
        <v>42481.643310185187</v>
      </c>
      <c r="B2059" s="8" t="str">
        <f>HYPERLINK("https://twitter.com/JETZT_PRde","@JETZT_PRde")</f>
        <v>@JETZT_PRde</v>
      </c>
      <c r="C2059" s="9" t="s">
        <v>1356</v>
      </c>
      <c r="D2059" s="9" t="s">
        <v>3733</v>
      </c>
      <c r="E2059" s="10" t="str">
        <f>HYPERLINK("https://twitter.com/JETZT_PRde/status/723087974695469056","723087974695469056")</f>
        <v>723087974695469056</v>
      </c>
      <c r="F2059" s="11" t="s">
        <v>25</v>
      </c>
      <c r="G2059" s="11">
        <v>1677</v>
      </c>
      <c r="H2059" s="11">
        <v>748</v>
      </c>
      <c r="I2059" s="11">
        <v>0</v>
      </c>
      <c r="J2059" s="11">
        <v>0</v>
      </c>
      <c r="K2059" s="11" t="s">
        <v>21</v>
      </c>
      <c r="L2059" s="7">
        <v>40682.604201388887</v>
      </c>
      <c r="M2059" s="12" t="s">
        <v>581</v>
      </c>
      <c r="N2059" s="12" t="s">
        <v>1358</v>
      </c>
      <c r="O2059" s="10" t="str">
        <f>HYPERLINK("https://pbs.twimg.com/profile_images/593011135428882432/BGMPkrwp_normal.jpg","View")</f>
        <v>View</v>
      </c>
      <c r="P2059" s="11"/>
    </row>
    <row r="2060" spans="1:16" ht="12.75" x14ac:dyDescent="0.35">
      <c r="A2060" s="7">
        <v>42481.643530092595</v>
      </c>
      <c r="B2060" s="8" t="str">
        <f>HYPERLINK("https://twitter.com/IBM_Insider","@IBM_Insider")</f>
        <v>@IBM_Insider</v>
      </c>
      <c r="C2060" s="9" t="s">
        <v>3734</v>
      </c>
      <c r="D2060" s="9" t="s">
        <v>3735</v>
      </c>
      <c r="E2060" s="10" t="str">
        <f>HYPERLINK("https://twitter.com/IBM_Insider/status/723088055352086528","723088055352086528")</f>
        <v>723088055352086528</v>
      </c>
      <c r="F2060" s="11" t="s">
        <v>39</v>
      </c>
      <c r="G2060" s="11">
        <v>1071</v>
      </c>
      <c r="H2060" s="11">
        <v>255</v>
      </c>
      <c r="I2060" s="11">
        <v>0</v>
      </c>
      <c r="J2060" s="11">
        <v>1</v>
      </c>
      <c r="K2060" s="11" t="s">
        <v>21</v>
      </c>
      <c r="L2060" s="7">
        <v>41940.626423611109</v>
      </c>
      <c r="M2060" s="13" t="s">
        <v>3736</v>
      </c>
      <c r="N2060" s="12" t="s">
        <v>3737</v>
      </c>
      <c r="O2060" s="10" t="str">
        <f>HYPERLINK("https://pbs.twimg.com/profile_images/527033706687369216/VgfQAMV8_normal.jpeg","View")</f>
        <v>View</v>
      </c>
      <c r="P2060" s="11"/>
    </row>
    <row r="2061" spans="1:16" ht="12.75" x14ac:dyDescent="0.35">
      <c r="A2061" s="7">
        <v>42481.644050925926</v>
      </c>
      <c r="B2061" s="8" t="str">
        <f>HYPERLINK("https://twitter.com/APRIOR24","@APRIOR24")</f>
        <v>@APRIOR24</v>
      </c>
      <c r="C2061" s="9" t="s">
        <v>3725</v>
      </c>
      <c r="D2061" s="9" t="s">
        <v>3260</v>
      </c>
      <c r="E2061" s="10" t="str">
        <f>HYPERLINK("https://twitter.com/APRIOR24/status/723088245349703680","723088245349703680")</f>
        <v>723088245349703680</v>
      </c>
      <c r="F2061" s="11" t="s">
        <v>25</v>
      </c>
      <c r="G2061" s="11">
        <v>1154</v>
      </c>
      <c r="H2061" s="11">
        <v>2662</v>
      </c>
      <c r="I2061" s="11">
        <v>3</v>
      </c>
      <c r="J2061" s="11">
        <v>0</v>
      </c>
      <c r="K2061" s="11" t="s">
        <v>21</v>
      </c>
      <c r="L2061" s="7">
        <v>41214.688946759255</v>
      </c>
      <c r="M2061" s="12" t="s">
        <v>3726</v>
      </c>
      <c r="N2061" s="12" t="s">
        <v>3727</v>
      </c>
      <c r="O2061" s="10" t="str">
        <f>HYPERLINK("https://pbs.twimg.com/profile_images/3378366810/363099b91cc6453286c2eed06f36a6c4_normal.jpeg","View")</f>
        <v>View</v>
      </c>
      <c r="P2061" s="11"/>
    </row>
    <row r="2062" spans="1:16" ht="12.75" x14ac:dyDescent="0.35">
      <c r="A2062" s="7">
        <v>42481.644201388888</v>
      </c>
      <c r="B2062" s="8" t="str">
        <f>HYPERLINK("https://twitter.com/JETZT_PRde","@JETZT_PRde")</f>
        <v>@JETZT_PRde</v>
      </c>
      <c r="C2062" s="9" t="s">
        <v>1356</v>
      </c>
      <c r="D2062" s="9" t="s">
        <v>3738</v>
      </c>
      <c r="E2062" s="10" t="str">
        <f>HYPERLINK("https://twitter.com/JETZT_PRde/status/723088298659344386","723088298659344386")</f>
        <v>723088298659344386</v>
      </c>
      <c r="F2062" s="11" t="s">
        <v>25</v>
      </c>
      <c r="G2062" s="11">
        <v>1677</v>
      </c>
      <c r="H2062" s="11">
        <v>748</v>
      </c>
      <c r="I2062" s="11">
        <v>0</v>
      </c>
      <c r="J2062" s="11">
        <v>1</v>
      </c>
      <c r="K2062" s="11" t="s">
        <v>21</v>
      </c>
      <c r="L2062" s="7">
        <v>40682.604201388887</v>
      </c>
      <c r="M2062" s="12" t="s">
        <v>581</v>
      </c>
      <c r="N2062" s="12" t="s">
        <v>1358</v>
      </c>
      <c r="O2062" s="10" t="str">
        <f>HYPERLINK("https://pbs.twimg.com/profile_images/593011135428882432/BGMPkrwp_normal.jpg","View")</f>
        <v>View</v>
      </c>
      <c r="P2062" s="11"/>
    </row>
    <row r="2063" spans="1:16" ht="12.75" x14ac:dyDescent="0.35">
      <c r="A2063" s="7">
        <v>42481.644432870366</v>
      </c>
      <c r="B2063" s="8" t="str">
        <f>HYPERLINK("https://twitter.com/gp_und_services","@gp_und_services")</f>
        <v>@gp_und_services</v>
      </c>
      <c r="C2063" s="9" t="s">
        <v>3739</v>
      </c>
      <c r="D2063" s="9" t="s">
        <v>3740</v>
      </c>
      <c r="E2063" s="10" t="str">
        <f>HYPERLINK("https://twitter.com/gp_und_services/status/723088381626974208","723088381626974208")</f>
        <v>723088381626974208</v>
      </c>
      <c r="F2063" s="11" t="s">
        <v>115</v>
      </c>
      <c r="G2063" s="11">
        <v>2295</v>
      </c>
      <c r="H2063" s="11">
        <v>2344</v>
      </c>
      <c r="I2063" s="11">
        <v>1</v>
      </c>
      <c r="J2063" s="11">
        <v>0</v>
      </c>
      <c r="K2063" s="11" t="s">
        <v>21</v>
      </c>
      <c r="L2063" s="7">
        <v>40199.639340277776</v>
      </c>
      <c r="M2063" s="12" t="s">
        <v>3741</v>
      </c>
      <c r="N2063" s="12" t="s">
        <v>3742</v>
      </c>
      <c r="O2063" s="10" t="str">
        <f>HYPERLINK("https://pbs.twimg.com/profile_images/645597459/Gerd_Profilbild_2_normal.jpg","View")</f>
        <v>View</v>
      </c>
      <c r="P2063" s="11"/>
    </row>
    <row r="2064" spans="1:16" ht="12.75" x14ac:dyDescent="0.35">
      <c r="A2064" s="7">
        <v>42481.645150462966</v>
      </c>
      <c r="B2064" s="8" t="str">
        <f>HYPERLINK("https://twitter.com/JETZT_PRde","@JETZT_PRde")</f>
        <v>@JETZT_PRde</v>
      </c>
      <c r="C2064" s="9" t="s">
        <v>1356</v>
      </c>
      <c r="D2064" s="9" t="s">
        <v>3743</v>
      </c>
      <c r="E2064" s="10" t="str">
        <f>HYPERLINK("https://twitter.com/JETZT_PRde/status/723088643909255168","723088643909255168")</f>
        <v>723088643909255168</v>
      </c>
      <c r="F2064" s="11" t="s">
        <v>25</v>
      </c>
      <c r="G2064" s="11">
        <v>1677</v>
      </c>
      <c r="H2064" s="11">
        <v>748</v>
      </c>
      <c r="I2064" s="11">
        <v>0</v>
      </c>
      <c r="J2064" s="11">
        <v>0</v>
      </c>
      <c r="K2064" s="11" t="s">
        <v>21</v>
      </c>
      <c r="L2064" s="7">
        <v>40682.604201388887</v>
      </c>
      <c r="M2064" s="12" t="s">
        <v>581</v>
      </c>
      <c r="N2064" s="12" t="s">
        <v>1358</v>
      </c>
      <c r="O2064" s="10" t="str">
        <f>HYPERLINK("https://pbs.twimg.com/profile_images/593011135428882432/BGMPkrwp_normal.jpg","View")</f>
        <v>View</v>
      </c>
      <c r="P2064" s="11"/>
    </row>
    <row r="2065" spans="1:16" ht="12.75" x14ac:dyDescent="0.35">
      <c r="A2065" s="7">
        <v>42481.645914351851</v>
      </c>
      <c r="B2065" s="8" t="str">
        <f>HYPERLINK("https://twitter.com/schaefflergroup","@schaefflergroup")</f>
        <v>@schaefflergroup</v>
      </c>
      <c r="C2065" s="9" t="s">
        <v>3744</v>
      </c>
      <c r="D2065" s="9" t="s">
        <v>3745</v>
      </c>
      <c r="E2065" s="10" t="str">
        <f>HYPERLINK("https://twitter.com/schaefflergroup/status/723088919185731584","723088919185731584")</f>
        <v>723088919185731584</v>
      </c>
      <c r="F2065" s="11" t="s">
        <v>3746</v>
      </c>
      <c r="G2065" s="11">
        <v>2472</v>
      </c>
      <c r="H2065" s="11">
        <v>379</v>
      </c>
      <c r="I2065" s="11">
        <v>2</v>
      </c>
      <c r="J2065" s="11">
        <v>3</v>
      </c>
      <c r="K2065" s="11" t="s">
        <v>21</v>
      </c>
      <c r="L2065" s="7">
        <v>41844.772175925929</v>
      </c>
      <c r="M2065" s="12" t="s">
        <v>3747</v>
      </c>
      <c r="N2065" s="12" t="s">
        <v>3748</v>
      </c>
      <c r="O2065" s="10" t="str">
        <f>HYPERLINK("https://pbs.twimg.com/profile_images/499907997418532865/R4wRstHe_normal.jpeg","View")</f>
        <v>View</v>
      </c>
      <c r="P2065" s="11"/>
    </row>
    <row r="2066" spans="1:16" ht="12.75" x14ac:dyDescent="0.35">
      <c r="A2066" s="7">
        <v>42481.649386574078</v>
      </c>
      <c r="B2066" s="8" t="str">
        <f>HYPERLINK("https://twitter.com/technikzukunft","@technikzukunft")</f>
        <v>@technikzukunft</v>
      </c>
      <c r="C2066" s="9" t="s">
        <v>3749</v>
      </c>
      <c r="D2066" s="9" t="s">
        <v>3750</v>
      </c>
      <c r="E2066" s="10" t="str">
        <f>HYPERLINK("https://twitter.com/technikzukunft/status/723090178261278720","723090178261278720")</f>
        <v>723090178261278720</v>
      </c>
      <c r="F2066" s="11" t="s">
        <v>39</v>
      </c>
      <c r="G2066" s="11">
        <v>728</v>
      </c>
      <c r="H2066" s="11">
        <v>254</v>
      </c>
      <c r="I2066" s="11">
        <v>3</v>
      </c>
      <c r="J2066" s="11">
        <v>2</v>
      </c>
      <c r="K2066" s="11" t="s">
        <v>21</v>
      </c>
      <c r="L2066" s="7">
        <v>41417.659780092596</v>
      </c>
      <c r="M2066" s="12" t="s">
        <v>3751</v>
      </c>
      <c r="N2066" s="12" t="s">
        <v>3752</v>
      </c>
      <c r="O2066" s="10" t="str">
        <f>HYPERLINK("https://pbs.twimg.com/profile_images/3698248361/9b2b51aa54a0947dae3c180f5e6570c0_normal.jpeg","View")</f>
        <v>View</v>
      </c>
      <c r="P2066" s="11"/>
    </row>
    <row r="2067" spans="1:16" ht="12.75" x14ac:dyDescent="0.35">
      <c r="A2067" s="7">
        <v>42481.650081018517</v>
      </c>
      <c r="B2067" s="8" t="str">
        <f>HYPERLINK("https://twitter.com/tuevnord","@tuevnord")</f>
        <v>@tuevnord</v>
      </c>
      <c r="C2067" s="9" t="s">
        <v>1583</v>
      </c>
      <c r="D2067" s="9" t="s">
        <v>3753</v>
      </c>
      <c r="E2067" s="10" t="str">
        <f>HYPERLINK("https://twitter.com/tuevnord/status/723090428577366016","723090428577366016")</f>
        <v>723090428577366016</v>
      </c>
      <c r="F2067" s="11" t="s">
        <v>39</v>
      </c>
      <c r="G2067" s="11">
        <v>711</v>
      </c>
      <c r="H2067" s="11">
        <v>461</v>
      </c>
      <c r="I2067" s="11">
        <v>0</v>
      </c>
      <c r="J2067" s="11">
        <v>0</v>
      </c>
      <c r="K2067" s="11" t="s">
        <v>21</v>
      </c>
      <c r="L2067" s="7">
        <v>39864.594178240739</v>
      </c>
      <c r="M2067" s="12" t="s">
        <v>1584</v>
      </c>
      <c r="N2067" s="12" t="s">
        <v>1585</v>
      </c>
      <c r="O2067" s="10" t="str">
        <f>HYPERLINK("https://pbs.twimg.com/profile_images/378800000104294821/5a742075b9441c9de8a86c75a712b0c7_normal.png","View")</f>
        <v>View</v>
      </c>
      <c r="P2067" s="11"/>
    </row>
    <row r="2068" spans="1:16" ht="12.75" x14ac:dyDescent="0.35">
      <c r="A2068" s="7">
        <v>42481.650682870371</v>
      </c>
      <c r="B2068" s="8" t="str">
        <f>HYPERLINK("https://twitter.com/JETZT_PRde","@JETZT_PRde")</f>
        <v>@JETZT_PRde</v>
      </c>
      <c r="C2068" s="9" t="s">
        <v>1356</v>
      </c>
      <c r="D2068" s="9" t="s">
        <v>3754</v>
      </c>
      <c r="E2068" s="10" t="str">
        <f>HYPERLINK("https://twitter.com/JETZT_PRde/status/723090646139969536","723090646139969536")</f>
        <v>723090646139969536</v>
      </c>
      <c r="F2068" s="11" t="s">
        <v>25</v>
      </c>
      <c r="G2068" s="11">
        <v>1677</v>
      </c>
      <c r="H2068" s="11">
        <v>748</v>
      </c>
      <c r="I2068" s="11">
        <v>0</v>
      </c>
      <c r="J2068" s="11">
        <v>2</v>
      </c>
      <c r="K2068" s="11" t="s">
        <v>21</v>
      </c>
      <c r="L2068" s="7">
        <v>40682.604201388887</v>
      </c>
      <c r="M2068" s="12" t="s">
        <v>581</v>
      </c>
      <c r="N2068" s="12" t="s">
        <v>1358</v>
      </c>
      <c r="O2068" s="10" t="str">
        <f>HYPERLINK("https://pbs.twimg.com/profile_images/593011135428882432/BGMPkrwp_normal.jpg","View")</f>
        <v>View</v>
      </c>
      <c r="P2068" s="11"/>
    </row>
    <row r="2069" spans="1:16" ht="12.75" x14ac:dyDescent="0.35">
      <c r="A2069" s="7">
        <v>42481.651886574073</v>
      </c>
      <c r="B2069" s="8" t="str">
        <f>HYPERLINK("https://twitter.com/Val_D_R","@Val_D_R")</f>
        <v>@Val_D_R</v>
      </c>
      <c r="C2069" s="9" t="s">
        <v>3755</v>
      </c>
      <c r="D2069" s="9" t="s">
        <v>3756</v>
      </c>
      <c r="E2069" s="10" t="str">
        <f>HYPERLINK("https://twitter.com/Val_D_R/status/723091084100820992","723091084100820992")</f>
        <v>723091084100820992</v>
      </c>
      <c r="F2069" s="11" t="s">
        <v>25</v>
      </c>
      <c r="G2069" s="11">
        <v>166</v>
      </c>
      <c r="H2069" s="11">
        <v>387</v>
      </c>
      <c r="I2069" s="11">
        <v>0</v>
      </c>
      <c r="J2069" s="11">
        <v>0</v>
      </c>
      <c r="K2069" s="11" t="s">
        <v>21</v>
      </c>
      <c r="L2069" s="7">
        <v>40811.707800925928</v>
      </c>
      <c r="M2069" s="12" t="s">
        <v>218</v>
      </c>
      <c r="N2069" s="12" t="s">
        <v>3757</v>
      </c>
      <c r="O2069" s="10" t="str">
        <f>HYPERLINK("https://pbs.twimg.com/profile_images/3739991141/3402d7cafb5f19e352103f146cf09f15_normal.jpeg","View")</f>
        <v>View</v>
      </c>
      <c r="P2069" s="11"/>
    </row>
    <row r="2070" spans="1:16" ht="12.75" x14ac:dyDescent="0.35">
      <c r="A2070" s="7">
        <v>42481.651967592596</v>
      </c>
      <c r="B2070" s="8" t="str">
        <f>HYPERLINK("https://twitter.com/boerni_w","@boerni_w")</f>
        <v>@boerni_w</v>
      </c>
      <c r="C2070" s="9" t="s">
        <v>702</v>
      </c>
      <c r="D2070" s="9" t="s">
        <v>3585</v>
      </c>
      <c r="E2070" s="10" t="str">
        <f>HYPERLINK("https://twitter.com/boerni_w/status/723091114035691520","723091114035691520")</f>
        <v>723091114035691520</v>
      </c>
      <c r="F2070" s="11" t="s">
        <v>31</v>
      </c>
      <c r="G2070" s="11">
        <v>781</v>
      </c>
      <c r="H2070" s="11">
        <v>804</v>
      </c>
      <c r="I2070" s="11">
        <v>2</v>
      </c>
      <c r="J2070" s="11">
        <v>0</v>
      </c>
      <c r="K2070" s="11" t="s">
        <v>21</v>
      </c>
      <c r="L2070" s="7">
        <v>41612.819016203706</v>
      </c>
      <c r="M2070" s="12" t="s">
        <v>703</v>
      </c>
      <c r="N2070" s="12" t="s">
        <v>704</v>
      </c>
      <c r="O2070" s="10" t="str">
        <f>HYPERLINK("https://pbs.twimg.com/profile_images/378800000832540984/08f85f5a644d0edf1fc387140334494b_normal.jpeg","View")</f>
        <v>View</v>
      </c>
      <c r="P2070" s="11"/>
    </row>
    <row r="2071" spans="1:16" ht="12.75" x14ac:dyDescent="0.35">
      <c r="A2071" s="7">
        <v>42481.653113425928</v>
      </c>
      <c r="B2071" s="8" t="str">
        <f>HYPERLINK("https://twitter.com/OliverS2010","@OliverS2010")</f>
        <v>@OliverS2010</v>
      </c>
      <c r="C2071" s="9" t="s">
        <v>2593</v>
      </c>
      <c r="D2071" s="9" t="s">
        <v>3758</v>
      </c>
      <c r="E2071" s="10" t="str">
        <f>HYPERLINK("https://twitter.com/OliverS2010/status/723091530244743168","723091530244743168")</f>
        <v>723091530244743168</v>
      </c>
      <c r="F2071" s="11" t="s">
        <v>25</v>
      </c>
      <c r="G2071" s="11">
        <v>1177</v>
      </c>
      <c r="H2071" s="11">
        <v>1169</v>
      </c>
      <c r="I2071" s="11">
        <v>0</v>
      </c>
      <c r="J2071" s="11">
        <v>2</v>
      </c>
      <c r="K2071" s="11" t="s">
        <v>21</v>
      </c>
      <c r="L2071" s="7">
        <v>40121.725856481484</v>
      </c>
      <c r="M2071" s="12"/>
      <c r="N2071" s="12" t="s">
        <v>2594</v>
      </c>
      <c r="O2071" s="10" t="str">
        <f>HYPERLINK("https://pbs.twimg.com/profile_images/520204781394993153/KgKmEmB2_normal.jpeg","View")</f>
        <v>View</v>
      </c>
      <c r="P2071" s="11"/>
    </row>
    <row r="2072" spans="1:16" ht="12.75" x14ac:dyDescent="0.35">
      <c r="A2072" s="7">
        <v>42481.653124999997</v>
      </c>
      <c r="B2072" s="8" t="str">
        <f>HYPERLINK("https://twitter.com/AnnaWypior","@AnnaWypior")</f>
        <v>@AnnaWypior</v>
      </c>
      <c r="C2072" s="9" t="s">
        <v>1395</v>
      </c>
      <c r="D2072" s="9" t="s">
        <v>3680</v>
      </c>
      <c r="E2072" s="10" t="str">
        <f>HYPERLINK("https://twitter.com/AnnaWypior/status/723091534447562752","723091534447562752")</f>
        <v>723091534447562752</v>
      </c>
      <c r="F2072" s="11" t="s">
        <v>31</v>
      </c>
      <c r="G2072" s="11">
        <v>215</v>
      </c>
      <c r="H2072" s="11">
        <v>329</v>
      </c>
      <c r="I2072" s="11">
        <v>4</v>
      </c>
      <c r="J2072" s="11">
        <v>0</v>
      </c>
      <c r="K2072" s="11" t="s">
        <v>21</v>
      </c>
      <c r="L2072" s="7">
        <v>42274.81621527778</v>
      </c>
      <c r="M2072" s="12" t="s">
        <v>1396</v>
      </c>
      <c r="N2072" s="12" t="s">
        <v>1397</v>
      </c>
      <c r="O2072" s="10" t="str">
        <f>HYPERLINK("https://pbs.twimg.com/profile_images/648137141999017989/QfJy2m6F_normal.png","View")</f>
        <v>View</v>
      </c>
      <c r="P2072" s="11"/>
    </row>
    <row r="2073" spans="1:16" ht="12.75" x14ac:dyDescent="0.35">
      <c r="A2073" s="7">
        <v>42481.654120370367</v>
      </c>
      <c r="B2073" s="8" t="str">
        <f>HYPERLINK("https://twitter.com/vemdiearbeitgeb","@vemdiearbeitgeb")</f>
        <v>@vemdiearbeitgeb</v>
      </c>
      <c r="C2073" s="9" t="s">
        <v>3445</v>
      </c>
      <c r="D2073" s="9" t="s">
        <v>3759</v>
      </c>
      <c r="E2073" s="10" t="str">
        <f>HYPERLINK("https://twitter.com/vemdiearbeitgeb/status/723091891563065344","723091891563065344")</f>
        <v>723091891563065344</v>
      </c>
      <c r="F2073" s="11" t="s">
        <v>25</v>
      </c>
      <c r="G2073" s="11">
        <v>772</v>
      </c>
      <c r="H2073" s="11">
        <v>821</v>
      </c>
      <c r="I2073" s="11">
        <v>0</v>
      </c>
      <c r="J2073" s="11">
        <v>0</v>
      </c>
      <c r="K2073" s="11" t="s">
        <v>21</v>
      </c>
      <c r="L2073" s="7">
        <v>40248.606006944443</v>
      </c>
      <c r="M2073" s="12" t="s">
        <v>3446</v>
      </c>
      <c r="N2073" s="12" t="s">
        <v>3447</v>
      </c>
      <c r="O2073" s="10" t="str">
        <f>HYPERLINK("https://pbs.twimg.com/profile_images/1281327600/VEM_LOGO_1101_4c_o_Twitter_normal.jpg","View")</f>
        <v>View</v>
      </c>
      <c r="P2073" s="11"/>
    </row>
    <row r="2074" spans="1:16" ht="12.75" x14ac:dyDescent="0.35">
      <c r="A2074" s="7">
        <v>42481.658032407402</v>
      </c>
      <c r="B2074" s="8" t="str">
        <f>HYPERLINK("https://twitter.com/neitzelsecuweb","@neitzelsecuweb")</f>
        <v>@neitzelsecuweb</v>
      </c>
      <c r="C2074" s="9" t="s">
        <v>229</v>
      </c>
      <c r="D2074" s="9" t="s">
        <v>3588</v>
      </c>
      <c r="E2074" s="10" t="str">
        <f>HYPERLINK("https://twitter.com/neitzelsecuweb/status/723093310592577536","723093310592577536")</f>
        <v>723093310592577536</v>
      </c>
      <c r="F2074" s="11" t="s">
        <v>25</v>
      </c>
      <c r="G2074" s="11">
        <v>168</v>
      </c>
      <c r="H2074" s="11">
        <v>213</v>
      </c>
      <c r="I2074" s="11">
        <v>24</v>
      </c>
      <c r="J2074" s="11">
        <v>0</v>
      </c>
      <c r="K2074" s="11" t="s">
        <v>21</v>
      </c>
      <c r="L2074" s="7">
        <v>40328.997187499997</v>
      </c>
      <c r="M2074" s="12" t="s">
        <v>231</v>
      </c>
      <c r="N2074" s="12" t="s">
        <v>232</v>
      </c>
      <c r="O2074" s="10" t="str">
        <f>HYPERLINK("https://pbs.twimg.com/profile_images/1906449052/nw_normal.jpg","View")</f>
        <v>View</v>
      </c>
      <c r="P2074" s="11"/>
    </row>
    <row r="2075" spans="1:16" ht="12.75" x14ac:dyDescent="0.35">
      <c r="A2075" s="7">
        <v>42481.659120370372</v>
      </c>
      <c r="B2075" s="8" t="str">
        <f>HYPERLINK("https://twitter.com/H_IT_D","@H_IT_D")</f>
        <v>@H_IT_D</v>
      </c>
      <c r="C2075" s="9" t="s">
        <v>159</v>
      </c>
      <c r="D2075" s="9" t="s">
        <v>3760</v>
      </c>
      <c r="E2075" s="10" t="str">
        <f>HYPERLINK("https://twitter.com/H_IT_D/status/723093706723598336","723093706723598336")</f>
        <v>723093706723598336</v>
      </c>
      <c r="F2075" s="11" t="s">
        <v>161</v>
      </c>
      <c r="G2075" s="11">
        <v>463</v>
      </c>
      <c r="H2075" s="11">
        <v>467</v>
      </c>
      <c r="I2075" s="11">
        <v>1</v>
      </c>
      <c r="J2075" s="11">
        <v>0</v>
      </c>
      <c r="K2075" s="11" t="s">
        <v>21</v>
      </c>
      <c r="L2075" s="7">
        <v>40723.867673611108</v>
      </c>
      <c r="M2075" s="12" t="s">
        <v>162</v>
      </c>
      <c r="N2075" s="12" t="s">
        <v>163</v>
      </c>
      <c r="O2075" s="10" t="str">
        <f>HYPERLINK("https://pbs.twimg.com/profile_images/662723326096224256/5V4KH9_O_normal.jpg","View")</f>
        <v>View</v>
      </c>
      <c r="P2075" s="11"/>
    </row>
    <row r="2076" spans="1:16" ht="12.75" x14ac:dyDescent="0.35">
      <c r="A2076" s="7">
        <v>42481.659166666665</v>
      </c>
      <c r="B2076" s="8" t="str">
        <f>HYPERLINK("https://twitter.com/prxagentur","@prxagentur")</f>
        <v>@prxagentur</v>
      </c>
      <c r="C2076" s="9" t="s">
        <v>1753</v>
      </c>
      <c r="D2076" s="9" t="s">
        <v>3761</v>
      </c>
      <c r="E2076" s="10" t="str">
        <f>HYPERLINK("https://twitter.com/prxagentur/status/723093721479303169","723093721479303169")</f>
        <v>723093721479303169</v>
      </c>
      <c r="F2076" s="11" t="s">
        <v>20</v>
      </c>
      <c r="G2076" s="11">
        <v>196</v>
      </c>
      <c r="H2076" s="11">
        <v>374</v>
      </c>
      <c r="I2076" s="11">
        <v>0</v>
      </c>
      <c r="J2076" s="11">
        <v>0</v>
      </c>
      <c r="K2076" s="11" t="s">
        <v>21</v>
      </c>
      <c r="L2076" s="7">
        <v>42128.001620370371</v>
      </c>
      <c r="M2076" s="12"/>
      <c r="N2076" s="12"/>
      <c r="O2076" s="10" t="str">
        <f>HYPERLINK("https://pbs.twimg.com/profile_images/594934750122536960/nG4kmfDF_normal.jpg","View")</f>
        <v>View</v>
      </c>
      <c r="P2076" s="11"/>
    </row>
    <row r="2077" spans="1:16" ht="12.75" x14ac:dyDescent="0.35">
      <c r="A2077" s="7">
        <v>42481.660520833335</v>
      </c>
      <c r="B2077" s="8" t="str">
        <f t="shared" ref="B2077:B2078" si="240">HYPERLINK("https://twitter.com/INDIZbot","@INDIZbot")</f>
        <v>@INDIZbot</v>
      </c>
      <c r="C2077" s="9" t="s">
        <v>61</v>
      </c>
      <c r="D2077" s="9" t="s">
        <v>3762</v>
      </c>
      <c r="E2077" s="10" t="str">
        <f>HYPERLINK("https://twitter.com/INDIZbot/status/723094211902464000","723094211902464000")</f>
        <v>723094211902464000</v>
      </c>
      <c r="F2077" s="11" t="s">
        <v>62</v>
      </c>
      <c r="G2077" s="11">
        <v>1762</v>
      </c>
      <c r="H2077" s="11">
        <v>481</v>
      </c>
      <c r="I2077" s="11">
        <v>1</v>
      </c>
      <c r="J2077" s="11">
        <v>0</v>
      </c>
      <c r="K2077" s="11" t="s">
        <v>21</v>
      </c>
      <c r="L2077" s="7">
        <v>42267.011921296296</v>
      </c>
      <c r="M2077" s="12"/>
      <c r="N2077" s="12" t="s">
        <v>63</v>
      </c>
      <c r="O2077" s="10" t="str">
        <f t="shared" ref="O2077:O2078" si="241">HYPERLINK("https://pbs.twimg.com/profile_images/645716711723925506/t5G0qOS6_normal.jpg","View")</f>
        <v>View</v>
      </c>
      <c r="P2077" s="11"/>
    </row>
    <row r="2078" spans="1:16" ht="12.75" x14ac:dyDescent="0.35">
      <c r="A2078" s="7">
        <v>42481.660787037035</v>
      </c>
      <c r="B2078" s="8" t="str">
        <f t="shared" si="240"/>
        <v>@INDIZbot</v>
      </c>
      <c r="C2078" s="9" t="s">
        <v>61</v>
      </c>
      <c r="D2078" s="9" t="s">
        <v>3588</v>
      </c>
      <c r="E2078" s="10" t="str">
        <f>HYPERLINK("https://twitter.com/INDIZbot/status/723094311471058944","723094311471058944")</f>
        <v>723094311471058944</v>
      </c>
      <c r="F2078" s="11" t="s">
        <v>62</v>
      </c>
      <c r="G2078" s="11">
        <v>1762</v>
      </c>
      <c r="H2078" s="11">
        <v>481</v>
      </c>
      <c r="I2078" s="11">
        <v>24</v>
      </c>
      <c r="J2078" s="11">
        <v>0</v>
      </c>
      <c r="K2078" s="11" t="s">
        <v>21</v>
      </c>
      <c r="L2078" s="7">
        <v>42267.011921296296</v>
      </c>
      <c r="M2078" s="12"/>
      <c r="N2078" s="12" t="s">
        <v>63</v>
      </c>
      <c r="O2078" s="10" t="str">
        <f t="shared" si="241"/>
        <v>View</v>
      </c>
      <c r="P2078" s="11"/>
    </row>
    <row r="2079" spans="1:16" ht="12.75" x14ac:dyDescent="0.35">
      <c r="A2079" s="7">
        <v>42481.665405092594</v>
      </c>
      <c r="B2079" s="8" t="str">
        <f>HYPERLINK("https://twitter.com/snetworkingde","@snetworkingde")</f>
        <v>@snetworkingde</v>
      </c>
      <c r="C2079" s="8" t="s">
        <v>3763</v>
      </c>
      <c r="D2079" s="9" t="s">
        <v>3670</v>
      </c>
      <c r="E2079" s="10" t="str">
        <f>HYPERLINK("https://twitter.com/snetworkingde/status/723095984352333824","723095984352333824")</f>
        <v>723095984352333824</v>
      </c>
      <c r="F2079" s="11" t="s">
        <v>25</v>
      </c>
      <c r="G2079" s="11">
        <v>120</v>
      </c>
      <c r="H2079" s="11">
        <v>294</v>
      </c>
      <c r="I2079" s="11">
        <v>7</v>
      </c>
      <c r="J2079" s="11">
        <v>0</v>
      </c>
      <c r="K2079" s="11" t="s">
        <v>21</v>
      </c>
      <c r="L2079" s="7">
        <v>42408.863715277781</v>
      </c>
      <c r="M2079" s="12" t="s">
        <v>440</v>
      </c>
      <c r="N2079" s="12" t="s">
        <v>3764</v>
      </c>
      <c r="O2079" s="10" t="str">
        <f>HYPERLINK("https://pbs.twimg.com/profile_images/697004911867736065/FPTsHobf_normal.jpg","View")</f>
        <v>View</v>
      </c>
      <c r="P2079" s="11"/>
    </row>
    <row r="2080" spans="1:16" ht="12.75" x14ac:dyDescent="0.35">
      <c r="A2080" s="7">
        <v>42481.671967592592</v>
      </c>
      <c r="B2080" s="8" t="str">
        <f>HYPERLINK("https://twitter.com/WTI_FfM","@WTI_FfM")</f>
        <v>@WTI_FfM</v>
      </c>
      <c r="C2080" s="9" t="s">
        <v>3765</v>
      </c>
      <c r="D2080" s="9" t="s">
        <v>3766</v>
      </c>
      <c r="E2080" s="10" t="str">
        <f>HYPERLINK("https://twitter.com/WTI_FfM/status/723098361356677120","723098361356677120")</f>
        <v>723098361356677120</v>
      </c>
      <c r="F2080" s="11" t="s">
        <v>25</v>
      </c>
      <c r="G2080" s="11">
        <v>85</v>
      </c>
      <c r="H2080" s="11">
        <v>112</v>
      </c>
      <c r="I2080" s="11">
        <v>0</v>
      </c>
      <c r="J2080" s="11">
        <v>0</v>
      </c>
      <c r="K2080" s="11" t="s">
        <v>21</v>
      </c>
      <c r="L2080" s="7">
        <v>42290.638287037036</v>
      </c>
      <c r="M2080" s="12" t="s">
        <v>79</v>
      </c>
      <c r="N2080" s="12" t="s">
        <v>3767</v>
      </c>
      <c r="O2080" s="10" t="str">
        <f>HYPERLINK("https://pbs.twimg.com/profile_images/653873123536805889/EF71GQzy_normal.jpg","View")</f>
        <v>View</v>
      </c>
      <c r="P2080" s="11"/>
    </row>
    <row r="2081" spans="1:16" ht="12.75" x14ac:dyDescent="0.35">
      <c r="A2081" s="7">
        <v>42481.675787037035</v>
      </c>
      <c r="B2081" s="8" t="str">
        <f t="shared" ref="B2081:B2082" si="242">HYPERLINK("https://twitter.com/SGE","@SGE")</f>
        <v>@SGE</v>
      </c>
      <c r="C2081" s="9" t="s">
        <v>3633</v>
      </c>
      <c r="D2081" s="9" t="s">
        <v>3768</v>
      </c>
      <c r="E2081" s="10" t="str">
        <f>HYPERLINK("https://twitter.com/SGE/status/723099744285896705","723099744285896705")</f>
        <v>723099744285896705</v>
      </c>
      <c r="F2081" s="11" t="s">
        <v>39</v>
      </c>
      <c r="G2081" s="11">
        <v>1901</v>
      </c>
      <c r="H2081" s="11">
        <v>231</v>
      </c>
      <c r="I2081" s="11">
        <v>0</v>
      </c>
      <c r="J2081" s="11">
        <v>1</v>
      </c>
      <c r="K2081" s="11" t="s">
        <v>21</v>
      </c>
      <c r="L2081" s="7">
        <v>39937.802928240737</v>
      </c>
      <c r="M2081" s="12" t="s">
        <v>3635</v>
      </c>
      <c r="N2081" s="12" t="s">
        <v>3636</v>
      </c>
      <c r="O2081" s="10" t="str">
        <f t="shared" ref="O2081:O2082" si="243">HYPERLINK("https://pbs.twimg.com/profile_images/471312276767535104/TIanhngf_normal.jpeg","View")</f>
        <v>View</v>
      </c>
      <c r="P2081" s="11"/>
    </row>
    <row r="2082" spans="1:16" ht="12.75" x14ac:dyDescent="0.35">
      <c r="A2082" s="7">
        <v>42481.677916666667</v>
      </c>
      <c r="B2082" s="8" t="str">
        <f t="shared" si="242"/>
        <v>@SGE</v>
      </c>
      <c r="C2082" s="9" t="s">
        <v>3633</v>
      </c>
      <c r="D2082" s="9" t="s">
        <v>3769</v>
      </c>
      <c r="E2082" s="10" t="str">
        <f>HYPERLINK("https://twitter.com/SGE/status/723100519191994368","723100519191994368")</f>
        <v>723100519191994368</v>
      </c>
      <c r="F2082" s="11" t="s">
        <v>39</v>
      </c>
      <c r="G2082" s="11">
        <v>1901</v>
      </c>
      <c r="H2082" s="11">
        <v>231</v>
      </c>
      <c r="I2082" s="11">
        <v>1</v>
      </c>
      <c r="J2082" s="11">
        <v>0</v>
      </c>
      <c r="K2082" s="11" t="s">
        <v>21</v>
      </c>
      <c r="L2082" s="7">
        <v>39937.802928240737</v>
      </c>
      <c r="M2082" s="12" t="s">
        <v>3635</v>
      </c>
      <c r="N2082" s="12" t="s">
        <v>3636</v>
      </c>
      <c r="O2082" s="10" t="str">
        <f t="shared" si="243"/>
        <v>View</v>
      </c>
      <c r="P2082" s="11"/>
    </row>
    <row r="2083" spans="1:16" ht="12.75" x14ac:dyDescent="0.35">
      <c r="A2083" s="7">
        <v>42481.68069444444</v>
      </c>
      <c r="B2083" s="8" t="str">
        <f>HYPERLINK("https://twitter.com/prxpragma","@prxpragma")</f>
        <v>@prxpragma</v>
      </c>
      <c r="C2083" s="9" t="s">
        <v>499</v>
      </c>
      <c r="D2083" s="9" t="s">
        <v>3770</v>
      </c>
      <c r="E2083" s="10" t="str">
        <f>HYPERLINK("https://twitter.com/prxpragma/status/723101523018809344","723101523018809344")</f>
        <v>723101523018809344</v>
      </c>
      <c r="F2083" s="11" t="s">
        <v>25</v>
      </c>
      <c r="G2083" s="11">
        <v>306</v>
      </c>
      <c r="H2083" s="11">
        <v>562</v>
      </c>
      <c r="I2083" s="11">
        <v>1</v>
      </c>
      <c r="J2083" s="11">
        <v>3</v>
      </c>
      <c r="K2083" s="11" t="s">
        <v>21</v>
      </c>
      <c r="L2083" s="7">
        <v>42129.922442129631</v>
      </c>
      <c r="M2083" s="12"/>
      <c r="N2083" s="12"/>
      <c r="O2083" s="10" t="str">
        <f>HYPERLINK("https://pbs.twimg.com/profile_images/595629691249233920/PnZxF5UO_normal.jpg","View")</f>
        <v>View</v>
      </c>
      <c r="P2083" s="11"/>
    </row>
    <row r="2084" spans="1:16" ht="12.75" x14ac:dyDescent="0.35">
      <c r="A2084" s="7">
        <v>42481.681631944448</v>
      </c>
      <c r="B2084" s="8" t="str">
        <f>HYPERLINK("https://twitter.com/SGE","@SGE")</f>
        <v>@SGE</v>
      </c>
      <c r="C2084" s="9" t="s">
        <v>3633</v>
      </c>
      <c r="D2084" s="9" t="s">
        <v>3771</v>
      </c>
      <c r="E2084" s="10" t="str">
        <f>HYPERLINK("https://twitter.com/SGE/status/723101862199701504","723101862199701504")</f>
        <v>723101862199701504</v>
      </c>
      <c r="F2084" s="11" t="s">
        <v>39</v>
      </c>
      <c r="G2084" s="11">
        <v>1901</v>
      </c>
      <c r="H2084" s="11">
        <v>231</v>
      </c>
      <c r="I2084" s="11">
        <v>1</v>
      </c>
      <c r="J2084" s="11">
        <v>0</v>
      </c>
      <c r="K2084" s="11" t="s">
        <v>21</v>
      </c>
      <c r="L2084" s="7">
        <v>39937.802928240737</v>
      </c>
      <c r="M2084" s="12" t="s">
        <v>3635</v>
      </c>
      <c r="N2084" s="12" t="s">
        <v>3636</v>
      </c>
      <c r="O2084" s="10" t="str">
        <f>HYPERLINK("https://pbs.twimg.com/profile_images/471312276767535104/TIanhngf_normal.jpeg","View")</f>
        <v>View</v>
      </c>
      <c r="P2084" s="11"/>
    </row>
    <row r="2085" spans="1:16" ht="12.75" x14ac:dyDescent="0.35">
      <c r="A2085" s="7">
        <v>42481.682650462964</v>
      </c>
      <c r="B2085" s="8" t="str">
        <f>HYPERLINK("https://twitter.com/PwC_Switzerland","@PwC_Switzerland")</f>
        <v>@PwC_Switzerland</v>
      </c>
      <c r="C2085" s="9" t="s">
        <v>3772</v>
      </c>
      <c r="D2085" s="9" t="s">
        <v>3773</v>
      </c>
      <c r="E2085" s="10" t="str">
        <f>HYPERLINK("https://twitter.com/PwC_Switzerland/status/723102231382360064","723102231382360064")</f>
        <v>723102231382360064</v>
      </c>
      <c r="F2085" s="11" t="s">
        <v>20</v>
      </c>
      <c r="G2085" s="11">
        <v>3973</v>
      </c>
      <c r="H2085" s="11">
        <v>629</v>
      </c>
      <c r="I2085" s="11">
        <v>1</v>
      </c>
      <c r="J2085" s="11">
        <v>0</v>
      </c>
      <c r="K2085" s="11" t="s">
        <v>21</v>
      </c>
      <c r="L2085" s="7">
        <v>40140.811261574076</v>
      </c>
      <c r="M2085" s="12" t="s">
        <v>478</v>
      </c>
      <c r="N2085" s="12" t="s">
        <v>3774</v>
      </c>
      <c r="O2085" s="10" t="str">
        <f>HYPERLINK("https://pbs.twimg.com/profile_images/458972132387479552/TasOImER_normal.png","View")</f>
        <v>View</v>
      </c>
      <c r="P2085" s="11"/>
    </row>
    <row r="2086" spans="1:16" ht="12.75" x14ac:dyDescent="0.35">
      <c r="A2086" s="7">
        <v>42481.683067129634</v>
      </c>
      <c r="B2086" s="8" t="str">
        <f>HYPERLINK("https://twitter.com/AltimFrance","@AltimFrance")</f>
        <v>@AltimFrance</v>
      </c>
      <c r="C2086" s="9" t="s">
        <v>3775</v>
      </c>
      <c r="D2086" s="9" t="s">
        <v>3776</v>
      </c>
      <c r="E2086" s="10" t="str">
        <f>HYPERLINK("https://twitter.com/AltimFrance/status/723102382054240256","723102382054240256")</f>
        <v>723102382054240256</v>
      </c>
      <c r="F2086" s="11" t="s">
        <v>25</v>
      </c>
      <c r="G2086" s="11">
        <v>497</v>
      </c>
      <c r="H2086" s="11">
        <v>550</v>
      </c>
      <c r="I2086" s="11">
        <v>0</v>
      </c>
      <c r="J2086" s="11">
        <v>0</v>
      </c>
      <c r="K2086" s="11" t="s">
        <v>21</v>
      </c>
      <c r="L2086" s="7">
        <v>40729.809178240743</v>
      </c>
      <c r="M2086" s="12" t="s">
        <v>3777</v>
      </c>
      <c r="N2086" s="12" t="s">
        <v>3778</v>
      </c>
      <c r="O2086" s="10" t="str">
        <f>HYPERLINK("https://pbs.twimg.com/profile_images/683944253291130880/vT0fYGlv_normal.jpg","View")</f>
        <v>View</v>
      </c>
      <c r="P2086" s="11"/>
    </row>
    <row r="2087" spans="1:16" ht="12.75" x14ac:dyDescent="0.35">
      <c r="A2087" s="7">
        <v>42481.6877662037</v>
      </c>
      <c r="B2087" s="8" t="str">
        <f>HYPERLINK("https://twitter.com/verlinked","@verlinked")</f>
        <v>@verlinked</v>
      </c>
      <c r="C2087" s="9" t="s">
        <v>263</v>
      </c>
      <c r="D2087" s="9" t="s">
        <v>3779</v>
      </c>
      <c r="E2087" s="10" t="str">
        <f>HYPERLINK("https://twitter.com/verlinked/status/723104087462404097","723104087462404097")</f>
        <v>723104087462404097</v>
      </c>
      <c r="F2087" s="11" t="s">
        <v>115</v>
      </c>
      <c r="G2087" s="11">
        <v>600</v>
      </c>
      <c r="H2087" s="11">
        <v>1201</v>
      </c>
      <c r="I2087" s="11">
        <v>0</v>
      </c>
      <c r="J2087" s="11">
        <v>1</v>
      </c>
      <c r="K2087" s="11" t="s">
        <v>21</v>
      </c>
      <c r="L2087" s="7">
        <v>41463.077627314815</v>
      </c>
      <c r="M2087" s="12" t="s">
        <v>265</v>
      </c>
      <c r="N2087" s="12" t="s">
        <v>266</v>
      </c>
      <c r="O2087" s="10" t="str">
        <f>HYPERLINK("https://pbs.twimg.com/profile_images/722385992343285760/ww8YLZ2q_normal.jpg","View")</f>
        <v>View</v>
      </c>
      <c r="P2087" s="11"/>
    </row>
    <row r="2088" spans="1:16" ht="12.75" x14ac:dyDescent="0.35">
      <c r="A2088" s="7">
        <v>42481.690266203703</v>
      </c>
      <c r="B2088" s="8" t="str">
        <f>HYPERLINK("https://twitter.com/MartinaWeidmann","@MartinaWeidmann")</f>
        <v>@MartinaWeidmann</v>
      </c>
      <c r="C2088" s="9" t="s">
        <v>3780</v>
      </c>
      <c r="D2088" s="9" t="s">
        <v>3781</v>
      </c>
      <c r="E2088" s="10" t="str">
        <f>HYPERLINK("https://twitter.com/MartinaWeidmann/status/723104990491877376","723104990491877376")</f>
        <v>723104990491877376</v>
      </c>
      <c r="F2088" s="11" t="s">
        <v>25</v>
      </c>
      <c r="G2088" s="11">
        <v>148</v>
      </c>
      <c r="H2088" s="11">
        <v>90</v>
      </c>
      <c r="I2088" s="11">
        <v>5</v>
      </c>
      <c r="J2088" s="11">
        <v>4</v>
      </c>
      <c r="K2088" s="11" t="s">
        <v>21</v>
      </c>
      <c r="L2088" s="7">
        <v>42192.705405092594</v>
      </c>
      <c r="M2088" s="12" t="s">
        <v>79</v>
      </c>
      <c r="N2088" s="12" t="s">
        <v>3782</v>
      </c>
      <c r="O2088" s="10" t="str">
        <f>HYPERLINK("https://pbs.twimg.com/profile_images/618382584221986816/uq4RrR-L_normal.png","View")</f>
        <v>View</v>
      </c>
      <c r="P2088" s="11"/>
    </row>
    <row r="2089" spans="1:16" ht="12.75" x14ac:dyDescent="0.35">
      <c r="A2089" s="7">
        <v>42481.690995370373</v>
      </c>
      <c r="B2089" s="8" t="str">
        <f>HYPERLINK("https://twitter.com/kommoptimierer","@kommoptimierer")</f>
        <v>@kommoptimierer</v>
      </c>
      <c r="C2089" s="9" t="s">
        <v>270</v>
      </c>
      <c r="D2089" s="9" t="s">
        <v>373</v>
      </c>
      <c r="E2089" s="10" t="str">
        <f>HYPERLINK("https://twitter.com/kommoptimierer/status/723105255190335488","723105255190335488")</f>
        <v>723105255190335488</v>
      </c>
      <c r="F2089" s="11" t="s">
        <v>272</v>
      </c>
      <c r="G2089" s="11">
        <v>1347</v>
      </c>
      <c r="H2089" s="11">
        <v>1753</v>
      </c>
      <c r="I2089" s="11">
        <v>0</v>
      </c>
      <c r="J2089" s="11">
        <v>0</v>
      </c>
      <c r="K2089" s="11" t="s">
        <v>21</v>
      </c>
      <c r="L2089" s="7">
        <v>39986.860358796301</v>
      </c>
      <c r="M2089" s="12" t="s">
        <v>273</v>
      </c>
      <c r="N2089" s="12" t="s">
        <v>274</v>
      </c>
      <c r="O2089" s="10" t="str">
        <f>HYPERLINK("https://pbs.twimg.com/profile_images/541146126158536704/IYardufS_normal.jpeg","View")</f>
        <v>View</v>
      </c>
      <c r="P2089" s="11"/>
    </row>
    <row r="2090" spans="1:16" ht="12.75" x14ac:dyDescent="0.35">
      <c r="A2090" s="7">
        <v>42481.691261574073</v>
      </c>
      <c r="B2090" s="8" t="str">
        <f>HYPERLINK("https://twitter.com/KlemensRoth","@KlemensRoth")</f>
        <v>@KlemensRoth</v>
      </c>
      <c r="C2090" s="9" t="s">
        <v>3783</v>
      </c>
      <c r="D2090" s="9" t="s">
        <v>3784</v>
      </c>
      <c r="E2090" s="10" t="str">
        <f>HYPERLINK("https://twitter.com/KlemensRoth/status/723105354943500288","723105354943500288")</f>
        <v>723105354943500288</v>
      </c>
      <c r="F2090" s="10" t="s">
        <v>3785</v>
      </c>
      <c r="G2090" s="11">
        <v>1694</v>
      </c>
      <c r="H2090" s="11">
        <v>1011</v>
      </c>
      <c r="I2090" s="11">
        <v>1</v>
      </c>
      <c r="J2090" s="11">
        <v>0</v>
      </c>
      <c r="K2090" s="11" t="s">
        <v>21</v>
      </c>
      <c r="L2090" s="7">
        <v>41946.856886574074</v>
      </c>
      <c r="M2090" s="12" t="s">
        <v>1290</v>
      </c>
      <c r="N2090" s="12" t="s">
        <v>3786</v>
      </c>
      <c r="O2090" s="10" t="str">
        <f>HYPERLINK("https://pbs.twimg.com/profile_images/529288477775380480/2D39vWzF_normal.jpeg","View")</f>
        <v>View</v>
      </c>
      <c r="P2090" s="11"/>
    </row>
    <row r="2091" spans="1:16" ht="12.75" x14ac:dyDescent="0.35">
      <c r="A2091" s="7">
        <v>42481.693842592591</v>
      </c>
      <c r="B2091" s="8" t="str">
        <f>HYPERLINK("https://twitter.com/M_Exchange_AG","@M_Exchange_AG")</f>
        <v>@M_Exchange_AG</v>
      </c>
      <c r="C2091" s="9" t="s">
        <v>3787</v>
      </c>
      <c r="D2091" s="9" t="s">
        <v>3788</v>
      </c>
      <c r="E2091" s="10" t="str">
        <f>HYPERLINK("https://twitter.com/M_Exchange_AG/status/723106286900899842","723106286900899842")</f>
        <v>723106286900899842</v>
      </c>
      <c r="F2091" s="11" t="s">
        <v>25</v>
      </c>
      <c r="G2091" s="11">
        <v>205</v>
      </c>
      <c r="H2091" s="11">
        <v>275</v>
      </c>
      <c r="I2091" s="11">
        <v>1</v>
      </c>
      <c r="J2091" s="11">
        <v>0</v>
      </c>
      <c r="K2091" s="11" t="s">
        <v>21</v>
      </c>
      <c r="L2091" s="7">
        <v>41968.960324074069</v>
      </c>
      <c r="M2091" s="12" t="s">
        <v>3789</v>
      </c>
      <c r="N2091" s="12" t="s">
        <v>3790</v>
      </c>
      <c r="O2091" s="10" t="str">
        <f>HYPERLINK("https://pbs.twimg.com/profile_images/537298701991952384/R67TRucJ_normal.png","View")</f>
        <v>View</v>
      </c>
      <c r="P2091" s="11"/>
    </row>
    <row r="2092" spans="1:16" ht="12.75" x14ac:dyDescent="0.35">
      <c r="A2092" s="7">
        <v>42481.695347222223</v>
      </c>
      <c r="B2092" s="8" t="str">
        <f>HYPERLINK("https://twitter.com/Stefan_Roggatz","@Stefan_Roggatz")</f>
        <v>@Stefan_Roggatz</v>
      </c>
      <c r="C2092" s="9" t="s">
        <v>3791</v>
      </c>
      <c r="D2092" s="9" t="s">
        <v>3588</v>
      </c>
      <c r="E2092" s="10" t="str">
        <f>HYPERLINK("https://twitter.com/Stefan_Roggatz/status/723106835352293376","723106835352293376")</f>
        <v>723106835352293376</v>
      </c>
      <c r="F2092" s="11" t="s">
        <v>25</v>
      </c>
      <c r="G2092" s="11">
        <v>43</v>
      </c>
      <c r="H2092" s="11">
        <v>52</v>
      </c>
      <c r="I2092" s="11">
        <v>24</v>
      </c>
      <c r="J2092" s="11">
        <v>0</v>
      </c>
      <c r="K2092" s="11" t="s">
        <v>21</v>
      </c>
      <c r="L2092" s="7">
        <v>41516.573159722218</v>
      </c>
      <c r="M2092" s="12" t="s">
        <v>116</v>
      </c>
      <c r="N2092" s="12" t="s">
        <v>3792</v>
      </c>
      <c r="O2092" s="10" t="str">
        <f>HYPERLINK("https://pbs.twimg.com/profile_images/691601983199928320/2N-yzhWP_normal.jpg","View")</f>
        <v>View</v>
      </c>
      <c r="P2092" s="11"/>
    </row>
    <row r="2093" spans="1:16" ht="12.75" x14ac:dyDescent="0.35">
      <c r="A2093" s="7">
        <v>42481.701319444444</v>
      </c>
      <c r="B2093" s="8" t="str">
        <f>HYPERLINK("https://twitter.com/LWalendy","@LWalendy")</f>
        <v>@LWalendy</v>
      </c>
      <c r="C2093" s="9" t="s">
        <v>805</v>
      </c>
      <c r="D2093" s="9" t="s">
        <v>3793</v>
      </c>
      <c r="E2093" s="10" t="str">
        <f>HYPERLINK("https://twitter.com/LWalendy/status/723108996358365185","723108996358365185")</f>
        <v>723108996358365185</v>
      </c>
      <c r="F2093" s="11" t="s">
        <v>25</v>
      </c>
      <c r="G2093" s="11">
        <v>412</v>
      </c>
      <c r="H2093" s="11">
        <v>588</v>
      </c>
      <c r="I2093" s="11">
        <v>0</v>
      </c>
      <c r="J2093" s="11">
        <v>1</v>
      </c>
      <c r="K2093" s="11" t="s">
        <v>21</v>
      </c>
      <c r="L2093" s="7">
        <v>42156.821215277778</v>
      </c>
      <c r="M2093" s="12"/>
      <c r="N2093" s="12" t="s">
        <v>807</v>
      </c>
      <c r="O2093" s="10" t="str">
        <f>HYPERLINK("https://pbs.twimg.com/profile_images/606758558391246848/OeI4jq0j_normal.jpg","View")</f>
        <v>View</v>
      </c>
      <c r="P2093" s="11"/>
    </row>
    <row r="2094" spans="1:16" ht="12.75" x14ac:dyDescent="0.35">
      <c r="A2094" s="7">
        <v>42481.702939814815</v>
      </c>
      <c r="B2094" s="8" t="str">
        <f>HYPERLINK("https://twitter.com/H_IT_D","@H_IT_D")</f>
        <v>@H_IT_D</v>
      </c>
      <c r="C2094" s="9" t="s">
        <v>159</v>
      </c>
      <c r="D2094" s="9" t="s">
        <v>3794</v>
      </c>
      <c r="E2094" s="10" t="str">
        <f>HYPERLINK("https://twitter.com/H_IT_D/status/723109583661604864","723109583661604864")</f>
        <v>723109583661604864</v>
      </c>
      <c r="F2094" s="11" t="s">
        <v>161</v>
      </c>
      <c r="G2094" s="11">
        <v>463</v>
      </c>
      <c r="H2094" s="11">
        <v>467</v>
      </c>
      <c r="I2094" s="11">
        <v>0</v>
      </c>
      <c r="J2094" s="11">
        <v>0</v>
      </c>
      <c r="K2094" s="11" t="s">
        <v>21</v>
      </c>
      <c r="L2094" s="7">
        <v>40723.867673611108</v>
      </c>
      <c r="M2094" s="12" t="s">
        <v>162</v>
      </c>
      <c r="N2094" s="12" t="s">
        <v>163</v>
      </c>
      <c r="O2094" s="10" t="str">
        <f>HYPERLINK("https://pbs.twimg.com/profile_images/662723326096224256/5V4KH9_O_normal.jpg","View")</f>
        <v>View</v>
      </c>
      <c r="P2094" s="11"/>
    </row>
    <row r="2095" spans="1:16" ht="12.75" x14ac:dyDescent="0.35">
      <c r="A2095" s="7">
        <v>42481.70721064815</v>
      </c>
      <c r="B2095" s="8" t="str">
        <f>HYPERLINK("https://twitter.com/HESSENMETALL","@HESSENMETALL")</f>
        <v>@HESSENMETALL</v>
      </c>
      <c r="C2095" s="9" t="s">
        <v>2983</v>
      </c>
      <c r="D2095" s="9" t="s">
        <v>3795</v>
      </c>
      <c r="E2095" s="10" t="str">
        <f>HYPERLINK("https://twitter.com/HESSENMETALL/status/723111134321106944","723111134321106944")</f>
        <v>723111134321106944</v>
      </c>
      <c r="F2095" s="11" t="s">
        <v>39</v>
      </c>
      <c r="G2095" s="11">
        <v>201</v>
      </c>
      <c r="H2095" s="11">
        <v>149</v>
      </c>
      <c r="I2095" s="11">
        <v>0</v>
      </c>
      <c r="J2095" s="11">
        <v>2</v>
      </c>
      <c r="K2095" s="11" t="s">
        <v>21</v>
      </c>
      <c r="L2095" s="7">
        <v>41830.710995370369</v>
      </c>
      <c r="M2095" s="12" t="s">
        <v>1290</v>
      </c>
      <c r="N2095" s="12" t="s">
        <v>2985</v>
      </c>
      <c r="O2095" s="10" t="str">
        <f>HYPERLINK("https://pbs.twimg.com/profile_images/573131119459090433/chvdSZ_E_normal.png","View")</f>
        <v>View</v>
      </c>
      <c r="P2095" s="11"/>
    </row>
    <row r="2096" spans="1:16" ht="12.75" x14ac:dyDescent="0.35">
      <c r="A2096" s="7">
        <v>42481.709791666668</v>
      </c>
      <c r="B2096" s="8" t="str">
        <f>HYPERLINK("https://twitter.com/Apandia","@Apandia")</f>
        <v>@Apandia</v>
      </c>
      <c r="C2096" s="9" t="s">
        <v>245</v>
      </c>
      <c r="D2096" s="9" t="s">
        <v>3796</v>
      </c>
      <c r="E2096" s="10" t="str">
        <f>HYPERLINK("https://twitter.com/Apandia/status/723112069252272128","723112069252272128")</f>
        <v>723112069252272128</v>
      </c>
      <c r="F2096" s="11" t="s">
        <v>115</v>
      </c>
      <c r="G2096" s="11">
        <v>196</v>
      </c>
      <c r="H2096" s="11">
        <v>384</v>
      </c>
      <c r="I2096" s="11">
        <v>0</v>
      </c>
      <c r="J2096" s="11">
        <v>0</v>
      </c>
      <c r="K2096" s="11" t="s">
        <v>21</v>
      </c>
      <c r="L2096" s="7">
        <v>39966.049884259257</v>
      </c>
      <c r="M2096" s="12" t="s">
        <v>247</v>
      </c>
      <c r="N2096" s="12" t="s">
        <v>248</v>
      </c>
      <c r="O2096" s="10" t="str">
        <f>HYPERLINK("https://pbs.twimg.com/profile_images/685327213/Apandia_normal.gif","View")</f>
        <v>View</v>
      </c>
      <c r="P2096" s="11"/>
    </row>
    <row r="2097" spans="1:16" ht="12.75" x14ac:dyDescent="0.35">
      <c r="A2097" s="7">
        <v>42481.710277777776</v>
      </c>
      <c r="B2097" s="8" t="str">
        <f>HYPERLINK("https://twitter.com/Alpict","@Alpict")</f>
        <v>@Alpict</v>
      </c>
      <c r="C2097" s="9" t="s">
        <v>2608</v>
      </c>
      <c r="D2097" s="9" t="s">
        <v>3797</v>
      </c>
      <c r="E2097" s="10" t="str">
        <f>HYPERLINK("https://twitter.com/Alpict/status/723112245853442049","723112245853442049")</f>
        <v>723112245853442049</v>
      </c>
      <c r="F2097" s="11" t="s">
        <v>25</v>
      </c>
      <c r="G2097" s="11">
        <v>4747</v>
      </c>
      <c r="H2097" s="11">
        <v>3701</v>
      </c>
      <c r="I2097" s="11">
        <v>2</v>
      </c>
      <c r="J2097" s="11">
        <v>1</v>
      </c>
      <c r="K2097" s="11" t="s">
        <v>21</v>
      </c>
      <c r="L2097" s="7">
        <v>40088.588263888887</v>
      </c>
      <c r="M2097" s="12" t="s">
        <v>2610</v>
      </c>
      <c r="N2097" s="12" t="s">
        <v>2611</v>
      </c>
      <c r="O2097" s="10" t="str">
        <f>HYPERLINK("https://pbs.twimg.com/profile_images/687255709180796928/1ccBfNwK_normal.png","View")</f>
        <v>View</v>
      </c>
      <c r="P2097" s="11"/>
    </row>
    <row r="2098" spans="1:16" ht="12.75" x14ac:dyDescent="0.35">
      <c r="A2098" s="7">
        <v>42481.711076388892</v>
      </c>
      <c r="B2098" s="8" t="str">
        <f>HYPERLINK("https://twitter.com/CEP_Jurabernois","@CEP_Jurabernois")</f>
        <v>@CEP_Jurabernois</v>
      </c>
      <c r="C2098" s="9" t="s">
        <v>3798</v>
      </c>
      <c r="D2098" s="9" t="s">
        <v>3799</v>
      </c>
      <c r="E2098" s="10" t="str">
        <f>HYPERLINK("https://twitter.com/CEP_Jurabernois/status/723112534824374272","723112534824374272")</f>
        <v>723112534824374272</v>
      </c>
      <c r="F2098" s="11" t="s">
        <v>1631</v>
      </c>
      <c r="G2098" s="11">
        <v>303</v>
      </c>
      <c r="H2098" s="11">
        <v>175</v>
      </c>
      <c r="I2098" s="11">
        <v>2</v>
      </c>
      <c r="J2098" s="11">
        <v>0</v>
      </c>
      <c r="K2098" s="11" t="s">
        <v>21</v>
      </c>
      <c r="L2098" s="7">
        <v>40933.721018518518</v>
      </c>
      <c r="M2098" s="12" t="s">
        <v>3800</v>
      </c>
      <c r="N2098" s="12" t="s">
        <v>3801</v>
      </c>
      <c r="O2098" s="10" t="str">
        <f>HYPERLINK("https://pbs.twimg.com/profile_images/652462653143687168/SJCmIDQL_normal.png","View")</f>
        <v>View</v>
      </c>
      <c r="P2098" s="11"/>
    </row>
    <row r="2099" spans="1:16" ht="12.75" x14ac:dyDescent="0.35">
      <c r="A2099" s="7">
        <v>42481.712488425925</v>
      </c>
      <c r="B2099" s="8" t="str">
        <f>HYPERLINK("https://twitter.com/FoF_EU","@FoF_EU")</f>
        <v>@FoF_EU</v>
      </c>
      <c r="C2099" s="9" t="s">
        <v>3802</v>
      </c>
      <c r="D2099" s="9" t="s">
        <v>3803</v>
      </c>
      <c r="E2099" s="10" t="str">
        <f>HYPERLINK("https://twitter.com/FoF_EU/status/723113045002719232","723113045002719232")</f>
        <v>723113045002719232</v>
      </c>
      <c r="F2099" s="11" t="s">
        <v>20</v>
      </c>
      <c r="G2099" s="11">
        <v>385</v>
      </c>
      <c r="H2099" s="11">
        <v>1088</v>
      </c>
      <c r="I2099" s="11">
        <v>1</v>
      </c>
      <c r="J2099" s="11">
        <v>0</v>
      </c>
      <c r="K2099" s="11" t="s">
        <v>21</v>
      </c>
      <c r="L2099" s="7">
        <v>42294.69809027778</v>
      </c>
      <c r="M2099" s="12" t="s">
        <v>1924</v>
      </c>
      <c r="N2099" s="12" t="s">
        <v>3804</v>
      </c>
      <c r="O2099" s="10" t="str">
        <f>HYPERLINK("https://pbs.twimg.com/profile_images/655344031321464832/2odd3LvS_normal.jpg","View")</f>
        <v>View</v>
      </c>
      <c r="P2099" s="11"/>
    </row>
    <row r="2100" spans="1:16" ht="12.75" x14ac:dyDescent="0.35">
      <c r="A2100" s="7">
        <v>42481.712627314817</v>
      </c>
      <c r="B2100" s="8" t="str">
        <f>HYPERLINK("https://twitter.com/BMWi_Bund","@BMWi_Bund")</f>
        <v>@BMWi_Bund</v>
      </c>
      <c r="C2100" s="9" t="s">
        <v>3805</v>
      </c>
      <c r="D2100" s="9" t="s">
        <v>3806</v>
      </c>
      <c r="E2100" s="10" t="str">
        <f>HYPERLINK("https://twitter.com/BMWi_Bund/status/723113094935928832","723113094935928832")</f>
        <v>723113094935928832</v>
      </c>
      <c r="F2100" s="10" t="s">
        <v>3807</v>
      </c>
      <c r="G2100" s="11">
        <v>42345</v>
      </c>
      <c r="H2100" s="11">
        <v>125</v>
      </c>
      <c r="I2100" s="11">
        <v>3</v>
      </c>
      <c r="J2100" s="11">
        <v>2</v>
      </c>
      <c r="K2100" s="11" t="s">
        <v>21</v>
      </c>
      <c r="L2100" s="7">
        <v>41227.716087962966</v>
      </c>
      <c r="M2100" s="12" t="s">
        <v>3808</v>
      </c>
      <c r="N2100" s="12" t="s">
        <v>3809</v>
      </c>
      <c r="O2100" s="10" t="str">
        <f>HYPERLINK("https://pbs.twimg.com/profile_images/413009203163189249/-Ajd3VZR_normal.jpeg","View")</f>
        <v>View</v>
      </c>
      <c r="P2100" s="11"/>
    </row>
    <row r="2101" spans="1:16" ht="12.75" x14ac:dyDescent="0.35">
      <c r="A2101" s="7">
        <v>42481.716111111113</v>
      </c>
      <c r="B2101" s="8" t="str">
        <f>HYPERLINK("https://twitter.com/inno_swissmem","@inno_swissmem")</f>
        <v>@inno_swissmem</v>
      </c>
      <c r="C2101" s="9" t="s">
        <v>3810</v>
      </c>
      <c r="D2101" s="9" t="s">
        <v>3811</v>
      </c>
      <c r="E2101" s="10" t="str">
        <f>HYPERLINK("https://twitter.com/inno_swissmem/status/723114359929577472","723114359929577472")</f>
        <v>723114359929577472</v>
      </c>
      <c r="F2101" s="11" t="s">
        <v>1491</v>
      </c>
      <c r="G2101" s="11">
        <v>171</v>
      </c>
      <c r="H2101" s="11">
        <v>145</v>
      </c>
      <c r="I2101" s="11">
        <v>1</v>
      </c>
      <c r="J2101" s="11">
        <v>0</v>
      </c>
      <c r="K2101" s="11" t="s">
        <v>21</v>
      </c>
      <c r="L2101" s="7">
        <v>41886.718888888892</v>
      </c>
      <c r="M2101" s="12" t="s">
        <v>3812</v>
      </c>
      <c r="N2101" s="12" t="s">
        <v>3813</v>
      </c>
      <c r="O2101" s="10" t="str">
        <f>HYPERLINK("https://pbs.twimg.com/profile_images/530502164116828160/uy27F1-j_normal.jpeg","View")</f>
        <v>View</v>
      </c>
      <c r="P2101" s="11"/>
    </row>
    <row r="2102" spans="1:16" ht="12.75" x14ac:dyDescent="0.35">
      <c r="A2102" s="7">
        <v>42481.717222222222</v>
      </c>
      <c r="B2102" s="8" t="str">
        <f>HYPERLINK("https://twitter.com/BeuthBonus","@BeuthBonus")</f>
        <v>@BeuthBonus</v>
      </c>
      <c r="C2102" s="9" t="s">
        <v>3814</v>
      </c>
      <c r="D2102" s="9" t="s">
        <v>3588</v>
      </c>
      <c r="E2102" s="10" t="str">
        <f>HYPERLINK("https://twitter.com/BeuthBonus/status/723114760800206848","723114760800206848")</f>
        <v>723114760800206848</v>
      </c>
      <c r="F2102" s="11" t="s">
        <v>31</v>
      </c>
      <c r="G2102" s="11">
        <v>81</v>
      </c>
      <c r="H2102" s="11">
        <v>374</v>
      </c>
      <c r="I2102" s="11">
        <v>24</v>
      </c>
      <c r="J2102" s="11">
        <v>0</v>
      </c>
      <c r="K2102" s="11" t="s">
        <v>21</v>
      </c>
      <c r="L2102" s="7">
        <v>41407.702187499999</v>
      </c>
      <c r="M2102" s="12" t="s">
        <v>218</v>
      </c>
      <c r="N2102" s="12" t="s">
        <v>3815</v>
      </c>
      <c r="O2102" s="10" t="str">
        <f>HYPERLINK("https://pbs.twimg.com/profile_images/664422401862705152/zj9DvYBD_normal.jpg","View")</f>
        <v>View</v>
      </c>
      <c r="P2102" s="11"/>
    </row>
    <row r="2103" spans="1:16" ht="12.75" x14ac:dyDescent="0.35">
      <c r="A2103" s="7">
        <v>42481.717303240745</v>
      </c>
      <c r="B2103" s="8" t="str">
        <f>HYPERLINK("https://twitter.com/INDIZbot","@INDIZbot")</f>
        <v>@INDIZbot</v>
      </c>
      <c r="C2103" s="9" t="s">
        <v>61</v>
      </c>
      <c r="D2103" s="9" t="s">
        <v>3816</v>
      </c>
      <c r="E2103" s="10" t="str">
        <f>HYPERLINK("https://twitter.com/INDIZbot/status/723114790814683136","723114790814683136")</f>
        <v>723114790814683136</v>
      </c>
      <c r="F2103" s="11" t="s">
        <v>62</v>
      </c>
      <c r="G2103" s="11">
        <v>1762</v>
      </c>
      <c r="H2103" s="11">
        <v>481</v>
      </c>
      <c r="I2103" s="11">
        <v>3</v>
      </c>
      <c r="J2103" s="11">
        <v>0</v>
      </c>
      <c r="K2103" s="11" t="s">
        <v>21</v>
      </c>
      <c r="L2103" s="7">
        <v>42267.011921296296</v>
      </c>
      <c r="M2103" s="12"/>
      <c r="N2103" s="12" t="s">
        <v>63</v>
      </c>
      <c r="O2103" s="10" t="str">
        <f>HYPERLINK("https://pbs.twimg.com/profile_images/645716711723925506/t5G0qOS6_normal.jpg","View")</f>
        <v>View</v>
      </c>
      <c r="P2103" s="11"/>
    </row>
    <row r="2104" spans="1:16" ht="12.75" x14ac:dyDescent="0.35">
      <c r="A2104" s="7">
        <v>42481.718842592592</v>
      </c>
      <c r="B2104" s="8" t="str">
        <f>HYPERLINK("https://twitter.com/ROKAutomationDE","@ROKAutomationDE")</f>
        <v>@ROKAutomationDE</v>
      </c>
      <c r="C2104" s="9" t="s">
        <v>416</v>
      </c>
      <c r="D2104" s="9" t="s">
        <v>3817</v>
      </c>
      <c r="E2104" s="10" t="str">
        <f>HYPERLINK("https://twitter.com/ROKAutomationDE/status/723115347667079168","723115347667079168")</f>
        <v>723115347667079168</v>
      </c>
      <c r="F2104" s="11" t="s">
        <v>418</v>
      </c>
      <c r="G2104" s="11">
        <v>1728</v>
      </c>
      <c r="H2104" s="11">
        <v>831</v>
      </c>
      <c r="I2104" s="11">
        <v>0</v>
      </c>
      <c r="J2104" s="11">
        <v>0</v>
      </c>
      <c r="K2104" s="11" t="s">
        <v>21</v>
      </c>
      <c r="L2104" s="7">
        <v>40785.656261574077</v>
      </c>
      <c r="M2104" s="12" t="s">
        <v>581</v>
      </c>
      <c r="N2104" s="12" t="s">
        <v>2320</v>
      </c>
      <c r="O2104" s="10" t="str">
        <f>HYPERLINK("https://pbs.twimg.com/profile_images/495214827963297793/ZW7qWnoK_normal.jpeg","View")</f>
        <v>View</v>
      </c>
      <c r="P2104" s="11"/>
    </row>
    <row r="2105" spans="1:16" ht="12.75" x14ac:dyDescent="0.35">
      <c r="A2105" s="7">
        <v>42481.718854166669</v>
      </c>
      <c r="B2105" s="8" t="str">
        <f>HYPERLINK("https://twitter.com/ROKAutomationAT","@ROKAutomationAT")</f>
        <v>@ROKAutomationAT</v>
      </c>
      <c r="C2105" s="9" t="s">
        <v>416</v>
      </c>
      <c r="D2105" s="9" t="s">
        <v>3818</v>
      </c>
      <c r="E2105" s="10" t="str">
        <f>HYPERLINK("https://twitter.com/ROKAutomationAT/status/723115350376615936","723115350376615936")</f>
        <v>723115350376615936</v>
      </c>
      <c r="F2105" s="11" t="s">
        <v>418</v>
      </c>
      <c r="G2105" s="11">
        <v>1727</v>
      </c>
      <c r="H2105" s="11">
        <v>1481</v>
      </c>
      <c r="I2105" s="11">
        <v>0</v>
      </c>
      <c r="J2105" s="11">
        <v>0</v>
      </c>
      <c r="K2105" s="11" t="s">
        <v>21</v>
      </c>
      <c r="L2105" s="7">
        <v>41003.844143518516</v>
      </c>
      <c r="M2105" s="12" t="s">
        <v>947</v>
      </c>
      <c r="N2105" s="12" t="s">
        <v>2318</v>
      </c>
      <c r="O2105" s="10" t="str">
        <f>HYPERLINK("https://pbs.twimg.com/profile_images/494911375034945537/txB_J-VC_normal.jpeg","View")</f>
        <v>View</v>
      </c>
      <c r="P2105" s="11"/>
    </row>
    <row r="2106" spans="1:16" ht="12.75" x14ac:dyDescent="0.35">
      <c r="A2106" s="7">
        <v>42481.718854166669</v>
      </c>
      <c r="B2106" s="8" t="str">
        <f>HYPERLINK("https://twitter.com/ROKAutoCHDE","@ROKAutoCHDE")</f>
        <v>@ROKAutoCHDE</v>
      </c>
      <c r="C2106" s="9" t="s">
        <v>416</v>
      </c>
      <c r="D2106" s="9" t="s">
        <v>3819</v>
      </c>
      <c r="E2106" s="10" t="str">
        <f>HYPERLINK("https://twitter.com/ROKAutoCHDE/status/723115350703796224","723115350703796224")</f>
        <v>723115350703796224</v>
      </c>
      <c r="F2106" s="11" t="s">
        <v>418</v>
      </c>
      <c r="G2106" s="11">
        <v>1142</v>
      </c>
      <c r="H2106" s="11">
        <v>621</v>
      </c>
      <c r="I2106" s="11">
        <v>0</v>
      </c>
      <c r="J2106" s="11">
        <v>0</v>
      </c>
      <c r="K2106" s="11" t="s">
        <v>21</v>
      </c>
      <c r="L2106" s="7">
        <v>41004.694085648152</v>
      </c>
      <c r="M2106" s="12" t="s">
        <v>478</v>
      </c>
      <c r="N2106" s="12" t="s">
        <v>2322</v>
      </c>
      <c r="O2106" s="10" t="str">
        <f>HYPERLINK("https://pbs.twimg.com/profile_images/498942077325963264/l5q550Kh_normal.jpeg","View")</f>
        <v>View</v>
      </c>
      <c r="P2106" s="11"/>
    </row>
    <row r="2107" spans="1:16" ht="12.75" x14ac:dyDescent="0.35">
      <c r="A2107" s="7">
        <v>42481.719097222223</v>
      </c>
      <c r="B2107" s="8" t="str">
        <f t="shared" ref="B2107:B2108" si="244">HYPERLINK("https://twitter.com/FHNWTechnik","@FHNWTechnik")</f>
        <v>@FHNWTechnik</v>
      </c>
      <c r="C2107" s="9" t="s">
        <v>2884</v>
      </c>
      <c r="D2107" s="9" t="s">
        <v>3820</v>
      </c>
      <c r="E2107" s="10" t="str">
        <f>HYPERLINK("https://twitter.com/FHNWTechnik/status/723115441636302848","723115441636302848")</f>
        <v>723115441636302848</v>
      </c>
      <c r="F2107" s="11" t="s">
        <v>25</v>
      </c>
      <c r="G2107" s="11">
        <v>233</v>
      </c>
      <c r="H2107" s="11">
        <v>148</v>
      </c>
      <c r="I2107" s="11">
        <v>1</v>
      </c>
      <c r="J2107" s="11">
        <v>3</v>
      </c>
      <c r="K2107" s="11" t="s">
        <v>21</v>
      </c>
      <c r="L2107" s="7">
        <v>42313.568645833337</v>
      </c>
      <c r="M2107" s="12" t="s">
        <v>2885</v>
      </c>
      <c r="N2107" s="12" t="s">
        <v>2886</v>
      </c>
      <c r="O2107" s="10" t="str">
        <f t="shared" ref="O2107:O2108" si="245">HYPERLINK("https://pbs.twimg.com/profile_images/662199310969360384/A66r-VNa_normal.jpg","View")</f>
        <v>View</v>
      </c>
      <c r="P2107" s="11"/>
    </row>
    <row r="2108" spans="1:16" ht="12.75" x14ac:dyDescent="0.35">
      <c r="A2108" s="7">
        <v>42481.721666666665</v>
      </c>
      <c r="B2108" s="8" t="str">
        <f t="shared" si="244"/>
        <v>@FHNWTechnik</v>
      </c>
      <c r="C2108" s="9" t="s">
        <v>2884</v>
      </c>
      <c r="D2108" s="9" t="s">
        <v>3821</v>
      </c>
      <c r="E2108" s="10" t="str">
        <f>HYPERLINK("https://twitter.com/FHNWTechnik/status/723116372826329088","723116372826329088")</f>
        <v>723116372826329088</v>
      </c>
      <c r="F2108" s="11" t="s">
        <v>25</v>
      </c>
      <c r="G2108" s="11">
        <v>233</v>
      </c>
      <c r="H2108" s="11">
        <v>148</v>
      </c>
      <c r="I2108" s="11">
        <v>0</v>
      </c>
      <c r="J2108" s="11">
        <v>1</v>
      </c>
      <c r="K2108" s="11" t="s">
        <v>21</v>
      </c>
      <c r="L2108" s="7">
        <v>42313.568645833337</v>
      </c>
      <c r="M2108" s="12" t="s">
        <v>2885</v>
      </c>
      <c r="N2108" s="12" t="s">
        <v>2886</v>
      </c>
      <c r="O2108" s="10" t="str">
        <f t="shared" si="245"/>
        <v>View</v>
      </c>
      <c r="P2108" s="11"/>
    </row>
    <row r="2109" spans="1:16" ht="12.75" x14ac:dyDescent="0.35">
      <c r="A2109" s="7">
        <v>42481.72184027778</v>
      </c>
      <c r="B2109" s="8" t="str">
        <f>HYPERLINK("https://twitter.com/SHC_GmbH","@SHC_GmbH")</f>
        <v>@SHC_GmbH</v>
      </c>
      <c r="C2109" s="9" t="s">
        <v>105</v>
      </c>
      <c r="D2109" s="9" t="s">
        <v>3822</v>
      </c>
      <c r="E2109" s="10" t="str">
        <f>HYPERLINK("https://twitter.com/SHC_GmbH/status/723116434134421504","723116434134421504")</f>
        <v>723116434134421504</v>
      </c>
      <c r="F2109" s="11" t="s">
        <v>25</v>
      </c>
      <c r="G2109" s="11">
        <v>427</v>
      </c>
      <c r="H2109" s="11">
        <v>598</v>
      </c>
      <c r="I2109" s="11">
        <v>1</v>
      </c>
      <c r="J2109" s="11">
        <v>0</v>
      </c>
      <c r="K2109" s="11" t="s">
        <v>21</v>
      </c>
      <c r="L2109" s="7">
        <v>41423.549513888887</v>
      </c>
      <c r="M2109" s="12" t="s">
        <v>107</v>
      </c>
      <c r="N2109" s="12" t="s">
        <v>108</v>
      </c>
      <c r="O2109" s="10" t="str">
        <f>HYPERLINK("https://pbs.twimg.com/profile_images/3726440228/9ba49ccb938cf571b195e3e83a4e1327_normal.jpeg","View")</f>
        <v>View</v>
      </c>
      <c r="P2109" s="11"/>
    </row>
    <row r="2110" spans="1:16" ht="12.75" x14ac:dyDescent="0.35">
      <c r="A2110" s="7">
        <v>42481.722048611111</v>
      </c>
      <c r="B2110" s="8" t="str">
        <f>HYPERLINK("https://twitter.com/innovationbawue","@innovationbawue")</f>
        <v>@innovationbawue</v>
      </c>
      <c r="C2110" s="8" t="s">
        <v>1173</v>
      </c>
      <c r="D2110" s="9" t="s">
        <v>3670</v>
      </c>
      <c r="E2110" s="10" t="str">
        <f>HYPERLINK("https://twitter.com/innovationbawue/status/723116507941601281","723116507941601281")</f>
        <v>723116507941601281</v>
      </c>
      <c r="F2110" s="11" t="s">
        <v>25</v>
      </c>
      <c r="G2110" s="11">
        <v>210</v>
      </c>
      <c r="H2110" s="11">
        <v>353</v>
      </c>
      <c r="I2110" s="11">
        <v>7</v>
      </c>
      <c r="J2110" s="11">
        <v>0</v>
      </c>
      <c r="K2110" s="11" t="s">
        <v>21</v>
      </c>
      <c r="L2110" s="7">
        <v>42380.713946759264</v>
      </c>
      <c r="M2110" s="12" t="s">
        <v>985</v>
      </c>
      <c r="N2110" s="12" t="s">
        <v>1175</v>
      </c>
      <c r="O2110" s="10" t="str">
        <f>HYPERLINK("https://pbs.twimg.com/profile_images/719538951988592641/7lKnB2dG_normal.jpg","View")</f>
        <v>View</v>
      </c>
      <c r="P2110" s="11"/>
    </row>
    <row r="2111" spans="1:16" ht="12.75" x14ac:dyDescent="0.35">
      <c r="A2111" s="7">
        <v>42481.722384259258</v>
      </c>
      <c r="B2111" s="8" t="str">
        <f>HYPERLINK("https://twitter.com/SGE","@SGE")</f>
        <v>@SGE</v>
      </c>
      <c r="C2111" s="9" t="s">
        <v>3633</v>
      </c>
      <c r="D2111" s="9" t="s">
        <v>3823</v>
      </c>
      <c r="E2111" s="10" t="str">
        <f>HYPERLINK("https://twitter.com/SGE/status/723116630239252480","723116630239252480")</f>
        <v>723116630239252480</v>
      </c>
      <c r="F2111" s="11" t="s">
        <v>39</v>
      </c>
      <c r="G2111" s="11">
        <v>1901</v>
      </c>
      <c r="H2111" s="11">
        <v>231</v>
      </c>
      <c r="I2111" s="11">
        <v>4</v>
      </c>
      <c r="J2111" s="11">
        <v>1</v>
      </c>
      <c r="K2111" s="11" t="s">
        <v>21</v>
      </c>
      <c r="L2111" s="7">
        <v>39937.802928240737</v>
      </c>
      <c r="M2111" s="12" t="s">
        <v>3635</v>
      </c>
      <c r="N2111" s="12" t="s">
        <v>3636</v>
      </c>
      <c r="O2111" s="10" t="str">
        <f>HYPERLINK("https://pbs.twimg.com/profile_images/471312276767535104/TIanhngf_normal.jpeg","View")</f>
        <v>View</v>
      </c>
      <c r="P2111" s="11"/>
    </row>
    <row r="2112" spans="1:16" ht="12.75" x14ac:dyDescent="0.35">
      <c r="A2112" s="7">
        <v>42481.72246527778</v>
      </c>
      <c r="B2112" s="8" t="str">
        <f>HYPERLINK("https://twitter.com/IT_Connection","@IT_Connection")</f>
        <v>@IT_Connection</v>
      </c>
      <c r="C2112" s="9" t="s">
        <v>368</v>
      </c>
      <c r="D2112" s="9" t="s">
        <v>3824</v>
      </c>
      <c r="E2112" s="10" t="str">
        <f>HYPERLINK("https://twitter.com/IT_Connection/status/723116661906264064","723116661906264064")</f>
        <v>723116661906264064</v>
      </c>
      <c r="F2112" s="11" t="s">
        <v>39</v>
      </c>
      <c r="G2112" s="11">
        <v>10900</v>
      </c>
      <c r="H2112" s="11">
        <v>10875</v>
      </c>
      <c r="I2112" s="11">
        <v>0</v>
      </c>
      <c r="J2112" s="11">
        <v>0</v>
      </c>
      <c r="K2112" s="11" t="s">
        <v>21</v>
      </c>
      <c r="L2112" s="7">
        <v>40411.751539351855</v>
      </c>
      <c r="M2112" s="12" t="s">
        <v>369</v>
      </c>
      <c r="N2112" s="12" t="s">
        <v>370</v>
      </c>
      <c r="O2112" s="10" t="str">
        <f>HYPERLINK("https://pbs.twimg.com/profile_images/566986293888835584/_uYTcau__normal.png","View")</f>
        <v>View</v>
      </c>
      <c r="P2112" s="11"/>
    </row>
    <row r="2113" spans="1:16" ht="12.75" x14ac:dyDescent="0.35">
      <c r="A2113" s="7">
        <v>42481.723344907412</v>
      </c>
      <c r="B2113" s="8" t="str">
        <f>HYPERLINK("https://twitter.com/aabirkner","@aabirkner")</f>
        <v>@aabirkner</v>
      </c>
      <c r="C2113" s="9" t="s">
        <v>3825</v>
      </c>
      <c r="D2113" s="9" t="s">
        <v>3657</v>
      </c>
      <c r="E2113" s="10" t="str">
        <f>HYPERLINK("https://twitter.com/aabirkner/status/723116979599495169","723116979599495169")</f>
        <v>723116979599495169</v>
      </c>
      <c r="F2113" s="11" t="s">
        <v>25</v>
      </c>
      <c r="G2113" s="11">
        <v>30</v>
      </c>
      <c r="H2113" s="11">
        <v>82</v>
      </c>
      <c r="I2113" s="11">
        <v>10</v>
      </c>
      <c r="J2113" s="11">
        <v>0</v>
      </c>
      <c r="K2113" s="11" t="s">
        <v>21</v>
      </c>
      <c r="L2113" s="7">
        <v>41436.788275462961</v>
      </c>
      <c r="M2113" s="12" t="s">
        <v>49</v>
      </c>
      <c r="N2113" s="12" t="s">
        <v>3826</v>
      </c>
      <c r="O2113" s="10" t="str">
        <f>HYPERLINK("https://pbs.twimg.com/profile_images/670603819370332160/adLx3Uuh_normal.jpg","View")</f>
        <v>View</v>
      </c>
      <c r="P2113" s="11"/>
    </row>
    <row r="2114" spans="1:16" ht="12.75" x14ac:dyDescent="0.35">
      <c r="A2114" s="7">
        <v>42481.724050925928</v>
      </c>
      <c r="B2114" s="8" t="str">
        <f>HYPERLINK("https://twitter.com/TechXB","@TechXB")</f>
        <v>@TechXB</v>
      </c>
      <c r="C2114" s="9" t="s">
        <v>3827</v>
      </c>
      <c r="D2114" s="9" t="s">
        <v>3828</v>
      </c>
      <c r="E2114" s="10" t="str">
        <f>HYPERLINK("https://twitter.com/TechXB/status/723117235624116225","723117235624116225")</f>
        <v>723117235624116225</v>
      </c>
      <c r="F2114" s="11" t="s">
        <v>437</v>
      </c>
      <c r="G2114" s="11">
        <v>5671</v>
      </c>
      <c r="H2114" s="11">
        <v>2929</v>
      </c>
      <c r="I2114" s="11">
        <v>1</v>
      </c>
      <c r="J2114" s="11">
        <v>0</v>
      </c>
      <c r="K2114" s="11" t="s">
        <v>21</v>
      </c>
      <c r="L2114" s="7">
        <v>39995.060266203705</v>
      </c>
      <c r="M2114" s="12" t="s">
        <v>3829</v>
      </c>
      <c r="N2114" s="12" t="s">
        <v>3830</v>
      </c>
      <c r="O2114" s="10" t="str">
        <f>HYPERLINK("https://pbs.twimg.com/profile_images/2679762722/946e3e1372fd9cf7c92ed14c414d3a4a_normal.png","View")</f>
        <v>View</v>
      </c>
      <c r="P2114" s="11"/>
    </row>
    <row r="2115" spans="1:16" ht="12.75" x14ac:dyDescent="0.35">
      <c r="A2115" s="7">
        <v>42481.724143518513</v>
      </c>
      <c r="B2115" s="8" t="str">
        <f>HYPERLINK("https://twitter.com/schliin","@schliin")</f>
        <v>@schliin</v>
      </c>
      <c r="C2115" s="9" t="s">
        <v>3831</v>
      </c>
      <c r="D2115" s="9" t="s">
        <v>3832</v>
      </c>
      <c r="E2115" s="10" t="str">
        <f>HYPERLINK("https://twitter.com/schliin/status/723117267404247040","723117267404247040")</f>
        <v>723117267404247040</v>
      </c>
      <c r="F2115" s="11" t="s">
        <v>31</v>
      </c>
      <c r="G2115" s="11">
        <v>450</v>
      </c>
      <c r="H2115" s="11">
        <v>812</v>
      </c>
      <c r="I2115" s="11">
        <v>4</v>
      </c>
      <c r="J2115" s="11">
        <v>0</v>
      </c>
      <c r="K2115" s="11" t="s">
        <v>21</v>
      </c>
      <c r="L2115" s="7">
        <v>39825.803877314815</v>
      </c>
      <c r="M2115" s="12" t="s">
        <v>3833</v>
      </c>
      <c r="N2115" s="12" t="s">
        <v>3834</v>
      </c>
      <c r="O2115" s="10" t="str">
        <f>HYPERLINK("https://pbs.twimg.com/profile_images/489007947788218368/o6QnDS0Q_normal.jpeg","View")</f>
        <v>View</v>
      </c>
      <c r="P2115" s="11"/>
    </row>
    <row r="2116" spans="1:16" ht="12.75" x14ac:dyDescent="0.35">
      <c r="A2116" s="7">
        <v>42481.724456018521</v>
      </c>
      <c r="B2116" s="8" t="str">
        <f>HYPERLINK("https://twitter.com/DerKonstrukteu","@DerKonstrukteu")</f>
        <v>@DerKonstrukteu</v>
      </c>
      <c r="C2116" s="9" t="s">
        <v>2098</v>
      </c>
      <c r="D2116" s="9" t="s">
        <v>3835</v>
      </c>
      <c r="E2116" s="10" t="str">
        <f>HYPERLINK("https://twitter.com/DerKonstrukteu/status/723117383817138178","723117383817138178")</f>
        <v>723117383817138178</v>
      </c>
      <c r="F2116" s="11" t="s">
        <v>25</v>
      </c>
      <c r="G2116" s="11">
        <v>1142</v>
      </c>
      <c r="H2116" s="11">
        <v>610</v>
      </c>
      <c r="I2116" s="11">
        <v>0</v>
      </c>
      <c r="J2116" s="11">
        <v>0</v>
      </c>
      <c r="K2116" s="11" t="s">
        <v>21</v>
      </c>
      <c r="L2116" s="7">
        <v>41612.809548611112</v>
      </c>
      <c r="M2116" s="12" t="s">
        <v>2100</v>
      </c>
      <c r="N2116" s="12" t="s">
        <v>2101</v>
      </c>
      <c r="O2116" s="10" t="str">
        <f>HYPERLINK("https://pbs.twimg.com/profile_images/448785978165968896/SQOcI8cJ_normal.png","View")</f>
        <v>View</v>
      </c>
      <c r="P2116" s="11"/>
    </row>
    <row r="2117" spans="1:16" ht="12.75" x14ac:dyDescent="0.35">
      <c r="A2117" s="7">
        <v>42481.725393518514</v>
      </c>
      <c r="B2117" s="8" t="str">
        <f t="shared" ref="B2117:B2118" si="246">HYPERLINK("https://twitter.com/SGE","@SGE")</f>
        <v>@SGE</v>
      </c>
      <c r="C2117" s="9" t="s">
        <v>3633</v>
      </c>
      <c r="D2117" s="9" t="s">
        <v>3836</v>
      </c>
      <c r="E2117" s="10" t="str">
        <f>HYPERLINK("https://twitter.com/SGE/status/723117724067618816","723117724067618816")</f>
        <v>723117724067618816</v>
      </c>
      <c r="F2117" s="11" t="s">
        <v>39</v>
      </c>
      <c r="G2117" s="11">
        <v>1901</v>
      </c>
      <c r="H2117" s="11">
        <v>231</v>
      </c>
      <c r="I2117" s="11">
        <v>3</v>
      </c>
      <c r="J2117" s="11">
        <v>2</v>
      </c>
      <c r="K2117" s="11" t="s">
        <v>21</v>
      </c>
      <c r="L2117" s="7">
        <v>39937.802928240737</v>
      </c>
      <c r="M2117" s="12" t="s">
        <v>3635</v>
      </c>
      <c r="N2117" s="12" t="s">
        <v>3636</v>
      </c>
      <c r="O2117" s="10" t="str">
        <f t="shared" ref="O2117:O2118" si="247">HYPERLINK("https://pbs.twimg.com/profile_images/471312276767535104/TIanhngf_normal.jpeg","View")</f>
        <v>View</v>
      </c>
      <c r="P2117" s="11"/>
    </row>
    <row r="2118" spans="1:16" ht="12.75" x14ac:dyDescent="0.35">
      <c r="A2118" s="7">
        <v>42481.727326388893</v>
      </c>
      <c r="B2118" s="8" t="str">
        <f t="shared" si="246"/>
        <v>@SGE</v>
      </c>
      <c r="C2118" s="9" t="s">
        <v>3633</v>
      </c>
      <c r="D2118" s="9" t="s">
        <v>3837</v>
      </c>
      <c r="E2118" s="10" t="str">
        <f>HYPERLINK("https://twitter.com/SGE/status/723118424059158528","723118424059158528")</f>
        <v>723118424059158528</v>
      </c>
      <c r="F2118" s="11" t="s">
        <v>39</v>
      </c>
      <c r="G2118" s="11">
        <v>1901</v>
      </c>
      <c r="H2118" s="11">
        <v>231</v>
      </c>
      <c r="I2118" s="11">
        <v>2</v>
      </c>
      <c r="J2118" s="11">
        <v>0</v>
      </c>
      <c r="K2118" s="11" t="s">
        <v>21</v>
      </c>
      <c r="L2118" s="7">
        <v>39937.802928240737</v>
      </c>
      <c r="M2118" s="12" t="s">
        <v>3635</v>
      </c>
      <c r="N2118" s="12" t="s">
        <v>3636</v>
      </c>
      <c r="O2118" s="10" t="str">
        <f t="shared" si="247"/>
        <v>View</v>
      </c>
      <c r="P2118" s="11"/>
    </row>
    <row r="2119" spans="1:16" ht="12.75" x14ac:dyDescent="0.35">
      <c r="A2119" s="7">
        <v>42481.727824074071</v>
      </c>
      <c r="B2119" s="8" t="str">
        <f>HYPERLINK("https://twitter.com/SEWEURODRIVE","@SEWEURODRIVE")</f>
        <v>@SEWEURODRIVE</v>
      </c>
      <c r="C2119" s="9" t="s">
        <v>1640</v>
      </c>
      <c r="D2119" s="9" t="s">
        <v>3838</v>
      </c>
      <c r="E2119" s="10" t="str">
        <f>HYPERLINK("https://twitter.com/SEWEURODRIVE/status/723118602128257025","723118602128257025")</f>
        <v>723118602128257025</v>
      </c>
      <c r="F2119" s="11" t="s">
        <v>25</v>
      </c>
      <c r="G2119" s="11">
        <v>1413</v>
      </c>
      <c r="H2119" s="11">
        <v>297</v>
      </c>
      <c r="I2119" s="11">
        <v>0</v>
      </c>
      <c r="J2119" s="11">
        <v>0</v>
      </c>
      <c r="K2119" s="11" t="s">
        <v>21</v>
      </c>
      <c r="L2119" s="7">
        <v>40221.178854166668</v>
      </c>
      <c r="M2119" s="12" t="s">
        <v>1641</v>
      </c>
      <c r="N2119" s="12" t="s">
        <v>1642</v>
      </c>
      <c r="O2119" s="10" t="str">
        <f>HYPERLINK("https://pbs.twimg.com/profile_images/490060130231132160/qLmnir1s_normal.jpeg","View")</f>
        <v>View</v>
      </c>
      <c r="P2119" s="11"/>
    </row>
    <row r="2120" spans="1:16" ht="12.75" x14ac:dyDescent="0.35">
      <c r="A2120" s="7">
        <v>42481.728101851855</v>
      </c>
      <c r="B2120" s="8" t="str">
        <f>HYPERLINK("https://twitter.com/dictaJet","@dictaJet")</f>
        <v>@dictaJet</v>
      </c>
      <c r="C2120" s="9" t="s">
        <v>2511</v>
      </c>
      <c r="D2120" s="9" t="s">
        <v>3839</v>
      </c>
      <c r="E2120" s="10" t="str">
        <f>HYPERLINK("https://twitter.com/dictaJet/status/723118705299861505","723118705299861505")</f>
        <v>723118705299861505</v>
      </c>
      <c r="F2120" s="11" t="s">
        <v>39</v>
      </c>
      <c r="G2120" s="11">
        <v>31</v>
      </c>
      <c r="H2120" s="11">
        <v>57</v>
      </c>
      <c r="I2120" s="11">
        <v>0</v>
      </c>
      <c r="J2120" s="11">
        <v>0</v>
      </c>
      <c r="K2120" s="11" t="s">
        <v>21</v>
      </c>
      <c r="L2120" s="7">
        <v>40521.771608796298</v>
      </c>
      <c r="M2120" s="12" t="s">
        <v>2513</v>
      </c>
      <c r="N2120" s="12" t="s">
        <v>2514</v>
      </c>
      <c r="O2120" s="10" t="str">
        <f>HYPERLINK("https://pbs.twimg.com/profile_images/3151814681/889304b58206053d6f22bd0b52344369_normal.jpeg","View")</f>
        <v>View</v>
      </c>
      <c r="P2120" s="11"/>
    </row>
    <row r="2121" spans="1:16" ht="12.75" x14ac:dyDescent="0.35">
      <c r="A2121" s="7">
        <v>42481.728530092594</v>
      </c>
      <c r="B2121" s="8" t="str">
        <f>HYPERLINK("https://twitter.com/MetalEcoCity","@MetalEcoCity")</f>
        <v>@MetalEcoCity</v>
      </c>
      <c r="C2121" s="9" t="s">
        <v>3840</v>
      </c>
      <c r="D2121" s="9" t="s">
        <v>3841</v>
      </c>
      <c r="E2121" s="10" t="str">
        <f>HYPERLINK("https://twitter.com/MetalEcoCity/status/723118856986750976","723118856986750976")</f>
        <v>723118856986750976</v>
      </c>
      <c r="F2121" s="11" t="s">
        <v>25</v>
      </c>
      <c r="G2121" s="11">
        <v>13</v>
      </c>
      <c r="H2121" s="11">
        <v>3</v>
      </c>
      <c r="I2121" s="11">
        <v>0</v>
      </c>
      <c r="J2121" s="11">
        <v>0</v>
      </c>
      <c r="K2121" s="11" t="s">
        <v>21</v>
      </c>
      <c r="L2121" s="7">
        <v>42282.600127314814</v>
      </c>
      <c r="M2121" s="12" t="s">
        <v>985</v>
      </c>
      <c r="N2121" s="12" t="s">
        <v>3842</v>
      </c>
      <c r="O2121" s="10" t="str">
        <f>HYPERLINK("https://pbs.twimg.com/profile_images/664442346432540672/42-gzHf9_normal.jpg","View")</f>
        <v>View</v>
      </c>
      <c r="P2121" s="11"/>
    </row>
    <row r="2122" spans="1:16" ht="12.75" x14ac:dyDescent="0.35">
      <c r="A2122" s="7">
        <v>42481.729814814811</v>
      </c>
      <c r="B2122" s="8" t="str">
        <f>HYPERLINK("https://twitter.com/SEWEURODRIVE","@SEWEURODRIVE")</f>
        <v>@SEWEURODRIVE</v>
      </c>
      <c r="C2122" s="9" t="s">
        <v>1640</v>
      </c>
      <c r="D2122" s="9" t="s">
        <v>3843</v>
      </c>
      <c r="E2122" s="10" t="str">
        <f>HYPERLINK("https://twitter.com/SEWEURODRIVE/status/723119326354509826","723119326354509826")</f>
        <v>723119326354509826</v>
      </c>
      <c r="F2122" s="11" t="s">
        <v>25</v>
      </c>
      <c r="G2122" s="11">
        <v>1413</v>
      </c>
      <c r="H2122" s="11">
        <v>297</v>
      </c>
      <c r="I2122" s="11">
        <v>0</v>
      </c>
      <c r="J2122" s="11">
        <v>1</v>
      </c>
      <c r="K2122" s="11" t="s">
        <v>21</v>
      </c>
      <c r="L2122" s="7">
        <v>40221.178854166668</v>
      </c>
      <c r="M2122" s="12" t="s">
        <v>1641</v>
      </c>
      <c r="N2122" s="12" t="s">
        <v>1642</v>
      </c>
      <c r="O2122" s="10" t="str">
        <f>HYPERLINK("https://pbs.twimg.com/profile_images/490060130231132160/qLmnir1s_normal.jpeg","View")</f>
        <v>View</v>
      </c>
      <c r="P2122" s="11"/>
    </row>
    <row r="2123" spans="1:16" ht="12.75" x14ac:dyDescent="0.35">
      <c r="A2123" s="7">
        <v>42481.730520833335</v>
      </c>
      <c r="B2123" s="8" t="str">
        <f>HYPERLINK("https://twitter.com/genuanews","@genuanews")</f>
        <v>@genuanews</v>
      </c>
      <c r="C2123" s="9" t="s">
        <v>1843</v>
      </c>
      <c r="D2123" s="9" t="s">
        <v>3844</v>
      </c>
      <c r="E2123" s="10" t="str">
        <f>HYPERLINK("https://twitter.com/genuanews/status/723119579761766401","723119579761766401")</f>
        <v>723119579761766401</v>
      </c>
      <c r="F2123" s="11" t="s">
        <v>25</v>
      </c>
      <c r="G2123" s="11">
        <v>425</v>
      </c>
      <c r="H2123" s="11">
        <v>741</v>
      </c>
      <c r="I2123" s="11">
        <v>0</v>
      </c>
      <c r="J2123" s="11">
        <v>0</v>
      </c>
      <c r="K2123" s="11" t="s">
        <v>21</v>
      </c>
      <c r="L2123" s="7">
        <v>40732.798425925925</v>
      </c>
      <c r="M2123" s="12" t="s">
        <v>92</v>
      </c>
      <c r="N2123" s="12" t="s">
        <v>1845</v>
      </c>
      <c r="O2123" s="10" t="str">
        <f>HYPERLINK("https://pbs.twimg.com/profile_images/2576159086/x3og0hhz2d60d9embrsg_normal.jpeg","View")</f>
        <v>View</v>
      </c>
      <c r="P2123" s="11"/>
    </row>
    <row r="2124" spans="1:16" ht="12.75" x14ac:dyDescent="0.35">
      <c r="A2124" s="7">
        <v>42481.731828703705</v>
      </c>
      <c r="B2124" s="8" t="str">
        <f>HYPERLINK("https://twitter.com/einkauf_mgmt","@einkauf_mgmt")</f>
        <v>@einkauf_mgmt</v>
      </c>
      <c r="C2124" s="9" t="s">
        <v>2425</v>
      </c>
      <c r="D2124" s="9" t="s">
        <v>3845</v>
      </c>
      <c r="E2124" s="10" t="str">
        <f>HYPERLINK("https://twitter.com/einkauf_mgmt/status/723120055089647617","723120055089647617")</f>
        <v>723120055089647617</v>
      </c>
      <c r="F2124" s="11" t="s">
        <v>25</v>
      </c>
      <c r="G2124" s="11">
        <v>773</v>
      </c>
      <c r="H2124" s="11">
        <v>1039</v>
      </c>
      <c r="I2124" s="11">
        <v>1</v>
      </c>
      <c r="J2124" s="11">
        <v>0</v>
      </c>
      <c r="K2124" s="11" t="s">
        <v>21</v>
      </c>
      <c r="L2124" s="7">
        <v>40112.815520833334</v>
      </c>
      <c r="M2124" s="12" t="s">
        <v>2427</v>
      </c>
      <c r="N2124" s="12" t="s">
        <v>2428</v>
      </c>
      <c r="O2124" s="10" t="str">
        <f>HYPERLINK("https://pbs.twimg.com/profile_images/463608454624448512/0DV5XX08_normal.jpeg","View")</f>
        <v>View</v>
      </c>
      <c r="P2124" s="11"/>
    </row>
    <row r="2125" spans="1:16" ht="12.75" x14ac:dyDescent="0.35">
      <c r="A2125" s="7">
        <v>42481.731851851851</v>
      </c>
      <c r="B2125" s="8" t="str">
        <f>HYPERLINK("https://twitter.com/SGE","@SGE")</f>
        <v>@SGE</v>
      </c>
      <c r="C2125" s="9" t="s">
        <v>3633</v>
      </c>
      <c r="D2125" s="9" t="s">
        <v>3846</v>
      </c>
      <c r="E2125" s="10" t="str">
        <f>HYPERLINK("https://twitter.com/SGE/status/723120061326700544","723120061326700544")</f>
        <v>723120061326700544</v>
      </c>
      <c r="F2125" s="11" t="s">
        <v>39</v>
      </c>
      <c r="G2125" s="11">
        <v>1901</v>
      </c>
      <c r="H2125" s="11">
        <v>231</v>
      </c>
      <c r="I2125" s="11">
        <v>2</v>
      </c>
      <c r="J2125" s="11">
        <v>1</v>
      </c>
      <c r="K2125" s="11" t="s">
        <v>21</v>
      </c>
      <c r="L2125" s="7">
        <v>39937.802928240737</v>
      </c>
      <c r="M2125" s="12" t="s">
        <v>3635</v>
      </c>
      <c r="N2125" s="12" t="s">
        <v>3636</v>
      </c>
      <c r="O2125" s="10" t="str">
        <f>HYPERLINK("https://pbs.twimg.com/profile_images/471312276767535104/TIanhngf_normal.jpeg","View")</f>
        <v>View</v>
      </c>
      <c r="P2125" s="11"/>
    </row>
    <row r="2126" spans="1:16" ht="12.75" x14ac:dyDescent="0.35">
      <c r="A2126" s="7">
        <v>42481.732881944445</v>
      </c>
      <c r="B2126" s="8" t="str">
        <f>HYPERLINK("https://twitter.com/IT_Connection","@IT_Connection")</f>
        <v>@IT_Connection</v>
      </c>
      <c r="C2126" s="9" t="s">
        <v>368</v>
      </c>
      <c r="D2126" s="9" t="s">
        <v>3847</v>
      </c>
      <c r="E2126" s="10" t="str">
        <f>HYPERLINK("https://twitter.com/IT_Connection/status/723120435290857472","723120435290857472")</f>
        <v>723120435290857472</v>
      </c>
      <c r="F2126" s="11" t="s">
        <v>39</v>
      </c>
      <c r="G2126" s="11">
        <v>10900</v>
      </c>
      <c r="H2126" s="11">
        <v>10875</v>
      </c>
      <c r="I2126" s="11">
        <v>0</v>
      </c>
      <c r="J2126" s="11">
        <v>0</v>
      </c>
      <c r="K2126" s="11" t="s">
        <v>21</v>
      </c>
      <c r="L2126" s="7">
        <v>40411.751539351855</v>
      </c>
      <c r="M2126" s="12" t="s">
        <v>369</v>
      </c>
      <c r="N2126" s="12" t="s">
        <v>370</v>
      </c>
      <c r="O2126" s="10" t="str">
        <f>HYPERLINK("https://pbs.twimg.com/profile_images/566986293888835584/_uYTcau__normal.png","View")</f>
        <v>View</v>
      </c>
      <c r="P2126" s="11"/>
    </row>
    <row r="2127" spans="1:16" ht="12.75" x14ac:dyDescent="0.35">
      <c r="A2127" s="7">
        <v>42481.733217592591</v>
      </c>
      <c r="B2127" s="8" t="str">
        <f t="shared" ref="B2127:B2128" si="248">HYPERLINK("https://twitter.com/fhnw_i4ds","@fhnw_i4ds")</f>
        <v>@fhnw_i4ds</v>
      </c>
      <c r="C2127" s="9" t="s">
        <v>3848</v>
      </c>
      <c r="D2127" s="9" t="s">
        <v>2829</v>
      </c>
      <c r="E2127" s="10" t="str">
        <f>HYPERLINK("https://twitter.com/fhnw_i4ds/status/723120557084962816","723120557084962816")</f>
        <v>723120557084962816</v>
      </c>
      <c r="F2127" s="11" t="s">
        <v>25</v>
      </c>
      <c r="G2127" s="11">
        <v>81</v>
      </c>
      <c r="H2127" s="11">
        <v>189</v>
      </c>
      <c r="I2127" s="11">
        <v>4</v>
      </c>
      <c r="J2127" s="11">
        <v>0</v>
      </c>
      <c r="K2127" s="11" t="s">
        <v>21</v>
      </c>
      <c r="L2127" s="7">
        <v>42030.991689814815</v>
      </c>
      <c r="M2127" s="12" t="s">
        <v>3849</v>
      </c>
      <c r="N2127" s="12" t="s">
        <v>3850</v>
      </c>
      <c r="O2127" s="10" t="str">
        <f t="shared" ref="O2127:O2128" si="249">HYPERLINK("https://pbs.twimg.com/profile_images/587889223153270784/1kBsv0nC_normal.jpg","View")</f>
        <v>View</v>
      </c>
      <c r="P2127" s="11"/>
    </row>
    <row r="2128" spans="1:16" ht="12.75" x14ac:dyDescent="0.35">
      <c r="A2128" s="7">
        <v>42481.733356481476</v>
      </c>
      <c r="B2128" s="8" t="str">
        <f t="shared" si="248"/>
        <v>@fhnw_i4ds</v>
      </c>
      <c r="C2128" s="9" t="s">
        <v>3848</v>
      </c>
      <c r="D2128" s="9" t="s">
        <v>3851</v>
      </c>
      <c r="E2128" s="10" t="str">
        <f>HYPERLINK("https://twitter.com/fhnw_i4ds/status/723120607739539457","723120607739539457")</f>
        <v>723120607739539457</v>
      </c>
      <c r="F2128" s="11" t="s">
        <v>25</v>
      </c>
      <c r="G2128" s="11">
        <v>81</v>
      </c>
      <c r="H2128" s="11">
        <v>189</v>
      </c>
      <c r="I2128" s="11">
        <v>1</v>
      </c>
      <c r="J2128" s="11">
        <v>0</v>
      </c>
      <c r="K2128" s="11" t="s">
        <v>21</v>
      </c>
      <c r="L2128" s="7">
        <v>42030.991689814815</v>
      </c>
      <c r="M2128" s="12" t="s">
        <v>3849</v>
      </c>
      <c r="N2128" s="12" t="s">
        <v>3850</v>
      </c>
      <c r="O2128" s="10" t="str">
        <f t="shared" si="249"/>
        <v>View</v>
      </c>
      <c r="P2128" s="11"/>
    </row>
    <row r="2129" spans="1:16" ht="12.75" x14ac:dyDescent="0.35">
      <c r="A2129" s="7">
        <v>42481.734039351853</v>
      </c>
      <c r="B2129" s="8" t="str">
        <f>HYPERLINK("https://twitter.com/Balluff","@Balluff")</f>
        <v>@Balluff</v>
      </c>
      <c r="C2129" s="9" t="s">
        <v>357</v>
      </c>
      <c r="D2129" s="9" t="s">
        <v>3314</v>
      </c>
      <c r="E2129" s="10" t="str">
        <f>HYPERLINK("https://twitter.com/Balluff/status/723120854213619713","723120854213619713")</f>
        <v>723120854213619713</v>
      </c>
      <c r="F2129" s="11" t="s">
        <v>25</v>
      </c>
      <c r="G2129" s="11">
        <v>1545</v>
      </c>
      <c r="H2129" s="11">
        <v>444</v>
      </c>
      <c r="I2129" s="11">
        <v>5</v>
      </c>
      <c r="J2129" s="11">
        <v>0</v>
      </c>
      <c r="K2129" s="11" t="s">
        <v>21</v>
      </c>
      <c r="L2129" s="7">
        <v>39842.576643518521</v>
      </c>
      <c r="M2129" s="12" t="s">
        <v>359</v>
      </c>
      <c r="N2129" s="12" t="s">
        <v>360</v>
      </c>
      <c r="O2129" s="10" t="str">
        <f>HYPERLINK("https://pbs.twimg.com/profile_images/663668561366245376/2ovYiiJf_normal.jpg","View")</f>
        <v>View</v>
      </c>
      <c r="P2129" s="11"/>
    </row>
    <row r="2130" spans="1:16" ht="12.75" x14ac:dyDescent="0.35">
      <c r="A2130" s="7">
        <v>42481.739687499998</v>
      </c>
      <c r="B2130" s="8" t="str">
        <f>HYPERLINK("https://twitter.com/Der_Betriebslei","@Der_Betriebslei")</f>
        <v>@Der_Betriebslei</v>
      </c>
      <c r="C2130" s="9" t="s">
        <v>2263</v>
      </c>
      <c r="D2130" s="9" t="s">
        <v>3852</v>
      </c>
      <c r="E2130" s="10" t="str">
        <f>HYPERLINK("https://twitter.com/Der_Betriebslei/status/723122902573395968","723122902573395968")</f>
        <v>723122902573395968</v>
      </c>
      <c r="F2130" s="11" t="s">
        <v>39</v>
      </c>
      <c r="G2130" s="11">
        <v>583</v>
      </c>
      <c r="H2130" s="11">
        <v>658</v>
      </c>
      <c r="I2130" s="11">
        <v>1</v>
      </c>
      <c r="J2130" s="11">
        <v>0</v>
      </c>
      <c r="K2130" s="11" t="s">
        <v>21</v>
      </c>
      <c r="L2130" s="7">
        <v>41598.836886574078</v>
      </c>
      <c r="M2130" s="12" t="s">
        <v>2100</v>
      </c>
      <c r="N2130" s="12" t="s">
        <v>2265</v>
      </c>
      <c r="O2130" s="10" t="str">
        <f>HYPERLINK("https://pbs.twimg.com/profile_images/448785058711601152/lLXOAUVA_normal.png","View")</f>
        <v>View</v>
      </c>
      <c r="P2130" s="11"/>
    </row>
    <row r="2131" spans="1:16" ht="12.75" x14ac:dyDescent="0.35">
      <c r="A2131" s="7">
        <v>42481.740150462967</v>
      </c>
      <c r="B2131" s="8" t="str">
        <f>HYPERLINK("https://twitter.com/AbockAngela","@AbockAngela")</f>
        <v>@AbockAngela</v>
      </c>
      <c r="C2131" s="9" t="s">
        <v>719</v>
      </c>
      <c r="D2131" s="9" t="s">
        <v>3588</v>
      </c>
      <c r="E2131" s="10" t="str">
        <f>HYPERLINK("https://twitter.com/AbockAngela/status/723123067879350272","723123067879350272")</f>
        <v>723123067879350272</v>
      </c>
      <c r="F2131" s="11" t="s">
        <v>29</v>
      </c>
      <c r="G2131" s="11">
        <v>36</v>
      </c>
      <c r="H2131" s="11">
        <v>99</v>
      </c>
      <c r="I2131" s="11">
        <v>24</v>
      </c>
      <c r="J2131" s="11">
        <v>0</v>
      </c>
      <c r="K2131" s="11" t="s">
        <v>21</v>
      </c>
      <c r="L2131" s="7">
        <v>41208.956863425927</v>
      </c>
      <c r="M2131" s="12" t="s">
        <v>720</v>
      </c>
      <c r="N2131" s="12"/>
      <c r="O2131" s="10" t="str">
        <f>HYPERLINK("https://abs.twimg.com/sticky/default_profile_images/default_profile_1_normal.png","View")</f>
        <v>View</v>
      </c>
      <c r="P2131" s="11"/>
    </row>
    <row r="2132" spans="1:16" ht="12.75" x14ac:dyDescent="0.35">
      <c r="A2132" s="7">
        <v>42481.744398148148</v>
      </c>
      <c r="B2132" s="8" t="str">
        <f>HYPERLINK("https://twitter.com/INDIZbot","@INDIZbot")</f>
        <v>@INDIZbot</v>
      </c>
      <c r="C2132" s="9" t="s">
        <v>61</v>
      </c>
      <c r="D2132" s="9" t="s">
        <v>3853</v>
      </c>
      <c r="E2132" s="10" t="str">
        <f>HYPERLINK("https://twitter.com/INDIZbot/status/723124608082317313","723124608082317313")</f>
        <v>723124608082317313</v>
      </c>
      <c r="F2132" s="11" t="s">
        <v>62</v>
      </c>
      <c r="G2132" s="11">
        <v>1762</v>
      </c>
      <c r="H2132" s="11">
        <v>481</v>
      </c>
      <c r="I2132" s="11">
        <v>1</v>
      </c>
      <c r="J2132" s="11">
        <v>0</v>
      </c>
      <c r="K2132" s="11" t="s">
        <v>21</v>
      </c>
      <c r="L2132" s="7">
        <v>42267.011921296296</v>
      </c>
      <c r="M2132" s="12"/>
      <c r="N2132" s="12" t="s">
        <v>63</v>
      </c>
      <c r="O2132" s="10" t="str">
        <f>HYPERLINK("https://pbs.twimg.com/profile_images/645716711723925506/t5G0qOS6_normal.jpg","View")</f>
        <v>View</v>
      </c>
      <c r="P2132" s="11"/>
    </row>
    <row r="2133" spans="1:16" ht="12.75" x14ac:dyDescent="0.35">
      <c r="A2133" s="7">
        <v>42481.744826388887</v>
      </c>
      <c r="B2133" s="8" t="str">
        <f>HYPERLINK("https://twitter.com/Edukatico","@Edukatico")</f>
        <v>@Edukatico</v>
      </c>
      <c r="C2133" s="9" t="s">
        <v>3854</v>
      </c>
      <c r="D2133" s="9" t="s">
        <v>3855</v>
      </c>
      <c r="E2133" s="10" t="str">
        <f>HYPERLINK("https://twitter.com/Edukatico/status/723124762763915266","723124762763915266")</f>
        <v>723124762763915266</v>
      </c>
      <c r="F2133" s="11" t="s">
        <v>25</v>
      </c>
      <c r="G2133" s="11">
        <v>11</v>
      </c>
      <c r="H2133" s="11">
        <v>39</v>
      </c>
      <c r="I2133" s="11">
        <v>0</v>
      </c>
      <c r="J2133" s="11">
        <v>0</v>
      </c>
      <c r="K2133" s="11" t="s">
        <v>21</v>
      </c>
      <c r="L2133" s="7">
        <v>42453.822905092587</v>
      </c>
      <c r="M2133" s="12" t="s">
        <v>92</v>
      </c>
      <c r="N2133" s="12" t="s">
        <v>3856</v>
      </c>
      <c r="O2133" s="10" t="str">
        <f>HYPERLINK("https://pbs.twimg.com/profile_images/717284871933149184/PTr4Jdye_normal.jpg","View")</f>
        <v>View</v>
      </c>
      <c r="P2133" s="11"/>
    </row>
    <row r="2134" spans="1:16" ht="12.75" x14ac:dyDescent="0.35">
      <c r="A2134" s="7">
        <v>42481.747210648144</v>
      </c>
      <c r="B2134" s="8" t="str">
        <f>HYPERLINK("https://twitter.com/dstankowski","@dstankowski")</f>
        <v>@dstankowski</v>
      </c>
      <c r="C2134" s="9" t="s">
        <v>3857</v>
      </c>
      <c r="D2134" s="9" t="s">
        <v>3858</v>
      </c>
      <c r="E2134" s="10" t="str">
        <f>HYPERLINK("https://twitter.com/dstankowski/status/723125628292206592","723125628292206592")</f>
        <v>723125628292206592</v>
      </c>
      <c r="F2134" s="11" t="s">
        <v>20</v>
      </c>
      <c r="G2134" s="11">
        <v>274</v>
      </c>
      <c r="H2134" s="11">
        <v>242</v>
      </c>
      <c r="I2134" s="11">
        <v>0</v>
      </c>
      <c r="J2134" s="11">
        <v>2</v>
      </c>
      <c r="K2134" s="11" t="s">
        <v>21</v>
      </c>
      <c r="L2134" s="7">
        <v>39384.816678240742</v>
      </c>
      <c r="M2134" s="12" t="s">
        <v>3859</v>
      </c>
      <c r="N2134" s="12" t="s">
        <v>3860</v>
      </c>
      <c r="O2134" s="10" t="str">
        <f>HYPERLINK("https://pbs.twimg.com/profile_images/1236430172/dominik-big_normal.jpg","View")</f>
        <v>View</v>
      </c>
      <c r="P2134" s="11"/>
    </row>
    <row r="2135" spans="1:16" ht="12.75" x14ac:dyDescent="0.35">
      <c r="A2135" s="7">
        <v>42481.747986111106</v>
      </c>
      <c r="B2135" s="8" t="str">
        <f>HYPERLINK("https://twitter.com/H_IT_D","@H_IT_D")</f>
        <v>@H_IT_D</v>
      </c>
      <c r="C2135" s="9" t="s">
        <v>159</v>
      </c>
      <c r="D2135" s="9" t="s">
        <v>3861</v>
      </c>
      <c r="E2135" s="10" t="str">
        <f>HYPERLINK("https://twitter.com/H_IT_D/status/723125909671145472","723125909671145472")</f>
        <v>723125909671145472</v>
      </c>
      <c r="F2135" s="11" t="s">
        <v>161</v>
      </c>
      <c r="G2135" s="11">
        <v>463</v>
      </c>
      <c r="H2135" s="11">
        <v>467</v>
      </c>
      <c r="I2135" s="11">
        <v>0</v>
      </c>
      <c r="J2135" s="11">
        <v>0</v>
      </c>
      <c r="K2135" s="11" t="s">
        <v>21</v>
      </c>
      <c r="L2135" s="7">
        <v>40723.867673611108</v>
      </c>
      <c r="M2135" s="12" t="s">
        <v>162</v>
      </c>
      <c r="N2135" s="12" t="s">
        <v>163</v>
      </c>
      <c r="O2135" s="10" t="str">
        <f>HYPERLINK("https://pbs.twimg.com/profile_images/662723326096224256/5V4KH9_O_normal.jpg","View")</f>
        <v>View</v>
      </c>
      <c r="P2135" s="11"/>
    </row>
    <row r="2136" spans="1:16" ht="12.75" x14ac:dyDescent="0.35">
      <c r="A2136" s="7">
        <v>42481.750740740739</v>
      </c>
      <c r="B2136" s="8" t="str">
        <f>HYPERLINK("https://twitter.com/acatech_de","@acatech_de")</f>
        <v>@acatech_de</v>
      </c>
      <c r="C2136" s="9" t="s">
        <v>1667</v>
      </c>
      <c r="D2136" s="9" t="s">
        <v>3862</v>
      </c>
      <c r="E2136" s="10" t="str">
        <f>HYPERLINK("https://twitter.com/acatech_de/status/723126905701060608","723126905701060608")</f>
        <v>723126905701060608</v>
      </c>
      <c r="F2136" s="11" t="s">
        <v>3265</v>
      </c>
      <c r="G2136" s="11">
        <v>201</v>
      </c>
      <c r="H2136" s="11">
        <v>204</v>
      </c>
      <c r="I2136" s="11">
        <v>0</v>
      </c>
      <c r="J2136" s="11">
        <v>0</v>
      </c>
      <c r="K2136" s="11" t="s">
        <v>21</v>
      </c>
      <c r="L2136" s="7">
        <v>42101.61513888889</v>
      </c>
      <c r="M2136" s="12" t="s">
        <v>1669</v>
      </c>
      <c r="N2136" s="12" t="s">
        <v>1670</v>
      </c>
      <c r="O2136" s="10" t="str">
        <f>HYPERLINK("https://pbs.twimg.com/profile_images/600969802908356609/3JqGMg38_normal.png","View")</f>
        <v>View</v>
      </c>
      <c r="P2136" s="11"/>
    </row>
    <row r="2137" spans="1:16" ht="12.75" x14ac:dyDescent="0.35">
      <c r="A2137" s="7">
        <v>42481.751921296294</v>
      </c>
      <c r="B2137" s="8" t="str">
        <f>HYPERLINK("https://twitter.com/stefra","@stefra")</f>
        <v>@stefra</v>
      </c>
      <c r="C2137" s="9" t="s">
        <v>3863</v>
      </c>
      <c r="D2137" s="9" t="s">
        <v>3864</v>
      </c>
      <c r="E2137" s="10" t="str">
        <f>HYPERLINK("https://twitter.com/stefra/status/723127336854523904","723127336854523904")</f>
        <v>723127336854523904</v>
      </c>
      <c r="F2137" s="11" t="s">
        <v>31</v>
      </c>
      <c r="G2137" s="11">
        <v>171</v>
      </c>
      <c r="H2137" s="11">
        <v>234</v>
      </c>
      <c r="I2137" s="11">
        <v>0</v>
      </c>
      <c r="J2137" s="11">
        <v>2</v>
      </c>
      <c r="K2137" s="11" t="s">
        <v>21</v>
      </c>
      <c r="L2137" s="7">
        <v>40304.129351851851</v>
      </c>
      <c r="M2137" s="12" t="s">
        <v>3865</v>
      </c>
      <c r="N2137" s="12" t="s">
        <v>3866</v>
      </c>
      <c r="O2137" s="10" t="str">
        <f>HYPERLINK("https://pbs.twimg.com/profile_images/1185777206/FS_normal.jpg","View")</f>
        <v>View</v>
      </c>
      <c r="P2137" s="11"/>
    </row>
    <row r="2138" spans="1:16" ht="12.75" x14ac:dyDescent="0.35">
      <c r="A2138" s="7">
        <v>42481.754166666666</v>
      </c>
      <c r="B2138" s="8" t="str">
        <f>HYPERLINK("https://twitter.com/SAPFrance","@SAPFrance")</f>
        <v>@SAPFrance</v>
      </c>
      <c r="C2138" s="9" t="s">
        <v>1109</v>
      </c>
      <c r="D2138" s="9" t="s">
        <v>3867</v>
      </c>
      <c r="E2138" s="10" t="str">
        <f>HYPERLINK("https://twitter.com/SAPFrance/status/723128150146822144","723128150146822144")</f>
        <v>723128150146822144</v>
      </c>
      <c r="F2138" s="11" t="s">
        <v>1111</v>
      </c>
      <c r="G2138" s="11">
        <v>2054</v>
      </c>
      <c r="H2138" s="11">
        <v>1189</v>
      </c>
      <c r="I2138" s="11">
        <v>0</v>
      </c>
      <c r="J2138" s="11">
        <v>0</v>
      </c>
      <c r="K2138" s="11" t="s">
        <v>21</v>
      </c>
      <c r="L2138" s="7">
        <v>41078.552222222221</v>
      </c>
      <c r="M2138" s="12" t="s">
        <v>1112</v>
      </c>
      <c r="N2138" s="12" t="s">
        <v>1113</v>
      </c>
      <c r="O2138" s="10" t="str">
        <f>HYPERLINK("https://pbs.twimg.com/profile_images/713021101106995200/w4EIzjMN_normal.jpg","View")</f>
        <v>View</v>
      </c>
      <c r="P2138" s="11"/>
    </row>
    <row r="2139" spans="1:16" ht="12.75" x14ac:dyDescent="0.35">
      <c r="A2139" s="7">
        <v>42481.755104166667</v>
      </c>
      <c r="B2139" s="8" t="str">
        <f>HYPERLINK("https://twitter.com/Groeneme","@Groeneme")</f>
        <v>@Groeneme</v>
      </c>
      <c r="C2139" s="9" t="s">
        <v>3868</v>
      </c>
      <c r="D2139" s="9" t="s">
        <v>3646</v>
      </c>
      <c r="E2139" s="10" t="str">
        <f>HYPERLINK("https://twitter.com/Groeneme/status/723128488148889603","723128488148889603")</f>
        <v>723128488148889603</v>
      </c>
      <c r="F2139" s="11" t="s">
        <v>25</v>
      </c>
      <c r="G2139" s="11">
        <v>239</v>
      </c>
      <c r="H2139" s="11">
        <v>355</v>
      </c>
      <c r="I2139" s="11">
        <v>11</v>
      </c>
      <c r="J2139" s="11">
        <v>0</v>
      </c>
      <c r="K2139" s="11" t="s">
        <v>21</v>
      </c>
      <c r="L2139" s="7">
        <v>41058.816643518519</v>
      </c>
      <c r="M2139" s="12" t="s">
        <v>121</v>
      </c>
      <c r="N2139" s="12" t="s">
        <v>3869</v>
      </c>
      <c r="O2139" s="10" t="str">
        <f>HYPERLINK("https://pbs.twimg.com/profile_images/483914601923223552/Nm9nZ2GI_normal.jpeg","View")</f>
        <v>View</v>
      </c>
      <c r="P2139" s="11"/>
    </row>
    <row r="2140" spans="1:16" ht="12.75" x14ac:dyDescent="0.35">
      <c r="A2140" s="7">
        <v>42481.757708333331</v>
      </c>
      <c r="B2140" s="8" t="str">
        <f>HYPERLINK("https://twitter.com/Martina_Palm","@Martina_Palm")</f>
        <v>@Martina_Palm</v>
      </c>
      <c r="C2140" s="9" t="s">
        <v>3870</v>
      </c>
      <c r="D2140" s="9" t="s">
        <v>3871</v>
      </c>
      <c r="E2140" s="10" t="str">
        <f>HYPERLINK("https://twitter.com/Martina_Palm/status/723129434132238338","723129434132238338")</f>
        <v>723129434132238338</v>
      </c>
      <c r="F2140" s="11" t="s">
        <v>25</v>
      </c>
      <c r="G2140" s="11">
        <v>38</v>
      </c>
      <c r="H2140" s="11">
        <v>50</v>
      </c>
      <c r="I2140" s="11">
        <v>2</v>
      </c>
      <c r="J2140" s="11">
        <v>0</v>
      </c>
      <c r="K2140" s="11" t="s">
        <v>21</v>
      </c>
      <c r="L2140" s="7">
        <v>41060.564467592594</v>
      </c>
      <c r="M2140" s="12" t="s">
        <v>3872</v>
      </c>
      <c r="N2140" s="12" t="s">
        <v>3873</v>
      </c>
      <c r="O2140" s="10" t="str">
        <f>HYPERLINK("https://pbs.twimg.com/profile_images/3286498945/83c49690655e24688ac62bd4fdc079ea_normal.jpeg","View")</f>
        <v>View</v>
      </c>
      <c r="P2140" s="11"/>
    </row>
    <row r="2141" spans="1:16" ht="12.75" x14ac:dyDescent="0.35">
      <c r="A2141" s="7">
        <v>42481.758136574077</v>
      </c>
      <c r="B2141" s="8" t="str">
        <f>HYPERLINK("https://twitter.com/IoTMinded","@IoTMinded")</f>
        <v>@IoTMinded</v>
      </c>
      <c r="C2141" s="9" t="s">
        <v>435</v>
      </c>
      <c r="D2141" s="9" t="s">
        <v>3874</v>
      </c>
      <c r="E2141" s="10" t="str">
        <f>HYPERLINK("https://twitter.com/IoTMinded/status/723129586859560960","723129586859560960")</f>
        <v>723129586859560960</v>
      </c>
      <c r="F2141" s="11" t="s">
        <v>437</v>
      </c>
      <c r="G2141" s="11">
        <v>1102</v>
      </c>
      <c r="H2141" s="11">
        <v>656</v>
      </c>
      <c r="I2141" s="11">
        <v>2</v>
      </c>
      <c r="J2141" s="11">
        <v>0</v>
      </c>
      <c r="K2141" s="11" t="s">
        <v>21</v>
      </c>
      <c r="L2141" s="7">
        <v>40085.127789351856</v>
      </c>
      <c r="M2141" s="12"/>
      <c r="N2141" s="12" t="s">
        <v>438</v>
      </c>
      <c r="O2141" s="10" t="str">
        <f>HYPERLINK("https://pbs.twimg.com/profile_images/603699032804859904/lb5IMG5x_normal.jpg","View")</f>
        <v>View</v>
      </c>
      <c r="P2141" s="11"/>
    </row>
    <row r="2142" spans="1:16" ht="12.75" x14ac:dyDescent="0.35">
      <c r="A2142" s="7">
        <v>42481.759224537032</v>
      </c>
      <c r="B2142" s="8" t="str">
        <f>HYPERLINK("https://twitter.com/BeniSeiler","@BeniSeiler")</f>
        <v>@BeniSeiler</v>
      </c>
      <c r="C2142" s="9" t="s">
        <v>3875</v>
      </c>
      <c r="D2142" s="9" t="s">
        <v>3876</v>
      </c>
      <c r="E2142" s="10" t="str">
        <f>HYPERLINK("https://twitter.com/BeniSeiler/status/723129983745593344","723129983745593344")</f>
        <v>723129983745593344</v>
      </c>
      <c r="F2142" s="11" t="s">
        <v>31</v>
      </c>
      <c r="G2142" s="11">
        <v>272</v>
      </c>
      <c r="H2142" s="11">
        <v>404</v>
      </c>
      <c r="I2142" s="11">
        <v>3</v>
      </c>
      <c r="J2142" s="11">
        <v>1</v>
      </c>
      <c r="K2142" s="11" t="s">
        <v>21</v>
      </c>
      <c r="L2142" s="7">
        <v>40532.154027777782</v>
      </c>
      <c r="M2142" s="12"/>
      <c r="N2142" s="12" t="s">
        <v>3877</v>
      </c>
      <c r="O2142" s="10" t="str">
        <f>HYPERLINK("https://pbs.twimg.com/profile_images/568671099278606336/tELKp5D5_normal.jpeg","View")</f>
        <v>View</v>
      </c>
      <c r="P2142" s="11"/>
    </row>
    <row r="2143" spans="1:16" ht="12.75" x14ac:dyDescent="0.35">
      <c r="A2143" s="7">
        <v>42481.760509259257</v>
      </c>
      <c r="B2143" s="8" t="str">
        <f>HYPERLINK("https://twitter.com/SGE","@SGE")</f>
        <v>@SGE</v>
      </c>
      <c r="C2143" s="9" t="s">
        <v>3633</v>
      </c>
      <c r="D2143" s="9" t="s">
        <v>3878</v>
      </c>
      <c r="E2143" s="10" t="str">
        <f>HYPERLINK("https://twitter.com/SGE/status/723130447832723456","723130447832723456")</f>
        <v>723130447832723456</v>
      </c>
      <c r="F2143" s="11" t="s">
        <v>39</v>
      </c>
      <c r="G2143" s="11">
        <v>1901</v>
      </c>
      <c r="H2143" s="11">
        <v>231</v>
      </c>
      <c r="I2143" s="11">
        <v>1</v>
      </c>
      <c r="J2143" s="11">
        <v>0</v>
      </c>
      <c r="K2143" s="11" t="s">
        <v>21</v>
      </c>
      <c r="L2143" s="7">
        <v>39937.802928240737</v>
      </c>
      <c r="M2143" s="12" t="s">
        <v>3635</v>
      </c>
      <c r="N2143" s="12" t="s">
        <v>3636</v>
      </c>
      <c r="O2143" s="10" t="str">
        <f>HYPERLINK("https://pbs.twimg.com/profile_images/471312276767535104/TIanhngf_normal.jpeg","View")</f>
        <v>View</v>
      </c>
      <c r="P2143" s="11"/>
    </row>
    <row r="2144" spans="1:16" ht="12.75" x14ac:dyDescent="0.35">
      <c r="A2144" s="7">
        <v>42481.760717592595</v>
      </c>
      <c r="B2144" s="8" t="str">
        <f>HYPERLINK("https://twitter.com/BoschPresse","@BoschPresse")</f>
        <v>@BoschPresse</v>
      </c>
      <c r="C2144" s="9" t="s">
        <v>1782</v>
      </c>
      <c r="D2144" s="9" t="s">
        <v>3879</v>
      </c>
      <c r="E2144" s="10" t="str">
        <f>HYPERLINK("https://twitter.com/BoschPresse/status/723130523019784192","723130523019784192")</f>
        <v>723130523019784192</v>
      </c>
      <c r="F2144" s="11" t="s">
        <v>39</v>
      </c>
      <c r="G2144" s="11">
        <v>7560</v>
      </c>
      <c r="H2144" s="11">
        <v>389</v>
      </c>
      <c r="I2144" s="11">
        <v>5</v>
      </c>
      <c r="J2144" s="11">
        <v>1</v>
      </c>
      <c r="K2144" s="11" t="s">
        <v>21</v>
      </c>
      <c r="L2144" s="7">
        <v>40991.629687499997</v>
      </c>
      <c r="M2144" s="12" t="s">
        <v>162</v>
      </c>
      <c r="N2144" s="12" t="s">
        <v>1784</v>
      </c>
      <c r="O2144" s="10" t="str">
        <f>HYPERLINK("https://pbs.twimg.com/profile_images/2619086509/ld3z97zhhdbs2essw7s9_normal.jpeg","View")</f>
        <v>View</v>
      </c>
      <c r="P2144" s="11"/>
    </row>
    <row r="2145" spans="1:16" ht="12.75" x14ac:dyDescent="0.35">
      <c r="A2145" s="7">
        <v>42481.761284722219</v>
      </c>
      <c r="B2145" s="8" t="str">
        <f>HYPERLINK("https://twitter.com/fitfor2020","@fitfor2020")</f>
        <v>@fitfor2020</v>
      </c>
      <c r="C2145" s="9" t="s">
        <v>963</v>
      </c>
      <c r="D2145" s="9" t="s">
        <v>3880</v>
      </c>
      <c r="E2145" s="10" t="str">
        <f>HYPERLINK("https://twitter.com/fitfor2020/status/723130727987032064","723130727987032064")</f>
        <v>723130727987032064</v>
      </c>
      <c r="F2145" s="11" t="s">
        <v>1491</v>
      </c>
      <c r="G2145" s="11">
        <v>1232</v>
      </c>
      <c r="H2145" s="11">
        <v>6</v>
      </c>
      <c r="I2145" s="11">
        <v>0</v>
      </c>
      <c r="J2145" s="11">
        <v>2</v>
      </c>
      <c r="K2145" s="11" t="s">
        <v>21</v>
      </c>
      <c r="L2145" s="7">
        <v>41384.531759259262</v>
      </c>
      <c r="M2145" s="12" t="s">
        <v>3881</v>
      </c>
      <c r="N2145" s="12" t="s">
        <v>3882</v>
      </c>
      <c r="O2145" s="10" t="str">
        <f>HYPERLINK("https://pbs.twimg.com/profile_images/587953511213727744/fs0LF99T_normal.jpg","View")</f>
        <v>View</v>
      </c>
      <c r="P2145" s="11"/>
    </row>
    <row r="2146" spans="1:16" ht="12.75" x14ac:dyDescent="0.35">
      <c r="A2146" s="7">
        <v>42481.761377314819</v>
      </c>
      <c r="B2146" s="8" t="str">
        <f>HYPERLINK("https://twitter.com/Waaiema","@Waaiema")</f>
        <v>@Waaiema</v>
      </c>
      <c r="C2146" s="9" t="s">
        <v>3883</v>
      </c>
      <c r="D2146" s="9" t="s">
        <v>3884</v>
      </c>
      <c r="E2146" s="10" t="str">
        <f>HYPERLINK("https://twitter.com/Waaiema/status/723130761554104320","723130761554104320")</f>
        <v>723130761554104320</v>
      </c>
      <c r="F2146" s="11" t="s">
        <v>866</v>
      </c>
      <c r="G2146" s="11">
        <v>41</v>
      </c>
      <c r="H2146" s="11">
        <v>85</v>
      </c>
      <c r="I2146" s="11">
        <v>2</v>
      </c>
      <c r="J2146" s="11">
        <v>0</v>
      </c>
      <c r="K2146" s="11" t="s">
        <v>21</v>
      </c>
      <c r="L2146" s="7">
        <v>41132.507303240738</v>
      </c>
      <c r="M2146" s="12" t="s">
        <v>3885</v>
      </c>
      <c r="N2146" s="12" t="s">
        <v>3886</v>
      </c>
      <c r="O2146" s="10" t="str">
        <f>HYPERLINK("https://pbs.twimg.com/profile_images/521729837849788416/VaANV2F5_normal.jpeg","View")</f>
        <v>View</v>
      </c>
      <c r="P2146" s="11"/>
    </row>
    <row r="2147" spans="1:16" ht="12.75" x14ac:dyDescent="0.35">
      <c r="A2147" s="7">
        <v>42481.762546296297</v>
      </c>
      <c r="B2147" s="8" t="str">
        <f>HYPERLINK("https://twitter.com/SocBizEngineer","@SocBizEngineer")</f>
        <v>@SocBizEngineer</v>
      </c>
      <c r="C2147" s="9" t="s">
        <v>3887</v>
      </c>
      <c r="D2147" s="9" t="s">
        <v>3888</v>
      </c>
      <c r="E2147" s="10" t="str">
        <f>HYPERLINK("https://twitter.com/SocBizEngineer/status/723131185455616000","723131185455616000")</f>
        <v>723131185455616000</v>
      </c>
      <c r="F2147" s="11" t="s">
        <v>20</v>
      </c>
      <c r="G2147" s="11">
        <v>1716</v>
      </c>
      <c r="H2147" s="11">
        <v>969</v>
      </c>
      <c r="I2147" s="11">
        <v>3</v>
      </c>
      <c r="J2147" s="11">
        <v>0</v>
      </c>
      <c r="K2147" s="11" t="s">
        <v>21</v>
      </c>
      <c r="L2147" s="7">
        <v>39280.159444444442</v>
      </c>
      <c r="M2147" s="12" t="s">
        <v>3889</v>
      </c>
      <c r="N2147" s="12" t="s">
        <v>3890</v>
      </c>
      <c r="O2147" s="10" t="str">
        <f>HYPERLINK("https://pbs.twimg.com/profile_images/542805217553571841/BBTjKnNu_normal.jpeg","View")</f>
        <v>View</v>
      </c>
      <c r="P2147" s="11"/>
    </row>
    <row r="2148" spans="1:16" ht="12.75" x14ac:dyDescent="0.35">
      <c r="A2148" s="7">
        <v>42481.762731481482</v>
      </c>
      <c r="B2148" s="8" t="str">
        <f>HYPERLINK("https://twitter.com/SGE","@SGE")</f>
        <v>@SGE</v>
      </c>
      <c r="C2148" s="9" t="s">
        <v>3633</v>
      </c>
      <c r="D2148" s="9" t="s">
        <v>3888</v>
      </c>
      <c r="E2148" s="10" t="str">
        <f>HYPERLINK("https://twitter.com/SGE/status/723131255043272704","723131255043272704")</f>
        <v>723131255043272704</v>
      </c>
      <c r="F2148" s="11" t="s">
        <v>31</v>
      </c>
      <c r="G2148" s="11">
        <v>1901</v>
      </c>
      <c r="H2148" s="11">
        <v>231</v>
      </c>
      <c r="I2148" s="11">
        <v>3</v>
      </c>
      <c r="J2148" s="11">
        <v>0</v>
      </c>
      <c r="K2148" s="11" t="s">
        <v>21</v>
      </c>
      <c r="L2148" s="7">
        <v>39937.802928240737</v>
      </c>
      <c r="M2148" s="12" t="s">
        <v>3635</v>
      </c>
      <c r="N2148" s="12" t="s">
        <v>3636</v>
      </c>
      <c r="O2148" s="10" t="str">
        <f>HYPERLINK("https://pbs.twimg.com/profile_images/471312276767535104/TIanhngf_normal.jpeg","View")</f>
        <v>View</v>
      </c>
      <c r="P2148" s="11"/>
    </row>
    <row r="2149" spans="1:16" ht="12.75" x14ac:dyDescent="0.35">
      <c r="A2149" s="7">
        <v>42481.763020833328</v>
      </c>
      <c r="B2149" s="8" t="str">
        <f>HYPERLINK("https://twitter.com/iotfablab","@iotfablab")</f>
        <v>@iotfablab</v>
      </c>
      <c r="C2149" s="9" t="s">
        <v>3891</v>
      </c>
      <c r="D2149" s="9" t="s">
        <v>3892</v>
      </c>
      <c r="E2149" s="10" t="str">
        <f>HYPERLINK("https://twitter.com/iotfablab/status/723131356440584192","723131356440584192")</f>
        <v>723131356440584192</v>
      </c>
      <c r="F2149" s="11" t="s">
        <v>31</v>
      </c>
      <c r="G2149" s="11">
        <v>74</v>
      </c>
      <c r="H2149" s="11">
        <v>183</v>
      </c>
      <c r="I2149" s="11">
        <v>0</v>
      </c>
      <c r="J2149" s="11">
        <v>0</v>
      </c>
      <c r="K2149" s="11" t="s">
        <v>21</v>
      </c>
      <c r="L2149" s="7">
        <v>42227.790543981479</v>
      </c>
      <c r="M2149" s="12" t="s">
        <v>3893</v>
      </c>
      <c r="N2149" s="12" t="s">
        <v>3894</v>
      </c>
      <c r="O2149" s="10" t="str">
        <f>HYPERLINK("https://pbs.twimg.com/profile_images/642009473436024832/Eca88RWt_normal.png","View")</f>
        <v>View</v>
      </c>
      <c r="P2149" s="11"/>
    </row>
    <row r="2150" spans="1:16" ht="12.75" x14ac:dyDescent="0.35">
      <c r="A2150" s="7">
        <v>42481.763182870374</v>
      </c>
      <c r="B2150" s="8" t="str">
        <f>HYPERLINK("https://twitter.com/clarissahaller","@clarissahaller")</f>
        <v>@clarissahaller</v>
      </c>
      <c r="C2150" s="9" t="s">
        <v>3895</v>
      </c>
      <c r="D2150" s="9" t="s">
        <v>3888</v>
      </c>
      <c r="E2150" s="10" t="str">
        <f>HYPERLINK("https://twitter.com/clarissahaller/status/723131416213598209","723131416213598209")</f>
        <v>723131416213598209</v>
      </c>
      <c r="F2150" s="11" t="s">
        <v>31</v>
      </c>
      <c r="G2150" s="11">
        <v>825</v>
      </c>
      <c r="H2150" s="11">
        <v>556</v>
      </c>
      <c r="I2150" s="11">
        <v>3</v>
      </c>
      <c r="J2150" s="11">
        <v>0</v>
      </c>
      <c r="K2150" s="11" t="s">
        <v>21</v>
      </c>
      <c r="L2150" s="7">
        <v>40249.124942129631</v>
      </c>
      <c r="M2150" s="12" t="s">
        <v>3896</v>
      </c>
      <c r="N2150" s="12" t="s">
        <v>3897</v>
      </c>
      <c r="O2150" s="10" t="str">
        <f>HYPERLINK("https://pbs.twimg.com/profile_images/1158852239/CH_4_241_normal.jpg","View")</f>
        <v>View</v>
      </c>
      <c r="P2150" s="11"/>
    </row>
    <row r="2151" spans="1:16" ht="12.75" x14ac:dyDescent="0.35">
      <c r="A2151" s="7">
        <v>42481.764363425929</v>
      </c>
      <c r="B2151" s="8" t="str">
        <f>HYPERLINK("https://twitter.com/BeniSeiler","@BeniSeiler")</f>
        <v>@BeniSeiler</v>
      </c>
      <c r="C2151" s="9" t="s">
        <v>3875</v>
      </c>
      <c r="D2151" s="9" t="s">
        <v>3898</v>
      </c>
      <c r="E2151" s="10" t="str">
        <f>HYPERLINK("https://twitter.com/BeniSeiler/status/723131843680305152","723131843680305152")</f>
        <v>723131843680305152</v>
      </c>
      <c r="F2151" s="11" t="s">
        <v>31</v>
      </c>
      <c r="G2151" s="11">
        <v>272</v>
      </c>
      <c r="H2151" s="11">
        <v>404</v>
      </c>
      <c r="I2151" s="11">
        <v>0</v>
      </c>
      <c r="J2151" s="11">
        <v>2</v>
      </c>
      <c r="K2151" s="11" t="s">
        <v>21</v>
      </c>
      <c r="L2151" s="7">
        <v>40532.154027777782</v>
      </c>
      <c r="M2151" s="12"/>
      <c r="N2151" s="12" t="s">
        <v>3877</v>
      </c>
      <c r="O2151" s="10" t="str">
        <f>HYPERLINK("https://pbs.twimg.com/profile_images/568671099278606336/tELKp5D5_normal.jpeg","View")</f>
        <v>View</v>
      </c>
      <c r="P2151" s="11"/>
    </row>
    <row r="2152" spans="1:16" ht="12.75" x14ac:dyDescent="0.35">
      <c r="A2152" s="7">
        <v>42481.766712962963</v>
      </c>
      <c r="B2152" s="8" t="str">
        <f>HYPERLINK("https://twitter.com/critmatrix","@critmatrix")</f>
        <v>@critmatrix</v>
      </c>
      <c r="C2152" s="9" t="s">
        <v>3414</v>
      </c>
      <c r="D2152" s="9" t="s">
        <v>3899</v>
      </c>
      <c r="E2152" s="10" t="str">
        <f>HYPERLINK("https://twitter.com/critmatrix/status/723132694046117888","723132694046117888")</f>
        <v>723132694046117888</v>
      </c>
      <c r="F2152" s="11" t="s">
        <v>31</v>
      </c>
      <c r="G2152" s="11">
        <v>30</v>
      </c>
      <c r="H2152" s="11">
        <v>184</v>
      </c>
      <c r="I2152" s="11">
        <v>0</v>
      </c>
      <c r="J2152" s="11">
        <v>0</v>
      </c>
      <c r="K2152" s="11" t="s">
        <v>21</v>
      </c>
      <c r="L2152" s="7">
        <v>42480.800636574073</v>
      </c>
      <c r="M2152" s="12" t="s">
        <v>3416</v>
      </c>
      <c r="N2152" s="12" t="s">
        <v>3417</v>
      </c>
      <c r="O2152" s="10" t="str">
        <f>HYPERLINK("https://pbs.twimg.com/profile_images/722786285123977216/jpQ6qPff_normal.jpg","View")</f>
        <v>View</v>
      </c>
      <c r="P2152" s="11"/>
    </row>
    <row r="2153" spans="1:16" ht="12.75" x14ac:dyDescent="0.35">
      <c r="A2153" s="7">
        <v>42481.769016203703</v>
      </c>
      <c r="B2153" s="8" t="str">
        <f>HYPERLINK("https://twitter.com/SBH_Germany","@SBH_Germany")</f>
        <v>@SBH_Germany</v>
      </c>
      <c r="C2153" s="9" t="s">
        <v>3900</v>
      </c>
      <c r="D2153" s="9" t="s">
        <v>3832</v>
      </c>
      <c r="E2153" s="10" t="str">
        <f>HYPERLINK("https://twitter.com/SBH_Germany/status/723133530331447296","723133530331447296")</f>
        <v>723133530331447296</v>
      </c>
      <c r="F2153" s="11" t="s">
        <v>25</v>
      </c>
      <c r="G2153" s="11">
        <v>63</v>
      </c>
      <c r="H2153" s="11">
        <v>172</v>
      </c>
      <c r="I2153" s="11">
        <v>4</v>
      </c>
      <c r="J2153" s="11">
        <v>0</v>
      </c>
      <c r="K2153" s="11" t="s">
        <v>21</v>
      </c>
      <c r="L2153" s="7">
        <v>42405.551932870367</v>
      </c>
      <c r="M2153" s="12" t="s">
        <v>157</v>
      </c>
      <c r="N2153" s="12" t="s">
        <v>3901</v>
      </c>
      <c r="O2153" s="10" t="str">
        <f>HYPERLINK("https://pbs.twimg.com/profile_images/695514574359953408/hQTmgrlk_normal.png","View")</f>
        <v>View</v>
      </c>
      <c r="P2153" s="11"/>
    </row>
    <row r="2154" spans="1:16" ht="12.75" x14ac:dyDescent="0.35">
      <c r="A2154" s="7">
        <v>42481.769432870366</v>
      </c>
      <c r="B2154" s="8" t="str">
        <f t="shared" ref="B2154:B2155" si="250">HYPERLINK("https://twitter.com/tomov_eu","@tomov_eu")</f>
        <v>@tomov_eu</v>
      </c>
      <c r="C2154" s="9" t="s">
        <v>1222</v>
      </c>
      <c r="D2154" s="9" t="s">
        <v>3902</v>
      </c>
      <c r="E2154" s="10" t="str">
        <f>HYPERLINK("https://twitter.com/tomov_eu/status/723133680860831745","723133680860831745")</f>
        <v>723133680860831745</v>
      </c>
      <c r="F2154" s="11" t="s">
        <v>25</v>
      </c>
      <c r="G2154" s="11">
        <v>83</v>
      </c>
      <c r="H2154" s="11">
        <v>69</v>
      </c>
      <c r="I2154" s="11">
        <v>2</v>
      </c>
      <c r="J2154" s="11">
        <v>0</v>
      </c>
      <c r="K2154" s="11" t="s">
        <v>21</v>
      </c>
      <c r="L2154" s="7">
        <v>40551.577476851853</v>
      </c>
      <c r="M2154" s="12" t="s">
        <v>385</v>
      </c>
      <c r="N2154" s="12" t="s">
        <v>1224</v>
      </c>
      <c r="O2154" s="10" t="str">
        <f t="shared" ref="O2154:O2155" si="251">HYPERLINK("https://pbs.twimg.com/profile_images/557949283861663744/XRnqLo9K_normal.jpeg","View")</f>
        <v>View</v>
      </c>
      <c r="P2154" s="11"/>
    </row>
    <row r="2155" spans="1:16" ht="12.75" x14ac:dyDescent="0.35">
      <c r="A2155" s="7">
        <v>42481.769629629634</v>
      </c>
      <c r="B2155" s="8" t="str">
        <f t="shared" si="250"/>
        <v>@tomov_eu</v>
      </c>
      <c r="C2155" s="9" t="s">
        <v>1222</v>
      </c>
      <c r="D2155" s="9" t="s">
        <v>3903</v>
      </c>
      <c r="E2155" s="10" t="str">
        <f>HYPERLINK("https://twitter.com/tomov_eu/status/723133753455824898","723133753455824898")</f>
        <v>723133753455824898</v>
      </c>
      <c r="F2155" s="11" t="s">
        <v>25</v>
      </c>
      <c r="G2155" s="11">
        <v>83</v>
      </c>
      <c r="H2155" s="11">
        <v>69</v>
      </c>
      <c r="I2155" s="11">
        <v>3</v>
      </c>
      <c r="J2155" s="11">
        <v>0</v>
      </c>
      <c r="K2155" s="11" t="s">
        <v>21</v>
      </c>
      <c r="L2155" s="7">
        <v>40551.577476851853</v>
      </c>
      <c r="M2155" s="12" t="s">
        <v>385</v>
      </c>
      <c r="N2155" s="12" t="s">
        <v>1224</v>
      </c>
      <c r="O2155" s="10" t="str">
        <f t="shared" si="251"/>
        <v>View</v>
      </c>
      <c r="P2155" s="11"/>
    </row>
    <row r="2156" spans="1:16" ht="12.75" x14ac:dyDescent="0.35">
      <c r="A2156" s="7">
        <v>42481.769629629634</v>
      </c>
      <c r="B2156" s="8" t="str">
        <f>HYPERLINK("https://twitter.com/DerKonstrukteu","@DerKonstrukteu")</f>
        <v>@DerKonstrukteu</v>
      </c>
      <c r="C2156" s="9" t="s">
        <v>2098</v>
      </c>
      <c r="D2156" s="9" t="s">
        <v>3904</v>
      </c>
      <c r="E2156" s="10" t="str">
        <f>HYPERLINK("https://twitter.com/DerKonstrukteu/status/723133753644572672","723133753644572672")</f>
        <v>723133753644572672</v>
      </c>
      <c r="F2156" s="11" t="s">
        <v>25</v>
      </c>
      <c r="G2156" s="11">
        <v>1142</v>
      </c>
      <c r="H2156" s="11">
        <v>610</v>
      </c>
      <c r="I2156" s="11">
        <v>1</v>
      </c>
      <c r="J2156" s="11">
        <v>1</v>
      </c>
      <c r="K2156" s="11" t="s">
        <v>21</v>
      </c>
      <c r="L2156" s="7">
        <v>41612.809548611112</v>
      </c>
      <c r="M2156" s="12" t="s">
        <v>2100</v>
      </c>
      <c r="N2156" s="12" t="s">
        <v>2101</v>
      </c>
      <c r="O2156" s="10" t="str">
        <f>HYPERLINK("https://pbs.twimg.com/profile_images/448785978165968896/SQOcI8cJ_normal.png","View")</f>
        <v>View</v>
      </c>
      <c r="P2156" s="11"/>
    </row>
    <row r="2157" spans="1:16" ht="12.75" x14ac:dyDescent="0.35">
      <c r="A2157" s="7">
        <v>42481.769884259258</v>
      </c>
      <c r="B2157" s="8" t="str">
        <f t="shared" ref="B2157:B2158" si="252">HYPERLINK("https://twitter.com/rene_ziegler","@rene_ziegler")</f>
        <v>@rene_ziegler</v>
      </c>
      <c r="C2157" s="9" t="s">
        <v>1724</v>
      </c>
      <c r="D2157" s="9" t="s">
        <v>3905</v>
      </c>
      <c r="E2157" s="10" t="str">
        <f>HYPERLINK("https://twitter.com/rene_ziegler/status/723133845533503488","723133845533503488")</f>
        <v>723133845533503488</v>
      </c>
      <c r="F2157" s="11" t="s">
        <v>31</v>
      </c>
      <c r="G2157" s="11">
        <v>897</v>
      </c>
      <c r="H2157" s="11">
        <v>434</v>
      </c>
      <c r="I2157" s="11">
        <v>5</v>
      </c>
      <c r="J2157" s="11">
        <v>0</v>
      </c>
      <c r="K2157" s="11" t="s">
        <v>21</v>
      </c>
      <c r="L2157" s="7">
        <v>41176.054814814815</v>
      </c>
      <c r="M2157" s="12" t="s">
        <v>1726</v>
      </c>
      <c r="N2157" s="12" t="s">
        <v>1727</v>
      </c>
      <c r="O2157" s="10" t="str">
        <f t="shared" ref="O2157:O2158" si="253">HYPERLINK("https://pbs.twimg.com/profile_images/643892666695073792/IDQzvziq_normal.jpg","View")</f>
        <v>View</v>
      </c>
      <c r="P2157" s="11"/>
    </row>
    <row r="2158" spans="1:16" ht="12.75" x14ac:dyDescent="0.35">
      <c r="A2158" s="7">
        <v>42481.770162037035</v>
      </c>
      <c r="B2158" s="8" t="str">
        <f t="shared" si="252"/>
        <v>@rene_ziegler</v>
      </c>
      <c r="C2158" s="9" t="s">
        <v>1724</v>
      </c>
      <c r="D2158" s="9" t="s">
        <v>3649</v>
      </c>
      <c r="E2158" s="10" t="str">
        <f>HYPERLINK("https://twitter.com/rene_ziegler/status/723133944586199040","723133944586199040")</f>
        <v>723133944586199040</v>
      </c>
      <c r="F2158" s="11" t="s">
        <v>31</v>
      </c>
      <c r="G2158" s="11">
        <v>897</v>
      </c>
      <c r="H2158" s="11">
        <v>434</v>
      </c>
      <c r="I2158" s="11">
        <v>5</v>
      </c>
      <c r="J2158" s="11">
        <v>0</v>
      </c>
      <c r="K2158" s="11" t="s">
        <v>21</v>
      </c>
      <c r="L2158" s="7">
        <v>41176.054814814815</v>
      </c>
      <c r="M2158" s="12" t="s">
        <v>1726</v>
      </c>
      <c r="N2158" s="12" t="s">
        <v>1727</v>
      </c>
      <c r="O2158" s="10" t="str">
        <f t="shared" si="253"/>
        <v>View</v>
      </c>
      <c r="P2158" s="11"/>
    </row>
    <row r="2159" spans="1:16" ht="12.75" x14ac:dyDescent="0.35">
      <c r="A2159" s="7">
        <v>42481.771261574075</v>
      </c>
      <c r="B2159" s="8" t="str">
        <f>HYPERLINK("https://twitter.com/BerHerg","@BerHerg")</f>
        <v>@BerHerg</v>
      </c>
      <c r="C2159" s="9" t="s">
        <v>1870</v>
      </c>
      <c r="D2159" s="9" t="s">
        <v>3906</v>
      </c>
      <c r="E2159" s="10" t="str">
        <f>HYPERLINK("https://twitter.com/BerHerg/status/723134342172540929","723134342172540929")</f>
        <v>723134342172540929</v>
      </c>
      <c r="F2159" s="11" t="s">
        <v>25</v>
      </c>
      <c r="G2159" s="11">
        <v>244</v>
      </c>
      <c r="H2159" s="11">
        <v>82</v>
      </c>
      <c r="I2159" s="11">
        <v>2</v>
      </c>
      <c r="J2159" s="11">
        <v>0</v>
      </c>
      <c r="K2159" s="11" t="s">
        <v>21</v>
      </c>
      <c r="L2159" s="7">
        <v>40269.782847222225</v>
      </c>
      <c r="M2159" s="12" t="s">
        <v>1872</v>
      </c>
      <c r="N2159" s="12" t="s">
        <v>1873</v>
      </c>
      <c r="O2159" s="10" t="str">
        <f>HYPERLINK("https://pbs.twimg.com/profile_images/1648827386/image_normal.jpg","View")</f>
        <v>View</v>
      </c>
      <c r="P2159" s="11"/>
    </row>
    <row r="2160" spans="1:16" ht="12.75" x14ac:dyDescent="0.35">
      <c r="A2160" s="7">
        <v>42481.771331018521</v>
      </c>
      <c r="B2160" s="8" t="str">
        <f>HYPERLINK("https://twitter.com/verlinked","@verlinked")</f>
        <v>@verlinked</v>
      </c>
      <c r="C2160" s="9" t="s">
        <v>263</v>
      </c>
      <c r="D2160" s="9" t="s">
        <v>3907</v>
      </c>
      <c r="E2160" s="10" t="str">
        <f>HYPERLINK("https://twitter.com/verlinked/status/723134369188040704","723134369188040704")</f>
        <v>723134369188040704</v>
      </c>
      <c r="F2160" s="11" t="s">
        <v>115</v>
      </c>
      <c r="G2160" s="11">
        <v>600</v>
      </c>
      <c r="H2160" s="11">
        <v>1201</v>
      </c>
      <c r="I2160" s="11">
        <v>0</v>
      </c>
      <c r="J2160" s="11">
        <v>1</v>
      </c>
      <c r="K2160" s="11" t="s">
        <v>21</v>
      </c>
      <c r="L2160" s="7">
        <v>41463.077627314815</v>
      </c>
      <c r="M2160" s="12" t="s">
        <v>265</v>
      </c>
      <c r="N2160" s="12" t="s">
        <v>266</v>
      </c>
      <c r="O2160" s="10" t="str">
        <f>HYPERLINK("https://pbs.twimg.com/profile_images/722385992343285760/ww8YLZ2q_normal.jpg","View")</f>
        <v>View</v>
      </c>
      <c r="P2160" s="11"/>
    </row>
    <row r="2161" spans="1:16" ht="12.75" x14ac:dyDescent="0.35">
      <c r="A2161" s="7">
        <v>42481.771643518514</v>
      </c>
      <c r="B2161" s="8" t="str">
        <f t="shared" ref="B2161:B2164" si="254">HYPERLINK("https://twitter.com/INDIZbot","@INDIZbot")</f>
        <v>@INDIZbot</v>
      </c>
      <c r="C2161" s="9" t="s">
        <v>61</v>
      </c>
      <c r="D2161" s="9" t="s">
        <v>3906</v>
      </c>
      <c r="E2161" s="10" t="str">
        <f>HYPERLINK("https://twitter.com/INDIZbot/status/723134483348729857","723134483348729857")</f>
        <v>723134483348729857</v>
      </c>
      <c r="F2161" s="11" t="s">
        <v>62</v>
      </c>
      <c r="G2161" s="11">
        <v>1762</v>
      </c>
      <c r="H2161" s="11">
        <v>481</v>
      </c>
      <c r="I2161" s="11">
        <v>2</v>
      </c>
      <c r="J2161" s="11">
        <v>0</v>
      </c>
      <c r="K2161" s="11" t="s">
        <v>21</v>
      </c>
      <c r="L2161" s="7">
        <v>42267.011921296296</v>
      </c>
      <c r="M2161" s="12"/>
      <c r="N2161" s="12" t="s">
        <v>63</v>
      </c>
      <c r="O2161" s="10" t="str">
        <f t="shared" ref="O2161:O2164" si="255">HYPERLINK("https://pbs.twimg.com/profile_images/645716711723925506/t5G0qOS6_normal.jpg","View")</f>
        <v>View</v>
      </c>
      <c r="P2161" s="11"/>
    </row>
    <row r="2162" spans="1:16" ht="12.75" x14ac:dyDescent="0.35">
      <c r="A2162" s="7">
        <v>42481.772037037037</v>
      </c>
      <c r="B2162" s="8" t="str">
        <f t="shared" si="254"/>
        <v>@INDIZbot</v>
      </c>
      <c r="C2162" s="9" t="s">
        <v>61</v>
      </c>
      <c r="D2162" s="9" t="s">
        <v>3649</v>
      </c>
      <c r="E2162" s="10" t="str">
        <f>HYPERLINK("https://twitter.com/INDIZbot/status/723134625850265600","723134625850265600")</f>
        <v>723134625850265600</v>
      </c>
      <c r="F2162" s="11" t="s">
        <v>62</v>
      </c>
      <c r="G2162" s="11">
        <v>1762</v>
      </c>
      <c r="H2162" s="11">
        <v>481</v>
      </c>
      <c r="I2162" s="11">
        <v>5</v>
      </c>
      <c r="J2162" s="11">
        <v>0</v>
      </c>
      <c r="K2162" s="11" t="s">
        <v>21</v>
      </c>
      <c r="L2162" s="7">
        <v>42267.011921296296</v>
      </c>
      <c r="M2162" s="12"/>
      <c r="N2162" s="12" t="s">
        <v>63</v>
      </c>
      <c r="O2162" s="10" t="str">
        <f t="shared" si="255"/>
        <v>View</v>
      </c>
      <c r="P2162" s="11"/>
    </row>
    <row r="2163" spans="1:16" ht="12.75" x14ac:dyDescent="0.35">
      <c r="A2163" s="7">
        <v>42481.772291666668</v>
      </c>
      <c r="B2163" s="8" t="str">
        <f t="shared" si="254"/>
        <v>@INDIZbot</v>
      </c>
      <c r="C2163" s="9" t="s">
        <v>61</v>
      </c>
      <c r="D2163" s="9" t="s">
        <v>3908</v>
      </c>
      <c r="E2163" s="10" t="str">
        <f>HYPERLINK("https://twitter.com/INDIZbot/status/723134719001526273","723134719001526273")</f>
        <v>723134719001526273</v>
      </c>
      <c r="F2163" s="11" t="s">
        <v>62</v>
      </c>
      <c r="G2163" s="11">
        <v>1762</v>
      </c>
      <c r="H2163" s="11">
        <v>481</v>
      </c>
      <c r="I2163" s="11">
        <v>1</v>
      </c>
      <c r="J2163" s="11">
        <v>0</v>
      </c>
      <c r="K2163" s="11" t="s">
        <v>21</v>
      </c>
      <c r="L2163" s="7">
        <v>42267.011921296296</v>
      </c>
      <c r="M2163" s="12"/>
      <c r="N2163" s="12" t="s">
        <v>63</v>
      </c>
      <c r="O2163" s="10" t="str">
        <f t="shared" si="255"/>
        <v>View</v>
      </c>
      <c r="P2163" s="11"/>
    </row>
    <row r="2164" spans="1:16" ht="12.75" x14ac:dyDescent="0.35">
      <c r="A2164" s="7">
        <v>42481.772546296299</v>
      </c>
      <c r="B2164" s="8" t="str">
        <f t="shared" si="254"/>
        <v>@INDIZbot</v>
      </c>
      <c r="C2164" s="9" t="s">
        <v>61</v>
      </c>
      <c r="D2164" s="9" t="s">
        <v>3903</v>
      </c>
      <c r="E2164" s="10" t="str">
        <f>HYPERLINK("https://twitter.com/INDIZbot/status/723134809078423556","723134809078423556")</f>
        <v>723134809078423556</v>
      </c>
      <c r="F2164" s="11" t="s">
        <v>62</v>
      </c>
      <c r="G2164" s="11">
        <v>1762</v>
      </c>
      <c r="H2164" s="11">
        <v>481</v>
      </c>
      <c r="I2164" s="11">
        <v>3</v>
      </c>
      <c r="J2164" s="11">
        <v>0</v>
      </c>
      <c r="K2164" s="11" t="s">
        <v>21</v>
      </c>
      <c r="L2164" s="7">
        <v>42267.011921296296</v>
      </c>
      <c r="M2164" s="12"/>
      <c r="N2164" s="12" t="s">
        <v>63</v>
      </c>
      <c r="O2164" s="10" t="str">
        <f t="shared" si="255"/>
        <v>View</v>
      </c>
      <c r="P2164" s="11"/>
    </row>
    <row r="2165" spans="1:16" ht="12.75" x14ac:dyDescent="0.35">
      <c r="A2165" s="7">
        <v>42481.772766203707</v>
      </c>
      <c r="B2165" s="8" t="str">
        <f>HYPERLINK("https://twitter.com/digi_circle","@digi_circle")</f>
        <v>@digi_circle</v>
      </c>
      <c r="C2165" s="9" t="s">
        <v>3909</v>
      </c>
      <c r="D2165" s="9" t="s">
        <v>3910</v>
      </c>
      <c r="E2165" s="10" t="str">
        <f>HYPERLINK("https://twitter.com/digi_circle/status/723134888078139392","723134888078139392")</f>
        <v>723134888078139392</v>
      </c>
      <c r="F2165" s="11" t="s">
        <v>39</v>
      </c>
      <c r="G2165" s="11">
        <v>34</v>
      </c>
      <c r="H2165" s="11">
        <v>85</v>
      </c>
      <c r="I2165" s="11">
        <v>0</v>
      </c>
      <c r="J2165" s="11">
        <v>0</v>
      </c>
      <c r="K2165" s="11" t="s">
        <v>21</v>
      </c>
      <c r="L2165" s="7">
        <v>42429.67423611111</v>
      </c>
      <c r="M2165" s="12" t="s">
        <v>3911</v>
      </c>
      <c r="N2165" s="12" t="s">
        <v>3912</v>
      </c>
      <c r="O2165" s="10" t="str">
        <f>HYPERLINK("https://pbs.twimg.com/profile_images/704261533229051904/NvHqH_ex_normal.jpg","View")</f>
        <v>View</v>
      </c>
      <c r="P2165" s="11"/>
    </row>
    <row r="2166" spans="1:16" ht="12.75" x14ac:dyDescent="0.35">
      <c r="A2166" s="7">
        <v>42481.773831018523</v>
      </c>
      <c r="B2166" s="8" t="str">
        <f>HYPERLINK("https://twitter.com/MindCommerce","@MindCommerce")</f>
        <v>@MindCommerce</v>
      </c>
      <c r="C2166" s="9" t="s">
        <v>1242</v>
      </c>
      <c r="D2166" s="9" t="s">
        <v>3874</v>
      </c>
      <c r="E2166" s="10" t="str">
        <f>HYPERLINK("https://twitter.com/MindCommerce/status/723135274293833728","723135274293833728")</f>
        <v>723135274293833728</v>
      </c>
      <c r="F2166" s="11" t="s">
        <v>437</v>
      </c>
      <c r="G2166" s="11">
        <v>1189</v>
      </c>
      <c r="H2166" s="11">
        <v>427</v>
      </c>
      <c r="I2166" s="11">
        <v>2</v>
      </c>
      <c r="J2166" s="11">
        <v>0</v>
      </c>
      <c r="K2166" s="11" t="s">
        <v>21</v>
      </c>
      <c r="L2166" s="7">
        <v>40577.150787037041</v>
      </c>
      <c r="M2166" s="12"/>
      <c r="N2166" s="12" t="s">
        <v>1244</v>
      </c>
      <c r="O2166" s="10" t="str">
        <f>HYPERLINK("https://pbs.twimg.com/profile_images/548030384030507008/utABqhj9_normal.png","View")</f>
        <v>View</v>
      </c>
      <c r="P2166" s="11"/>
    </row>
    <row r="2167" spans="1:16" ht="12.75" x14ac:dyDescent="0.35">
      <c r="A2167" s="7">
        <v>42481.774583333332</v>
      </c>
      <c r="B2167" s="8" t="str">
        <f>HYPERLINK("https://twitter.com/frankcausa","@frankcausa")</f>
        <v>@frankcausa</v>
      </c>
      <c r="C2167" s="9" t="s">
        <v>3913</v>
      </c>
      <c r="D2167" s="9" t="s">
        <v>3914</v>
      </c>
      <c r="E2167" s="10" t="str">
        <f>HYPERLINK("https://twitter.com/frankcausa/status/723135547535966208","723135547535966208")</f>
        <v>723135547535966208</v>
      </c>
      <c r="F2167" s="11" t="s">
        <v>31</v>
      </c>
      <c r="G2167" s="11">
        <v>269</v>
      </c>
      <c r="H2167" s="11">
        <v>852</v>
      </c>
      <c r="I2167" s="11">
        <v>1</v>
      </c>
      <c r="J2167" s="11">
        <v>3</v>
      </c>
      <c r="K2167" s="11" t="s">
        <v>21</v>
      </c>
      <c r="L2167" s="7">
        <v>42413.442210648151</v>
      </c>
      <c r="M2167" s="12"/>
      <c r="N2167" s="12" t="s">
        <v>3915</v>
      </c>
      <c r="O2167" s="10" t="str">
        <f>HYPERLINK("https://pbs.twimg.com/profile_images/698375438155059201/CHH9GkNn_normal.jpg","View")</f>
        <v>View</v>
      </c>
      <c r="P2167" s="11"/>
    </row>
    <row r="2168" spans="1:16" ht="12.75" x14ac:dyDescent="0.35">
      <c r="A2168" s="7">
        <v>42481.77479166667</v>
      </c>
      <c r="B2168" s="8" t="str">
        <f>HYPERLINK("https://twitter.com/CapgeminiDE","@CapgeminiDE")</f>
        <v>@CapgeminiDE</v>
      </c>
      <c r="C2168" s="9" t="s">
        <v>280</v>
      </c>
      <c r="D2168" s="9" t="s">
        <v>3916</v>
      </c>
      <c r="E2168" s="10" t="str">
        <f>HYPERLINK("https://twitter.com/CapgeminiDE/status/723135624774033408","723135624774033408")</f>
        <v>723135624774033408</v>
      </c>
      <c r="F2168" s="11" t="s">
        <v>39</v>
      </c>
      <c r="G2168" s="11">
        <v>1640</v>
      </c>
      <c r="H2168" s="11">
        <v>509</v>
      </c>
      <c r="I2168" s="11">
        <v>0</v>
      </c>
      <c r="J2168" s="11">
        <v>1</v>
      </c>
      <c r="K2168" s="11" t="s">
        <v>21</v>
      </c>
      <c r="L2168" s="7">
        <v>40424.022048611107</v>
      </c>
      <c r="M2168" s="12" t="s">
        <v>218</v>
      </c>
      <c r="N2168" s="12" t="s">
        <v>282</v>
      </c>
      <c r="O2168" s="10" t="str">
        <f>HYPERLINK("https://pbs.twimg.com/profile_images/666911961599315968/aP7ID_qm_normal.png","View")</f>
        <v>View</v>
      </c>
      <c r="P2168" s="11"/>
    </row>
    <row r="2169" spans="1:16" ht="12.75" x14ac:dyDescent="0.35">
      <c r="A2169" s="7">
        <v>42481.775335648148</v>
      </c>
      <c r="B2169" s="8" t="str">
        <f>HYPERLINK("https://twitter.com/RiemenspergerF","@RiemenspergerF")</f>
        <v>@RiemenspergerF</v>
      </c>
      <c r="C2169" s="9" t="s">
        <v>3917</v>
      </c>
      <c r="D2169" s="9" t="s">
        <v>3918</v>
      </c>
      <c r="E2169" s="10" t="str">
        <f>HYPERLINK("https://twitter.com/RiemenspergerF/status/723135820463509504","723135820463509504")</f>
        <v>723135820463509504</v>
      </c>
      <c r="F2169" s="11" t="s">
        <v>31</v>
      </c>
      <c r="G2169" s="11">
        <v>549</v>
      </c>
      <c r="H2169" s="11">
        <v>240</v>
      </c>
      <c r="I2169" s="11">
        <v>1</v>
      </c>
      <c r="J2169" s="11">
        <v>3</v>
      </c>
      <c r="K2169" s="11" t="s">
        <v>21</v>
      </c>
      <c r="L2169" s="7">
        <v>41587.558495370373</v>
      </c>
      <c r="M2169" s="12" t="s">
        <v>3919</v>
      </c>
      <c r="N2169" s="12" t="s">
        <v>3920</v>
      </c>
      <c r="O2169" s="10" t="str">
        <f>HYPERLINK("https://pbs.twimg.com/profile_images/692360292546842624/MNSepg8N_normal.jpg","View")</f>
        <v>View</v>
      </c>
      <c r="P2169" s="11"/>
    </row>
    <row r="2170" spans="1:16" ht="12.75" x14ac:dyDescent="0.35">
      <c r="A2170" s="7">
        <v>42481.775474537033</v>
      </c>
      <c r="B2170" s="8" t="str">
        <f>HYPERLINK("https://twitter.com/Databanque","@Databanque")</f>
        <v>@Databanque</v>
      </c>
      <c r="C2170" s="9" t="s">
        <v>1180</v>
      </c>
      <c r="D2170" s="9" t="s">
        <v>3921</v>
      </c>
      <c r="E2170" s="10" t="str">
        <f>HYPERLINK("https://twitter.com/Databanque/status/723135871176724480","723135871176724480")</f>
        <v>723135871176724480</v>
      </c>
      <c r="F2170" s="11" t="s">
        <v>25</v>
      </c>
      <c r="G2170" s="11">
        <v>265</v>
      </c>
      <c r="H2170" s="11">
        <v>610</v>
      </c>
      <c r="I2170" s="11">
        <v>0</v>
      </c>
      <c r="J2170" s="11">
        <v>0</v>
      </c>
      <c r="K2170" s="11" t="s">
        <v>21</v>
      </c>
      <c r="L2170" s="7">
        <v>39984.0387962963</v>
      </c>
      <c r="M2170" s="12" t="s">
        <v>1182</v>
      </c>
      <c r="N2170" s="12" t="s">
        <v>1183</v>
      </c>
      <c r="O2170" s="10" t="str">
        <f>HYPERLINK("https://pbs.twimg.com/profile_images/552211771360940032/CmEYO0l3_normal.png","View")</f>
        <v>View</v>
      </c>
      <c r="P2170" s="11"/>
    </row>
    <row r="2171" spans="1:16" ht="12.75" x14ac:dyDescent="0.35">
      <c r="A2171" s="7">
        <v>42481.77820601852</v>
      </c>
      <c r="B2171" s="8" t="str">
        <f>HYPERLINK("https://twitter.com/mkkrueg","@mkkrueg")</f>
        <v>@mkkrueg</v>
      </c>
      <c r="C2171" s="9" t="s">
        <v>3922</v>
      </c>
      <c r="D2171" s="9" t="s">
        <v>2982</v>
      </c>
      <c r="E2171" s="10" t="str">
        <f>HYPERLINK("https://twitter.com/mkkrueg/status/723136860743049216","723136860743049216")</f>
        <v>723136860743049216</v>
      </c>
      <c r="F2171" s="11" t="s">
        <v>25</v>
      </c>
      <c r="G2171" s="11">
        <v>46</v>
      </c>
      <c r="H2171" s="11">
        <v>171</v>
      </c>
      <c r="I2171" s="11">
        <v>7</v>
      </c>
      <c r="J2171" s="11">
        <v>0</v>
      </c>
      <c r="K2171" s="11" t="s">
        <v>21</v>
      </c>
      <c r="L2171" s="7">
        <v>42417.791516203702</v>
      </c>
      <c r="M2171" s="12"/>
      <c r="N2171" s="12" t="s">
        <v>3923</v>
      </c>
      <c r="O2171" s="10" t="str">
        <f>HYPERLINK("https://pbs.twimg.com/profile_images/699950408555438081/ulccnzAr_normal.jpg","View")</f>
        <v>View</v>
      </c>
      <c r="P2171" s="11"/>
    </row>
    <row r="2172" spans="1:16" ht="12.75" x14ac:dyDescent="0.35">
      <c r="A2172" s="7">
        <v>42481.778553240743</v>
      </c>
      <c r="B2172" s="8" t="str">
        <f>HYPERLINK("https://twitter.com/SGE","@SGE")</f>
        <v>@SGE</v>
      </c>
      <c r="C2172" s="9" t="s">
        <v>3633</v>
      </c>
      <c r="D2172" s="9" t="s">
        <v>3924</v>
      </c>
      <c r="E2172" s="10" t="str">
        <f>HYPERLINK("https://twitter.com/SGE/status/723136986748489728","723136986748489728")</f>
        <v>723136986748489728</v>
      </c>
      <c r="F2172" s="11" t="s">
        <v>39</v>
      </c>
      <c r="G2172" s="11">
        <v>1901</v>
      </c>
      <c r="H2172" s="11">
        <v>231</v>
      </c>
      <c r="I2172" s="11">
        <v>0</v>
      </c>
      <c r="J2172" s="11">
        <v>0</v>
      </c>
      <c r="K2172" s="11" t="s">
        <v>21</v>
      </c>
      <c r="L2172" s="7">
        <v>39937.802928240737</v>
      </c>
      <c r="M2172" s="12" t="s">
        <v>3635</v>
      </c>
      <c r="N2172" s="12" t="s">
        <v>3636</v>
      </c>
      <c r="O2172" s="10" t="str">
        <f>HYPERLINK("https://pbs.twimg.com/profile_images/471312276767535104/TIanhngf_normal.jpeg","View")</f>
        <v>View</v>
      </c>
      <c r="P2172" s="11"/>
    </row>
    <row r="2173" spans="1:16" ht="12.75" x14ac:dyDescent="0.35">
      <c r="A2173" s="7">
        <v>42481.778935185182</v>
      </c>
      <c r="B2173" s="8" t="str">
        <f t="shared" ref="B2173:B2174" si="256">HYPERLINK("https://twitter.com/INDIZbot","@INDIZbot")</f>
        <v>@INDIZbot</v>
      </c>
      <c r="C2173" s="9" t="s">
        <v>61</v>
      </c>
      <c r="D2173" s="9" t="s">
        <v>2982</v>
      </c>
      <c r="E2173" s="10" t="str">
        <f>HYPERLINK("https://twitter.com/INDIZbot/status/723137123734421505","723137123734421505")</f>
        <v>723137123734421505</v>
      </c>
      <c r="F2173" s="11" t="s">
        <v>62</v>
      </c>
      <c r="G2173" s="11">
        <v>1762</v>
      </c>
      <c r="H2173" s="11">
        <v>481</v>
      </c>
      <c r="I2173" s="11">
        <v>7</v>
      </c>
      <c r="J2173" s="11">
        <v>0</v>
      </c>
      <c r="K2173" s="11" t="s">
        <v>21</v>
      </c>
      <c r="L2173" s="7">
        <v>42267.011921296296</v>
      </c>
      <c r="M2173" s="12"/>
      <c r="N2173" s="12" t="s">
        <v>63</v>
      </c>
      <c r="O2173" s="10" t="str">
        <f t="shared" ref="O2173:O2174" si="257">HYPERLINK("https://pbs.twimg.com/profile_images/645716711723925506/t5G0qOS6_normal.jpg","View")</f>
        <v>View</v>
      </c>
      <c r="P2173" s="11"/>
    </row>
    <row r="2174" spans="1:16" ht="12.75" x14ac:dyDescent="0.35">
      <c r="A2174" s="7">
        <v>42481.779594907406</v>
      </c>
      <c r="B2174" s="8" t="str">
        <f t="shared" si="256"/>
        <v>@INDIZbot</v>
      </c>
      <c r="C2174" s="9" t="s">
        <v>61</v>
      </c>
      <c r="D2174" s="9" t="s">
        <v>3925</v>
      </c>
      <c r="E2174" s="10" t="str">
        <f>HYPERLINK("https://twitter.com/INDIZbot/status/723137364823052289","723137364823052289")</f>
        <v>723137364823052289</v>
      </c>
      <c r="F2174" s="11" t="s">
        <v>62</v>
      </c>
      <c r="G2174" s="11">
        <v>1762</v>
      </c>
      <c r="H2174" s="11">
        <v>481</v>
      </c>
      <c r="I2174" s="11">
        <v>1</v>
      </c>
      <c r="J2174" s="11">
        <v>0</v>
      </c>
      <c r="K2174" s="11" t="s">
        <v>21</v>
      </c>
      <c r="L2174" s="7">
        <v>42267.011921296296</v>
      </c>
      <c r="M2174" s="12"/>
      <c r="N2174" s="12" t="s">
        <v>63</v>
      </c>
      <c r="O2174" s="10" t="str">
        <f t="shared" si="257"/>
        <v>View</v>
      </c>
      <c r="P2174" s="11"/>
    </row>
    <row r="2175" spans="1:16" ht="12.75" x14ac:dyDescent="0.35">
      <c r="A2175" s="7">
        <v>42481.783888888887</v>
      </c>
      <c r="B2175" s="8" t="str">
        <f>HYPERLINK("https://twitter.com/SGE","@SGE")</f>
        <v>@SGE</v>
      </c>
      <c r="C2175" s="9" t="s">
        <v>3633</v>
      </c>
      <c r="D2175" s="9" t="s">
        <v>3926</v>
      </c>
      <c r="E2175" s="10" t="str">
        <f>HYPERLINK("https://twitter.com/SGE/status/723138921442480128","723138921442480128")</f>
        <v>723138921442480128</v>
      </c>
      <c r="F2175" s="11" t="s">
        <v>39</v>
      </c>
      <c r="G2175" s="11">
        <v>1901</v>
      </c>
      <c r="H2175" s="11">
        <v>231</v>
      </c>
      <c r="I2175" s="11">
        <v>1</v>
      </c>
      <c r="J2175" s="11">
        <v>0</v>
      </c>
      <c r="K2175" s="11" t="s">
        <v>21</v>
      </c>
      <c r="L2175" s="7">
        <v>39937.802928240737</v>
      </c>
      <c r="M2175" s="12" t="s">
        <v>3635</v>
      </c>
      <c r="N2175" s="12" t="s">
        <v>3636</v>
      </c>
      <c r="O2175" s="10" t="str">
        <f>HYPERLINK("https://pbs.twimg.com/profile_images/471312276767535104/TIanhngf_normal.jpeg","View")</f>
        <v>View</v>
      </c>
      <c r="P2175" s="11"/>
    </row>
    <row r="2176" spans="1:16" ht="12.75" x14ac:dyDescent="0.35">
      <c r="A2176" s="7">
        <v>42481.785891203705</v>
      </c>
      <c r="B2176" s="8" t="str">
        <f>HYPERLINK("https://twitter.com/INDIZbot","@INDIZbot")</f>
        <v>@INDIZbot</v>
      </c>
      <c r="C2176" s="9" t="s">
        <v>61</v>
      </c>
      <c r="D2176" s="9" t="s">
        <v>3927</v>
      </c>
      <c r="E2176" s="10" t="str">
        <f>HYPERLINK("https://twitter.com/INDIZbot/status/723139647442935808","723139647442935808")</f>
        <v>723139647442935808</v>
      </c>
      <c r="F2176" s="11" t="s">
        <v>62</v>
      </c>
      <c r="G2176" s="11">
        <v>1762</v>
      </c>
      <c r="H2176" s="11">
        <v>481</v>
      </c>
      <c r="I2176" s="11">
        <v>1</v>
      </c>
      <c r="J2176" s="11">
        <v>0</v>
      </c>
      <c r="K2176" s="11" t="s">
        <v>21</v>
      </c>
      <c r="L2176" s="7">
        <v>42267.011921296296</v>
      </c>
      <c r="M2176" s="12"/>
      <c r="N2176" s="12" t="s">
        <v>63</v>
      </c>
      <c r="O2176" s="10" t="str">
        <f>HYPERLINK("https://pbs.twimg.com/profile_images/645716711723925506/t5G0qOS6_normal.jpg","View")</f>
        <v>View</v>
      </c>
      <c r="P2176" s="11"/>
    </row>
    <row r="2177" spans="1:16" ht="12.75" x14ac:dyDescent="0.35">
      <c r="A2177" s="7">
        <v>42481.790636574078</v>
      </c>
      <c r="B2177" s="8" t="str">
        <f>HYPERLINK("https://twitter.com/kmu_digital","@kmu_digital")</f>
        <v>@kmu_digital</v>
      </c>
      <c r="C2177" s="9" t="s">
        <v>3928</v>
      </c>
      <c r="D2177" s="9" t="s">
        <v>3649</v>
      </c>
      <c r="E2177" s="10" t="str">
        <f>HYPERLINK("https://twitter.com/kmu_digital/status/723141366860124160","723141366860124160")</f>
        <v>723141366860124160</v>
      </c>
      <c r="F2177" s="11" t="s">
        <v>3929</v>
      </c>
      <c r="G2177" s="11">
        <v>534</v>
      </c>
      <c r="H2177" s="11">
        <v>644</v>
      </c>
      <c r="I2177" s="11">
        <v>5</v>
      </c>
      <c r="J2177" s="11">
        <v>0</v>
      </c>
      <c r="K2177" s="11" t="s">
        <v>21</v>
      </c>
      <c r="L2177" s="7">
        <v>42045.77065972222</v>
      </c>
      <c r="M2177" s="12" t="s">
        <v>2654</v>
      </c>
      <c r="N2177" s="12" t="s">
        <v>3930</v>
      </c>
      <c r="O2177" s="10" t="str">
        <f>HYPERLINK("https://pbs.twimg.com/profile_images/674892441372200960/rSgFiuHu_normal.jpg","View")</f>
        <v>View</v>
      </c>
      <c r="P2177" s="11"/>
    </row>
    <row r="2178" spans="1:16" ht="12.75" x14ac:dyDescent="0.35">
      <c r="A2178" s="7">
        <v>42481.792430555557</v>
      </c>
      <c r="B2178" s="8" t="str">
        <f>HYPERLINK("https://twitter.com/IT2Industry","@IT2Industry")</f>
        <v>@IT2Industry</v>
      </c>
      <c r="C2178" s="9" t="s">
        <v>721</v>
      </c>
      <c r="D2178" s="9" t="s">
        <v>3931</v>
      </c>
      <c r="E2178" s="10" t="str">
        <f>HYPERLINK("https://twitter.com/IT2Industry/status/723142014863331329","723142014863331329")</f>
        <v>723142014863331329</v>
      </c>
      <c r="F2178" s="10" t="s">
        <v>723</v>
      </c>
      <c r="G2178" s="11">
        <v>1930</v>
      </c>
      <c r="H2178" s="11">
        <v>992</v>
      </c>
      <c r="I2178" s="11">
        <v>1</v>
      </c>
      <c r="J2178" s="11">
        <v>0</v>
      </c>
      <c r="K2178" s="11" t="s">
        <v>21</v>
      </c>
      <c r="L2178" s="7">
        <v>39771.779502314814</v>
      </c>
      <c r="M2178" s="12" t="s">
        <v>443</v>
      </c>
      <c r="N2178" s="12" t="s">
        <v>724</v>
      </c>
      <c r="O2178" s="10" t="str">
        <f>HYPERLINK("https://pbs.twimg.com/profile_images/489403559394304001/8SQlWWA1_normal.jpeg","View")</f>
        <v>View</v>
      </c>
      <c r="P2178" s="11"/>
    </row>
    <row r="2179" spans="1:16" ht="12.75" x14ac:dyDescent="0.35">
      <c r="A2179" s="7">
        <v>42481.792824074073</v>
      </c>
      <c r="B2179" s="8" t="str">
        <f>HYPERLINK("https://twitter.com/H_IT_D","@H_IT_D")</f>
        <v>@H_IT_D</v>
      </c>
      <c r="C2179" s="9" t="s">
        <v>159</v>
      </c>
      <c r="D2179" s="9" t="s">
        <v>3932</v>
      </c>
      <c r="E2179" s="10" t="str">
        <f>HYPERLINK("https://twitter.com/H_IT_D/status/723142160074215426","723142160074215426")</f>
        <v>723142160074215426</v>
      </c>
      <c r="F2179" s="11" t="s">
        <v>161</v>
      </c>
      <c r="G2179" s="11">
        <v>463</v>
      </c>
      <c r="H2179" s="11">
        <v>467</v>
      </c>
      <c r="I2179" s="11">
        <v>0</v>
      </c>
      <c r="J2179" s="11">
        <v>0</v>
      </c>
      <c r="K2179" s="11" t="s">
        <v>21</v>
      </c>
      <c r="L2179" s="7">
        <v>40723.867673611108</v>
      </c>
      <c r="M2179" s="12" t="s">
        <v>162</v>
      </c>
      <c r="N2179" s="12" t="s">
        <v>163</v>
      </c>
      <c r="O2179" s="10" t="str">
        <f>HYPERLINK("https://pbs.twimg.com/profile_images/662723326096224256/5V4KH9_O_normal.jpg","View")</f>
        <v>View</v>
      </c>
      <c r="P2179" s="11"/>
    </row>
    <row r="2180" spans="1:16" ht="12.75" x14ac:dyDescent="0.35">
      <c r="A2180" s="7">
        <v>42481.800787037035</v>
      </c>
      <c r="B2180" s="8" t="str">
        <f>HYPERLINK("https://twitter.com/Bitkom_I40","@Bitkom_I40")</f>
        <v>@Bitkom_I40</v>
      </c>
      <c r="C2180" s="9" t="s">
        <v>1857</v>
      </c>
      <c r="D2180" s="9" t="s">
        <v>3933</v>
      </c>
      <c r="E2180" s="10" t="str">
        <f>HYPERLINK("https://twitter.com/Bitkom_I40/status/723145045054902272","723145045054902272")</f>
        <v>723145045054902272</v>
      </c>
      <c r="F2180" s="11" t="s">
        <v>115</v>
      </c>
      <c r="G2180" s="11">
        <v>754</v>
      </c>
      <c r="H2180" s="11">
        <v>44</v>
      </c>
      <c r="I2180" s="11">
        <v>4</v>
      </c>
      <c r="J2180" s="11">
        <v>2</v>
      </c>
      <c r="K2180" s="11" t="s">
        <v>21</v>
      </c>
      <c r="L2180" s="7">
        <v>41613.773194444446</v>
      </c>
      <c r="M2180" s="12" t="s">
        <v>218</v>
      </c>
      <c r="N2180" s="12" t="s">
        <v>1860</v>
      </c>
      <c r="O2180" s="10" t="str">
        <f>HYPERLINK("https://pbs.twimg.com/profile_images/723407487395713024/0hZv7R8S_normal.jpg","View")</f>
        <v>View</v>
      </c>
      <c r="P2180" s="11"/>
    </row>
    <row r="2181" spans="1:16" ht="12.75" x14ac:dyDescent="0.35">
      <c r="A2181" s="7">
        <v>42481.801053240742</v>
      </c>
      <c r="B2181" s="8" t="str">
        <f>HYPERLINK("https://twitter.com/IoTMinded","@IoTMinded")</f>
        <v>@IoTMinded</v>
      </c>
      <c r="C2181" s="9" t="s">
        <v>435</v>
      </c>
      <c r="D2181" s="9" t="s">
        <v>3934</v>
      </c>
      <c r="E2181" s="10" t="str">
        <f>HYPERLINK("https://twitter.com/IoTMinded/status/723145138764173312","723145138764173312")</f>
        <v>723145138764173312</v>
      </c>
      <c r="F2181" s="11" t="s">
        <v>437</v>
      </c>
      <c r="G2181" s="11">
        <v>1102</v>
      </c>
      <c r="H2181" s="11">
        <v>656</v>
      </c>
      <c r="I2181" s="11">
        <v>1</v>
      </c>
      <c r="J2181" s="11">
        <v>0</v>
      </c>
      <c r="K2181" s="11" t="s">
        <v>21</v>
      </c>
      <c r="L2181" s="7">
        <v>40085.127789351856</v>
      </c>
      <c r="M2181" s="12"/>
      <c r="N2181" s="12" t="s">
        <v>438</v>
      </c>
      <c r="O2181" s="10" t="str">
        <f>HYPERLINK("https://pbs.twimg.com/profile_images/603699032804859904/lb5IMG5x_normal.jpg","View")</f>
        <v>View</v>
      </c>
      <c r="P2181" s="11"/>
    </row>
    <row r="2182" spans="1:16" ht="12.75" x14ac:dyDescent="0.35">
      <c r="A2182" s="7">
        <v>42481.801828703705</v>
      </c>
      <c r="B2182" s="8" t="str">
        <f>HYPERLINK("https://twitter.com/DKEAktuell","@DKEAktuell")</f>
        <v>@DKEAktuell</v>
      </c>
      <c r="C2182" s="9" t="s">
        <v>1289</v>
      </c>
      <c r="D2182" s="9" t="s">
        <v>3935</v>
      </c>
      <c r="E2182" s="10" t="str">
        <f>HYPERLINK("https://twitter.com/DKEAktuell/status/723145421070192640","723145421070192640")</f>
        <v>723145421070192640</v>
      </c>
      <c r="F2182" s="11" t="s">
        <v>268</v>
      </c>
      <c r="G2182" s="11">
        <v>572</v>
      </c>
      <c r="H2182" s="11">
        <v>525</v>
      </c>
      <c r="I2182" s="11">
        <v>1</v>
      </c>
      <c r="J2182" s="11">
        <v>0</v>
      </c>
      <c r="K2182" s="11" t="s">
        <v>21</v>
      </c>
      <c r="L2182" s="7">
        <v>41764.84847222222</v>
      </c>
      <c r="M2182" s="12" t="s">
        <v>1290</v>
      </c>
      <c r="N2182" s="12" t="s">
        <v>1291</v>
      </c>
      <c r="O2182" s="10" t="str">
        <f>HYPERLINK("https://pbs.twimg.com/profile_images/465817969902092288/sEIgw9Gb_normal.jpeg","View")</f>
        <v>View</v>
      </c>
      <c r="P2182" s="11"/>
    </row>
    <row r="2183" spans="1:16" ht="12.75" x14ac:dyDescent="0.35">
      <c r="A2183" s="7">
        <v>42481.804293981477</v>
      </c>
      <c r="B2183" s="8" t="str">
        <f>HYPERLINK("https://twitter.com/laszloetesi","@laszloetesi")</f>
        <v>@laszloetesi</v>
      </c>
      <c r="C2183" s="9" t="s">
        <v>2822</v>
      </c>
      <c r="D2183" s="9" t="s">
        <v>3936</v>
      </c>
      <c r="E2183" s="10" t="str">
        <f>HYPERLINK("https://twitter.com/laszloetesi/status/723146313676763136","723146313676763136")</f>
        <v>723146313676763136</v>
      </c>
      <c r="F2183" s="11" t="s">
        <v>31</v>
      </c>
      <c r="G2183" s="11">
        <v>70</v>
      </c>
      <c r="H2183" s="11">
        <v>163</v>
      </c>
      <c r="I2183" s="11">
        <v>0</v>
      </c>
      <c r="J2183" s="11">
        <v>1</v>
      </c>
      <c r="K2183" s="11" t="s">
        <v>21</v>
      </c>
      <c r="L2183" s="7">
        <v>41896.106678240743</v>
      </c>
      <c r="M2183" s="12" t="s">
        <v>2824</v>
      </c>
      <c r="N2183" s="12" t="s">
        <v>2825</v>
      </c>
      <c r="O2183" s="10" t="str">
        <f>HYPERLINK("https://pbs.twimg.com/profile_images/657109140414844928/O0pxlAW0_normal.png","View")</f>
        <v>View</v>
      </c>
      <c r="P2183" s="11"/>
    </row>
    <row r="2184" spans="1:16" ht="12.75" x14ac:dyDescent="0.35">
      <c r="A2184" s="7">
        <v>42481.80469907407</v>
      </c>
      <c r="B2184" s="8" t="str">
        <f>HYPERLINK("https://twitter.com/IGMetall","@IGMetall")</f>
        <v>@IGMetall</v>
      </c>
      <c r="C2184" s="9" t="s">
        <v>929</v>
      </c>
      <c r="D2184" s="9" t="s">
        <v>3937</v>
      </c>
      <c r="E2184" s="10" t="str">
        <f>HYPERLINK("https://twitter.com/IGMetall/status/723146462352166912","723146462352166912")</f>
        <v>723146462352166912</v>
      </c>
      <c r="F2184" s="11" t="s">
        <v>25</v>
      </c>
      <c r="G2184" s="11">
        <v>8013</v>
      </c>
      <c r="H2184" s="11">
        <v>284</v>
      </c>
      <c r="I2184" s="11">
        <v>3</v>
      </c>
      <c r="J2184" s="11">
        <v>4</v>
      </c>
      <c r="K2184" s="11" t="s">
        <v>21</v>
      </c>
      <c r="L2184" s="7">
        <v>39787.69672453704</v>
      </c>
      <c r="M2184" s="12" t="s">
        <v>121</v>
      </c>
      <c r="N2184" s="12" t="s">
        <v>931</v>
      </c>
      <c r="O2184" s="10" t="str">
        <f>HYPERLINK("https://pbs.twimg.com/profile_images/378800000678134515/27b6e1353c05881133bb578e013f75ea_normal.png","View")</f>
        <v>View</v>
      </c>
      <c r="P2184" s="11"/>
    </row>
    <row r="2185" spans="1:16" ht="12.75" x14ac:dyDescent="0.35">
      <c r="A2185" s="7">
        <v>42481.805578703701</v>
      </c>
      <c r="B2185" s="8" t="str">
        <f>HYPERLINK("https://twitter.com/SalesforceDE","@SalesforceDE")</f>
        <v>@SalesforceDE</v>
      </c>
      <c r="C2185" s="9" t="s">
        <v>3938</v>
      </c>
      <c r="D2185" s="9" t="s">
        <v>3939</v>
      </c>
      <c r="E2185" s="10" t="str">
        <f>HYPERLINK("https://twitter.com/SalesforceDE/status/723146780267941888","723146780267941888")</f>
        <v>723146780267941888</v>
      </c>
      <c r="F2185" s="11" t="s">
        <v>3746</v>
      </c>
      <c r="G2185" s="11">
        <v>5102</v>
      </c>
      <c r="H2185" s="11">
        <v>851</v>
      </c>
      <c r="I2185" s="11">
        <v>1</v>
      </c>
      <c r="J2185" s="11">
        <v>1</v>
      </c>
      <c r="K2185" s="11" t="s">
        <v>21</v>
      </c>
      <c r="L2185" s="7">
        <v>40779.696817129632</v>
      </c>
      <c r="M2185" s="12" t="s">
        <v>689</v>
      </c>
      <c r="N2185" s="12" t="s">
        <v>3940</v>
      </c>
      <c r="O2185" s="10" t="str">
        <f>HYPERLINK("https://pbs.twimg.com/profile_images/529714757041782784/p2nx_q8u_normal.png","View")</f>
        <v>View</v>
      </c>
      <c r="P2185" s="11"/>
    </row>
    <row r="2186" spans="1:16" ht="12.75" x14ac:dyDescent="0.35">
      <c r="A2186" s="7">
        <v>42481.807430555556</v>
      </c>
      <c r="B2186" s="8" t="str">
        <f>HYPERLINK("https://twitter.com/BE_DACH","@BE_DACH")</f>
        <v>@BE_DACH</v>
      </c>
      <c r="C2186" s="9" t="s">
        <v>3941</v>
      </c>
      <c r="D2186" s="9" t="s">
        <v>3588</v>
      </c>
      <c r="E2186" s="10" t="str">
        <f>HYPERLINK("https://twitter.com/BE_DACH/status/723147452283424768","723147452283424768")</f>
        <v>723147452283424768</v>
      </c>
      <c r="F2186" s="11" t="s">
        <v>25</v>
      </c>
      <c r="G2186" s="11">
        <v>970</v>
      </c>
      <c r="H2186" s="11">
        <v>875</v>
      </c>
      <c r="I2186" s="11">
        <v>24</v>
      </c>
      <c r="J2186" s="11">
        <v>0</v>
      </c>
      <c r="K2186" s="11" t="s">
        <v>21</v>
      </c>
      <c r="L2186" s="7">
        <v>40035.618055555555</v>
      </c>
      <c r="M2186" s="12" t="s">
        <v>3082</v>
      </c>
      <c r="N2186" s="12" t="s">
        <v>3942</v>
      </c>
      <c r="O2186" s="10" t="str">
        <f>HYPERLINK("https://pbs.twimg.com/profile_images/3144255624/af1d7d19c80d654f74385adb99291ab1_normal.png","View")</f>
        <v>View</v>
      </c>
      <c r="P2186" s="11"/>
    </row>
    <row r="2187" spans="1:16" ht="12.75" x14ac:dyDescent="0.35">
      <c r="A2187" s="7">
        <v>42481.809745370367</v>
      </c>
      <c r="B2187" s="8" t="str">
        <f>HYPERLINK("https://twitter.com/Konecranes_DE","@Konecranes_DE")</f>
        <v>@Konecranes_DE</v>
      </c>
      <c r="C2187" s="9" t="s">
        <v>1828</v>
      </c>
      <c r="D2187" s="9" t="s">
        <v>3943</v>
      </c>
      <c r="E2187" s="10" t="str">
        <f>HYPERLINK("https://twitter.com/Konecranes_DE/status/723148291064647684","723148291064647684")</f>
        <v>723148291064647684</v>
      </c>
      <c r="F2187" s="11" t="s">
        <v>1830</v>
      </c>
      <c r="G2187" s="11">
        <v>894</v>
      </c>
      <c r="H2187" s="11">
        <v>228</v>
      </c>
      <c r="I2187" s="11">
        <v>2</v>
      </c>
      <c r="J2187" s="11">
        <v>0</v>
      </c>
      <c r="K2187" s="11" t="s">
        <v>21</v>
      </c>
      <c r="L2187" s="7">
        <v>39882.804074074076</v>
      </c>
      <c r="M2187" s="12" t="s">
        <v>121</v>
      </c>
      <c r="N2187" s="12" t="s">
        <v>1831</v>
      </c>
      <c r="O2187" s="10" t="str">
        <f>HYPERLINK("https://pbs.twimg.com/profile_images/438307550828560384/ayCoNB0D_normal.jpeg","View")</f>
        <v>View</v>
      </c>
      <c r="P2187" s="11"/>
    </row>
    <row r="2188" spans="1:16" ht="12.75" x14ac:dyDescent="0.35">
      <c r="A2188" s="7">
        <v>42481.811539351853</v>
      </c>
      <c r="B2188" s="8" t="str">
        <f>HYPERLINK("https://twitter.com/MelanieMoll1","@MelanieMoll1")</f>
        <v>@MelanieMoll1</v>
      </c>
      <c r="C2188" s="9" t="s">
        <v>3944</v>
      </c>
      <c r="D2188" s="9" t="s">
        <v>2965</v>
      </c>
      <c r="E2188" s="10" t="str">
        <f>HYPERLINK("https://twitter.com/MelanieMoll1/status/723148941433405440","723148941433405440")</f>
        <v>723148941433405440</v>
      </c>
      <c r="F2188" s="11" t="s">
        <v>31</v>
      </c>
      <c r="G2188" s="11">
        <v>358</v>
      </c>
      <c r="H2188" s="11">
        <v>903</v>
      </c>
      <c r="I2188" s="11">
        <v>12</v>
      </c>
      <c r="J2188" s="11">
        <v>0</v>
      </c>
      <c r="K2188" s="11" t="s">
        <v>21</v>
      </c>
      <c r="L2188" s="7">
        <v>41222.630023148144</v>
      </c>
      <c r="M2188" s="12" t="s">
        <v>92</v>
      </c>
      <c r="N2188" s="12" t="s">
        <v>3945</v>
      </c>
      <c r="O2188" s="10" t="str">
        <f>HYPERLINK("https://pbs.twimg.com/profile_images/691495144743407616/HaNPzD1H_normal.jpg","View")</f>
        <v>View</v>
      </c>
      <c r="P2188" s="11"/>
    </row>
    <row r="2189" spans="1:16" ht="12.75" x14ac:dyDescent="0.35">
      <c r="A2189" s="7">
        <v>42481.813993055555</v>
      </c>
      <c r="B2189" s="8" t="str">
        <f>HYPERLINK("https://twitter.com/INDIZbot","@INDIZbot")</f>
        <v>@INDIZbot</v>
      </c>
      <c r="C2189" s="9" t="s">
        <v>61</v>
      </c>
      <c r="D2189" s="9" t="s">
        <v>3946</v>
      </c>
      <c r="E2189" s="10" t="str">
        <f>HYPERLINK("https://twitter.com/INDIZbot/status/723149830604902400","723149830604902400")</f>
        <v>723149830604902400</v>
      </c>
      <c r="F2189" s="11" t="s">
        <v>62</v>
      </c>
      <c r="G2189" s="11">
        <v>1762</v>
      </c>
      <c r="H2189" s="11">
        <v>481</v>
      </c>
      <c r="I2189" s="11">
        <v>2</v>
      </c>
      <c r="J2189" s="11">
        <v>0</v>
      </c>
      <c r="K2189" s="11" t="s">
        <v>21</v>
      </c>
      <c r="L2189" s="7">
        <v>42267.011921296296</v>
      </c>
      <c r="M2189" s="12"/>
      <c r="N2189" s="12" t="s">
        <v>63</v>
      </c>
      <c r="O2189" s="10" t="str">
        <f>HYPERLINK("https://pbs.twimg.com/profile_images/645716711723925506/t5G0qOS6_normal.jpg","View")</f>
        <v>View</v>
      </c>
      <c r="P2189" s="11"/>
    </row>
    <row r="2190" spans="1:16" ht="12.75" x14ac:dyDescent="0.35">
      <c r="A2190" s="7">
        <v>42481.814583333333</v>
      </c>
      <c r="B2190" s="8" t="str">
        <f>HYPERLINK("https://twitter.com/FHNWTechnik","@FHNWTechnik")</f>
        <v>@FHNWTechnik</v>
      </c>
      <c r="C2190" s="9" t="s">
        <v>2884</v>
      </c>
      <c r="D2190" s="9" t="s">
        <v>3947</v>
      </c>
      <c r="E2190" s="10" t="str">
        <f>HYPERLINK("https://twitter.com/FHNWTechnik/status/723150044451348480","723150044451348480")</f>
        <v>723150044451348480</v>
      </c>
      <c r="F2190" s="11" t="s">
        <v>25</v>
      </c>
      <c r="G2190" s="11">
        <v>233</v>
      </c>
      <c r="H2190" s="11">
        <v>148</v>
      </c>
      <c r="I2190" s="11">
        <v>0</v>
      </c>
      <c r="J2190" s="11">
        <v>0</v>
      </c>
      <c r="K2190" s="11" t="s">
        <v>21</v>
      </c>
      <c r="L2190" s="7">
        <v>42313.568645833337</v>
      </c>
      <c r="M2190" s="12" t="s">
        <v>2885</v>
      </c>
      <c r="N2190" s="12" t="s">
        <v>2886</v>
      </c>
      <c r="O2190" s="10" t="str">
        <f>HYPERLINK("https://pbs.twimg.com/profile_images/662199310969360384/A66r-VNa_normal.jpg","View")</f>
        <v>View</v>
      </c>
      <c r="P2190" s="11"/>
    </row>
    <row r="2191" spans="1:16" ht="12.75" x14ac:dyDescent="0.35">
      <c r="A2191" s="7">
        <v>42481.815416666665</v>
      </c>
      <c r="B2191" s="8" t="str">
        <f>HYPERLINK("https://twitter.com/AXACH_Media","@AXACH_Media")</f>
        <v>@AXACH_Media</v>
      </c>
      <c r="C2191" s="9" t="s">
        <v>3948</v>
      </c>
      <c r="D2191" s="9" t="s">
        <v>3949</v>
      </c>
      <c r="E2191" s="10" t="str">
        <f>HYPERLINK("https://twitter.com/AXACH_Media/status/723150343496933376","723150343496933376")</f>
        <v>723150343496933376</v>
      </c>
      <c r="F2191" s="11" t="s">
        <v>31</v>
      </c>
      <c r="G2191" s="11">
        <v>180</v>
      </c>
      <c r="H2191" s="11">
        <v>195</v>
      </c>
      <c r="I2191" s="11">
        <v>3</v>
      </c>
      <c r="J2191" s="11">
        <v>0</v>
      </c>
      <c r="K2191" s="11" t="s">
        <v>21</v>
      </c>
      <c r="L2191" s="7">
        <v>42132.903020833328</v>
      </c>
      <c r="M2191" s="12" t="s">
        <v>3950</v>
      </c>
      <c r="N2191" s="12" t="s">
        <v>3951</v>
      </c>
      <c r="O2191" s="10" t="str">
        <f>HYPERLINK("https://pbs.twimg.com/profile_images/638754556663480320/Jrp0EyXi_normal.jpg","View")</f>
        <v>View</v>
      </c>
      <c r="P2191" s="11"/>
    </row>
    <row r="2192" spans="1:16" ht="12.75" x14ac:dyDescent="0.35">
      <c r="A2192" s="7">
        <v>42481.815983796296</v>
      </c>
      <c r="B2192" s="8" t="str">
        <f>HYPERLINK("https://twitter.com/kommoptimierer","@kommoptimierer")</f>
        <v>@kommoptimierer</v>
      </c>
      <c r="C2192" s="9" t="s">
        <v>270</v>
      </c>
      <c r="D2192" s="9" t="s">
        <v>505</v>
      </c>
      <c r="E2192" s="10" t="str">
        <f>HYPERLINK("https://twitter.com/kommoptimierer/status/723150552855617536","723150552855617536")</f>
        <v>723150552855617536</v>
      </c>
      <c r="F2192" s="11" t="s">
        <v>272</v>
      </c>
      <c r="G2192" s="11">
        <v>1347</v>
      </c>
      <c r="H2192" s="11">
        <v>1753</v>
      </c>
      <c r="I2192" s="11">
        <v>0</v>
      </c>
      <c r="J2192" s="11">
        <v>0</v>
      </c>
      <c r="K2192" s="11" t="s">
        <v>21</v>
      </c>
      <c r="L2192" s="7">
        <v>39986.860358796301</v>
      </c>
      <c r="M2192" s="12" t="s">
        <v>273</v>
      </c>
      <c r="N2192" s="12" t="s">
        <v>274</v>
      </c>
      <c r="O2192" s="10" t="str">
        <f>HYPERLINK("https://pbs.twimg.com/profile_images/541146126158536704/IYardufS_normal.jpeg","View")</f>
        <v>View</v>
      </c>
      <c r="P2192" s="11"/>
    </row>
    <row r="2193" spans="1:16" ht="12.75" x14ac:dyDescent="0.35">
      <c r="A2193" s="7">
        <v>42481.816145833334</v>
      </c>
      <c r="B2193" s="8" t="str">
        <f>HYPERLINK("https://twitter.com/marketingBOERSE","@marketingBOERSE")</f>
        <v>@marketingBOERSE</v>
      </c>
      <c r="C2193" s="9" t="s">
        <v>3952</v>
      </c>
      <c r="D2193" s="9" t="s">
        <v>3953</v>
      </c>
      <c r="E2193" s="10" t="str">
        <f>HYPERLINK("https://twitter.com/marketingBOERSE/status/723150608904015872","723150608904015872")</f>
        <v>723150608904015872</v>
      </c>
      <c r="F2193" s="11" t="s">
        <v>25</v>
      </c>
      <c r="G2193" s="11">
        <v>29811</v>
      </c>
      <c r="H2193" s="11">
        <v>19434</v>
      </c>
      <c r="I2193" s="11">
        <v>0</v>
      </c>
      <c r="J2193" s="11">
        <v>0</v>
      </c>
      <c r="K2193" s="11" t="s">
        <v>21</v>
      </c>
      <c r="L2193" s="7">
        <v>39221.819652777776</v>
      </c>
      <c r="M2193" s="12" t="s">
        <v>3954</v>
      </c>
      <c r="N2193" s="12" t="s">
        <v>3955</v>
      </c>
      <c r="O2193" s="10" t="str">
        <f>HYPERLINK("https://pbs.twimg.com/profile_images/2732840679/00399ec85301d5d9a996b8a5c34bf3ca_normal.png","View")</f>
        <v>View</v>
      </c>
      <c r="P2193" s="11"/>
    </row>
    <row r="2194" spans="1:16" ht="12.75" x14ac:dyDescent="0.35">
      <c r="A2194" s="7">
        <v>42481.816458333335</v>
      </c>
      <c r="B2194" s="8" t="str">
        <f t="shared" ref="B2194:B2196" si="258">HYPERLINK("https://twitter.com/SGE","@SGE")</f>
        <v>@SGE</v>
      </c>
      <c r="C2194" s="9" t="s">
        <v>3633</v>
      </c>
      <c r="D2194" s="9" t="s">
        <v>3956</v>
      </c>
      <c r="E2194" s="10" t="str">
        <f>HYPERLINK("https://twitter.com/SGE/status/723150722775289856","723150722775289856")</f>
        <v>723150722775289856</v>
      </c>
      <c r="F2194" s="11" t="s">
        <v>39</v>
      </c>
      <c r="G2194" s="11">
        <v>1901</v>
      </c>
      <c r="H2194" s="11">
        <v>231</v>
      </c>
      <c r="I2194" s="11">
        <v>0</v>
      </c>
      <c r="J2194" s="11">
        <v>0</v>
      </c>
      <c r="K2194" s="11" t="s">
        <v>21</v>
      </c>
      <c r="L2194" s="7">
        <v>39937.802928240737</v>
      </c>
      <c r="M2194" s="12" t="s">
        <v>3635</v>
      </c>
      <c r="N2194" s="12" t="s">
        <v>3636</v>
      </c>
      <c r="O2194" s="10" t="str">
        <f t="shared" ref="O2194:O2196" si="259">HYPERLINK("https://pbs.twimg.com/profile_images/471312276767535104/TIanhngf_normal.jpeg","View")</f>
        <v>View</v>
      </c>
      <c r="P2194" s="11"/>
    </row>
    <row r="2195" spans="1:16" ht="12.75" x14ac:dyDescent="0.35">
      <c r="A2195" s="7">
        <v>42481.816701388889</v>
      </c>
      <c r="B2195" s="8" t="str">
        <f t="shared" si="258"/>
        <v>@SGE</v>
      </c>
      <c r="C2195" s="9" t="s">
        <v>3633</v>
      </c>
      <c r="D2195" s="9" t="s">
        <v>3957</v>
      </c>
      <c r="E2195" s="10" t="str">
        <f>HYPERLINK("https://twitter.com/SGE/status/723150812550193152","723150812550193152")</f>
        <v>723150812550193152</v>
      </c>
      <c r="F2195" s="11" t="s">
        <v>39</v>
      </c>
      <c r="G2195" s="11">
        <v>1901</v>
      </c>
      <c r="H2195" s="11">
        <v>231</v>
      </c>
      <c r="I2195" s="11">
        <v>3</v>
      </c>
      <c r="J2195" s="11">
        <v>0</v>
      </c>
      <c r="K2195" s="11" t="s">
        <v>21</v>
      </c>
      <c r="L2195" s="7">
        <v>39937.802928240737</v>
      </c>
      <c r="M2195" s="12" t="s">
        <v>3635</v>
      </c>
      <c r="N2195" s="12" t="s">
        <v>3636</v>
      </c>
      <c r="O2195" s="10" t="str">
        <f t="shared" si="259"/>
        <v>View</v>
      </c>
      <c r="P2195" s="11"/>
    </row>
    <row r="2196" spans="1:16" ht="12.75" x14ac:dyDescent="0.35">
      <c r="A2196" s="7">
        <v>42481.820243055554</v>
      </c>
      <c r="B2196" s="8" t="str">
        <f t="shared" si="258"/>
        <v>@SGE</v>
      </c>
      <c r="C2196" s="9" t="s">
        <v>3633</v>
      </c>
      <c r="D2196" s="9" t="s">
        <v>3958</v>
      </c>
      <c r="E2196" s="10" t="str">
        <f>HYPERLINK("https://twitter.com/SGE/status/723152094509838336","723152094509838336")</f>
        <v>723152094509838336</v>
      </c>
      <c r="F2196" s="11" t="s">
        <v>39</v>
      </c>
      <c r="G2196" s="11">
        <v>1901</v>
      </c>
      <c r="H2196" s="11">
        <v>231</v>
      </c>
      <c r="I2196" s="11">
        <v>1</v>
      </c>
      <c r="J2196" s="11">
        <v>0</v>
      </c>
      <c r="K2196" s="11" t="s">
        <v>21</v>
      </c>
      <c r="L2196" s="7">
        <v>39937.802928240737</v>
      </c>
      <c r="M2196" s="12" t="s">
        <v>3635</v>
      </c>
      <c r="N2196" s="12" t="s">
        <v>3636</v>
      </c>
      <c r="O2196" s="10" t="str">
        <f t="shared" si="259"/>
        <v>View</v>
      </c>
      <c r="P2196" s="11"/>
    </row>
    <row r="2197" spans="1:16" ht="12.75" x14ac:dyDescent="0.35">
      <c r="A2197" s="7">
        <v>42481.822256944448</v>
      </c>
      <c r="B2197" s="8" t="str">
        <f>HYPERLINK("https://twitter.com/BE_DACH","@BE_DACH")</f>
        <v>@BE_DACH</v>
      </c>
      <c r="C2197" s="9" t="s">
        <v>3941</v>
      </c>
      <c r="D2197" s="9" t="s">
        <v>3959</v>
      </c>
      <c r="E2197" s="10" t="str">
        <f>HYPERLINK("https://twitter.com/BE_DACH/status/723152824192782336","723152824192782336")</f>
        <v>723152824192782336</v>
      </c>
      <c r="F2197" s="11" t="s">
        <v>25</v>
      </c>
      <c r="G2197" s="11">
        <v>970</v>
      </c>
      <c r="H2197" s="11">
        <v>875</v>
      </c>
      <c r="I2197" s="11">
        <v>0</v>
      </c>
      <c r="J2197" s="11">
        <v>2</v>
      </c>
      <c r="K2197" s="11" t="s">
        <v>21</v>
      </c>
      <c r="L2197" s="7">
        <v>40035.618055555555</v>
      </c>
      <c r="M2197" s="12" t="s">
        <v>3082</v>
      </c>
      <c r="N2197" s="12" t="s">
        <v>3942</v>
      </c>
      <c r="O2197" s="10" t="str">
        <f>HYPERLINK("https://pbs.twimg.com/profile_images/3144255624/af1d7d19c80d654f74385adb99291ab1_normal.png","View")</f>
        <v>View</v>
      </c>
      <c r="P2197" s="11"/>
    </row>
    <row r="2198" spans="1:16" ht="12.75" x14ac:dyDescent="0.35">
      <c r="A2198" s="7">
        <v>42481.82230324074</v>
      </c>
      <c r="B2198" s="8" t="str">
        <f>HYPERLINK("https://twitter.com/MindCommerce","@MindCommerce")</f>
        <v>@MindCommerce</v>
      </c>
      <c r="C2198" s="9" t="s">
        <v>1242</v>
      </c>
      <c r="D2198" s="9" t="s">
        <v>3960</v>
      </c>
      <c r="E2198" s="10" t="str">
        <f>HYPERLINK("https://twitter.com/MindCommerce/status/723152839531466752","723152839531466752")</f>
        <v>723152839531466752</v>
      </c>
      <c r="F2198" s="11" t="s">
        <v>437</v>
      </c>
      <c r="G2198" s="11">
        <v>1189</v>
      </c>
      <c r="H2198" s="11">
        <v>427</v>
      </c>
      <c r="I2198" s="11">
        <v>1</v>
      </c>
      <c r="J2198" s="11">
        <v>0</v>
      </c>
      <c r="K2198" s="11" t="s">
        <v>21</v>
      </c>
      <c r="L2198" s="7">
        <v>40577.150787037041</v>
      </c>
      <c r="M2198" s="12"/>
      <c r="N2198" s="12" t="s">
        <v>1244</v>
      </c>
      <c r="O2198" s="10" t="str">
        <f>HYPERLINK("https://pbs.twimg.com/profile_images/548030384030507008/utABqhj9_normal.png","View")</f>
        <v>View</v>
      </c>
      <c r="P2198" s="11"/>
    </row>
    <row r="2199" spans="1:16" ht="12.75" x14ac:dyDescent="0.35">
      <c r="A2199" s="7">
        <v>42481.822418981479</v>
      </c>
      <c r="B2199" s="8" t="str">
        <f>HYPERLINK("https://twitter.com/equeoGmbH","@equeoGmbH")</f>
        <v>@equeoGmbH</v>
      </c>
      <c r="C2199" s="9" t="s">
        <v>2842</v>
      </c>
      <c r="D2199" s="9" t="s">
        <v>3961</v>
      </c>
      <c r="E2199" s="10" t="str">
        <f>HYPERLINK("https://twitter.com/equeoGmbH/status/723152884980805632","723152884980805632")</f>
        <v>723152884980805632</v>
      </c>
      <c r="F2199" s="11" t="s">
        <v>25</v>
      </c>
      <c r="G2199" s="11">
        <v>227</v>
      </c>
      <c r="H2199" s="11">
        <v>353</v>
      </c>
      <c r="I2199" s="11">
        <v>4</v>
      </c>
      <c r="J2199" s="11">
        <v>0</v>
      </c>
      <c r="K2199" s="11" t="s">
        <v>21</v>
      </c>
      <c r="L2199" s="7">
        <v>42024.736875000002</v>
      </c>
      <c r="M2199" s="12" t="s">
        <v>218</v>
      </c>
      <c r="N2199" s="12" t="s">
        <v>2843</v>
      </c>
      <c r="O2199" s="10" t="str">
        <f>HYPERLINK("https://pbs.twimg.com/profile_images/557511432153993216/NBgQ5LsI_normal.jpeg","View")</f>
        <v>View</v>
      </c>
      <c r="P2199" s="11"/>
    </row>
    <row r="2200" spans="1:16" ht="12.75" x14ac:dyDescent="0.35">
      <c r="A2200" s="7">
        <v>42481.826909722222</v>
      </c>
      <c r="B2200" s="8" t="str">
        <f>HYPERLINK("https://twitter.com/BitkomResearch","@BitkomResearch")</f>
        <v>@BitkomResearch</v>
      </c>
      <c r="C2200" s="9" t="s">
        <v>238</v>
      </c>
      <c r="D2200" s="9" t="s">
        <v>3588</v>
      </c>
      <c r="E2200" s="10" t="str">
        <f>HYPERLINK("https://twitter.com/BitkomResearch/status/723154509459906563","723154509459906563")</f>
        <v>723154509459906563</v>
      </c>
      <c r="F2200" s="11" t="s">
        <v>25</v>
      </c>
      <c r="G2200" s="11">
        <v>7067</v>
      </c>
      <c r="H2200" s="11">
        <v>6781</v>
      </c>
      <c r="I2200" s="11">
        <v>24</v>
      </c>
      <c r="J2200" s="11">
        <v>0</v>
      </c>
      <c r="K2200" s="11" t="s">
        <v>21</v>
      </c>
      <c r="L2200" s="7">
        <v>42227.56631944445</v>
      </c>
      <c r="M2200" s="12" t="s">
        <v>116</v>
      </c>
      <c r="N2200" s="12" t="s">
        <v>240</v>
      </c>
      <c r="O2200" s="10" t="str">
        <f>HYPERLINK("https://pbs.twimg.com/profile_images/631021673857290240/dsNYkRwd_normal.jpg","View")</f>
        <v>View</v>
      </c>
      <c r="P2200" s="11"/>
    </row>
    <row r="2201" spans="1:16" ht="12.75" x14ac:dyDescent="0.35">
      <c r="A2201" s="7">
        <v>42481.827106481476</v>
      </c>
      <c r="B2201" s="8" t="str">
        <f>HYPERLINK("https://twitter.com/YuukiFushimi","@YuukiFushimi")</f>
        <v>@YuukiFushimi</v>
      </c>
      <c r="C2201" s="9" t="s">
        <v>3962</v>
      </c>
      <c r="D2201" s="9" t="s">
        <v>3588</v>
      </c>
      <c r="E2201" s="10" t="str">
        <f>HYPERLINK("https://twitter.com/YuukiFushimi/status/723154582277234689","723154582277234689")</f>
        <v>723154582277234689</v>
      </c>
      <c r="F2201" s="11" t="s">
        <v>25</v>
      </c>
      <c r="G2201" s="11">
        <v>3169</v>
      </c>
      <c r="H2201" s="11">
        <v>4879</v>
      </c>
      <c r="I2201" s="11">
        <v>24</v>
      </c>
      <c r="J2201" s="11">
        <v>0</v>
      </c>
      <c r="K2201" s="11" t="s">
        <v>21</v>
      </c>
      <c r="L2201" s="7">
        <v>40895.538449074076</v>
      </c>
      <c r="M2201" s="12"/>
      <c r="N2201" s="12" t="s">
        <v>3963</v>
      </c>
      <c r="O2201" s="10" t="str">
        <f>HYPERLINK("https://pbs.twimg.com/profile_images/671763467632697344/q2J-kn9k_normal.png","View")</f>
        <v>View</v>
      </c>
      <c r="P2201" s="11"/>
    </row>
    <row r="2202" spans="1:16" ht="12.75" x14ac:dyDescent="0.35">
      <c r="A2202" s="7">
        <v>42481.8284375</v>
      </c>
      <c r="B2202" s="8" t="str">
        <f>HYPERLINK("https://twitter.com/BSAHbiz","@BSAHbiz")</f>
        <v>@BSAHbiz</v>
      </c>
      <c r="C2202" s="9" t="s">
        <v>2918</v>
      </c>
      <c r="D2202" s="9" t="s">
        <v>3964</v>
      </c>
      <c r="E2202" s="10" t="str">
        <f>HYPERLINK("https://twitter.com/BSAHbiz/status/723155064865603584","723155064865603584")</f>
        <v>723155064865603584</v>
      </c>
      <c r="F2202" s="11" t="s">
        <v>31</v>
      </c>
      <c r="G2202" s="11">
        <v>27</v>
      </c>
      <c r="H2202" s="11">
        <v>39</v>
      </c>
      <c r="I2202" s="11">
        <v>3</v>
      </c>
      <c r="J2202" s="11">
        <v>0</v>
      </c>
      <c r="K2202" s="11" t="s">
        <v>21</v>
      </c>
      <c r="L2202" s="7">
        <v>40211.75916666667</v>
      </c>
      <c r="M2202" s="12" t="s">
        <v>2919</v>
      </c>
      <c r="N2202" s="12" t="s">
        <v>2920</v>
      </c>
      <c r="O2202" s="10" t="str">
        <f>HYPERLINK("https://pbs.twimg.com/profile_images/709479158489948161/NxFpURG3_normal.jpg","View")</f>
        <v>View</v>
      </c>
      <c r="P2202" s="11"/>
    </row>
    <row r="2203" spans="1:16" ht="12.75" x14ac:dyDescent="0.35">
      <c r="A2203" s="7">
        <v>42481.830092592594</v>
      </c>
      <c r="B2203" s="8" t="str">
        <f>HYPERLINK("https://twitter.com/GTAI_com","@GTAI_com")</f>
        <v>@GTAI_com</v>
      </c>
      <c r="C2203" s="9" t="s">
        <v>3393</v>
      </c>
      <c r="D2203" s="9" t="s">
        <v>3965</v>
      </c>
      <c r="E2203" s="10" t="str">
        <f>HYPERLINK("https://twitter.com/GTAI_com/status/723155662524547077","723155662524547077")</f>
        <v>723155662524547077</v>
      </c>
      <c r="F2203" s="11" t="s">
        <v>39</v>
      </c>
      <c r="G2203" s="11">
        <v>6145</v>
      </c>
      <c r="H2203" s="11">
        <v>518</v>
      </c>
      <c r="I2203" s="11">
        <v>0</v>
      </c>
      <c r="J2203" s="11">
        <v>0</v>
      </c>
      <c r="K2203" s="11" t="s">
        <v>21</v>
      </c>
      <c r="L2203" s="7">
        <v>40855.83326388889</v>
      </c>
      <c r="M2203" s="12" t="s">
        <v>218</v>
      </c>
      <c r="N2203" s="12" t="s">
        <v>3395</v>
      </c>
      <c r="O2203" s="10" t="str">
        <f>HYPERLINK("https://pbs.twimg.com/profile_images/716977461079179268/JVN5NZO8_normal.jpg","View")</f>
        <v>View</v>
      </c>
      <c r="P2203" s="11"/>
    </row>
    <row r="2204" spans="1:16" ht="12.75" x14ac:dyDescent="0.35">
      <c r="A2204" s="7">
        <v>42481.831643518519</v>
      </c>
      <c r="B2204" s="8" t="str">
        <f>HYPERLINK("https://twitter.com/bamitav","@bamitav")</f>
        <v>@bamitav</v>
      </c>
      <c r="C2204" s="9" t="s">
        <v>341</v>
      </c>
      <c r="D2204" s="9" t="s">
        <v>3966</v>
      </c>
      <c r="E2204" s="10" t="str">
        <f>HYPERLINK("https://twitter.com/bamitav/status/723156224590499846","723156224590499846")</f>
        <v>723156224590499846</v>
      </c>
      <c r="F2204" s="11" t="s">
        <v>20</v>
      </c>
      <c r="G2204" s="11">
        <v>7341</v>
      </c>
      <c r="H2204" s="11">
        <v>6333</v>
      </c>
      <c r="I2204" s="11">
        <v>0</v>
      </c>
      <c r="J2204" s="11">
        <v>0</v>
      </c>
      <c r="K2204" s="11" t="s">
        <v>21</v>
      </c>
      <c r="L2204" s="7">
        <v>40138.933622685188</v>
      </c>
      <c r="M2204" s="12" t="s">
        <v>343</v>
      </c>
      <c r="N2204" s="12" t="s">
        <v>344</v>
      </c>
      <c r="O2204" s="10" t="str">
        <f>HYPERLINK("https://pbs.twimg.com/profile_images/672794348442877952/m6Is-Nrc_normal.jpg","View")</f>
        <v>View</v>
      </c>
      <c r="P2204" s="11"/>
    </row>
    <row r="2205" spans="1:16" ht="12.75" x14ac:dyDescent="0.35">
      <c r="A2205" s="7">
        <v>42481.832141203704</v>
      </c>
      <c r="B2205" s="8" t="str">
        <f>HYPERLINK("https://twitter.com/Bitkom","@Bitkom")</f>
        <v>@Bitkom</v>
      </c>
      <c r="C2205" s="9" t="s">
        <v>216</v>
      </c>
      <c r="D2205" s="9" t="s">
        <v>3967</v>
      </c>
      <c r="E2205" s="10" t="str">
        <f>HYPERLINK("https://twitter.com/Bitkom/status/723156406392643584","723156406392643584")</f>
        <v>723156406392643584</v>
      </c>
      <c r="F2205" s="11" t="s">
        <v>25</v>
      </c>
      <c r="G2205" s="11">
        <v>21088</v>
      </c>
      <c r="H2205" s="11">
        <v>3258</v>
      </c>
      <c r="I2205" s="11">
        <v>14</v>
      </c>
      <c r="J2205" s="11">
        <v>7</v>
      </c>
      <c r="K2205" s="11" t="s">
        <v>21</v>
      </c>
      <c r="L2205" s="7">
        <v>39757.913229166668</v>
      </c>
      <c r="M2205" s="12" t="s">
        <v>218</v>
      </c>
      <c r="N2205" s="12" t="s">
        <v>219</v>
      </c>
      <c r="O2205" s="10" t="str">
        <f>HYPERLINK("https://pbs.twimg.com/profile_images/615797525040136192/CKF9-v_o_normal.jpg","View")</f>
        <v>View</v>
      </c>
      <c r="P2205" s="11"/>
    </row>
    <row r="2206" spans="1:16" ht="12.75" x14ac:dyDescent="0.35">
      <c r="A2206" s="7">
        <v>42481.833472222221</v>
      </c>
      <c r="B2206" s="8" t="str">
        <f>HYPERLINK("https://twitter.com/JuLoewe","@JuLoewe")</f>
        <v>@JuLoewe</v>
      </c>
      <c r="C2206" s="9" t="s">
        <v>834</v>
      </c>
      <c r="D2206" s="9" t="s">
        <v>3968</v>
      </c>
      <c r="E2206" s="10" t="str">
        <f>HYPERLINK("https://twitter.com/JuLoewe/status/723156888981000192","723156888981000192")</f>
        <v>723156888981000192</v>
      </c>
      <c r="F2206" s="11" t="s">
        <v>31</v>
      </c>
      <c r="G2206" s="11">
        <v>185</v>
      </c>
      <c r="H2206" s="11">
        <v>319</v>
      </c>
      <c r="I2206" s="11">
        <v>14</v>
      </c>
      <c r="J2206" s="11">
        <v>0</v>
      </c>
      <c r="K2206" s="11" t="s">
        <v>21</v>
      </c>
      <c r="L2206" s="7">
        <v>41430.11246527778</v>
      </c>
      <c r="M2206" s="12"/>
      <c r="N2206" s="13" t="s">
        <v>835</v>
      </c>
      <c r="O2206" s="10" t="str">
        <f>HYPERLINK("https://pbs.twimg.com/profile_images/609682170458804225/WAAXyFob_normal.jpg","View")</f>
        <v>View</v>
      </c>
      <c r="P2206" s="11"/>
    </row>
    <row r="2207" spans="1:16" ht="12.75" x14ac:dyDescent="0.35">
      <c r="A2207" s="7">
        <v>42481.833645833336</v>
      </c>
      <c r="B2207" s="8" t="str">
        <f>HYPERLINK("https://twitter.com/uwepfeil","@uwepfeil")</f>
        <v>@uwepfeil</v>
      </c>
      <c r="C2207" s="9" t="s">
        <v>3969</v>
      </c>
      <c r="D2207" s="9" t="s">
        <v>3588</v>
      </c>
      <c r="E2207" s="10" t="str">
        <f>HYPERLINK("https://twitter.com/uwepfeil/status/723156953258663937","723156953258663937")</f>
        <v>723156953258663937</v>
      </c>
      <c r="F2207" s="11" t="s">
        <v>1491</v>
      </c>
      <c r="G2207" s="11">
        <v>14</v>
      </c>
      <c r="H2207" s="11">
        <v>54</v>
      </c>
      <c r="I2207" s="11">
        <v>24</v>
      </c>
      <c r="J2207" s="11">
        <v>0</v>
      </c>
      <c r="K2207" s="11" t="s">
        <v>21</v>
      </c>
      <c r="L2207" s="7">
        <v>39857.724999999999</v>
      </c>
      <c r="M2207" s="12" t="s">
        <v>3970</v>
      </c>
      <c r="N2207" s="12" t="s">
        <v>3971</v>
      </c>
      <c r="O2207" s="10" t="str">
        <f>HYPERLINK("https://pbs.twimg.com/profile_images/695239828502401024/uvFjNbRT_normal.jpg","View")</f>
        <v>View</v>
      </c>
      <c r="P2207" s="11"/>
    </row>
    <row r="2208" spans="1:16" ht="12.75" x14ac:dyDescent="0.35">
      <c r="A2208" s="7">
        <v>42481.833668981482</v>
      </c>
      <c r="B2208" s="8" t="str">
        <f>HYPERLINK("https://twitter.com/kommunikationsm","@kommunikationsm")</f>
        <v>@kommunikationsm</v>
      </c>
      <c r="C2208" s="9" t="s">
        <v>2242</v>
      </c>
      <c r="D2208" s="9" t="s">
        <v>3968</v>
      </c>
      <c r="E2208" s="10" t="str">
        <f>HYPERLINK("https://twitter.com/kommunikationsm/status/723156959571005440","723156959571005440")</f>
        <v>723156959571005440</v>
      </c>
      <c r="F2208" s="11" t="s">
        <v>31</v>
      </c>
      <c r="G2208" s="11">
        <v>1826</v>
      </c>
      <c r="H2208" s="11">
        <v>2304</v>
      </c>
      <c r="I2208" s="11">
        <v>14</v>
      </c>
      <c r="J2208" s="11">
        <v>0</v>
      </c>
      <c r="K2208" s="11" t="s">
        <v>21</v>
      </c>
      <c r="L2208" s="7">
        <v>39843.910439814819</v>
      </c>
      <c r="M2208" s="12" t="s">
        <v>121</v>
      </c>
      <c r="N2208" s="12" t="s">
        <v>2243</v>
      </c>
      <c r="O2208" s="10" t="str">
        <f>HYPERLINK("https://pbs.twimg.com/profile_images/619614759370014720/AS__iYuZ_normal.jpg","View")</f>
        <v>View</v>
      </c>
      <c r="P2208" s="11"/>
    </row>
    <row r="2209" spans="1:16" ht="12.75" x14ac:dyDescent="0.35">
      <c r="A2209" s="7">
        <v>42481.833773148144</v>
      </c>
      <c r="B2209" s="8" t="str">
        <f>HYPERLINK("https://twitter.com/KPMG_DE","@KPMG_DE")</f>
        <v>@KPMG_DE</v>
      </c>
      <c r="C2209" s="9" t="s">
        <v>129</v>
      </c>
      <c r="D2209" s="9" t="s">
        <v>3968</v>
      </c>
      <c r="E2209" s="10" t="str">
        <f>HYPERLINK("https://twitter.com/KPMG_DE/status/723156997701398529","723156997701398529")</f>
        <v>723156997701398529</v>
      </c>
      <c r="F2209" s="11" t="s">
        <v>25</v>
      </c>
      <c r="G2209" s="11">
        <v>7632</v>
      </c>
      <c r="H2209" s="11">
        <v>1297</v>
      </c>
      <c r="I2209" s="11">
        <v>14</v>
      </c>
      <c r="J2209" s="11">
        <v>0</v>
      </c>
      <c r="K2209" s="11" t="s">
        <v>21</v>
      </c>
      <c r="L2209" s="7">
        <v>39937.687476851854</v>
      </c>
      <c r="M2209" s="12" t="s">
        <v>92</v>
      </c>
      <c r="N2209" s="12" t="s">
        <v>131</v>
      </c>
      <c r="O2209" s="10" t="str">
        <f>HYPERLINK("https://pbs.twimg.com/profile_images/672817485134045185/q-VTXmOg_normal.jpg","View")</f>
        <v>View</v>
      </c>
      <c r="P2209" s="11"/>
    </row>
    <row r="2210" spans="1:16" ht="12.75" x14ac:dyDescent="0.35">
      <c r="A2210" s="7">
        <v>42481.834293981483</v>
      </c>
      <c r="B2210" s="8" t="str">
        <f>HYPERLINK("https://twitter.com/VDEpolitik","@VDEpolitik")</f>
        <v>@VDEpolitik</v>
      </c>
      <c r="C2210" s="9" t="s">
        <v>3972</v>
      </c>
      <c r="D2210" s="9" t="s">
        <v>3158</v>
      </c>
      <c r="E2210" s="10" t="str">
        <f>HYPERLINK("https://twitter.com/VDEpolitik/status/723157185467846656","723157185467846656")</f>
        <v>723157185467846656</v>
      </c>
      <c r="F2210" s="11" t="s">
        <v>25</v>
      </c>
      <c r="G2210" s="11">
        <v>92</v>
      </c>
      <c r="H2210" s="11">
        <v>118</v>
      </c>
      <c r="I2210" s="11">
        <v>9</v>
      </c>
      <c r="J2210" s="11">
        <v>0</v>
      </c>
      <c r="K2210" s="11" t="s">
        <v>21</v>
      </c>
      <c r="L2210" s="7">
        <v>41770.050740740742</v>
      </c>
      <c r="M2210" s="12" t="s">
        <v>3973</v>
      </c>
      <c r="N2210" s="12" t="s">
        <v>3974</v>
      </c>
      <c r="O2210" s="10" t="str">
        <f>HYPERLINK("https://pbs.twimg.com/profile_images/477040016422486017/kspCX-mQ_normal.jpeg","View")</f>
        <v>View</v>
      </c>
      <c r="P2210" s="11"/>
    </row>
    <row r="2211" spans="1:16" ht="12.75" x14ac:dyDescent="0.35">
      <c r="A2211" s="7">
        <v>42481.836770833332</v>
      </c>
      <c r="B2211" s="8" t="str">
        <f>HYPERLINK("https://twitter.com/JFPlusquellec","@JFPlusquellec")</f>
        <v>@JFPlusquellec</v>
      </c>
      <c r="C2211" s="9" t="s">
        <v>3975</v>
      </c>
      <c r="D2211" s="9" t="s">
        <v>3976</v>
      </c>
      <c r="E2211" s="10" t="str">
        <f>HYPERLINK("https://twitter.com/JFPlusquellec/status/723158083032084481","723158083032084481")</f>
        <v>723158083032084481</v>
      </c>
      <c r="F2211" s="11" t="s">
        <v>25</v>
      </c>
      <c r="G2211" s="11">
        <v>24</v>
      </c>
      <c r="H2211" s="11">
        <v>83</v>
      </c>
      <c r="I2211" s="11">
        <v>1</v>
      </c>
      <c r="J2211" s="11">
        <v>2</v>
      </c>
      <c r="K2211" s="11" t="s">
        <v>21</v>
      </c>
      <c r="L2211" s="7">
        <v>41993.707754629635</v>
      </c>
      <c r="M2211" s="12" t="s">
        <v>3977</v>
      </c>
      <c r="N2211" s="12" t="s">
        <v>3978</v>
      </c>
      <c r="O2211" s="10" t="str">
        <f>HYPERLINK("https://pbs.twimg.com/profile_images/562265910606442496/obnZnoWF_normal.jpeg","View")</f>
        <v>View</v>
      </c>
      <c r="P2211" s="11"/>
    </row>
    <row r="2212" spans="1:16" ht="12.75" x14ac:dyDescent="0.35">
      <c r="A2212" s="7">
        <v>42481.837430555555</v>
      </c>
      <c r="B2212" s="8" t="str">
        <f>HYPERLINK("https://twitter.com/RudiKennes","@RudiKennes")</f>
        <v>@RudiKennes</v>
      </c>
      <c r="C2212" s="9" t="s">
        <v>1023</v>
      </c>
      <c r="D2212" s="9" t="s">
        <v>3979</v>
      </c>
      <c r="E2212" s="10" t="str">
        <f>HYPERLINK("https://twitter.com/RudiKennes/status/723158321423888385","723158321423888385")</f>
        <v>723158321423888385</v>
      </c>
      <c r="F2212" s="11" t="s">
        <v>29</v>
      </c>
      <c r="G2212" s="11">
        <v>1680</v>
      </c>
      <c r="H2212" s="11">
        <v>560</v>
      </c>
      <c r="I2212" s="11">
        <v>3</v>
      </c>
      <c r="J2212" s="11">
        <v>0</v>
      </c>
      <c r="K2212" s="11" t="s">
        <v>21</v>
      </c>
      <c r="L2212" s="7">
        <v>41140.169085648144</v>
      </c>
      <c r="M2212" s="12" t="s">
        <v>1024</v>
      </c>
      <c r="N2212" s="12" t="s">
        <v>1025</v>
      </c>
      <c r="O2212" s="10" t="str">
        <f>HYPERLINK("https://pbs.twimg.com/profile_images/2519056312/image_normal.jpg","View")</f>
        <v>View</v>
      </c>
      <c r="P2212" s="11"/>
    </row>
    <row r="2213" spans="1:16" ht="12.75" x14ac:dyDescent="0.35">
      <c r="A2213" s="7">
        <v>42481.837557870371</v>
      </c>
      <c r="B2213" s="8" t="str">
        <f>HYPERLINK("https://twitter.com/H_IT_D","@H_IT_D")</f>
        <v>@H_IT_D</v>
      </c>
      <c r="C2213" s="9" t="s">
        <v>159</v>
      </c>
      <c r="D2213" s="9" t="s">
        <v>3980</v>
      </c>
      <c r="E2213" s="10" t="str">
        <f>HYPERLINK("https://twitter.com/H_IT_D/status/723158368483860481","723158368483860481")</f>
        <v>723158368483860481</v>
      </c>
      <c r="F2213" s="11" t="s">
        <v>161</v>
      </c>
      <c r="G2213" s="11">
        <v>463</v>
      </c>
      <c r="H2213" s="11">
        <v>467</v>
      </c>
      <c r="I2213" s="11">
        <v>0</v>
      </c>
      <c r="J2213" s="11">
        <v>0</v>
      </c>
      <c r="K2213" s="11" t="s">
        <v>21</v>
      </c>
      <c r="L2213" s="7">
        <v>40723.867673611108</v>
      </c>
      <c r="M2213" s="12" t="s">
        <v>162</v>
      </c>
      <c r="N2213" s="12" t="s">
        <v>163</v>
      </c>
      <c r="O2213" s="10" t="str">
        <f>HYPERLINK("https://pbs.twimg.com/profile_images/662723326096224256/5V4KH9_O_normal.jpg","View")</f>
        <v>View</v>
      </c>
      <c r="P2213" s="11"/>
    </row>
    <row r="2214" spans="1:16" ht="12.75" x14ac:dyDescent="0.35">
      <c r="A2214" s="7">
        <v>42481.837905092594</v>
      </c>
      <c r="B2214" s="8" t="str">
        <f>HYPERLINK("https://twitter.com/effectification","@effectification")</f>
        <v>@effectification</v>
      </c>
      <c r="C2214" s="9" t="s">
        <v>3981</v>
      </c>
      <c r="D2214" s="9" t="s">
        <v>3968</v>
      </c>
      <c r="E2214" s="10" t="str">
        <f>HYPERLINK("https://twitter.com/effectification/status/723158493541326848","723158493541326848")</f>
        <v>723158493541326848</v>
      </c>
      <c r="F2214" s="11" t="s">
        <v>29</v>
      </c>
      <c r="G2214" s="11">
        <v>43</v>
      </c>
      <c r="H2214" s="11">
        <v>255</v>
      </c>
      <c r="I2214" s="11">
        <v>14</v>
      </c>
      <c r="J2214" s="11">
        <v>0</v>
      </c>
      <c r="K2214" s="11" t="s">
        <v>21</v>
      </c>
      <c r="L2214" s="7">
        <v>41551.604097222225</v>
      </c>
      <c r="M2214" s="12" t="s">
        <v>3982</v>
      </c>
      <c r="N2214" s="12"/>
      <c r="O2214" s="10" t="str">
        <f>HYPERLINK("https://pbs.twimg.com/profile_images/378800000712398775/75d81aee2bb9bd72961b566bbd90415c_normal.jpeg","View")</f>
        <v>View</v>
      </c>
      <c r="P2214" s="11"/>
    </row>
    <row r="2215" spans="1:16" ht="12.75" x14ac:dyDescent="0.35">
      <c r="A2215" s="7">
        <v>42481.840312500004</v>
      </c>
      <c r="B2215" s="8" t="str">
        <f>HYPERLINK("https://twitter.com/GPAdjpBildung","@GPAdjpBildung")</f>
        <v>@GPAdjpBildung</v>
      </c>
      <c r="C2215" s="9" t="s">
        <v>3983</v>
      </c>
      <c r="D2215" s="9" t="s">
        <v>3979</v>
      </c>
      <c r="E2215" s="10" t="str">
        <f>HYPERLINK("https://twitter.com/GPAdjpBildung/status/723159367600750592","723159367600750592")</f>
        <v>723159367600750592</v>
      </c>
      <c r="F2215" s="11" t="s">
        <v>31</v>
      </c>
      <c r="G2215" s="11">
        <v>112</v>
      </c>
      <c r="H2215" s="11">
        <v>148</v>
      </c>
      <c r="I2215" s="11">
        <v>3</v>
      </c>
      <c r="J2215" s="11">
        <v>0</v>
      </c>
      <c r="K2215" s="11" t="s">
        <v>21</v>
      </c>
      <c r="L2215" s="7">
        <v>42298.756493055553</v>
      </c>
      <c r="M2215" s="12"/>
      <c r="N2215" s="12" t="s">
        <v>3984</v>
      </c>
      <c r="O2215" s="10" t="str">
        <f>HYPERLINK("https://pbs.twimg.com/profile_images/656813120183234560/GzKrlltl_normal.jpg","View")</f>
        <v>View</v>
      </c>
      <c r="P2215" s="11"/>
    </row>
    <row r="2216" spans="1:16" ht="12.75" x14ac:dyDescent="0.35">
      <c r="A2216" s="7">
        <v>42481.84239583333</v>
      </c>
      <c r="B2216" s="8" t="str">
        <f>HYPERLINK("https://twitter.com/JanatIGMetall","@JanatIGMetall")</f>
        <v>@JanatIGMetall</v>
      </c>
      <c r="C2216" s="9" t="s">
        <v>3985</v>
      </c>
      <c r="D2216" s="9" t="s">
        <v>3979</v>
      </c>
      <c r="E2216" s="10" t="str">
        <f>HYPERLINK("https://twitter.com/JanatIGMetall/status/723160122323664897","723160122323664897")</f>
        <v>723160122323664897</v>
      </c>
      <c r="F2216" s="11" t="s">
        <v>25</v>
      </c>
      <c r="G2216" s="11">
        <v>117</v>
      </c>
      <c r="H2216" s="11">
        <v>214</v>
      </c>
      <c r="I2216" s="11">
        <v>3</v>
      </c>
      <c r="J2216" s="11">
        <v>0</v>
      </c>
      <c r="K2216" s="11" t="s">
        <v>21</v>
      </c>
      <c r="L2216" s="7">
        <v>41771.768750000003</v>
      </c>
      <c r="M2216" s="12" t="s">
        <v>49</v>
      </c>
      <c r="N2216" s="12" t="s">
        <v>3986</v>
      </c>
      <c r="O2216" s="10" t="str">
        <f>HYPERLINK("https://pbs.twimg.com/profile_images/465845290067451904/dC2hkBVB_normal.jpeg","View")</f>
        <v>View</v>
      </c>
      <c r="P2216" s="11"/>
    </row>
    <row r="2217" spans="1:16" ht="12.75" x14ac:dyDescent="0.35">
      <c r="A2217" s="7">
        <v>42481.842974537038</v>
      </c>
      <c r="B2217" s="8" t="str">
        <f>HYPERLINK("https://twitter.com/croXXing_IBD","@croXXing_IBD")</f>
        <v>@croXXing_IBD</v>
      </c>
      <c r="C2217" s="9" t="s">
        <v>252</v>
      </c>
      <c r="D2217" s="9" t="s">
        <v>3987</v>
      </c>
      <c r="E2217" s="10" t="str">
        <f>HYPERLINK("https://twitter.com/croXXing_IBD/status/723160331237888000","723160331237888000")</f>
        <v>723160331237888000</v>
      </c>
      <c r="F2217" s="11" t="s">
        <v>222</v>
      </c>
      <c r="G2217" s="11">
        <v>40</v>
      </c>
      <c r="H2217" s="11">
        <v>137</v>
      </c>
      <c r="I2217" s="11">
        <v>0</v>
      </c>
      <c r="J2217" s="11">
        <v>0</v>
      </c>
      <c r="K2217" s="11" t="s">
        <v>21</v>
      </c>
      <c r="L2217" s="7">
        <v>42140.148263888885</v>
      </c>
      <c r="M2217" s="12" t="s">
        <v>223</v>
      </c>
      <c r="N2217" s="12" t="s">
        <v>254</v>
      </c>
      <c r="O2217" s="10" t="str">
        <f>HYPERLINK("https://pbs.twimg.com/profile_images/600279861282869249/IpIJ3MKX_normal.png","View")</f>
        <v>View</v>
      </c>
      <c r="P2217" s="11"/>
    </row>
    <row r="2218" spans="1:16" ht="12.75" x14ac:dyDescent="0.35">
      <c r="A2218" s="7">
        <v>42481.847488425927</v>
      </c>
      <c r="B2218" s="8" t="str">
        <f>HYPERLINK("https://twitter.com/JBause","@JBause")</f>
        <v>@JBause</v>
      </c>
      <c r="C2218" s="9" t="s">
        <v>2796</v>
      </c>
      <c r="D2218" s="9" t="s">
        <v>3657</v>
      </c>
      <c r="E2218" s="10" t="str">
        <f>HYPERLINK("https://twitter.com/JBause/status/723161966819323904","723161966819323904")</f>
        <v>723161966819323904</v>
      </c>
      <c r="F2218" s="11" t="s">
        <v>31</v>
      </c>
      <c r="G2218" s="11">
        <v>226</v>
      </c>
      <c r="H2218" s="11">
        <v>211</v>
      </c>
      <c r="I2218" s="11">
        <v>10</v>
      </c>
      <c r="J2218" s="11">
        <v>0</v>
      </c>
      <c r="K2218" s="11" t="s">
        <v>21</v>
      </c>
      <c r="L2218" s="7">
        <v>39969.877164351856</v>
      </c>
      <c r="M2218" s="12" t="s">
        <v>2797</v>
      </c>
      <c r="N2218" s="12" t="s">
        <v>2798</v>
      </c>
      <c r="O2218" s="10" t="str">
        <f>HYPERLINK("https://pbs.twimg.com/profile_images/615223235827900416/r0xU5jIu_normal.jpg","View")</f>
        <v>View</v>
      </c>
      <c r="P2218" s="11"/>
    </row>
    <row r="2219" spans="1:16" ht="12.75" x14ac:dyDescent="0.35">
      <c r="A2219" s="7">
        <v>42481.848136574074</v>
      </c>
      <c r="B2219" s="8" t="str">
        <f t="shared" ref="B2219:B2220" si="260">HYPERLINK("https://twitter.com/tsystemsde","@tsystemsde")</f>
        <v>@tsystemsde</v>
      </c>
      <c r="C2219" s="9" t="s">
        <v>3988</v>
      </c>
      <c r="D2219" s="9" t="s">
        <v>3989</v>
      </c>
      <c r="E2219" s="10" t="str">
        <f>HYPERLINK("https://twitter.com/tsystemsde/status/723162203478757377","723162203478757377")</f>
        <v>723162203478757377</v>
      </c>
      <c r="F2219" s="11" t="s">
        <v>39</v>
      </c>
      <c r="G2219" s="11">
        <v>5344</v>
      </c>
      <c r="H2219" s="11">
        <v>1168</v>
      </c>
      <c r="I2219" s="11">
        <v>1</v>
      </c>
      <c r="J2219" s="11">
        <v>0</v>
      </c>
      <c r="K2219" s="11" t="s">
        <v>21</v>
      </c>
      <c r="L2219" s="7">
        <v>39174.635960648149</v>
      </c>
      <c r="M2219" s="12"/>
      <c r="N2219" s="12" t="s">
        <v>3990</v>
      </c>
      <c r="O2219" s="10" t="str">
        <f t="shared" ref="O2219:O2220" si="261">HYPERLINK("https://pbs.twimg.com/profile_images/694165875960717312/CoEHMkw6_normal.png","View")</f>
        <v>View</v>
      </c>
      <c r="P2219" s="11"/>
    </row>
    <row r="2220" spans="1:16" ht="12.75" x14ac:dyDescent="0.35">
      <c r="A2220" s="7">
        <v>42481.848460648151</v>
      </c>
      <c r="B2220" s="8" t="str">
        <f t="shared" si="260"/>
        <v>@tsystemsde</v>
      </c>
      <c r="C2220" s="9" t="s">
        <v>3988</v>
      </c>
      <c r="D2220" s="9" t="s">
        <v>3991</v>
      </c>
      <c r="E2220" s="10" t="str">
        <f>HYPERLINK("https://twitter.com/tsystemsde/status/723162318188765184","723162318188765184")</f>
        <v>723162318188765184</v>
      </c>
      <c r="F2220" s="11" t="s">
        <v>39</v>
      </c>
      <c r="G2220" s="11">
        <v>5344</v>
      </c>
      <c r="H2220" s="11">
        <v>1168</v>
      </c>
      <c r="I2220" s="11">
        <v>5</v>
      </c>
      <c r="J2220" s="11">
        <v>0</v>
      </c>
      <c r="K2220" s="11" t="s">
        <v>21</v>
      </c>
      <c r="L2220" s="7">
        <v>39174.635960648149</v>
      </c>
      <c r="M2220" s="12"/>
      <c r="N2220" s="12" t="s">
        <v>3990</v>
      </c>
      <c r="O2220" s="10" t="str">
        <f t="shared" si="261"/>
        <v>View</v>
      </c>
      <c r="P2220" s="11"/>
    </row>
    <row r="2221" spans="1:16" ht="12.75" x14ac:dyDescent="0.35">
      <c r="A2221" s="7">
        <v>42481.849803240737</v>
      </c>
      <c r="B2221" s="8" t="str">
        <f>HYPERLINK("https://twitter.com/ITK_OWL","@ITK_OWL")</f>
        <v>@ITK_OWL</v>
      </c>
      <c r="C2221" s="9" t="s">
        <v>220</v>
      </c>
      <c r="D2221" s="9" t="s">
        <v>3992</v>
      </c>
      <c r="E2221" s="10" t="str">
        <f>HYPERLINK("https://twitter.com/ITK_OWL/status/723162807349465088","723162807349465088")</f>
        <v>723162807349465088</v>
      </c>
      <c r="F2221" s="11" t="s">
        <v>222</v>
      </c>
      <c r="G2221" s="11">
        <v>199</v>
      </c>
      <c r="H2221" s="11">
        <v>389</v>
      </c>
      <c r="I2221" s="11">
        <v>0</v>
      </c>
      <c r="J2221" s="11">
        <v>0</v>
      </c>
      <c r="K2221" s="11" t="s">
        <v>21</v>
      </c>
      <c r="L2221" s="7">
        <v>42146.57880787037</v>
      </c>
      <c r="M2221" s="12" t="s">
        <v>223</v>
      </c>
      <c r="N2221" s="12" t="s">
        <v>224</v>
      </c>
      <c r="O2221" s="10" t="str">
        <f>HYPERLINK("https://pbs.twimg.com/profile_images/601673968551075840/MnulnKkj_normal.png","View")</f>
        <v>View</v>
      </c>
      <c r="P2221" s="11"/>
    </row>
    <row r="2222" spans="1:16" ht="12.75" x14ac:dyDescent="0.35">
      <c r="A2222" s="7">
        <v>42481.850659722222</v>
      </c>
      <c r="B2222" s="8" t="str">
        <f>HYPERLINK("https://twitter.com/Bitkom","@Bitkom")</f>
        <v>@Bitkom</v>
      </c>
      <c r="C2222" s="9" t="s">
        <v>216</v>
      </c>
      <c r="D2222" s="9" t="s">
        <v>3961</v>
      </c>
      <c r="E2222" s="10" t="str">
        <f>HYPERLINK("https://twitter.com/Bitkom/status/723163115228028932","723163115228028932")</f>
        <v>723163115228028932</v>
      </c>
      <c r="F2222" s="11" t="s">
        <v>25</v>
      </c>
      <c r="G2222" s="11">
        <v>21088</v>
      </c>
      <c r="H2222" s="11">
        <v>3258</v>
      </c>
      <c r="I2222" s="11">
        <v>4</v>
      </c>
      <c r="J2222" s="11">
        <v>0</v>
      </c>
      <c r="K2222" s="11" t="s">
        <v>21</v>
      </c>
      <c r="L2222" s="7">
        <v>39757.913229166668</v>
      </c>
      <c r="M2222" s="12" t="s">
        <v>218</v>
      </c>
      <c r="N2222" s="12" t="s">
        <v>219</v>
      </c>
      <c r="O2222" s="10" t="str">
        <f>HYPERLINK("https://pbs.twimg.com/profile_images/615797525040136192/CKF9-v_o_normal.jpg","View")</f>
        <v>View</v>
      </c>
      <c r="P2222" s="11"/>
    </row>
    <row r="2223" spans="1:16" ht="12.75" x14ac:dyDescent="0.35">
      <c r="A2223" s="7">
        <v>42481.850694444445</v>
      </c>
      <c r="B2223" s="8" t="str">
        <f>HYPERLINK("https://twitter.com/Konecranes_DE","@Konecranes_DE")</f>
        <v>@Konecranes_DE</v>
      </c>
      <c r="C2223" s="9" t="s">
        <v>1828</v>
      </c>
      <c r="D2223" s="9" t="s">
        <v>3993</v>
      </c>
      <c r="E2223" s="10" t="str">
        <f>HYPERLINK("https://twitter.com/Konecranes_DE/status/723163131355213825","723163131355213825")</f>
        <v>723163131355213825</v>
      </c>
      <c r="F2223" s="11" t="s">
        <v>1830</v>
      </c>
      <c r="G2223" s="11">
        <v>894</v>
      </c>
      <c r="H2223" s="11">
        <v>228</v>
      </c>
      <c r="I2223" s="11">
        <v>2</v>
      </c>
      <c r="J2223" s="11">
        <v>2</v>
      </c>
      <c r="K2223" s="11" t="s">
        <v>21</v>
      </c>
      <c r="L2223" s="7">
        <v>39882.804074074076</v>
      </c>
      <c r="M2223" s="12" t="s">
        <v>121</v>
      </c>
      <c r="N2223" s="12" t="s">
        <v>1831</v>
      </c>
      <c r="O2223" s="10" t="str">
        <f>HYPERLINK("https://pbs.twimg.com/profile_images/438307550828560384/ayCoNB0D_normal.jpeg","View")</f>
        <v>View</v>
      </c>
      <c r="P2223" s="11"/>
    </row>
    <row r="2224" spans="1:16" ht="12.75" x14ac:dyDescent="0.35">
      <c r="A2224" s="7">
        <v>42481.852997685186</v>
      </c>
      <c r="B2224" s="8" t="str">
        <f>HYPERLINK("https://twitter.com/JBause","@JBause")</f>
        <v>@JBause</v>
      </c>
      <c r="C2224" s="9" t="s">
        <v>2796</v>
      </c>
      <c r="D2224" s="9" t="s">
        <v>3588</v>
      </c>
      <c r="E2224" s="10" t="str">
        <f>HYPERLINK("https://twitter.com/JBause/status/723163963618394112","723163963618394112")</f>
        <v>723163963618394112</v>
      </c>
      <c r="F2224" s="11" t="s">
        <v>31</v>
      </c>
      <c r="G2224" s="11">
        <v>226</v>
      </c>
      <c r="H2224" s="11">
        <v>211</v>
      </c>
      <c r="I2224" s="11">
        <v>24</v>
      </c>
      <c r="J2224" s="11">
        <v>0</v>
      </c>
      <c r="K2224" s="11" t="s">
        <v>21</v>
      </c>
      <c r="L2224" s="7">
        <v>39969.877164351856</v>
      </c>
      <c r="M2224" s="12" t="s">
        <v>2797</v>
      </c>
      <c r="N2224" s="12" t="s">
        <v>2798</v>
      </c>
      <c r="O2224" s="10" t="str">
        <f>HYPERLINK("https://pbs.twimg.com/profile_images/615223235827900416/r0xU5jIu_normal.jpg","View")</f>
        <v>View</v>
      </c>
      <c r="P2224" s="11"/>
    </row>
    <row r="2225" spans="1:16" ht="12.75" x14ac:dyDescent="0.35">
      <c r="A2225" s="7">
        <v>42481.853067129632</v>
      </c>
      <c r="B2225" s="8" t="str">
        <f>HYPERLINK("https://twitter.com/ProgressSW_DE","@ProgressSW_DE")</f>
        <v>@ProgressSW_DE</v>
      </c>
      <c r="C2225" s="9" t="s">
        <v>3994</v>
      </c>
      <c r="D2225" s="9" t="s">
        <v>3995</v>
      </c>
      <c r="E2225" s="10" t="str">
        <f>HYPERLINK("https://twitter.com/ProgressSW_DE/status/723163991220985856","723163991220985856")</f>
        <v>723163991220985856</v>
      </c>
      <c r="F2225" s="11" t="s">
        <v>25</v>
      </c>
      <c r="G2225" s="11">
        <v>342</v>
      </c>
      <c r="H2225" s="11">
        <v>292</v>
      </c>
      <c r="I2225" s="11">
        <v>0</v>
      </c>
      <c r="J2225" s="11">
        <v>0</v>
      </c>
      <c r="K2225" s="11" t="s">
        <v>21</v>
      </c>
      <c r="L2225" s="7">
        <v>41022.789953703701</v>
      </c>
      <c r="M2225" s="12" t="s">
        <v>92</v>
      </c>
      <c r="N2225" s="12" t="s">
        <v>3996</v>
      </c>
      <c r="O2225" s="10" t="str">
        <f>HYPERLINK("https://pbs.twimg.com/profile_images/378800000565965069/a98f364a74805cd42b34bb38197f51de_normal.png","View")</f>
        <v>View</v>
      </c>
      <c r="P2225" s="11"/>
    </row>
    <row r="2226" spans="1:16" ht="12.75" x14ac:dyDescent="0.35">
      <c r="A2226" s="7">
        <v>42481.85465277778</v>
      </c>
      <c r="B2226" s="8" t="str">
        <f>HYPERLINK("https://twitter.com/Gruendercoaches","@Gruendercoaches")</f>
        <v>@Gruendercoaches</v>
      </c>
      <c r="C2226" s="9" t="s">
        <v>987</v>
      </c>
      <c r="D2226" s="9" t="s">
        <v>3961</v>
      </c>
      <c r="E2226" s="10" t="str">
        <f>HYPERLINK("https://twitter.com/Gruendercoaches/status/723164562984435713","723164562984435713")</f>
        <v>723164562984435713</v>
      </c>
      <c r="F2226" s="11" t="s">
        <v>20</v>
      </c>
      <c r="G2226" s="11">
        <v>4951</v>
      </c>
      <c r="H2226" s="11">
        <v>1604</v>
      </c>
      <c r="I2226" s="11">
        <v>4</v>
      </c>
      <c r="J2226" s="11">
        <v>0</v>
      </c>
      <c r="K2226" s="11" t="s">
        <v>21</v>
      </c>
      <c r="L2226" s="7">
        <v>40865.780300925922</v>
      </c>
      <c r="M2226" s="12" t="s">
        <v>218</v>
      </c>
      <c r="N2226" s="12" t="s">
        <v>988</v>
      </c>
      <c r="O2226" s="10" t="str">
        <f>HYPERLINK("https://pbs.twimg.com/profile_images/561208179355185153/11KDu7Gt_normal.png","View")</f>
        <v>View</v>
      </c>
      <c r="P2226" s="11"/>
    </row>
    <row r="2227" spans="1:16" ht="12.75" x14ac:dyDescent="0.35">
      <c r="A2227" s="7">
        <v>42481.855023148149</v>
      </c>
      <c r="B2227" s="8" t="str">
        <f>HYPERLINK("https://twitter.com/JBause","@JBause")</f>
        <v>@JBause</v>
      </c>
      <c r="C2227" s="9" t="s">
        <v>2796</v>
      </c>
      <c r="D2227" s="9" t="s">
        <v>3968</v>
      </c>
      <c r="E2227" s="10" t="str">
        <f>HYPERLINK("https://twitter.com/JBause/status/723164697185411072","723164697185411072")</f>
        <v>723164697185411072</v>
      </c>
      <c r="F2227" s="11" t="s">
        <v>31</v>
      </c>
      <c r="G2227" s="11">
        <v>226</v>
      </c>
      <c r="H2227" s="11">
        <v>211</v>
      </c>
      <c r="I2227" s="11">
        <v>14</v>
      </c>
      <c r="J2227" s="11">
        <v>0</v>
      </c>
      <c r="K2227" s="11" t="s">
        <v>21</v>
      </c>
      <c r="L2227" s="7">
        <v>39969.877164351856</v>
      </c>
      <c r="M2227" s="12" t="s">
        <v>2797</v>
      </c>
      <c r="N2227" s="12" t="s">
        <v>2798</v>
      </c>
      <c r="O2227" s="10" t="str">
        <f>HYPERLINK("https://pbs.twimg.com/profile_images/615223235827900416/r0xU5jIu_normal.jpg","View")</f>
        <v>View</v>
      </c>
      <c r="P2227" s="11"/>
    </row>
    <row r="2228" spans="1:16" ht="12.75" x14ac:dyDescent="0.35">
      <c r="A2228" s="7">
        <v>42481.855451388888</v>
      </c>
      <c r="B2228" s="8" t="str">
        <f>HYPERLINK("https://twitter.com/Gruendercoaches","@Gruendercoaches")</f>
        <v>@Gruendercoaches</v>
      </c>
      <c r="C2228" s="9" t="s">
        <v>987</v>
      </c>
      <c r="D2228" s="9" t="s">
        <v>3968</v>
      </c>
      <c r="E2228" s="10" t="str">
        <f>HYPERLINK("https://twitter.com/Gruendercoaches/status/723164854169800704","723164854169800704")</f>
        <v>723164854169800704</v>
      </c>
      <c r="F2228" s="11" t="s">
        <v>20</v>
      </c>
      <c r="G2228" s="11">
        <v>4951</v>
      </c>
      <c r="H2228" s="11">
        <v>1604</v>
      </c>
      <c r="I2228" s="11">
        <v>14</v>
      </c>
      <c r="J2228" s="11">
        <v>0</v>
      </c>
      <c r="K2228" s="11" t="s">
        <v>21</v>
      </c>
      <c r="L2228" s="7">
        <v>40865.780300925922</v>
      </c>
      <c r="M2228" s="12" t="s">
        <v>218</v>
      </c>
      <c r="N2228" s="12" t="s">
        <v>988</v>
      </c>
      <c r="O2228" s="10" t="str">
        <f>HYPERLINK("https://pbs.twimg.com/profile_images/561208179355185153/11KDu7Gt_normal.png","View")</f>
        <v>View</v>
      </c>
      <c r="P2228" s="11"/>
    </row>
    <row r="2229" spans="1:16" ht="12.75" x14ac:dyDescent="0.35">
      <c r="A2229" s="7">
        <v>42481.857187500005</v>
      </c>
      <c r="B2229" s="8" t="str">
        <f t="shared" ref="B2229:B2232" si="262">HYPERLINK("https://twitter.com/SGE","@SGE")</f>
        <v>@SGE</v>
      </c>
      <c r="C2229" s="9" t="s">
        <v>3633</v>
      </c>
      <c r="D2229" s="9" t="s">
        <v>3997</v>
      </c>
      <c r="E2229" s="10" t="str">
        <f>HYPERLINK("https://twitter.com/SGE/status/723165484590501888","723165484590501888")</f>
        <v>723165484590501888</v>
      </c>
      <c r="F2229" s="11" t="s">
        <v>39</v>
      </c>
      <c r="G2229" s="11">
        <v>1901</v>
      </c>
      <c r="H2229" s="11">
        <v>231</v>
      </c>
      <c r="I2229" s="11">
        <v>0</v>
      </c>
      <c r="J2229" s="11">
        <v>0</v>
      </c>
      <c r="K2229" s="11" t="s">
        <v>21</v>
      </c>
      <c r="L2229" s="7">
        <v>39937.802928240737</v>
      </c>
      <c r="M2229" s="12" t="s">
        <v>3635</v>
      </c>
      <c r="N2229" s="12" t="s">
        <v>3636</v>
      </c>
      <c r="O2229" s="10" t="str">
        <f t="shared" ref="O2229:O2232" si="263">HYPERLINK("https://pbs.twimg.com/profile_images/471312276767535104/TIanhngf_normal.jpeg","View")</f>
        <v>View</v>
      </c>
      <c r="P2229" s="11"/>
    </row>
    <row r="2230" spans="1:16" ht="12.75" x14ac:dyDescent="0.35">
      <c r="A2230" s="7">
        <v>42481.857997685191</v>
      </c>
      <c r="B2230" s="8" t="str">
        <f t="shared" si="262"/>
        <v>@SGE</v>
      </c>
      <c r="C2230" s="9" t="s">
        <v>3633</v>
      </c>
      <c r="D2230" s="9" t="s">
        <v>3998</v>
      </c>
      <c r="E2230" s="10" t="str">
        <f>HYPERLINK("https://twitter.com/SGE/status/723165778242097153","723165778242097153")</f>
        <v>723165778242097153</v>
      </c>
      <c r="F2230" s="11" t="s">
        <v>39</v>
      </c>
      <c r="G2230" s="11">
        <v>1901</v>
      </c>
      <c r="H2230" s="11">
        <v>231</v>
      </c>
      <c r="I2230" s="11">
        <v>0</v>
      </c>
      <c r="J2230" s="11">
        <v>0</v>
      </c>
      <c r="K2230" s="11" t="s">
        <v>21</v>
      </c>
      <c r="L2230" s="7">
        <v>39937.802928240737</v>
      </c>
      <c r="M2230" s="12" t="s">
        <v>3635</v>
      </c>
      <c r="N2230" s="12" t="s">
        <v>3636</v>
      </c>
      <c r="O2230" s="10" t="str">
        <f t="shared" si="263"/>
        <v>View</v>
      </c>
      <c r="P2230" s="11"/>
    </row>
    <row r="2231" spans="1:16" ht="12.75" x14ac:dyDescent="0.35">
      <c r="A2231" s="7">
        <v>42481.858819444446</v>
      </c>
      <c r="B2231" s="8" t="str">
        <f t="shared" si="262"/>
        <v>@SGE</v>
      </c>
      <c r="C2231" s="9" t="s">
        <v>3633</v>
      </c>
      <c r="D2231" s="9" t="s">
        <v>3999</v>
      </c>
      <c r="E2231" s="10" t="str">
        <f>HYPERLINK("https://twitter.com/SGE/status/723166074242514945","723166074242514945")</f>
        <v>723166074242514945</v>
      </c>
      <c r="F2231" s="11" t="s">
        <v>39</v>
      </c>
      <c r="G2231" s="11">
        <v>1901</v>
      </c>
      <c r="H2231" s="11">
        <v>231</v>
      </c>
      <c r="I2231" s="11">
        <v>0</v>
      </c>
      <c r="J2231" s="11">
        <v>3</v>
      </c>
      <c r="K2231" s="11" t="s">
        <v>21</v>
      </c>
      <c r="L2231" s="7">
        <v>39937.802928240737</v>
      </c>
      <c r="M2231" s="12" t="s">
        <v>3635</v>
      </c>
      <c r="N2231" s="12" t="s">
        <v>3636</v>
      </c>
      <c r="O2231" s="10" t="str">
        <f t="shared" si="263"/>
        <v>View</v>
      </c>
      <c r="P2231" s="11"/>
    </row>
    <row r="2232" spans="1:16" ht="12.75" x14ac:dyDescent="0.35">
      <c r="A2232" s="7">
        <v>42481.8596412037</v>
      </c>
      <c r="B2232" s="8" t="str">
        <f t="shared" si="262"/>
        <v>@SGE</v>
      </c>
      <c r="C2232" s="9" t="s">
        <v>3633</v>
      </c>
      <c r="D2232" s="9" t="s">
        <v>4000</v>
      </c>
      <c r="E2232" s="10" t="str">
        <f>HYPERLINK("https://twitter.com/SGE/status/723166372847558656","723166372847558656")</f>
        <v>723166372847558656</v>
      </c>
      <c r="F2232" s="11" t="s">
        <v>39</v>
      </c>
      <c r="G2232" s="11">
        <v>1901</v>
      </c>
      <c r="H2232" s="11">
        <v>231</v>
      </c>
      <c r="I2232" s="11">
        <v>0</v>
      </c>
      <c r="J2232" s="11">
        <v>0</v>
      </c>
      <c r="K2232" s="11" t="s">
        <v>21</v>
      </c>
      <c r="L2232" s="7">
        <v>39937.802928240737</v>
      </c>
      <c r="M2232" s="12" t="s">
        <v>3635</v>
      </c>
      <c r="N2232" s="12" t="s">
        <v>3636</v>
      </c>
      <c r="O2232" s="10" t="str">
        <f t="shared" si="263"/>
        <v>View</v>
      </c>
      <c r="P2232" s="11"/>
    </row>
    <row r="2233" spans="1:16" ht="12.75" x14ac:dyDescent="0.35">
      <c r="A2233" s="7">
        <v>42481.859814814816</v>
      </c>
      <c r="B2233" s="8" t="str">
        <f>HYPERLINK("https://twitter.com/CreativeConstr","@CreativeConstr")</f>
        <v>@CreativeConstr</v>
      </c>
      <c r="C2233" s="9" t="s">
        <v>4001</v>
      </c>
      <c r="D2233" s="9" t="s">
        <v>4002</v>
      </c>
      <c r="E2233" s="10" t="str">
        <f>HYPERLINK("https://twitter.com/CreativeConstr/status/723166435497922560","723166435497922560")</f>
        <v>723166435497922560</v>
      </c>
      <c r="F2233" s="11" t="s">
        <v>59</v>
      </c>
      <c r="G2233" s="11">
        <v>568</v>
      </c>
      <c r="H2233" s="11">
        <v>512</v>
      </c>
      <c r="I2233" s="11">
        <v>0</v>
      </c>
      <c r="J2233" s="11">
        <v>0</v>
      </c>
      <c r="K2233" s="11" t="s">
        <v>21</v>
      </c>
      <c r="L2233" s="7">
        <v>40665.909409722226</v>
      </c>
      <c r="M2233" s="12" t="s">
        <v>227</v>
      </c>
      <c r="N2233" s="12" t="s">
        <v>4003</v>
      </c>
      <c r="O2233" s="10" t="str">
        <f>HYPERLINK("https://pbs.twimg.com/profile_images/1409701968/CC_normal.jpg","View")</f>
        <v>View</v>
      </c>
      <c r="P2233" s="11"/>
    </row>
    <row r="2234" spans="1:16" ht="12.75" x14ac:dyDescent="0.35">
      <c r="A2234" s="7">
        <v>42481.861562499995</v>
      </c>
      <c r="B2234" s="8" t="str">
        <f>HYPERLINK("https://twitter.com/s_rohrbach","@s_rohrbach")</f>
        <v>@s_rohrbach</v>
      </c>
      <c r="C2234" s="9" t="s">
        <v>4004</v>
      </c>
      <c r="D2234" s="9" t="s">
        <v>3991</v>
      </c>
      <c r="E2234" s="10" t="str">
        <f>HYPERLINK("https://twitter.com/s_rohrbach/status/723167066346426369","723167066346426369")</f>
        <v>723167066346426369</v>
      </c>
      <c r="F2234" s="11" t="s">
        <v>31</v>
      </c>
      <c r="G2234" s="11">
        <v>121</v>
      </c>
      <c r="H2234" s="11">
        <v>159</v>
      </c>
      <c r="I2234" s="11">
        <v>5</v>
      </c>
      <c r="J2234" s="11">
        <v>0</v>
      </c>
      <c r="K2234" s="11" t="s">
        <v>21</v>
      </c>
      <c r="L2234" s="7">
        <v>41934.586006944446</v>
      </c>
      <c r="M2234" s="12" t="s">
        <v>218</v>
      </c>
      <c r="N2234" s="12" t="s">
        <v>4005</v>
      </c>
      <c r="O2234" s="10" t="str">
        <f>HYPERLINK("https://pbs.twimg.com/profile_images/556544747477929984/qc_itTgJ_normal.jpeg","View")</f>
        <v>View</v>
      </c>
      <c r="P2234" s="11"/>
    </row>
    <row r="2235" spans="1:16" ht="12.75" x14ac:dyDescent="0.35">
      <c r="A2235" s="7">
        <v>42481.861817129626</v>
      </c>
      <c r="B2235" s="8" t="str">
        <f t="shared" ref="B2235:B2236" si="264">HYPERLINK("https://twitter.com/SGE","@SGE")</f>
        <v>@SGE</v>
      </c>
      <c r="C2235" s="9" t="s">
        <v>3633</v>
      </c>
      <c r="D2235" s="9" t="s">
        <v>4006</v>
      </c>
      <c r="E2235" s="10" t="str">
        <f>HYPERLINK("https://twitter.com/SGE/status/723167158843392000","723167158843392000")</f>
        <v>723167158843392000</v>
      </c>
      <c r="F2235" s="11" t="s">
        <v>39</v>
      </c>
      <c r="G2235" s="11">
        <v>1901</v>
      </c>
      <c r="H2235" s="11">
        <v>231</v>
      </c>
      <c r="I2235" s="11">
        <v>0</v>
      </c>
      <c r="J2235" s="11">
        <v>0</v>
      </c>
      <c r="K2235" s="11" t="s">
        <v>21</v>
      </c>
      <c r="L2235" s="7">
        <v>39937.802928240737</v>
      </c>
      <c r="M2235" s="12" t="s">
        <v>3635</v>
      </c>
      <c r="N2235" s="12" t="s">
        <v>3636</v>
      </c>
      <c r="O2235" s="10" t="str">
        <f t="shared" ref="O2235:O2236" si="265">HYPERLINK("https://pbs.twimg.com/profile_images/471312276767535104/TIanhngf_normal.jpeg","View")</f>
        <v>View</v>
      </c>
      <c r="P2235" s="11"/>
    </row>
    <row r="2236" spans="1:16" ht="12.75" x14ac:dyDescent="0.35">
      <c r="A2236" s="7">
        <v>42481.862395833334</v>
      </c>
      <c r="B2236" s="8" t="str">
        <f t="shared" si="264"/>
        <v>@SGE</v>
      </c>
      <c r="C2236" s="9" t="s">
        <v>3633</v>
      </c>
      <c r="D2236" s="9" t="s">
        <v>4007</v>
      </c>
      <c r="E2236" s="10" t="str">
        <f>HYPERLINK("https://twitter.com/SGE/status/723167369879781376","723167369879781376")</f>
        <v>723167369879781376</v>
      </c>
      <c r="F2236" s="11" t="s">
        <v>39</v>
      </c>
      <c r="G2236" s="11">
        <v>1901</v>
      </c>
      <c r="H2236" s="11">
        <v>231</v>
      </c>
      <c r="I2236" s="11">
        <v>0</v>
      </c>
      <c r="J2236" s="11">
        <v>0</v>
      </c>
      <c r="K2236" s="11" t="s">
        <v>21</v>
      </c>
      <c r="L2236" s="7">
        <v>39937.802928240737</v>
      </c>
      <c r="M2236" s="12" t="s">
        <v>3635</v>
      </c>
      <c r="N2236" s="12" t="s">
        <v>3636</v>
      </c>
      <c r="O2236" s="10" t="str">
        <f t="shared" si="265"/>
        <v>View</v>
      </c>
      <c r="P2236" s="11"/>
    </row>
    <row r="2237" spans="1:16" ht="12.75" x14ac:dyDescent="0.35">
      <c r="A2237" s="7">
        <v>42481.863125000003</v>
      </c>
      <c r="B2237" s="8" t="str">
        <f>HYPERLINK("https://twitter.com/BeniSeiler","@BeniSeiler")</f>
        <v>@BeniSeiler</v>
      </c>
      <c r="C2237" s="9" t="s">
        <v>3875</v>
      </c>
      <c r="D2237" s="9" t="s">
        <v>4008</v>
      </c>
      <c r="E2237" s="10" t="str">
        <f>HYPERLINK("https://twitter.com/BeniSeiler/status/723167634720718849","723167634720718849")</f>
        <v>723167634720718849</v>
      </c>
      <c r="F2237" s="11" t="s">
        <v>31</v>
      </c>
      <c r="G2237" s="11">
        <v>272</v>
      </c>
      <c r="H2237" s="11">
        <v>404</v>
      </c>
      <c r="I2237" s="11">
        <v>0</v>
      </c>
      <c r="J2237" s="11">
        <v>1</v>
      </c>
      <c r="K2237" s="11" t="s">
        <v>21</v>
      </c>
      <c r="L2237" s="7">
        <v>40532.154027777782</v>
      </c>
      <c r="M2237" s="12"/>
      <c r="N2237" s="12" t="s">
        <v>3877</v>
      </c>
      <c r="O2237" s="10" t="str">
        <f>HYPERLINK("https://pbs.twimg.com/profile_images/568671099278606336/tELKp5D5_normal.jpeg","View")</f>
        <v>View</v>
      </c>
      <c r="P2237" s="11"/>
    </row>
    <row r="2238" spans="1:16" ht="12.75" x14ac:dyDescent="0.35">
      <c r="A2238" s="7">
        <v>42481.864039351851</v>
      </c>
      <c r="B2238" s="8" t="str">
        <f>HYPERLINK("https://twitter.com/DominikBuergi","@DominikBuergi")</f>
        <v>@DominikBuergi</v>
      </c>
      <c r="C2238" s="9" t="s">
        <v>4009</v>
      </c>
      <c r="D2238" s="9" t="s">
        <v>3957</v>
      </c>
      <c r="E2238" s="10" t="str">
        <f>HYPERLINK("https://twitter.com/DominikBuergi/status/723167967396155392","723167967396155392")</f>
        <v>723167967396155392</v>
      </c>
      <c r="F2238" s="11" t="s">
        <v>31</v>
      </c>
      <c r="G2238" s="11">
        <v>58</v>
      </c>
      <c r="H2238" s="11">
        <v>101</v>
      </c>
      <c r="I2238" s="11">
        <v>3</v>
      </c>
      <c r="J2238" s="11">
        <v>0</v>
      </c>
      <c r="K2238" s="11" t="s">
        <v>21</v>
      </c>
      <c r="L2238" s="7">
        <v>41431.539398148147</v>
      </c>
      <c r="M2238" s="12"/>
      <c r="N2238" s="12"/>
      <c r="O2238" s="10" t="str">
        <f>HYPERLINK("https://pbs.twimg.com/profile_images/3763167092/97da7a2f03bd12f3fad27eba9bbb1034_normal.jpeg","View")</f>
        <v>View</v>
      </c>
      <c r="P2238" s="11"/>
    </row>
    <row r="2239" spans="1:16" ht="12.75" x14ac:dyDescent="0.35">
      <c r="A2239" s="7">
        <v>42481.864375000005</v>
      </c>
      <c r="B2239" s="8" t="str">
        <f>HYPERLINK("https://twitter.com/TammoSchwindt","@TammoSchwindt")</f>
        <v>@TammoSchwindt</v>
      </c>
      <c r="C2239" s="9" t="s">
        <v>4010</v>
      </c>
      <c r="D2239" s="9" t="s">
        <v>4011</v>
      </c>
      <c r="E2239" s="10" t="str">
        <f>HYPERLINK("https://twitter.com/TammoSchwindt/status/723168087994949632","723168087994949632")</f>
        <v>723168087994949632</v>
      </c>
      <c r="F2239" s="11" t="s">
        <v>31</v>
      </c>
      <c r="G2239" s="11">
        <v>52</v>
      </c>
      <c r="H2239" s="11">
        <v>252</v>
      </c>
      <c r="I2239" s="11">
        <v>1</v>
      </c>
      <c r="J2239" s="11">
        <v>0</v>
      </c>
      <c r="K2239" s="11" t="s">
        <v>21</v>
      </c>
      <c r="L2239" s="7">
        <v>41735.018854166665</v>
      </c>
      <c r="M2239" s="12" t="s">
        <v>121</v>
      </c>
      <c r="N2239" s="12" t="s">
        <v>4012</v>
      </c>
      <c r="O2239" s="10" t="str">
        <f>HYPERLINK("https://pbs.twimg.com/profile_images/637311174229495808/i_CI23oa_normal.jpg","View")</f>
        <v>View</v>
      </c>
      <c r="P2239" s="11"/>
    </row>
    <row r="2240" spans="1:16" ht="12.75" x14ac:dyDescent="0.35">
      <c r="A2240" s="7">
        <v>42481.864548611113</v>
      </c>
      <c r="B2240" s="8" t="str">
        <f>HYPERLINK("https://twitter.com/mark_asbach","@mark_asbach")</f>
        <v>@mark_asbach</v>
      </c>
      <c r="C2240" s="9" t="s">
        <v>4013</v>
      </c>
      <c r="D2240" s="9" t="s">
        <v>3961</v>
      </c>
      <c r="E2240" s="10" t="str">
        <f>HYPERLINK("https://twitter.com/mark_asbach/status/723168151270264832","723168151270264832")</f>
        <v>723168151270264832</v>
      </c>
      <c r="F2240" s="11" t="s">
        <v>31</v>
      </c>
      <c r="G2240" s="11">
        <v>64</v>
      </c>
      <c r="H2240" s="11">
        <v>62</v>
      </c>
      <c r="I2240" s="11">
        <v>4</v>
      </c>
      <c r="J2240" s="11">
        <v>0</v>
      </c>
      <c r="K2240" s="11" t="s">
        <v>21</v>
      </c>
      <c r="L2240" s="7">
        <v>40200.725462962961</v>
      </c>
      <c r="M2240" s="12" t="s">
        <v>121</v>
      </c>
      <c r="N2240" s="12" t="s">
        <v>4014</v>
      </c>
      <c r="O2240" s="10" t="str">
        <f>HYPERLINK("https://pbs.twimg.com/profile_images/673648481/twitter-profilfoto_normal.jpg","View")</f>
        <v>View</v>
      </c>
      <c r="P2240" s="11"/>
    </row>
    <row r="2241" spans="1:16" ht="12.75" x14ac:dyDescent="0.35">
      <c r="A2241" s="7">
        <v>42481.864756944444</v>
      </c>
      <c r="B2241" s="8" t="str">
        <f>HYPERLINK("https://twitter.com/Infosys","@Infosys")</f>
        <v>@Infosys</v>
      </c>
      <c r="C2241" s="9" t="s">
        <v>4015</v>
      </c>
      <c r="D2241" s="9" t="s">
        <v>4016</v>
      </c>
      <c r="E2241" s="10" t="str">
        <f>HYPERLINK("https://twitter.com/Infosys/status/723168224712515584","723168224712515584")</f>
        <v>723168224712515584</v>
      </c>
      <c r="F2241" s="11" t="s">
        <v>39</v>
      </c>
      <c r="G2241" s="11">
        <v>192800</v>
      </c>
      <c r="H2241" s="11">
        <v>617</v>
      </c>
      <c r="I2241" s="11">
        <v>4</v>
      </c>
      <c r="J2241" s="11">
        <v>3</v>
      </c>
      <c r="K2241" s="11" t="s">
        <v>21</v>
      </c>
      <c r="L2241" s="7">
        <v>39559.868657407409</v>
      </c>
      <c r="M2241" s="12" t="s">
        <v>3522</v>
      </c>
      <c r="N2241" s="12" t="s">
        <v>4017</v>
      </c>
      <c r="O2241" s="10" t="str">
        <f>HYPERLINK("https://pbs.twimg.com/profile_images/464342929553645568/ti4ho-YV_normal.png","View")</f>
        <v>View</v>
      </c>
      <c r="P2241" s="11"/>
    </row>
    <row r="2242" spans="1:16" ht="12.75" x14ac:dyDescent="0.35">
      <c r="A2242" s="7">
        <v>42481.864953703705</v>
      </c>
      <c r="B2242" s="8" t="str">
        <f>HYPERLINK("https://twitter.com/nitinkolwadkar","@nitinkolwadkar")</f>
        <v>@nitinkolwadkar</v>
      </c>
      <c r="C2242" s="9" t="s">
        <v>4018</v>
      </c>
      <c r="D2242" s="9" t="s">
        <v>4019</v>
      </c>
      <c r="E2242" s="10" t="str">
        <f>HYPERLINK("https://twitter.com/nitinkolwadkar/status/723168296095354880","723168296095354880")</f>
        <v>723168296095354880</v>
      </c>
      <c r="F2242" s="11" t="s">
        <v>866</v>
      </c>
      <c r="G2242" s="11">
        <v>371</v>
      </c>
      <c r="H2242" s="11">
        <v>1296</v>
      </c>
      <c r="I2242" s="11">
        <v>4</v>
      </c>
      <c r="J2242" s="11">
        <v>0</v>
      </c>
      <c r="K2242" s="11" t="s">
        <v>21</v>
      </c>
      <c r="L2242" s="7">
        <v>41944.755173611113</v>
      </c>
      <c r="M2242" s="12" t="s">
        <v>1972</v>
      </c>
      <c r="N2242" s="12" t="s">
        <v>4020</v>
      </c>
      <c r="O2242" s="10" t="str">
        <f>HYPERLINK("https://pbs.twimg.com/profile_images/632832196001206272/A_Tfibsm_normal.jpg","View")</f>
        <v>View</v>
      </c>
      <c r="P2242" s="11"/>
    </row>
    <row r="2243" spans="1:16" ht="12.75" x14ac:dyDescent="0.35">
      <c r="A2243" s="7">
        <v>42481.866122685184</v>
      </c>
      <c r="B2243" s="8" t="str">
        <f>HYPERLINK("https://twitter.com/Philippa_IMechE","@Philippa_IMechE")</f>
        <v>@Philippa_IMechE</v>
      </c>
      <c r="C2243" s="9" t="s">
        <v>4021</v>
      </c>
      <c r="D2243" s="9" t="s">
        <v>4022</v>
      </c>
      <c r="E2243" s="10" t="str">
        <f>HYPERLINK("https://twitter.com/Philippa_IMechE/status/723168720609120256","723168720609120256")</f>
        <v>723168720609120256</v>
      </c>
      <c r="F2243" s="11" t="s">
        <v>25</v>
      </c>
      <c r="G2243" s="11">
        <v>1738</v>
      </c>
      <c r="H2243" s="11">
        <v>1292</v>
      </c>
      <c r="I2243" s="11">
        <v>4</v>
      </c>
      <c r="J2243" s="11">
        <v>2</v>
      </c>
      <c r="K2243" s="11" t="s">
        <v>21</v>
      </c>
      <c r="L2243" s="7">
        <v>41120.571828703702</v>
      </c>
      <c r="M2243" s="12" t="s">
        <v>3829</v>
      </c>
      <c r="N2243" s="12" t="s">
        <v>4023</v>
      </c>
      <c r="O2243" s="10" t="str">
        <f>HYPERLINK("https://pbs.twimg.com/profile_images/2447768381/c72zdveu8cxcv15s9782_normal.jpeg","View")</f>
        <v>View</v>
      </c>
      <c r="P2243" s="11"/>
    </row>
    <row r="2244" spans="1:16" ht="12.75" x14ac:dyDescent="0.35">
      <c r="A2244" s="7">
        <v>42481.866435185184</v>
      </c>
      <c r="B2244" s="8" t="str">
        <f>HYPERLINK("https://twitter.com/croXXing_IBD","@croXXing_IBD")</f>
        <v>@croXXing_IBD</v>
      </c>
      <c r="C2244" s="9" t="s">
        <v>252</v>
      </c>
      <c r="D2244" s="9" t="s">
        <v>4024</v>
      </c>
      <c r="E2244" s="10" t="str">
        <f>HYPERLINK("https://twitter.com/croXXing_IBD/status/723168832169345024","723168832169345024")</f>
        <v>723168832169345024</v>
      </c>
      <c r="F2244" s="11" t="s">
        <v>222</v>
      </c>
      <c r="G2244" s="11">
        <v>40</v>
      </c>
      <c r="H2244" s="11">
        <v>137</v>
      </c>
      <c r="I2244" s="11">
        <v>0</v>
      </c>
      <c r="J2244" s="11">
        <v>0</v>
      </c>
      <c r="K2244" s="11" t="s">
        <v>21</v>
      </c>
      <c r="L2244" s="7">
        <v>42140.148263888885</v>
      </c>
      <c r="M2244" s="12" t="s">
        <v>223</v>
      </c>
      <c r="N2244" s="12" t="s">
        <v>254</v>
      </c>
      <c r="O2244" s="10" t="str">
        <f>HYPERLINK("https://pbs.twimg.com/profile_images/600279861282869249/IpIJ3MKX_normal.png","View")</f>
        <v>View</v>
      </c>
      <c r="P2244" s="11"/>
    </row>
    <row r="2245" spans="1:16" ht="12.75" x14ac:dyDescent="0.35">
      <c r="A2245" s="7">
        <v>42481.866759259261</v>
      </c>
      <c r="B2245" s="8" t="str">
        <f>HYPERLINK("https://twitter.com/mohamedanis","@mohamedanis")</f>
        <v>@mohamedanis</v>
      </c>
      <c r="C2245" s="9" t="s">
        <v>4025</v>
      </c>
      <c r="D2245" s="9" t="s">
        <v>4026</v>
      </c>
      <c r="E2245" s="10" t="str">
        <f>HYPERLINK("https://twitter.com/mohamedanis/status/723168950184488961","723168950184488961")</f>
        <v>723168950184488961</v>
      </c>
      <c r="F2245" s="11" t="s">
        <v>222</v>
      </c>
      <c r="G2245" s="11">
        <v>300</v>
      </c>
      <c r="H2245" s="11">
        <v>843</v>
      </c>
      <c r="I2245" s="11">
        <v>0</v>
      </c>
      <c r="J2245" s="11">
        <v>0</v>
      </c>
      <c r="K2245" s="11" t="s">
        <v>21</v>
      </c>
      <c r="L2245" s="7">
        <v>39452.196064814816</v>
      </c>
      <c r="M2245" s="12" t="s">
        <v>3829</v>
      </c>
      <c r="N2245" s="12"/>
      <c r="O2245" s="10" t="str">
        <f>HYPERLINK("https://pbs.twimg.com/profile_images/1117525291/image_normal.jpg","View")</f>
        <v>View</v>
      </c>
      <c r="P2245" s="11"/>
    </row>
    <row r="2246" spans="1:16" ht="12.75" x14ac:dyDescent="0.35">
      <c r="A2246" s="7">
        <v>42481.867025462961</v>
      </c>
      <c r="B2246" s="8" t="str">
        <f>HYPERLINK("https://twitter.com/SchneiderElecDE","@SchneiderElecDE")</f>
        <v>@SchneiderElecDE</v>
      </c>
      <c r="C2246" s="9" t="s">
        <v>147</v>
      </c>
      <c r="D2246" s="9" t="s">
        <v>3646</v>
      </c>
      <c r="E2246" s="10" t="str">
        <f>HYPERLINK("https://twitter.com/SchneiderElecDE/status/723169049023115266","723169049023115266")</f>
        <v>723169049023115266</v>
      </c>
      <c r="F2246" s="11" t="s">
        <v>25</v>
      </c>
      <c r="G2246" s="11">
        <v>3011</v>
      </c>
      <c r="H2246" s="11">
        <v>3002</v>
      </c>
      <c r="I2246" s="11">
        <v>11</v>
      </c>
      <c r="J2246" s="11">
        <v>0</v>
      </c>
      <c r="K2246" s="11" t="s">
        <v>21</v>
      </c>
      <c r="L2246" s="7">
        <v>41289.838483796295</v>
      </c>
      <c r="M2246" s="12" t="s">
        <v>92</v>
      </c>
      <c r="N2246" s="12" t="s">
        <v>148</v>
      </c>
      <c r="O2246" s="10" t="str">
        <f>HYPERLINK("https://pbs.twimg.com/profile_images/3112599272/7446ab70cbab1cf15ac54e9b795d2849_normal.jpeg","View")</f>
        <v>View</v>
      </c>
      <c r="P2246" s="11"/>
    </row>
    <row r="2247" spans="1:16" ht="12.75" x14ac:dyDescent="0.35">
      <c r="A2247" s="7">
        <v>42481.867060185185</v>
      </c>
      <c r="B2247" s="8" t="str">
        <f>HYPERLINK("https://twitter.com/BDOManufacture","@BDOManufacture")</f>
        <v>@BDOManufacture</v>
      </c>
      <c r="C2247" s="9" t="s">
        <v>4027</v>
      </c>
      <c r="D2247" s="9" t="s">
        <v>4028</v>
      </c>
      <c r="E2247" s="10" t="str">
        <f>HYPERLINK("https://twitter.com/BDOManufacture/status/723169062176563200","723169062176563200")</f>
        <v>723169062176563200</v>
      </c>
      <c r="F2247" s="11" t="s">
        <v>31</v>
      </c>
      <c r="G2247" s="11">
        <v>659</v>
      </c>
      <c r="H2247" s="11">
        <v>598</v>
      </c>
      <c r="I2247" s="11">
        <v>4</v>
      </c>
      <c r="J2247" s="11">
        <v>0</v>
      </c>
      <c r="K2247" s="11" t="s">
        <v>21</v>
      </c>
      <c r="L2247" s="7">
        <v>40861.626481481479</v>
      </c>
      <c r="M2247" s="12" t="s">
        <v>1294</v>
      </c>
      <c r="N2247" s="12" t="s">
        <v>4029</v>
      </c>
      <c r="O2247" s="10" t="str">
        <f>HYPERLINK("https://pbs.twimg.com/profile_images/1638383984/bdotwitter_normal.JPG","View")</f>
        <v>View</v>
      </c>
      <c r="P2247" s="11"/>
    </row>
    <row r="2248" spans="1:16" ht="12.75" x14ac:dyDescent="0.35">
      <c r="A2248" s="7">
        <v>42481.868020833332</v>
      </c>
      <c r="B2248" s="8" t="str">
        <f>HYPERLINK("https://twitter.com/S_Koebernick","@S_Koebernick")</f>
        <v>@S_Koebernick</v>
      </c>
      <c r="C2248" s="9" t="s">
        <v>568</v>
      </c>
      <c r="D2248" s="9" t="s">
        <v>4030</v>
      </c>
      <c r="E2248" s="10" t="str">
        <f>HYPERLINK("https://twitter.com/S_Koebernick/status/723169410135904256","723169410135904256")</f>
        <v>723169410135904256</v>
      </c>
      <c r="F2248" s="11" t="s">
        <v>25</v>
      </c>
      <c r="G2248" s="11">
        <v>106</v>
      </c>
      <c r="H2248" s="11">
        <v>241</v>
      </c>
      <c r="I2248" s="11">
        <v>0</v>
      </c>
      <c r="J2248" s="11">
        <v>0</v>
      </c>
      <c r="K2248" s="11" t="s">
        <v>21</v>
      </c>
      <c r="L2248" s="7">
        <v>41040.836817129632</v>
      </c>
      <c r="M2248" s="12"/>
      <c r="N2248" s="12" t="s">
        <v>570</v>
      </c>
      <c r="O2248" s="10" t="str">
        <f>HYPERLINK("https://pbs.twimg.com/profile_images/567384025568776192/u-T3fEX2_normal.jpeg","View")</f>
        <v>View</v>
      </c>
      <c r="P2248" s="11"/>
    </row>
    <row r="2249" spans="1:16" ht="12.75" x14ac:dyDescent="0.35">
      <c r="A2249" s="7">
        <v>42481.868738425925</v>
      </c>
      <c r="B2249" s="8" t="str">
        <f>HYPERLINK("https://twitter.com/RonaldSchlager","@RonaldSchlager")</f>
        <v>@RonaldSchlager</v>
      </c>
      <c r="C2249" s="9" t="s">
        <v>4031</v>
      </c>
      <c r="D2249" s="9" t="s">
        <v>3646</v>
      </c>
      <c r="E2249" s="10" t="str">
        <f>HYPERLINK("https://twitter.com/RonaldSchlager/status/723169668203220996","723169668203220996")</f>
        <v>723169668203220996</v>
      </c>
      <c r="F2249" s="11" t="s">
        <v>20</v>
      </c>
      <c r="G2249" s="11">
        <v>812</v>
      </c>
      <c r="H2249" s="11">
        <v>2178</v>
      </c>
      <c r="I2249" s="11">
        <v>11</v>
      </c>
      <c r="J2249" s="11">
        <v>0</v>
      </c>
      <c r="K2249" s="11" t="s">
        <v>21</v>
      </c>
      <c r="L2249" s="7">
        <v>41954.655868055561</v>
      </c>
      <c r="M2249" s="12" t="s">
        <v>4032</v>
      </c>
      <c r="N2249" s="12" t="s">
        <v>4033</v>
      </c>
      <c r="O2249" s="10" t="str">
        <f>HYPERLINK("https://pbs.twimg.com/profile_images/534621099556737026/DyF7DRy5_normal.jpeg","View")</f>
        <v>View</v>
      </c>
      <c r="P2249" s="11"/>
    </row>
    <row r="2250" spans="1:16" ht="12.75" x14ac:dyDescent="0.35">
      <c r="A2250" s="7">
        <v>42481.870358796295</v>
      </c>
      <c r="B2250" s="8" t="str">
        <f>HYPERLINK("https://twitter.com/ITOrakel","@ITOrakel")</f>
        <v>@ITOrakel</v>
      </c>
      <c r="C2250" s="9" t="s">
        <v>4034</v>
      </c>
      <c r="D2250" s="9" t="s">
        <v>4035</v>
      </c>
      <c r="E2250" s="10" t="str">
        <f>HYPERLINK("https://twitter.com/ITOrakel/status/723170253992243200","723170253992243200")</f>
        <v>723170253992243200</v>
      </c>
      <c r="F2250" s="11" t="s">
        <v>29</v>
      </c>
      <c r="G2250" s="11">
        <v>22</v>
      </c>
      <c r="H2250" s="11">
        <v>64</v>
      </c>
      <c r="I2250" s="11">
        <v>0</v>
      </c>
      <c r="J2250" s="11">
        <v>0</v>
      </c>
      <c r="K2250" s="11" t="s">
        <v>21</v>
      </c>
      <c r="L2250" s="7">
        <v>42480.03842592593</v>
      </c>
      <c r="M2250" s="12" t="s">
        <v>116</v>
      </c>
      <c r="N2250" s="12" t="s">
        <v>4036</v>
      </c>
      <c r="O2250" s="10" t="str">
        <f>HYPERLINK("https://pbs.twimg.com/profile_images/722507600802287616/yHub8Hvx_normal.jpg","View")</f>
        <v>View</v>
      </c>
      <c r="P2250" s="11"/>
    </row>
    <row r="2251" spans="1:16" ht="12.75" x14ac:dyDescent="0.35">
      <c r="A2251" s="7">
        <v>42481.873298611114</v>
      </c>
      <c r="B2251" s="8" t="str">
        <f>HYPERLINK("https://twitter.com/ITK_OWL","@ITK_OWL")</f>
        <v>@ITK_OWL</v>
      </c>
      <c r="C2251" s="9" t="s">
        <v>220</v>
      </c>
      <c r="D2251" s="9" t="s">
        <v>4037</v>
      </c>
      <c r="E2251" s="10" t="str">
        <f>HYPERLINK("https://twitter.com/ITK_OWL/status/723171321484550144","723171321484550144")</f>
        <v>723171321484550144</v>
      </c>
      <c r="F2251" s="11" t="s">
        <v>222</v>
      </c>
      <c r="G2251" s="11">
        <v>199</v>
      </c>
      <c r="H2251" s="11">
        <v>389</v>
      </c>
      <c r="I2251" s="11">
        <v>0</v>
      </c>
      <c r="J2251" s="11">
        <v>0</v>
      </c>
      <c r="K2251" s="11" t="s">
        <v>21</v>
      </c>
      <c r="L2251" s="7">
        <v>42146.57880787037</v>
      </c>
      <c r="M2251" s="12" t="s">
        <v>223</v>
      </c>
      <c r="N2251" s="12" t="s">
        <v>224</v>
      </c>
      <c r="O2251" s="10" t="str">
        <f>HYPERLINK("https://pbs.twimg.com/profile_images/601673968551075840/MnulnKkj_normal.png","View")</f>
        <v>View</v>
      </c>
      <c r="P2251" s="11"/>
    </row>
    <row r="2252" spans="1:16" ht="12.75" x14ac:dyDescent="0.35">
      <c r="A2252" s="7">
        <v>42481.873854166668</v>
      </c>
      <c r="B2252" s="8" t="str">
        <f>HYPERLINK("https://twitter.com/IMechE_YMB","@IMechE_YMB")</f>
        <v>@IMechE_YMB</v>
      </c>
      <c r="C2252" s="9" t="s">
        <v>4038</v>
      </c>
      <c r="D2252" s="9" t="s">
        <v>4028</v>
      </c>
      <c r="E2252" s="10" t="str">
        <f>HYPERLINK("https://twitter.com/IMechE_YMB/status/723171523930918914","723171523930918914")</f>
        <v>723171523930918914</v>
      </c>
      <c r="F2252" s="11" t="s">
        <v>25</v>
      </c>
      <c r="G2252" s="11">
        <v>3375</v>
      </c>
      <c r="H2252" s="11">
        <v>728</v>
      </c>
      <c r="I2252" s="11">
        <v>4</v>
      </c>
      <c r="J2252" s="11">
        <v>0</v>
      </c>
      <c r="K2252" s="11" t="s">
        <v>21</v>
      </c>
      <c r="L2252" s="7">
        <v>40688.702141203699</v>
      </c>
      <c r="M2252" s="12" t="s">
        <v>4039</v>
      </c>
      <c r="N2252" s="12" t="s">
        <v>4040</v>
      </c>
      <c r="O2252" s="10" t="str">
        <f>HYPERLINK("https://pbs.twimg.com/profile_images/1556232610/IMechE-YM-t_normal.jpg","View")</f>
        <v>View</v>
      </c>
      <c r="P2252" s="11"/>
    </row>
    <row r="2253" spans="1:16" ht="12.75" x14ac:dyDescent="0.35">
      <c r="A2253" s="7">
        <v>42481.874803240746</v>
      </c>
      <c r="B2253" s="8" t="str">
        <f>HYPERLINK("https://twitter.com/IETYoungPros","@IETYoungPros")</f>
        <v>@IETYoungPros</v>
      </c>
      <c r="C2253" s="9" t="s">
        <v>4041</v>
      </c>
      <c r="D2253" s="9" t="s">
        <v>4028</v>
      </c>
      <c r="E2253" s="10" t="str">
        <f>HYPERLINK("https://twitter.com/IETYoungPros/status/723171867624890368","723171867624890368")</f>
        <v>723171867624890368</v>
      </c>
      <c r="F2253" s="11" t="s">
        <v>437</v>
      </c>
      <c r="G2253" s="11">
        <v>387</v>
      </c>
      <c r="H2253" s="11">
        <v>191</v>
      </c>
      <c r="I2253" s="11">
        <v>4</v>
      </c>
      <c r="J2253" s="11">
        <v>0</v>
      </c>
      <c r="K2253" s="11" t="s">
        <v>21</v>
      </c>
      <c r="L2253" s="7">
        <v>41701.636932870373</v>
      </c>
      <c r="M2253" s="12"/>
      <c r="N2253" s="12" t="s">
        <v>4042</v>
      </c>
      <c r="O2253" s="10" t="str">
        <f>HYPERLINK("https://pbs.twimg.com/profile_images/440423895963664384/T30y1kSZ_normal.jpeg","View")</f>
        <v>View</v>
      </c>
      <c r="P2253" s="11"/>
    </row>
    <row r="2254" spans="1:16" ht="12.75" x14ac:dyDescent="0.35">
      <c r="A2254" s="7">
        <v>42481.874826388885</v>
      </c>
      <c r="B2254" s="8" t="str">
        <f t="shared" ref="B2254:B2255" si="266">HYPERLINK("https://twitter.com/A_Ostertag","@A_Ostertag")</f>
        <v>@A_Ostertag</v>
      </c>
      <c r="C2254" s="9" t="s">
        <v>4043</v>
      </c>
      <c r="D2254" s="9" t="s">
        <v>4044</v>
      </c>
      <c r="E2254" s="10" t="str">
        <f>HYPERLINK("https://twitter.com/A_Ostertag/status/723171876546056192","723171876546056192")</f>
        <v>723171876546056192</v>
      </c>
      <c r="F2254" s="11" t="s">
        <v>25</v>
      </c>
      <c r="G2254" s="11">
        <v>134</v>
      </c>
      <c r="H2254" s="11">
        <v>201</v>
      </c>
      <c r="I2254" s="11">
        <v>1</v>
      </c>
      <c r="J2254" s="11">
        <v>0</v>
      </c>
      <c r="K2254" s="11" t="s">
        <v>21</v>
      </c>
      <c r="L2254" s="7">
        <v>40399.545092592591</v>
      </c>
      <c r="M2254" s="12" t="s">
        <v>2229</v>
      </c>
      <c r="N2254" s="12" t="s">
        <v>4045</v>
      </c>
      <c r="O2254" s="10" t="str">
        <f t="shared" ref="O2254:O2255" si="267">HYPERLINK("https://pbs.twimg.com/profile_images/576811691255599105/UYnWKLB6_normal.jpeg","View")</f>
        <v>View</v>
      </c>
      <c r="P2254" s="11"/>
    </row>
    <row r="2255" spans="1:16" ht="12.75" x14ac:dyDescent="0.35">
      <c r="A2255" s="7">
        <v>42481.874965277777</v>
      </c>
      <c r="B2255" s="8" t="str">
        <f t="shared" si="266"/>
        <v>@A_Ostertag</v>
      </c>
      <c r="C2255" s="9" t="s">
        <v>4043</v>
      </c>
      <c r="D2255" s="9" t="s">
        <v>3588</v>
      </c>
      <c r="E2255" s="10" t="str">
        <f>HYPERLINK("https://twitter.com/A_Ostertag/status/723171925049012225","723171925049012225")</f>
        <v>723171925049012225</v>
      </c>
      <c r="F2255" s="11" t="s">
        <v>25</v>
      </c>
      <c r="G2255" s="11">
        <v>134</v>
      </c>
      <c r="H2255" s="11">
        <v>201</v>
      </c>
      <c r="I2255" s="11">
        <v>24</v>
      </c>
      <c r="J2255" s="11">
        <v>0</v>
      </c>
      <c r="K2255" s="11" t="s">
        <v>21</v>
      </c>
      <c r="L2255" s="7">
        <v>40399.545092592591</v>
      </c>
      <c r="M2255" s="12" t="s">
        <v>2229</v>
      </c>
      <c r="N2255" s="12" t="s">
        <v>4045</v>
      </c>
      <c r="O2255" s="10" t="str">
        <f t="shared" si="267"/>
        <v>View</v>
      </c>
      <c r="P2255" s="11"/>
    </row>
    <row r="2256" spans="1:16" ht="12.75" x14ac:dyDescent="0.35">
      <c r="A2256" s="7">
        <v>42481.87572916667</v>
      </c>
      <c r="B2256" s="8" t="str">
        <f>HYPERLINK("https://twitter.com/acatech_de","@acatech_de")</f>
        <v>@acatech_de</v>
      </c>
      <c r="C2256" s="9" t="s">
        <v>1667</v>
      </c>
      <c r="D2256" s="9" t="s">
        <v>4046</v>
      </c>
      <c r="E2256" s="10" t="str">
        <f>HYPERLINK("https://twitter.com/acatech_de/status/723172202753888256","723172202753888256")</f>
        <v>723172202753888256</v>
      </c>
      <c r="F2256" s="11" t="s">
        <v>115</v>
      </c>
      <c r="G2256" s="11">
        <v>201</v>
      </c>
      <c r="H2256" s="11">
        <v>204</v>
      </c>
      <c r="I2256" s="11">
        <v>0</v>
      </c>
      <c r="J2256" s="11">
        <v>0</v>
      </c>
      <c r="K2256" s="11" t="s">
        <v>21</v>
      </c>
      <c r="L2256" s="7">
        <v>42101.61513888889</v>
      </c>
      <c r="M2256" s="12" t="s">
        <v>1669</v>
      </c>
      <c r="N2256" s="12" t="s">
        <v>1670</v>
      </c>
      <c r="O2256" s="10" t="str">
        <f>HYPERLINK("https://pbs.twimg.com/profile_images/600969802908356609/3JqGMg38_normal.png","View")</f>
        <v>View</v>
      </c>
      <c r="P2256" s="11"/>
    </row>
    <row r="2257" spans="1:16" ht="12.75" x14ac:dyDescent="0.35">
      <c r="A2257" s="7">
        <v>42481.881643518514</v>
      </c>
      <c r="B2257" s="8" t="str">
        <f>HYPERLINK("https://twitter.com/brigittezypries","@brigittezypries")</f>
        <v>@brigittezypries</v>
      </c>
      <c r="C2257" s="9" t="s">
        <v>4047</v>
      </c>
      <c r="D2257" s="9" t="s">
        <v>3816</v>
      </c>
      <c r="E2257" s="10" t="str">
        <f>HYPERLINK("https://twitter.com/brigittezypries/status/723174343761641472","723174343761641472")</f>
        <v>723174343761641472</v>
      </c>
      <c r="F2257" s="11" t="s">
        <v>31</v>
      </c>
      <c r="G2257" s="11">
        <v>7718</v>
      </c>
      <c r="H2257" s="11">
        <v>342</v>
      </c>
      <c r="I2257" s="11">
        <v>3</v>
      </c>
      <c r="J2257" s="11">
        <v>0</v>
      </c>
      <c r="K2257" s="11" t="s">
        <v>21</v>
      </c>
      <c r="L2257" s="7">
        <v>41037.784907407404</v>
      </c>
      <c r="M2257" s="12"/>
      <c r="N2257" s="12"/>
      <c r="O2257" s="10" t="str">
        <f>HYPERLINK("https://pbs.twimg.com/profile_images/2201583254/image_normal.jpg","View")</f>
        <v>View</v>
      </c>
      <c r="P2257" s="11"/>
    </row>
    <row r="2258" spans="1:16" ht="12.75" x14ac:dyDescent="0.35">
      <c r="A2258" s="7">
        <v>42481.883437500001</v>
      </c>
      <c r="B2258" s="8" t="str">
        <f>HYPERLINK("https://twitter.com/H_IT_D","@H_IT_D")</f>
        <v>@H_IT_D</v>
      </c>
      <c r="C2258" s="9" t="s">
        <v>159</v>
      </c>
      <c r="D2258" s="9" t="s">
        <v>4048</v>
      </c>
      <c r="E2258" s="10" t="str">
        <f>HYPERLINK("https://twitter.com/H_IT_D/status/723174997456392194","723174997456392194")</f>
        <v>723174997456392194</v>
      </c>
      <c r="F2258" s="11" t="s">
        <v>161</v>
      </c>
      <c r="G2258" s="11">
        <v>463</v>
      </c>
      <c r="H2258" s="11">
        <v>467</v>
      </c>
      <c r="I2258" s="11">
        <v>0</v>
      </c>
      <c r="J2258" s="11">
        <v>0</v>
      </c>
      <c r="K2258" s="11" t="s">
        <v>21</v>
      </c>
      <c r="L2258" s="7">
        <v>40723.867673611108</v>
      </c>
      <c r="M2258" s="12" t="s">
        <v>162</v>
      </c>
      <c r="N2258" s="12" t="s">
        <v>163</v>
      </c>
      <c r="O2258" s="10" t="str">
        <f>HYPERLINK("https://pbs.twimg.com/profile_images/662723326096224256/5V4KH9_O_normal.jpg","View")</f>
        <v>View</v>
      </c>
      <c r="P2258" s="11"/>
    </row>
    <row r="2259" spans="1:16" ht="12.75" x14ac:dyDescent="0.35">
      <c r="A2259" s="7">
        <v>42481.885914351849</v>
      </c>
      <c r="B2259" s="8" t="str">
        <f>HYPERLINK("https://twitter.com/KingsandeepSa","@KingsandeepSa")</f>
        <v>@KingsandeepSa</v>
      </c>
      <c r="C2259" s="9" t="s">
        <v>4049</v>
      </c>
      <c r="D2259" s="9" t="s">
        <v>4019</v>
      </c>
      <c r="E2259" s="10" t="str">
        <f>HYPERLINK("https://twitter.com/KingsandeepSa/status/723175893246578688","723175893246578688")</f>
        <v>723175893246578688</v>
      </c>
      <c r="F2259" s="11" t="s">
        <v>20</v>
      </c>
      <c r="G2259" s="11">
        <v>167</v>
      </c>
      <c r="H2259" s="11">
        <v>727</v>
      </c>
      <c r="I2259" s="11">
        <v>4</v>
      </c>
      <c r="J2259" s="11">
        <v>0</v>
      </c>
      <c r="K2259" s="11" t="s">
        <v>21</v>
      </c>
      <c r="L2259" s="7">
        <v>41731.619120370371</v>
      </c>
      <c r="M2259" s="12" t="s">
        <v>4050</v>
      </c>
      <c r="N2259" s="12" t="s">
        <v>4051</v>
      </c>
      <c r="O2259" s="10" t="str">
        <f>HYPERLINK("https://pbs.twimg.com/profile_images/717555626092548096/hiruf99E_normal.jpg","View")</f>
        <v>View</v>
      </c>
      <c r="P2259" s="11"/>
    </row>
    <row r="2260" spans="1:16" ht="12.75" x14ac:dyDescent="0.35">
      <c r="A2260" s="7">
        <v>42481.890706018516</v>
      </c>
      <c r="B2260" s="8" t="str">
        <f>HYPERLINK("https://twitter.com/stefan_junge","@stefan_junge")</f>
        <v>@stefan_junge</v>
      </c>
      <c r="C2260" s="9" t="s">
        <v>4052</v>
      </c>
      <c r="D2260" s="9" t="s">
        <v>4053</v>
      </c>
      <c r="E2260" s="10" t="str">
        <f>HYPERLINK("https://twitter.com/stefan_junge/status/723177631429070848","723177631429070848")</f>
        <v>723177631429070848</v>
      </c>
      <c r="F2260" s="11" t="s">
        <v>31</v>
      </c>
      <c r="G2260" s="11">
        <v>75</v>
      </c>
      <c r="H2260" s="11">
        <v>157</v>
      </c>
      <c r="I2260" s="11">
        <v>1</v>
      </c>
      <c r="J2260" s="11">
        <v>0</v>
      </c>
      <c r="K2260" s="11" t="s">
        <v>21</v>
      </c>
      <c r="L2260" s="7">
        <v>40570.665902777779</v>
      </c>
      <c r="M2260" s="12" t="s">
        <v>121</v>
      </c>
      <c r="N2260" s="12" t="s">
        <v>4054</v>
      </c>
      <c r="O2260" s="10" t="str">
        <f>HYPERLINK("https://pbs.twimg.com/profile_images/677168371826315264/tHGUs0KR_normal.jpg","View")</f>
        <v>View</v>
      </c>
      <c r="P2260" s="11"/>
    </row>
    <row r="2261" spans="1:16" ht="12.75" x14ac:dyDescent="0.35">
      <c r="A2261" s="7">
        <v>42481.892141203702</v>
      </c>
      <c r="B2261" s="8" t="str">
        <f>HYPERLINK("https://twitter.com/pechardscheck","@pechardscheck")</f>
        <v>@pechardscheck</v>
      </c>
      <c r="C2261" s="9" t="s">
        <v>4055</v>
      </c>
      <c r="D2261" s="9" t="s">
        <v>4056</v>
      </c>
      <c r="E2261" s="10" t="str">
        <f>HYPERLINK("https://twitter.com/pechardscheck/status/723178150276919297","723178150276919297")</f>
        <v>723178150276919297</v>
      </c>
      <c r="F2261" s="11" t="s">
        <v>25</v>
      </c>
      <c r="G2261" s="11">
        <v>230</v>
      </c>
      <c r="H2261" s="11">
        <v>191</v>
      </c>
      <c r="I2261" s="11">
        <v>0</v>
      </c>
      <c r="J2261" s="11">
        <v>1</v>
      </c>
      <c r="K2261" s="11" t="s">
        <v>21</v>
      </c>
      <c r="L2261" s="7">
        <v>39932.549953703703</v>
      </c>
      <c r="M2261" s="12" t="s">
        <v>218</v>
      </c>
      <c r="N2261" s="12" t="s">
        <v>4057</v>
      </c>
      <c r="O2261" s="10" t="str">
        <f>HYPERLINK("https://pbs.twimg.com/profile_images/484308591910723584/icpo-IsD_normal.jpeg","View")</f>
        <v>View</v>
      </c>
      <c r="P2261" s="11"/>
    </row>
    <row r="2262" spans="1:16" ht="12.75" x14ac:dyDescent="0.35">
      <c r="A2262" s="7">
        <v>42481.892800925925</v>
      </c>
      <c r="B2262" s="8" t="str">
        <f>HYPERLINK("https://twitter.com/CapgeminiDE","@CapgeminiDE")</f>
        <v>@CapgeminiDE</v>
      </c>
      <c r="C2262" s="9" t="s">
        <v>280</v>
      </c>
      <c r="D2262" s="9" t="s">
        <v>4058</v>
      </c>
      <c r="E2262" s="10" t="str">
        <f>HYPERLINK("https://twitter.com/CapgeminiDE/status/723178386491846656","723178386491846656")</f>
        <v>723178386491846656</v>
      </c>
      <c r="F2262" s="11" t="s">
        <v>39</v>
      </c>
      <c r="G2262" s="11">
        <v>1640</v>
      </c>
      <c r="H2262" s="11">
        <v>509</v>
      </c>
      <c r="I2262" s="11">
        <v>0</v>
      </c>
      <c r="J2262" s="11">
        <v>0</v>
      </c>
      <c r="K2262" s="11" t="s">
        <v>21</v>
      </c>
      <c r="L2262" s="7">
        <v>40424.022048611107</v>
      </c>
      <c r="M2262" s="12" t="s">
        <v>218</v>
      </c>
      <c r="N2262" s="12" t="s">
        <v>282</v>
      </c>
      <c r="O2262" s="10" t="str">
        <f>HYPERLINK("https://pbs.twimg.com/profile_images/666911961599315968/aP7ID_qm_normal.png","View")</f>
        <v>View</v>
      </c>
      <c r="P2262" s="11"/>
    </row>
    <row r="2263" spans="1:16" ht="12.75" x14ac:dyDescent="0.35">
      <c r="A2263" s="7">
        <v>42481.893437499995</v>
      </c>
      <c r="B2263" s="8" t="str">
        <f>HYPERLINK("https://twitter.com/pechardscheck","@pechardscheck")</f>
        <v>@pechardscheck</v>
      </c>
      <c r="C2263" s="9" t="s">
        <v>4055</v>
      </c>
      <c r="D2263" s="9" t="s">
        <v>4059</v>
      </c>
      <c r="E2263" s="10" t="str">
        <f>HYPERLINK("https://twitter.com/pechardscheck/status/723178619179126784","723178619179126784")</f>
        <v>723178619179126784</v>
      </c>
      <c r="F2263" s="11" t="s">
        <v>25</v>
      </c>
      <c r="G2263" s="11">
        <v>230</v>
      </c>
      <c r="H2263" s="11">
        <v>191</v>
      </c>
      <c r="I2263" s="11">
        <v>0</v>
      </c>
      <c r="J2263" s="11">
        <v>0</v>
      </c>
      <c r="K2263" s="11" t="s">
        <v>21</v>
      </c>
      <c r="L2263" s="7">
        <v>39932.549953703703</v>
      </c>
      <c r="M2263" s="12" t="s">
        <v>218</v>
      </c>
      <c r="N2263" s="12" t="s">
        <v>4057</v>
      </c>
      <c r="O2263" s="10" t="str">
        <f>HYPERLINK("https://pbs.twimg.com/profile_images/484308591910723584/icpo-IsD_normal.jpeg","View")</f>
        <v>View</v>
      </c>
      <c r="P2263" s="11"/>
    </row>
    <row r="2264" spans="1:16" ht="12.75" x14ac:dyDescent="0.35">
      <c r="A2264" s="7">
        <v>42481.893877314811</v>
      </c>
      <c r="B2264" s="8" t="str">
        <f>HYPERLINK("https://twitter.com/j_froemming","@j_froemming")</f>
        <v>@j_froemming</v>
      </c>
      <c r="C2264" s="9" t="s">
        <v>4060</v>
      </c>
      <c r="D2264" s="9" t="s">
        <v>4061</v>
      </c>
      <c r="E2264" s="10" t="str">
        <f>HYPERLINK("https://twitter.com/j_froemming/status/723178779909185536","723178779909185536")</f>
        <v>723178779909185536</v>
      </c>
      <c r="F2264" s="11" t="s">
        <v>31</v>
      </c>
      <c r="G2264" s="11">
        <v>62</v>
      </c>
      <c r="H2264" s="11">
        <v>139</v>
      </c>
      <c r="I2264" s="11">
        <v>1</v>
      </c>
      <c r="J2264" s="11">
        <v>0</v>
      </c>
      <c r="K2264" s="11" t="s">
        <v>21</v>
      </c>
      <c r="L2264" s="7">
        <v>41803.615416666667</v>
      </c>
      <c r="M2264" s="12" t="s">
        <v>4062</v>
      </c>
      <c r="N2264" s="12" t="s">
        <v>4063</v>
      </c>
      <c r="O2264" s="10" t="str">
        <f>HYPERLINK("https://pbs.twimg.com/profile_images/502879276103106561/xVCdCAlQ_normal.jpeg","View")</f>
        <v>View</v>
      </c>
      <c r="P2264" s="11"/>
    </row>
    <row r="2265" spans="1:16" ht="12.75" x14ac:dyDescent="0.35">
      <c r="A2265" s="7">
        <v>42481.894525462965</v>
      </c>
      <c r="B2265" s="8" t="str">
        <f>HYPERLINK("https://twitter.com/Bitkom_I40","@Bitkom_I40")</f>
        <v>@Bitkom_I40</v>
      </c>
      <c r="C2265" s="9" t="s">
        <v>1857</v>
      </c>
      <c r="D2265" s="9" t="s">
        <v>4064</v>
      </c>
      <c r="E2265" s="10" t="str">
        <f>HYPERLINK("https://twitter.com/Bitkom_I40/status/723179014462935040","723179014462935040")</f>
        <v>723179014462935040</v>
      </c>
      <c r="F2265" s="11" t="s">
        <v>115</v>
      </c>
      <c r="G2265" s="11">
        <v>754</v>
      </c>
      <c r="H2265" s="11">
        <v>44</v>
      </c>
      <c r="I2265" s="11">
        <v>4</v>
      </c>
      <c r="J2265" s="11">
        <v>1</v>
      </c>
      <c r="K2265" s="11" t="s">
        <v>21</v>
      </c>
      <c r="L2265" s="7">
        <v>41613.773194444446</v>
      </c>
      <c r="M2265" s="12" t="s">
        <v>218</v>
      </c>
      <c r="N2265" s="12" t="s">
        <v>1860</v>
      </c>
      <c r="O2265" s="10" t="str">
        <f>HYPERLINK("https://pbs.twimg.com/profile_images/723407487395713024/0hZv7R8S_normal.jpg","View")</f>
        <v>View</v>
      </c>
      <c r="P2265" s="11"/>
    </row>
    <row r="2266" spans="1:16" ht="12.75" x14ac:dyDescent="0.35">
      <c r="A2266" s="7">
        <v>42481.895185185189</v>
      </c>
      <c r="B2266" s="8" t="str">
        <f>HYPERLINK("https://twitter.com/ExpertenDerIT","@ExpertenDerIT")</f>
        <v>@ExpertenDerIT</v>
      </c>
      <c r="C2266" s="9" t="s">
        <v>4065</v>
      </c>
      <c r="D2266" s="9" t="s">
        <v>4066</v>
      </c>
      <c r="E2266" s="10" t="str">
        <f>HYPERLINK("https://twitter.com/ExpertenDerIT/status/723179253580337152","723179253580337152")</f>
        <v>723179253580337152</v>
      </c>
      <c r="F2266" s="11" t="s">
        <v>508</v>
      </c>
      <c r="G2266" s="11">
        <v>65</v>
      </c>
      <c r="H2266" s="11">
        <v>78</v>
      </c>
      <c r="I2266" s="11">
        <v>0</v>
      </c>
      <c r="J2266" s="11">
        <v>0</v>
      </c>
      <c r="K2266" s="11" t="s">
        <v>21</v>
      </c>
      <c r="L2266" s="7">
        <v>42132.021898148145</v>
      </c>
      <c r="M2266" s="12"/>
      <c r="N2266" s="12" t="s">
        <v>4067</v>
      </c>
      <c r="O2266" s="10" t="str">
        <f>HYPERLINK("https://pbs.twimg.com/profile_images/602765400586096640/zQgtVu4r_normal.jpg","View")</f>
        <v>View</v>
      </c>
      <c r="P2266" s="11"/>
    </row>
    <row r="2267" spans="1:16" ht="12.75" x14ac:dyDescent="0.35">
      <c r="A2267" s="7">
        <v>42481.895185185189</v>
      </c>
      <c r="B2267" s="8" t="str">
        <f>HYPERLINK("https://twitter.com/DCExperten","@DCExperten")</f>
        <v>@DCExperten</v>
      </c>
      <c r="C2267" s="9" t="s">
        <v>4068</v>
      </c>
      <c r="D2267" s="9" t="s">
        <v>4069</v>
      </c>
      <c r="E2267" s="10" t="str">
        <f>HYPERLINK("https://twitter.com/DCExperten/status/723179253823606784","723179253823606784")</f>
        <v>723179253823606784</v>
      </c>
      <c r="F2267" s="11" t="s">
        <v>508</v>
      </c>
      <c r="G2267" s="11">
        <v>857</v>
      </c>
      <c r="H2267" s="11">
        <v>172</v>
      </c>
      <c r="I2267" s="11">
        <v>0</v>
      </c>
      <c r="J2267" s="11">
        <v>1</v>
      </c>
      <c r="K2267" s="11" t="s">
        <v>21</v>
      </c>
      <c r="L2267" s="7">
        <v>41666.072812500002</v>
      </c>
      <c r="M2267" s="12" t="s">
        <v>4070</v>
      </c>
      <c r="N2267" s="12" t="s">
        <v>4071</v>
      </c>
      <c r="O2267" s="10" t="str">
        <f>HYPERLINK("https://pbs.twimg.com/profile_images/691084654997155840/mqcey-s1_normal.jpg","View")</f>
        <v>View</v>
      </c>
      <c r="P2267" s="11"/>
    </row>
    <row r="2268" spans="1:16" ht="12.75" x14ac:dyDescent="0.35">
      <c r="A2268" s="7">
        <v>42481.895185185189</v>
      </c>
      <c r="B2268" s="8" t="str">
        <f>HYPERLINK("https://twitter.com/IoTExperten","@IoTExperten")</f>
        <v>@IoTExperten</v>
      </c>
      <c r="C2268" s="9" t="s">
        <v>4072</v>
      </c>
      <c r="D2268" s="9" t="s">
        <v>4073</v>
      </c>
      <c r="E2268" s="10" t="str">
        <f>HYPERLINK("https://twitter.com/IoTExperten/status/723179254465323008","723179254465323008")</f>
        <v>723179254465323008</v>
      </c>
      <c r="F2268" s="11" t="s">
        <v>508</v>
      </c>
      <c r="G2268" s="11">
        <v>22</v>
      </c>
      <c r="H2268" s="11">
        <v>28</v>
      </c>
      <c r="I2268" s="11">
        <v>0</v>
      </c>
      <c r="J2268" s="11">
        <v>0</v>
      </c>
      <c r="K2268" s="11" t="s">
        <v>21</v>
      </c>
      <c r="L2268" s="7">
        <v>42378.092141203699</v>
      </c>
      <c r="M2268" s="12"/>
      <c r="N2268" s="12" t="s">
        <v>4074</v>
      </c>
      <c r="O2268" s="10" t="str">
        <f>HYPERLINK("https://pbs.twimg.com/profile_images/691079266042265601/fpQ651r9_normal.jpg","View")</f>
        <v>View</v>
      </c>
      <c r="P2268" s="11"/>
    </row>
    <row r="2269" spans="1:16" ht="12.75" x14ac:dyDescent="0.35">
      <c r="A2269" s="7">
        <v>42481.895185185189</v>
      </c>
      <c r="B2269" s="8" t="str">
        <f>HYPERLINK("https://twitter.com/SecExperten","@SecExperten")</f>
        <v>@SecExperten</v>
      </c>
      <c r="C2269" s="9" t="s">
        <v>4075</v>
      </c>
      <c r="D2269" s="9" t="s">
        <v>4076</v>
      </c>
      <c r="E2269" s="10" t="str">
        <f>HYPERLINK("https://twitter.com/SecExperten/status/723179254503055360","723179254503055360")</f>
        <v>723179254503055360</v>
      </c>
      <c r="F2269" s="11" t="s">
        <v>508</v>
      </c>
      <c r="G2269" s="11">
        <v>55</v>
      </c>
      <c r="H2269" s="11">
        <v>96</v>
      </c>
      <c r="I2269" s="11">
        <v>1</v>
      </c>
      <c r="J2269" s="11">
        <v>0</v>
      </c>
      <c r="K2269" s="11" t="s">
        <v>21</v>
      </c>
      <c r="L2269" s="7">
        <v>42023.929027777776</v>
      </c>
      <c r="M2269" s="12"/>
      <c r="N2269" s="12"/>
      <c r="O2269" s="10" t="str">
        <f>HYPERLINK("https://pbs.twimg.com/profile_images/557221316101545984/HeOsH32Y_normal.jpeg","View")</f>
        <v>View</v>
      </c>
      <c r="P2269" s="11"/>
    </row>
    <row r="2270" spans="1:16" ht="12.75" x14ac:dyDescent="0.35">
      <c r="A2270" s="7">
        <v>42481.895196759258</v>
      </c>
      <c r="B2270" s="8" t="str">
        <f>HYPERLINK("https://twitter.com/MobilExperten","@MobilExperten")</f>
        <v>@MobilExperten</v>
      </c>
      <c r="C2270" s="9" t="s">
        <v>4077</v>
      </c>
      <c r="D2270" s="9" t="s">
        <v>4078</v>
      </c>
      <c r="E2270" s="10" t="str">
        <f>HYPERLINK("https://twitter.com/MobilExperten/status/723179254880591872","723179254880591872")</f>
        <v>723179254880591872</v>
      </c>
      <c r="F2270" s="11" t="s">
        <v>508</v>
      </c>
      <c r="G2270" s="11">
        <v>40</v>
      </c>
      <c r="H2270" s="11">
        <v>64</v>
      </c>
      <c r="I2270" s="11">
        <v>1</v>
      </c>
      <c r="J2270" s="11">
        <v>0</v>
      </c>
      <c r="K2270" s="11" t="s">
        <v>21</v>
      </c>
      <c r="L2270" s="7">
        <v>42023.942083333328</v>
      </c>
      <c r="M2270" s="12"/>
      <c r="N2270" s="12" t="s">
        <v>4079</v>
      </c>
      <c r="O2270" s="10" t="str">
        <f>HYPERLINK("https://pbs.twimg.com/profile_images/691088203978149889/eYKaO8Ab_normal.jpg","View")</f>
        <v>View</v>
      </c>
      <c r="P2270" s="11"/>
    </row>
    <row r="2271" spans="1:16" ht="12.75" x14ac:dyDescent="0.35">
      <c r="A2271" s="7">
        <v>42481.895196759258</v>
      </c>
      <c r="B2271" s="8" t="str">
        <f>HYPERLINK("https://twitter.com/CloudExperten","@CloudExperten")</f>
        <v>@CloudExperten</v>
      </c>
      <c r="C2271" s="9" t="s">
        <v>4080</v>
      </c>
      <c r="D2271" s="9" t="s">
        <v>4081</v>
      </c>
      <c r="E2271" s="10" t="str">
        <f>HYPERLINK("https://twitter.com/CloudExperten/status/723179256382140416","723179256382140416")</f>
        <v>723179256382140416</v>
      </c>
      <c r="F2271" s="11" t="s">
        <v>508</v>
      </c>
      <c r="G2271" s="11">
        <v>1848</v>
      </c>
      <c r="H2271" s="11">
        <v>1160</v>
      </c>
      <c r="I2271" s="11">
        <v>1</v>
      </c>
      <c r="J2271" s="11">
        <v>0</v>
      </c>
      <c r="K2271" s="11" t="s">
        <v>21</v>
      </c>
      <c r="L2271" s="7">
        <v>41094.137418981481</v>
      </c>
      <c r="M2271" s="12" t="s">
        <v>689</v>
      </c>
      <c r="N2271" s="12" t="s">
        <v>4082</v>
      </c>
      <c r="O2271" s="10" t="str">
        <f>HYPERLINK("https://pbs.twimg.com/profile_images/463724092034523136/f9D5ppnk_normal.jpeg","View")</f>
        <v>View</v>
      </c>
      <c r="P2271" s="11"/>
    </row>
    <row r="2272" spans="1:16" ht="12.75" x14ac:dyDescent="0.35">
      <c r="A2272" s="7">
        <v>42481.896018518513</v>
      </c>
      <c r="B2272" s="8" t="str">
        <f>HYPERLINK("https://twitter.com/ROKAutomationUK","@ROKAutomationUK")</f>
        <v>@ROKAutomationUK</v>
      </c>
      <c r="C2272" s="9" t="s">
        <v>416</v>
      </c>
      <c r="D2272" s="9" t="s">
        <v>4083</v>
      </c>
      <c r="E2272" s="10" t="str">
        <f>HYPERLINK("https://twitter.com/ROKAutomationUK/status/723179553732976640","723179553732976640")</f>
        <v>723179553732976640</v>
      </c>
      <c r="F2272" s="11" t="s">
        <v>418</v>
      </c>
      <c r="G2272" s="11">
        <v>3188</v>
      </c>
      <c r="H2272" s="11">
        <v>847</v>
      </c>
      <c r="I2272" s="11">
        <v>1</v>
      </c>
      <c r="J2272" s="11">
        <v>0</v>
      </c>
      <c r="K2272" s="11" t="s">
        <v>21</v>
      </c>
      <c r="L2272" s="7">
        <v>40886.893634259257</v>
      </c>
      <c r="M2272" s="12" t="s">
        <v>419</v>
      </c>
      <c r="N2272" s="12" t="s">
        <v>420</v>
      </c>
      <c r="O2272" s="10" t="str">
        <f>HYPERLINK("https://pbs.twimg.com/profile_images/502402188295946240/rN3wbNyn_normal.jpeg","View")</f>
        <v>View</v>
      </c>
      <c r="P2272" s="11"/>
    </row>
    <row r="2273" spans="1:16" ht="12.75" x14ac:dyDescent="0.35">
      <c r="A2273" s="7">
        <v>42481.896041666667</v>
      </c>
      <c r="B2273" s="8" t="str">
        <f>HYPERLINK("https://twitter.com/Bitkom","@Bitkom")</f>
        <v>@Bitkom</v>
      </c>
      <c r="C2273" s="9" t="s">
        <v>216</v>
      </c>
      <c r="D2273" s="9" t="s">
        <v>4084</v>
      </c>
      <c r="E2273" s="10" t="str">
        <f>HYPERLINK("https://twitter.com/Bitkom/status/723179564919336960","723179564919336960")</f>
        <v>723179564919336960</v>
      </c>
      <c r="F2273" s="11" t="s">
        <v>115</v>
      </c>
      <c r="G2273" s="11">
        <v>21088</v>
      </c>
      <c r="H2273" s="11">
        <v>3258</v>
      </c>
      <c r="I2273" s="11">
        <v>4</v>
      </c>
      <c r="J2273" s="11">
        <v>0</v>
      </c>
      <c r="K2273" s="11" t="s">
        <v>21</v>
      </c>
      <c r="L2273" s="7">
        <v>39757.913229166668</v>
      </c>
      <c r="M2273" s="12" t="s">
        <v>218</v>
      </c>
      <c r="N2273" s="12" t="s">
        <v>219</v>
      </c>
      <c r="O2273" s="10" t="str">
        <f>HYPERLINK("https://pbs.twimg.com/profile_images/615797525040136192/CKF9-v_o_normal.jpg","View")</f>
        <v>View</v>
      </c>
      <c r="P2273" s="11"/>
    </row>
    <row r="2274" spans="1:16" ht="12.75" x14ac:dyDescent="0.35">
      <c r="A2274" s="7">
        <v>42481.896226851852</v>
      </c>
      <c r="B2274" s="8" t="str">
        <f>HYPERLINK("https://twitter.com/wisskonzept","@wisskonzept")</f>
        <v>@wisskonzept</v>
      </c>
      <c r="C2274" s="9" t="s">
        <v>4085</v>
      </c>
      <c r="D2274" s="9" t="s">
        <v>4086</v>
      </c>
      <c r="E2274" s="10" t="str">
        <f>HYPERLINK("https://twitter.com/wisskonzept/status/723179631340314624","723179631340314624")</f>
        <v>723179631340314624</v>
      </c>
      <c r="F2274" s="11" t="s">
        <v>39</v>
      </c>
      <c r="G2274" s="11">
        <v>122</v>
      </c>
      <c r="H2274" s="11">
        <v>280</v>
      </c>
      <c r="I2274" s="11">
        <v>1</v>
      </c>
      <c r="J2274" s="11">
        <v>1</v>
      </c>
      <c r="K2274" s="11" t="s">
        <v>21</v>
      </c>
      <c r="L2274" s="7">
        <v>40633.675428240742</v>
      </c>
      <c r="M2274" s="12" t="s">
        <v>689</v>
      </c>
      <c r="N2274" s="12" t="s">
        <v>4087</v>
      </c>
      <c r="O2274" s="10" t="str">
        <f>HYPERLINK("https://pbs.twimg.com/profile_images/607924894756667392/Q-rChkyI_normal.png","View")</f>
        <v>View</v>
      </c>
      <c r="P2274" s="11"/>
    </row>
    <row r="2275" spans="1:16" ht="12.75" x14ac:dyDescent="0.35">
      <c r="A2275" s="7">
        <v>42481.896631944444</v>
      </c>
      <c r="B2275" s="8" t="str">
        <f t="shared" ref="B2275:B2278" si="268">HYPERLINK("https://twitter.com/INDIZbot","@INDIZbot")</f>
        <v>@INDIZbot</v>
      </c>
      <c r="C2275" s="9" t="s">
        <v>61</v>
      </c>
      <c r="D2275" s="9" t="s">
        <v>4088</v>
      </c>
      <c r="E2275" s="10" t="str">
        <f>HYPERLINK("https://twitter.com/INDIZbot/status/723179775225958400","723179775225958400")</f>
        <v>723179775225958400</v>
      </c>
      <c r="F2275" s="11" t="s">
        <v>62</v>
      </c>
      <c r="G2275" s="11">
        <v>1762</v>
      </c>
      <c r="H2275" s="11">
        <v>481</v>
      </c>
      <c r="I2275" s="11">
        <v>1</v>
      </c>
      <c r="J2275" s="11">
        <v>0</v>
      </c>
      <c r="K2275" s="11" t="s">
        <v>21</v>
      </c>
      <c r="L2275" s="7">
        <v>42267.011921296296</v>
      </c>
      <c r="M2275" s="12"/>
      <c r="N2275" s="12" t="s">
        <v>63</v>
      </c>
      <c r="O2275" s="10" t="str">
        <f t="shared" ref="O2275:O2278" si="269">HYPERLINK("https://pbs.twimg.com/profile_images/645716711723925506/t5G0qOS6_normal.jpg","View")</f>
        <v>View</v>
      </c>
      <c r="P2275" s="11"/>
    </row>
    <row r="2276" spans="1:16" ht="12.75" x14ac:dyDescent="0.35">
      <c r="A2276" s="7">
        <v>42481.896886574075</v>
      </c>
      <c r="B2276" s="8" t="str">
        <f t="shared" si="268"/>
        <v>@INDIZbot</v>
      </c>
      <c r="C2276" s="9" t="s">
        <v>61</v>
      </c>
      <c r="D2276" s="9" t="s">
        <v>4084</v>
      </c>
      <c r="E2276" s="10" t="str">
        <f>HYPERLINK("https://twitter.com/INDIZbot/status/723179870054957056","723179870054957056")</f>
        <v>723179870054957056</v>
      </c>
      <c r="F2276" s="11" t="s">
        <v>62</v>
      </c>
      <c r="G2276" s="11">
        <v>1762</v>
      </c>
      <c r="H2276" s="11">
        <v>481</v>
      </c>
      <c r="I2276" s="11">
        <v>4</v>
      </c>
      <c r="J2276" s="11">
        <v>0</v>
      </c>
      <c r="K2276" s="11" t="s">
        <v>21</v>
      </c>
      <c r="L2276" s="7">
        <v>42267.011921296296</v>
      </c>
      <c r="M2276" s="12"/>
      <c r="N2276" s="12" t="s">
        <v>63</v>
      </c>
      <c r="O2276" s="10" t="str">
        <f t="shared" si="269"/>
        <v>View</v>
      </c>
      <c r="P2276" s="11"/>
    </row>
    <row r="2277" spans="1:16" ht="12.75" x14ac:dyDescent="0.35">
      <c r="A2277" s="7">
        <v>42481.897048611107</v>
      </c>
      <c r="B2277" s="8" t="str">
        <f t="shared" si="268"/>
        <v>@INDIZbot</v>
      </c>
      <c r="C2277" s="9" t="s">
        <v>61</v>
      </c>
      <c r="D2277" s="9" t="s">
        <v>4089</v>
      </c>
      <c r="E2277" s="10" t="str">
        <f>HYPERLINK("https://twitter.com/INDIZbot/status/723179926556409856","723179926556409856")</f>
        <v>723179926556409856</v>
      </c>
      <c r="F2277" s="11" t="s">
        <v>62</v>
      </c>
      <c r="G2277" s="11">
        <v>1762</v>
      </c>
      <c r="H2277" s="11">
        <v>481</v>
      </c>
      <c r="I2277" s="11">
        <v>1</v>
      </c>
      <c r="J2277" s="11">
        <v>0</v>
      </c>
      <c r="K2277" s="11" t="s">
        <v>21</v>
      </c>
      <c r="L2277" s="7">
        <v>42267.011921296296</v>
      </c>
      <c r="M2277" s="12"/>
      <c r="N2277" s="12" t="s">
        <v>63</v>
      </c>
      <c r="O2277" s="10" t="str">
        <f t="shared" si="269"/>
        <v>View</v>
      </c>
      <c r="P2277" s="11"/>
    </row>
    <row r="2278" spans="1:16" ht="12.75" x14ac:dyDescent="0.35">
      <c r="A2278" s="7">
        <v>42481.897418981476</v>
      </c>
      <c r="B2278" s="8" t="str">
        <f t="shared" si="268"/>
        <v>@INDIZbot</v>
      </c>
      <c r="C2278" s="9" t="s">
        <v>61</v>
      </c>
      <c r="D2278" s="9" t="s">
        <v>4090</v>
      </c>
      <c r="E2278" s="10" t="str">
        <f>HYPERLINK("https://twitter.com/INDIZbot/status/723180062992945152","723180062992945152")</f>
        <v>723180062992945152</v>
      </c>
      <c r="F2278" s="11" t="s">
        <v>62</v>
      </c>
      <c r="G2278" s="11">
        <v>1762</v>
      </c>
      <c r="H2278" s="11">
        <v>481</v>
      </c>
      <c r="I2278" s="11">
        <v>1</v>
      </c>
      <c r="J2278" s="11">
        <v>0</v>
      </c>
      <c r="K2278" s="11" t="s">
        <v>21</v>
      </c>
      <c r="L2278" s="7">
        <v>42267.011921296296</v>
      </c>
      <c r="M2278" s="12"/>
      <c r="N2278" s="12" t="s">
        <v>63</v>
      </c>
      <c r="O2278" s="10" t="str">
        <f t="shared" si="269"/>
        <v>View</v>
      </c>
      <c r="P2278" s="11"/>
    </row>
    <row r="2279" spans="1:16" ht="12.75" x14ac:dyDescent="0.35">
      <c r="A2279" s="7">
        <v>42481.897604166668</v>
      </c>
      <c r="B2279" s="8" t="str">
        <f>HYPERLINK("https://twitter.com/MichaelKemme","@MichaelKemme")</f>
        <v>@MichaelKemme</v>
      </c>
      <c r="C2279" s="9" t="s">
        <v>4091</v>
      </c>
      <c r="D2279" s="9" t="s">
        <v>4092</v>
      </c>
      <c r="E2279" s="10" t="str">
        <f>HYPERLINK("https://twitter.com/MichaelKemme/status/723180129447456768","723180129447456768")</f>
        <v>723180129447456768</v>
      </c>
      <c r="F2279" s="11" t="s">
        <v>115</v>
      </c>
      <c r="G2279" s="11">
        <v>42</v>
      </c>
      <c r="H2279" s="11">
        <v>54</v>
      </c>
      <c r="I2279" s="11">
        <v>0</v>
      </c>
      <c r="J2279" s="11">
        <v>0</v>
      </c>
      <c r="K2279" s="11" t="s">
        <v>21</v>
      </c>
      <c r="L2279" s="7">
        <v>39780.581666666665</v>
      </c>
      <c r="M2279" s="12" t="s">
        <v>2731</v>
      </c>
      <c r="N2279" s="12" t="s">
        <v>4093</v>
      </c>
      <c r="O2279" s="10" t="str">
        <f>HYPERLINK("https://pbs.twimg.com/profile_images/651721786044850176/Q6lDeqrV_normal.jpg","View")</f>
        <v>View</v>
      </c>
      <c r="P2279" s="11"/>
    </row>
    <row r="2280" spans="1:16" ht="12.75" x14ac:dyDescent="0.35">
      <c r="A2280" s="7">
        <v>42481.897650462968</v>
      </c>
      <c r="B2280" s="8" t="str">
        <f>HYPERLINK("https://twitter.com/cdaloz","@cdaloz")</f>
        <v>@cdaloz</v>
      </c>
      <c r="C2280" s="9" t="s">
        <v>4094</v>
      </c>
      <c r="D2280" s="9" t="s">
        <v>4095</v>
      </c>
      <c r="E2280" s="10" t="str">
        <f>HYPERLINK("https://twitter.com/cdaloz/status/723180144945336321","723180144945336321")</f>
        <v>723180144945336321</v>
      </c>
      <c r="F2280" s="11" t="s">
        <v>25</v>
      </c>
      <c r="G2280" s="11">
        <v>79</v>
      </c>
      <c r="H2280" s="11">
        <v>207</v>
      </c>
      <c r="I2280" s="11">
        <v>2</v>
      </c>
      <c r="J2280" s="11">
        <v>0</v>
      </c>
      <c r="K2280" s="11" t="s">
        <v>21</v>
      </c>
      <c r="L2280" s="7">
        <v>39965.682800925926</v>
      </c>
      <c r="M2280" s="12" t="s">
        <v>4096</v>
      </c>
      <c r="N2280" s="12" t="s">
        <v>4097</v>
      </c>
      <c r="O2280" s="10" t="str">
        <f>HYPERLINK("https://pbs.twimg.com/profile_images/670192287620665344/EaHFFkWS_normal.jpg","View")</f>
        <v>View</v>
      </c>
      <c r="P2280" s="11"/>
    </row>
    <row r="2281" spans="1:16" ht="12.75" x14ac:dyDescent="0.35">
      <c r="A2281" s="7">
        <v>42481.897789351853</v>
      </c>
      <c r="B2281" s="8" t="str">
        <f>HYPERLINK("https://twitter.com/INDIZbot","@INDIZbot")</f>
        <v>@INDIZbot</v>
      </c>
      <c r="C2281" s="9" t="s">
        <v>61</v>
      </c>
      <c r="D2281" s="9" t="s">
        <v>4098</v>
      </c>
      <c r="E2281" s="10" t="str">
        <f>HYPERLINK("https://twitter.com/INDIZbot/status/723180194568245248","723180194568245248")</f>
        <v>723180194568245248</v>
      </c>
      <c r="F2281" s="11" t="s">
        <v>62</v>
      </c>
      <c r="G2281" s="11">
        <v>1762</v>
      </c>
      <c r="H2281" s="11">
        <v>481</v>
      </c>
      <c r="I2281" s="11">
        <v>1</v>
      </c>
      <c r="J2281" s="11">
        <v>0</v>
      </c>
      <c r="K2281" s="11" t="s">
        <v>21</v>
      </c>
      <c r="L2281" s="7">
        <v>42267.011921296296</v>
      </c>
      <c r="M2281" s="12"/>
      <c r="N2281" s="12" t="s">
        <v>63</v>
      </c>
      <c r="O2281" s="10" t="str">
        <f>HYPERLINK("https://pbs.twimg.com/profile_images/645716711723925506/t5G0qOS6_normal.jpg","View")</f>
        <v>View</v>
      </c>
      <c r="P2281" s="11"/>
    </row>
    <row r="2282" spans="1:16" ht="12.75" x14ac:dyDescent="0.35">
      <c r="A2282" s="7">
        <v>42481.898090277777</v>
      </c>
      <c r="B2282" s="8" t="str">
        <f>HYPERLINK("https://twitter.com/ITK_OWL","@ITK_OWL")</f>
        <v>@ITK_OWL</v>
      </c>
      <c r="C2282" s="9" t="s">
        <v>220</v>
      </c>
      <c r="D2282" s="9" t="s">
        <v>4099</v>
      </c>
      <c r="E2282" s="10" t="str">
        <f>HYPERLINK("https://twitter.com/ITK_OWL/status/723180306707132416","723180306707132416")</f>
        <v>723180306707132416</v>
      </c>
      <c r="F2282" s="11" t="s">
        <v>222</v>
      </c>
      <c r="G2282" s="11">
        <v>199</v>
      </c>
      <c r="H2282" s="11">
        <v>389</v>
      </c>
      <c r="I2282" s="11">
        <v>0</v>
      </c>
      <c r="J2282" s="11">
        <v>0</v>
      </c>
      <c r="K2282" s="11" t="s">
        <v>21</v>
      </c>
      <c r="L2282" s="7">
        <v>42146.57880787037</v>
      </c>
      <c r="M2282" s="12" t="s">
        <v>223</v>
      </c>
      <c r="N2282" s="12" t="s">
        <v>224</v>
      </c>
      <c r="O2282" s="10" t="str">
        <f>HYPERLINK("https://pbs.twimg.com/profile_images/601673968551075840/MnulnKkj_normal.png","View")</f>
        <v>View</v>
      </c>
      <c r="P2282" s="11"/>
    </row>
    <row r="2283" spans="1:16" ht="12.75" x14ac:dyDescent="0.35">
      <c r="A2283" s="7">
        <v>42481.900138888886</v>
      </c>
      <c r="B2283" s="8" t="str">
        <f>HYPERLINK("https://twitter.com/Cumulocity","@Cumulocity")</f>
        <v>@Cumulocity</v>
      </c>
      <c r="C2283" s="9" t="s">
        <v>4100</v>
      </c>
      <c r="D2283" s="9" t="s">
        <v>4101</v>
      </c>
      <c r="E2283" s="10" t="str">
        <f>HYPERLINK("https://twitter.com/Cumulocity/status/723181046297059330","723181046297059330")</f>
        <v>723181046297059330</v>
      </c>
      <c r="F2283" s="11" t="s">
        <v>25</v>
      </c>
      <c r="G2283" s="11">
        <v>472</v>
      </c>
      <c r="H2283" s="11">
        <v>197</v>
      </c>
      <c r="I2283" s="11">
        <v>26</v>
      </c>
      <c r="J2283" s="11">
        <v>29</v>
      </c>
      <c r="K2283" s="11" t="s">
        <v>21</v>
      </c>
      <c r="L2283" s="7">
        <v>40941.810995370368</v>
      </c>
      <c r="M2283" s="12" t="s">
        <v>846</v>
      </c>
      <c r="N2283" s="12" t="s">
        <v>4102</v>
      </c>
      <c r="O2283" s="10" t="str">
        <f>HYPERLINK("https://pbs.twimg.com/profile_images/3318983479/26bb3ff9fb38e9a62894437a643d95bd_normal.png","View")</f>
        <v>View</v>
      </c>
      <c r="P2283" s="11"/>
    </row>
    <row r="2284" spans="1:16" ht="12.75" x14ac:dyDescent="0.35">
      <c r="A2284" s="7">
        <v>42481.900624999995</v>
      </c>
      <c r="B2284" s="8" t="str">
        <f>HYPERLINK("https://twitter.com/awesigs","@awesigs")</f>
        <v>@awesigs</v>
      </c>
      <c r="C2284" s="9" t="s">
        <v>595</v>
      </c>
      <c r="D2284" s="9" t="s">
        <v>3968</v>
      </c>
      <c r="E2284" s="10" t="str">
        <f>HYPERLINK("https://twitter.com/awesigs/status/723181222428577793","723181222428577793")</f>
        <v>723181222428577793</v>
      </c>
      <c r="F2284" s="11" t="s">
        <v>20</v>
      </c>
      <c r="G2284" s="11">
        <v>26</v>
      </c>
      <c r="H2284" s="11">
        <v>30</v>
      </c>
      <c r="I2284" s="11">
        <v>14</v>
      </c>
      <c r="J2284" s="11">
        <v>0</v>
      </c>
      <c r="K2284" s="11" t="s">
        <v>21</v>
      </c>
      <c r="L2284" s="7">
        <v>40253.894490740742</v>
      </c>
      <c r="M2284" s="12"/>
      <c r="N2284" s="12"/>
      <c r="O2284" s="10" t="str">
        <f>HYPERLINK("https://pbs.twimg.com/profile_images/1398405138/wallpaper-85615_normal.jpg","View")</f>
        <v>View</v>
      </c>
      <c r="P2284" s="11"/>
    </row>
    <row r="2285" spans="1:16" ht="12.75" x14ac:dyDescent="0.35">
      <c r="A2285" s="7">
        <v>42481.900868055556</v>
      </c>
      <c r="B2285" s="8" t="str">
        <f>HYPERLINK("https://twitter.com/IMechE","@IMechE")</f>
        <v>@IMechE</v>
      </c>
      <c r="C2285" s="9" t="s">
        <v>4103</v>
      </c>
      <c r="D2285" s="9" t="s">
        <v>4028</v>
      </c>
      <c r="E2285" s="10" t="str">
        <f>HYPERLINK("https://twitter.com/IMechE/status/723181311222001664","723181311222001664")</f>
        <v>723181311222001664</v>
      </c>
      <c r="F2285" s="11" t="s">
        <v>39</v>
      </c>
      <c r="G2285" s="11">
        <v>20871</v>
      </c>
      <c r="H2285" s="11">
        <v>239</v>
      </c>
      <c r="I2285" s="11">
        <v>4</v>
      </c>
      <c r="J2285" s="11">
        <v>0</v>
      </c>
      <c r="K2285" s="11" t="s">
        <v>21</v>
      </c>
      <c r="L2285" s="7">
        <v>39523.79178240741</v>
      </c>
      <c r="M2285" s="12" t="s">
        <v>1294</v>
      </c>
      <c r="N2285" s="12" t="s">
        <v>4104</v>
      </c>
      <c r="O2285" s="10" t="str">
        <f>HYPERLINK("https://pbs.twimg.com/profile_images/2839681344/89460c019f3d93bdda5c67fddbaf4641_normal.png","View")</f>
        <v>View</v>
      </c>
      <c r="P2285" s="11"/>
    </row>
    <row r="2286" spans="1:16" ht="12.75" x14ac:dyDescent="0.35">
      <c r="A2286" s="7">
        <v>42481.900925925926</v>
      </c>
      <c r="B2286" s="8" t="str">
        <f>HYPERLINK("https://twitter.com/WalesBuzz","@WalesBuzz")</f>
        <v>@WalesBuzz</v>
      </c>
      <c r="C2286" s="9" t="s">
        <v>3495</v>
      </c>
      <c r="D2286" s="9" t="s">
        <v>4105</v>
      </c>
      <c r="E2286" s="10" t="str">
        <f>HYPERLINK("https://twitter.com/WalesBuzz/status/723181332059283456","723181332059283456")</f>
        <v>723181332059283456</v>
      </c>
      <c r="F2286" s="11" t="s">
        <v>3496</v>
      </c>
      <c r="G2286" s="11">
        <v>177</v>
      </c>
      <c r="H2286" s="11">
        <v>2</v>
      </c>
      <c r="I2286" s="11">
        <v>26</v>
      </c>
      <c r="J2286" s="11">
        <v>0</v>
      </c>
      <c r="K2286" s="11" t="s">
        <v>21</v>
      </c>
      <c r="L2286" s="7">
        <v>42210.871504629627</v>
      </c>
      <c r="M2286" s="12" t="s">
        <v>3497</v>
      </c>
      <c r="N2286" s="12" t="s">
        <v>3498</v>
      </c>
      <c r="O2286" s="10" t="str">
        <f>HYPERLINK("https://pbs.twimg.com/profile_images/624966917669974016/Sl2SOVQ0_normal.jpg","View")</f>
        <v>View</v>
      </c>
      <c r="P2286" s="11"/>
    </row>
    <row r="2287" spans="1:16" ht="12.75" x14ac:dyDescent="0.35">
      <c r="A2287" s="7">
        <v>42481.900949074072</v>
      </c>
      <c r="B2287" s="8" t="str">
        <f>HYPERLINK("https://twitter.com/AsteaService","@AsteaService")</f>
        <v>@AsteaService</v>
      </c>
      <c r="C2287" s="9" t="s">
        <v>4106</v>
      </c>
      <c r="D2287" s="9" t="s">
        <v>4105</v>
      </c>
      <c r="E2287" s="10" t="str">
        <f>HYPERLINK("https://twitter.com/AsteaService/status/723181339390935040","723181339390935040")</f>
        <v>723181339390935040</v>
      </c>
      <c r="F2287" s="11" t="s">
        <v>31</v>
      </c>
      <c r="G2287" s="11">
        <v>425</v>
      </c>
      <c r="H2287" s="11">
        <v>235</v>
      </c>
      <c r="I2287" s="11">
        <v>26</v>
      </c>
      <c r="J2287" s="11">
        <v>0</v>
      </c>
      <c r="K2287" s="11" t="s">
        <v>21</v>
      </c>
      <c r="L2287" s="7">
        <v>40038.078263888892</v>
      </c>
      <c r="M2287" s="12" t="s">
        <v>786</v>
      </c>
      <c r="N2287" s="12" t="s">
        <v>4107</v>
      </c>
      <c r="O2287" s="10" t="str">
        <f>HYPERLINK("https://pbs.twimg.com/profile_images/468374493/asteatwitlogo_normal.jpg","View")</f>
        <v>View</v>
      </c>
      <c r="P2287" s="11"/>
    </row>
    <row r="2288" spans="1:16" ht="12.75" x14ac:dyDescent="0.35">
      <c r="A2288" s="7">
        <v>42481.903912037036</v>
      </c>
      <c r="B2288" s="8" t="str">
        <f>HYPERLINK("https://twitter.com/awesigs","@awesigs")</f>
        <v>@awesigs</v>
      </c>
      <c r="C2288" s="9" t="s">
        <v>595</v>
      </c>
      <c r="D2288" s="9" t="s">
        <v>3588</v>
      </c>
      <c r="E2288" s="10" t="str">
        <f>HYPERLINK("https://twitter.com/awesigs/status/723182413531242496","723182413531242496")</f>
        <v>723182413531242496</v>
      </c>
      <c r="F2288" s="11" t="s">
        <v>20</v>
      </c>
      <c r="G2288" s="11">
        <v>26</v>
      </c>
      <c r="H2288" s="11">
        <v>30</v>
      </c>
      <c r="I2288" s="11">
        <v>24</v>
      </c>
      <c r="J2288" s="11">
        <v>0</v>
      </c>
      <c r="K2288" s="11" t="s">
        <v>21</v>
      </c>
      <c r="L2288" s="7">
        <v>40253.894490740742</v>
      </c>
      <c r="M2288" s="12"/>
      <c r="N2288" s="12"/>
      <c r="O2288" s="10" t="str">
        <f>HYPERLINK("https://pbs.twimg.com/profile_images/1398405138/wallpaper-85615_normal.jpg","View")</f>
        <v>View</v>
      </c>
      <c r="P2288" s="11"/>
    </row>
    <row r="2289" spans="1:16" ht="12.75" x14ac:dyDescent="0.35">
      <c r="A2289" s="7">
        <v>42481.913715277777</v>
      </c>
      <c r="B2289" s="8" t="str">
        <f>HYPERLINK("https://twitter.com/ant0inet","@ant0inet")</f>
        <v>@ant0inet</v>
      </c>
      <c r="C2289" s="9" t="s">
        <v>4108</v>
      </c>
      <c r="D2289" s="9" t="s">
        <v>3957</v>
      </c>
      <c r="E2289" s="10" t="str">
        <f>HYPERLINK("https://twitter.com/ant0inet/status/723185966194790401","723185966194790401")</f>
        <v>723185966194790401</v>
      </c>
      <c r="F2289" s="11" t="s">
        <v>31</v>
      </c>
      <c r="G2289" s="11">
        <v>187</v>
      </c>
      <c r="H2289" s="11">
        <v>368</v>
      </c>
      <c r="I2289" s="11">
        <v>3</v>
      </c>
      <c r="J2289" s="11">
        <v>0</v>
      </c>
      <c r="K2289" s="11" t="s">
        <v>21</v>
      </c>
      <c r="L2289" s="7">
        <v>40103.635150462964</v>
      </c>
      <c r="M2289" s="12"/>
      <c r="N2289" s="12" t="s">
        <v>4109</v>
      </c>
      <c r="O2289" s="10" t="str">
        <f>HYPERLINK("https://pbs.twimg.com/profile_images/1860086699/antoine.thomas-gerard_normal.jpg","View")</f>
        <v>View</v>
      </c>
      <c r="P2289" s="11"/>
    </row>
    <row r="2290" spans="1:16" ht="12.75" x14ac:dyDescent="0.35">
      <c r="A2290" s="7">
        <v>42481.914178240739</v>
      </c>
      <c r="B2290" s="8" t="str">
        <f>HYPERLINK("https://twitter.com/Industry40","@Industry40")</f>
        <v>@Industry40</v>
      </c>
      <c r="C2290" s="9" t="s">
        <v>1922</v>
      </c>
      <c r="D2290" s="9" t="s">
        <v>3588</v>
      </c>
      <c r="E2290" s="10" t="str">
        <f>HYPERLINK("https://twitter.com/Industry40/status/723186135359344643","723186135359344643")</f>
        <v>723186135359344643</v>
      </c>
      <c r="F2290" s="11" t="s">
        <v>25</v>
      </c>
      <c r="G2290" s="11">
        <v>2340</v>
      </c>
      <c r="H2290" s="11">
        <v>333</v>
      </c>
      <c r="I2290" s="11">
        <v>24</v>
      </c>
      <c r="J2290" s="11">
        <v>0</v>
      </c>
      <c r="K2290" s="11" t="s">
        <v>21</v>
      </c>
      <c r="L2290" s="7">
        <v>41667.561759259261</v>
      </c>
      <c r="M2290" s="12" t="s">
        <v>1924</v>
      </c>
      <c r="N2290" s="12" t="s">
        <v>1925</v>
      </c>
      <c r="O2290" s="10" t="str">
        <f>HYPERLINK("https://pbs.twimg.com/profile_images/613472305570824192/BKw639DG_normal.png","View")</f>
        <v>View</v>
      </c>
      <c r="P2290" s="11"/>
    </row>
    <row r="2291" spans="1:16" ht="12.75" x14ac:dyDescent="0.35">
      <c r="A2291" s="7">
        <v>42481.915231481486</v>
      </c>
      <c r="B2291" s="8" t="str">
        <f>HYPERLINK("https://twitter.com/croXXing_IBD","@croXXing_IBD")</f>
        <v>@croXXing_IBD</v>
      </c>
      <c r="C2291" s="9" t="s">
        <v>252</v>
      </c>
      <c r="D2291" s="9" t="s">
        <v>4110</v>
      </c>
      <c r="E2291" s="10" t="str">
        <f>HYPERLINK("https://twitter.com/croXXing_IBD/status/723186516323913728","723186516323913728")</f>
        <v>723186516323913728</v>
      </c>
      <c r="F2291" s="11" t="s">
        <v>222</v>
      </c>
      <c r="G2291" s="11">
        <v>40</v>
      </c>
      <c r="H2291" s="11">
        <v>137</v>
      </c>
      <c r="I2291" s="11">
        <v>0</v>
      </c>
      <c r="J2291" s="11">
        <v>0</v>
      </c>
      <c r="K2291" s="11" t="s">
        <v>21</v>
      </c>
      <c r="L2291" s="7">
        <v>42140.148263888885</v>
      </c>
      <c r="M2291" s="12" t="s">
        <v>223</v>
      </c>
      <c r="N2291" s="12" t="s">
        <v>254</v>
      </c>
      <c r="O2291" s="10" t="str">
        <f>HYPERLINK("https://pbs.twimg.com/profile_images/600279861282869249/IpIJ3MKX_normal.png","View")</f>
        <v>View</v>
      </c>
      <c r="P2291" s="11"/>
    </row>
    <row r="2292" spans="1:16" ht="12.75" x14ac:dyDescent="0.35">
      <c r="A2292" s="7">
        <v>42481.924618055556</v>
      </c>
      <c r="B2292" s="8" t="str">
        <f>HYPERLINK("https://twitter.com/DIGITUSmagazin","@DIGITUSmagazin")</f>
        <v>@DIGITUSmagazin</v>
      </c>
      <c r="C2292" s="9" t="s">
        <v>4111</v>
      </c>
      <c r="D2292" s="9" t="s">
        <v>4112</v>
      </c>
      <c r="E2292" s="10" t="str">
        <f>HYPERLINK("https://twitter.com/DIGITUSmagazin/status/723189919338795008","723189919338795008")</f>
        <v>723189919338795008</v>
      </c>
      <c r="F2292" s="11" t="s">
        <v>25</v>
      </c>
      <c r="G2292" s="11">
        <v>32</v>
      </c>
      <c r="H2292" s="11">
        <v>22</v>
      </c>
      <c r="I2292" s="11">
        <v>0</v>
      </c>
      <c r="J2292" s="11">
        <v>0</v>
      </c>
      <c r="K2292" s="11" t="s">
        <v>21</v>
      </c>
      <c r="L2292" s="7">
        <v>42426.546342592592</v>
      </c>
      <c r="M2292" s="12"/>
      <c r="N2292" s="12" t="s">
        <v>4113</v>
      </c>
      <c r="O2292" s="10" t="str">
        <f>HYPERLINK("https://pbs.twimg.com/profile_images/703129684733591552/SLOopLNe_normal.jpg","View")</f>
        <v>View</v>
      </c>
      <c r="P2292" s="11"/>
    </row>
    <row r="2293" spans="1:16" ht="12.75" x14ac:dyDescent="0.35">
      <c r="A2293" s="7">
        <v>42481.924988425926</v>
      </c>
      <c r="B2293" s="8" t="str">
        <f>HYPERLINK("https://twitter.com/IT_Connection","@IT_Connection")</f>
        <v>@IT_Connection</v>
      </c>
      <c r="C2293" s="9" t="s">
        <v>368</v>
      </c>
      <c r="D2293" s="9" t="s">
        <v>3646</v>
      </c>
      <c r="E2293" s="10" t="str">
        <f>HYPERLINK("https://twitter.com/IT_Connection/status/723190054202556416","723190054202556416")</f>
        <v>723190054202556416</v>
      </c>
      <c r="F2293" s="11" t="s">
        <v>29</v>
      </c>
      <c r="G2293" s="11">
        <v>10900</v>
      </c>
      <c r="H2293" s="11">
        <v>10875</v>
      </c>
      <c r="I2293" s="11">
        <v>11</v>
      </c>
      <c r="J2293" s="11">
        <v>0</v>
      </c>
      <c r="K2293" s="11" t="s">
        <v>21</v>
      </c>
      <c r="L2293" s="7">
        <v>40411.751539351855</v>
      </c>
      <c r="M2293" s="12" t="s">
        <v>369</v>
      </c>
      <c r="N2293" s="12" t="s">
        <v>370</v>
      </c>
      <c r="O2293" s="10" t="str">
        <f>HYPERLINK("https://pbs.twimg.com/profile_images/566986293888835584/_uYTcau__normal.png","View")</f>
        <v>View</v>
      </c>
      <c r="P2293" s="11"/>
    </row>
    <row r="2294" spans="1:16" ht="12.75" x14ac:dyDescent="0.35">
      <c r="A2294" s="7">
        <v>42481.925520833334</v>
      </c>
      <c r="B2294" s="8" t="str">
        <f>HYPERLINK("https://twitter.com/WassenhovenUG","@WassenhovenUG")</f>
        <v>@WassenhovenUG</v>
      </c>
      <c r="C2294" s="9" t="s">
        <v>2164</v>
      </c>
      <c r="D2294" s="9" t="s">
        <v>3646</v>
      </c>
      <c r="E2294" s="10" t="str">
        <f>HYPERLINK("https://twitter.com/WassenhovenUG/status/723190246855348224","723190246855348224")</f>
        <v>723190246855348224</v>
      </c>
      <c r="F2294" s="11" t="s">
        <v>29</v>
      </c>
      <c r="G2294" s="11">
        <v>1036</v>
      </c>
      <c r="H2294" s="11">
        <v>1907</v>
      </c>
      <c r="I2294" s="11">
        <v>11</v>
      </c>
      <c r="J2294" s="11">
        <v>0</v>
      </c>
      <c r="K2294" s="11" t="s">
        <v>21</v>
      </c>
      <c r="L2294" s="7">
        <v>40713.942199074074</v>
      </c>
      <c r="M2294" s="12" t="s">
        <v>2165</v>
      </c>
      <c r="N2294" s="12" t="s">
        <v>2166</v>
      </c>
      <c r="O2294" s="10" t="str">
        <f>HYPERLINK("https://pbs.twimg.com/profile_images/590945003289059328/J0FpdmyS_normal.png","View")</f>
        <v>View</v>
      </c>
      <c r="P2294" s="11"/>
    </row>
    <row r="2295" spans="1:16" ht="12.75" x14ac:dyDescent="0.35">
      <c r="A2295" s="7">
        <v>42481.927337962959</v>
      </c>
      <c r="B2295" s="8" t="str">
        <f>HYPERLINK("https://twitter.com/FERCHAU","@FERCHAU")</f>
        <v>@FERCHAU</v>
      </c>
      <c r="C2295" s="9" t="s">
        <v>4114</v>
      </c>
      <c r="D2295" s="9" t="s">
        <v>4115</v>
      </c>
      <c r="E2295" s="10" t="str">
        <f>HYPERLINK("https://twitter.com/FERCHAU/status/723190904127926272","723190904127926272")</f>
        <v>723190904127926272</v>
      </c>
      <c r="F2295" s="11" t="s">
        <v>39</v>
      </c>
      <c r="G2295" s="11">
        <v>4448</v>
      </c>
      <c r="H2295" s="11">
        <v>1004</v>
      </c>
      <c r="I2295" s="11">
        <v>1</v>
      </c>
      <c r="J2295" s="11">
        <v>0</v>
      </c>
      <c r="K2295" s="11" t="s">
        <v>21</v>
      </c>
      <c r="L2295" s="7">
        <v>39913.98238425926</v>
      </c>
      <c r="M2295" s="12" t="s">
        <v>92</v>
      </c>
      <c r="N2295" s="12" t="s">
        <v>4116</v>
      </c>
      <c r="O2295" s="10" t="str">
        <f>HYPERLINK("https://pbs.twimg.com/profile_images/473462374200909824/EVvRwnqG_normal.jpeg","View")</f>
        <v>View</v>
      </c>
      <c r="P2295" s="11"/>
    </row>
    <row r="2296" spans="1:16" ht="12.75" x14ac:dyDescent="0.35">
      <c r="A2296" s="7">
        <v>42481.928865740745</v>
      </c>
      <c r="B2296" s="8" t="str">
        <f>HYPERLINK("https://twitter.com/H_IT_D","@H_IT_D")</f>
        <v>@H_IT_D</v>
      </c>
      <c r="C2296" s="9" t="s">
        <v>159</v>
      </c>
      <c r="D2296" s="9" t="s">
        <v>4117</v>
      </c>
      <c r="E2296" s="10" t="str">
        <f>HYPERLINK("https://twitter.com/H_IT_D/status/723191459864678400","723191459864678400")</f>
        <v>723191459864678400</v>
      </c>
      <c r="F2296" s="11" t="s">
        <v>161</v>
      </c>
      <c r="G2296" s="11">
        <v>463</v>
      </c>
      <c r="H2296" s="11">
        <v>467</v>
      </c>
      <c r="I2296" s="11">
        <v>1</v>
      </c>
      <c r="J2296" s="11">
        <v>0</v>
      </c>
      <c r="K2296" s="11" t="s">
        <v>21</v>
      </c>
      <c r="L2296" s="7">
        <v>40723.867673611108</v>
      </c>
      <c r="M2296" s="12" t="s">
        <v>162</v>
      </c>
      <c r="N2296" s="12" t="s">
        <v>163</v>
      </c>
      <c r="O2296" s="10" t="str">
        <f>HYPERLINK("https://pbs.twimg.com/profile_images/662723326096224256/5V4KH9_O_normal.jpg","View")</f>
        <v>View</v>
      </c>
      <c r="P2296" s="11"/>
    </row>
    <row r="2297" spans="1:16" ht="12.75" x14ac:dyDescent="0.35">
      <c r="A2297" s="7">
        <v>42481.930358796293</v>
      </c>
      <c r="B2297" s="8" t="str">
        <f>HYPERLINK("https://twitter.com/DIGITUSmagazin","@DIGITUSmagazin")</f>
        <v>@DIGITUSmagazin</v>
      </c>
      <c r="C2297" s="9" t="s">
        <v>4111</v>
      </c>
      <c r="D2297" s="9" t="s">
        <v>4118</v>
      </c>
      <c r="E2297" s="10" t="str">
        <f>HYPERLINK("https://twitter.com/DIGITUSmagazin/status/723191999440936960","723191999440936960")</f>
        <v>723191999440936960</v>
      </c>
      <c r="F2297" s="11" t="s">
        <v>25</v>
      </c>
      <c r="G2297" s="11">
        <v>32</v>
      </c>
      <c r="H2297" s="11">
        <v>22</v>
      </c>
      <c r="I2297" s="11">
        <v>3</v>
      </c>
      <c r="J2297" s="11">
        <v>0</v>
      </c>
      <c r="K2297" s="11" t="s">
        <v>21</v>
      </c>
      <c r="L2297" s="7">
        <v>42426.546342592592</v>
      </c>
      <c r="M2297" s="12"/>
      <c r="N2297" s="12" t="s">
        <v>4113</v>
      </c>
      <c r="O2297" s="10" t="str">
        <f>HYPERLINK("https://pbs.twimg.com/profile_images/703129684733591552/SLOopLNe_normal.jpg","View")</f>
        <v>View</v>
      </c>
      <c r="P2297" s="11"/>
    </row>
    <row r="2298" spans="1:16" ht="12.75" x14ac:dyDescent="0.35">
      <c r="A2298" s="7">
        <v>42481.931562500002</v>
      </c>
      <c r="B2298" s="8" t="str">
        <f t="shared" ref="B2298:B2299" si="270">HYPERLINK("https://twitter.com/INDIZbot","@INDIZbot")</f>
        <v>@INDIZbot</v>
      </c>
      <c r="C2298" s="9" t="s">
        <v>61</v>
      </c>
      <c r="D2298" s="9" t="s">
        <v>4119</v>
      </c>
      <c r="E2298" s="10" t="str">
        <f>HYPERLINK("https://twitter.com/INDIZbot/status/723192435589951488","723192435589951488")</f>
        <v>723192435589951488</v>
      </c>
      <c r="F2298" s="11" t="s">
        <v>62</v>
      </c>
      <c r="G2298" s="11">
        <v>1762</v>
      </c>
      <c r="H2298" s="11">
        <v>481</v>
      </c>
      <c r="I2298" s="11">
        <v>3</v>
      </c>
      <c r="J2298" s="11">
        <v>0</v>
      </c>
      <c r="K2298" s="11" t="s">
        <v>21</v>
      </c>
      <c r="L2298" s="7">
        <v>42267.011921296296</v>
      </c>
      <c r="M2298" s="12"/>
      <c r="N2298" s="12" t="s">
        <v>63</v>
      </c>
      <c r="O2298" s="10" t="str">
        <f t="shared" ref="O2298:O2299" si="271">HYPERLINK("https://pbs.twimg.com/profile_images/645716711723925506/t5G0qOS6_normal.jpg","View")</f>
        <v>View</v>
      </c>
      <c r="P2298" s="11"/>
    </row>
    <row r="2299" spans="1:16" ht="12.75" x14ac:dyDescent="0.35">
      <c r="A2299" s="7">
        <v>42481.931759259256</v>
      </c>
      <c r="B2299" s="8" t="str">
        <f t="shared" si="270"/>
        <v>@INDIZbot</v>
      </c>
      <c r="C2299" s="9" t="s">
        <v>61</v>
      </c>
      <c r="D2299" s="9" t="s">
        <v>4120</v>
      </c>
      <c r="E2299" s="10" t="str">
        <f>HYPERLINK("https://twitter.com/INDIZbot/status/723192504774963200","723192504774963200")</f>
        <v>723192504774963200</v>
      </c>
      <c r="F2299" s="11" t="s">
        <v>62</v>
      </c>
      <c r="G2299" s="11">
        <v>1762</v>
      </c>
      <c r="H2299" s="11">
        <v>481</v>
      </c>
      <c r="I2299" s="11">
        <v>1</v>
      </c>
      <c r="J2299" s="11">
        <v>0</v>
      </c>
      <c r="K2299" s="11" t="s">
        <v>21</v>
      </c>
      <c r="L2299" s="7">
        <v>42267.011921296296</v>
      </c>
      <c r="M2299" s="12"/>
      <c r="N2299" s="12" t="s">
        <v>63</v>
      </c>
      <c r="O2299" s="10" t="str">
        <f t="shared" si="271"/>
        <v>View</v>
      </c>
      <c r="P2299" s="11"/>
    </row>
    <row r="2300" spans="1:16" ht="12.75" x14ac:dyDescent="0.35">
      <c r="A2300" s="7">
        <v>42481.941053240742</v>
      </c>
      <c r="B2300" s="8" t="str">
        <f>HYPERLINK("https://twitter.com/Connect_Things","@Connect_Things")</f>
        <v>@Connect_Things</v>
      </c>
      <c r="C2300" s="9" t="s">
        <v>4121</v>
      </c>
      <c r="D2300" s="9" t="s">
        <v>1954</v>
      </c>
      <c r="E2300" s="10" t="str">
        <f>HYPERLINK("https://twitter.com/Connect_Things/status/723195874617090048","723195874617090048")</f>
        <v>723195874617090048</v>
      </c>
      <c r="F2300" s="11" t="s">
        <v>20</v>
      </c>
      <c r="G2300" s="11">
        <v>34</v>
      </c>
      <c r="H2300" s="11">
        <v>29</v>
      </c>
      <c r="I2300" s="11">
        <v>25</v>
      </c>
      <c r="J2300" s="11">
        <v>0</v>
      </c>
      <c r="K2300" s="11" t="s">
        <v>21</v>
      </c>
      <c r="L2300" s="7">
        <v>42414.549884259264</v>
      </c>
      <c r="M2300" s="12"/>
      <c r="N2300" s="12" t="s">
        <v>4122</v>
      </c>
      <c r="O2300" s="10" t="str">
        <f>HYPERLINK("https://pbs.twimg.com/profile_images/701040765321936897/8PGP7xLf_normal.jpg","View")</f>
        <v>View</v>
      </c>
      <c r="P2300" s="11"/>
    </row>
    <row r="2301" spans="1:16" ht="12.75" x14ac:dyDescent="0.35">
      <c r="A2301" s="7">
        <v>42481.949456018519</v>
      </c>
      <c r="B2301" s="8" t="str">
        <f>HYPERLINK("https://twitter.com/DanielDomigall","@DanielDomigall")</f>
        <v>@DanielDomigall</v>
      </c>
      <c r="C2301" s="9" t="s">
        <v>1926</v>
      </c>
      <c r="D2301" s="9" t="s">
        <v>4123</v>
      </c>
      <c r="E2301" s="10" t="str">
        <f>HYPERLINK("https://twitter.com/DanielDomigall/status/723198920013320192","723198920013320192")</f>
        <v>723198920013320192</v>
      </c>
      <c r="F2301" s="11" t="s">
        <v>31</v>
      </c>
      <c r="G2301" s="11">
        <v>4</v>
      </c>
      <c r="H2301" s="11">
        <v>19</v>
      </c>
      <c r="I2301" s="11">
        <v>2</v>
      </c>
      <c r="J2301" s="11">
        <v>0</v>
      </c>
      <c r="K2301" s="11" t="s">
        <v>21</v>
      </c>
      <c r="L2301" s="7">
        <v>42379.660057870366</v>
      </c>
      <c r="M2301" s="12" t="s">
        <v>1927</v>
      </c>
      <c r="N2301" s="12"/>
      <c r="O2301" s="10" t="str">
        <f>HYPERLINK("https://pbs.twimg.com/profile_images/686153219328872448/sWdOqu2g_normal.jpg","View")</f>
        <v>View</v>
      </c>
      <c r="P2301" s="11"/>
    </row>
    <row r="2302" spans="1:16" ht="12.75" x14ac:dyDescent="0.35">
      <c r="A2302" s="7">
        <v>42481.955162037033</v>
      </c>
      <c r="B2302" s="8" t="str">
        <f>HYPERLINK("https://twitter.com/greiten","@greiten")</f>
        <v>@greiten</v>
      </c>
      <c r="C2302" s="9" t="s">
        <v>4124</v>
      </c>
      <c r="D2302" s="9" t="s">
        <v>3588</v>
      </c>
      <c r="E2302" s="10" t="str">
        <f>HYPERLINK("https://twitter.com/greiten/status/723200988929228800","723200988929228800")</f>
        <v>723200988929228800</v>
      </c>
      <c r="F2302" s="11" t="s">
        <v>31</v>
      </c>
      <c r="G2302" s="11">
        <v>2335</v>
      </c>
      <c r="H2302" s="11">
        <v>3575</v>
      </c>
      <c r="I2302" s="11">
        <v>24</v>
      </c>
      <c r="J2302" s="11">
        <v>0</v>
      </c>
      <c r="K2302" s="11" t="s">
        <v>21</v>
      </c>
      <c r="L2302" s="7">
        <v>39880.031585648147</v>
      </c>
      <c r="M2302" s="12" t="s">
        <v>2731</v>
      </c>
      <c r="N2302" s="12" t="s">
        <v>4125</v>
      </c>
      <c r="O2302" s="10" t="str">
        <f>HYPERLINK("https://pbs.twimg.com/profile_images/612572506642358272/xRrctO28_normal.jpg","View")</f>
        <v>View</v>
      </c>
      <c r="P2302" s="11"/>
    </row>
    <row r="2303" spans="1:16" ht="12.75" x14ac:dyDescent="0.35">
      <c r="A2303" s="7">
        <v>42481.959432870368</v>
      </c>
      <c r="B2303" s="8" t="str">
        <f>HYPERLINK("https://twitter.com/MicrocityNE","@MicrocityNE")</f>
        <v>@MicrocityNE</v>
      </c>
      <c r="C2303" s="9" t="s">
        <v>4126</v>
      </c>
      <c r="D2303" s="9" t="s">
        <v>3799</v>
      </c>
      <c r="E2303" s="10" t="str">
        <f>HYPERLINK("https://twitter.com/MicrocityNE/status/723202534022742016","723202534022742016")</f>
        <v>723202534022742016</v>
      </c>
      <c r="F2303" s="11" t="s">
        <v>31</v>
      </c>
      <c r="G2303" s="11">
        <v>83</v>
      </c>
      <c r="H2303" s="11">
        <v>91</v>
      </c>
      <c r="I2303" s="11">
        <v>2</v>
      </c>
      <c r="J2303" s="11">
        <v>0</v>
      </c>
      <c r="K2303" s="11" t="s">
        <v>21</v>
      </c>
      <c r="L2303" s="7">
        <v>42265.130648148144</v>
      </c>
      <c r="M2303" s="12" t="s">
        <v>4127</v>
      </c>
      <c r="N2303" s="12" t="s">
        <v>4128</v>
      </c>
      <c r="O2303" s="10" t="str">
        <f>HYPERLINK("https://pbs.twimg.com/profile_images/646411181574496256/r7iNbDud_normal.jpg","View")</f>
        <v>View</v>
      </c>
      <c r="P2303" s="11"/>
    </row>
    <row r="2304" spans="1:16" ht="12.75" x14ac:dyDescent="0.35">
      <c r="A2304" s="7">
        <v>42481.959733796291</v>
      </c>
      <c r="B2304" s="8" t="str">
        <f>HYPERLINK("https://twitter.com/INDIZbot","@INDIZbot")</f>
        <v>@INDIZbot</v>
      </c>
      <c r="C2304" s="9" t="s">
        <v>61</v>
      </c>
      <c r="D2304" s="9" t="s">
        <v>4123</v>
      </c>
      <c r="E2304" s="10" t="str">
        <f>HYPERLINK("https://twitter.com/INDIZbot/status/723202645201170432","723202645201170432")</f>
        <v>723202645201170432</v>
      </c>
      <c r="F2304" s="11" t="s">
        <v>62</v>
      </c>
      <c r="G2304" s="11">
        <v>1762</v>
      </c>
      <c r="H2304" s="11">
        <v>481</v>
      </c>
      <c r="I2304" s="11">
        <v>2</v>
      </c>
      <c r="J2304" s="11">
        <v>0</v>
      </c>
      <c r="K2304" s="11" t="s">
        <v>21</v>
      </c>
      <c r="L2304" s="7">
        <v>42267.011921296296</v>
      </c>
      <c r="M2304" s="12"/>
      <c r="N2304" s="12" t="s">
        <v>63</v>
      </c>
      <c r="O2304" s="10" t="str">
        <f>HYPERLINK("https://pbs.twimg.com/profile_images/645716711723925506/t5G0qOS6_normal.jpg","View")</f>
        <v>View</v>
      </c>
      <c r="P2304" s="11"/>
    </row>
    <row r="2305" spans="1:16" ht="12.75" x14ac:dyDescent="0.35">
      <c r="A2305" s="7">
        <v>42481.960277777776</v>
      </c>
      <c r="B2305" s="8" t="str">
        <f>HYPERLINK("https://twitter.com/bamitav","@bamitav")</f>
        <v>@bamitav</v>
      </c>
      <c r="C2305" s="9" t="s">
        <v>341</v>
      </c>
      <c r="D2305" s="9" t="s">
        <v>4129</v>
      </c>
      <c r="E2305" s="10" t="str">
        <f>HYPERLINK("https://twitter.com/bamitav/status/723202842954059782","723202842954059782")</f>
        <v>723202842954059782</v>
      </c>
      <c r="F2305" s="11" t="s">
        <v>20</v>
      </c>
      <c r="G2305" s="11">
        <v>7341</v>
      </c>
      <c r="H2305" s="11">
        <v>6333</v>
      </c>
      <c r="I2305" s="11">
        <v>0</v>
      </c>
      <c r="J2305" s="11">
        <v>0</v>
      </c>
      <c r="K2305" s="11" t="s">
        <v>21</v>
      </c>
      <c r="L2305" s="7">
        <v>40138.933622685188</v>
      </c>
      <c r="M2305" s="12" t="s">
        <v>343</v>
      </c>
      <c r="N2305" s="12" t="s">
        <v>344</v>
      </c>
      <c r="O2305" s="10" t="str">
        <f>HYPERLINK("https://pbs.twimg.com/profile_images/672794348442877952/m6Is-Nrc_normal.jpg","View")</f>
        <v>View</v>
      </c>
      <c r="P2305" s="11"/>
    </row>
    <row r="2306" spans="1:16" ht="12.75" x14ac:dyDescent="0.35">
      <c r="A2306" s="7">
        <v>42481.961504629631</v>
      </c>
      <c r="B2306" s="8" t="str">
        <f>HYPERLINK("https://twitter.com/GiebelRalph","@GiebelRalph")</f>
        <v>@GiebelRalph</v>
      </c>
      <c r="C2306" s="9" t="s">
        <v>4130</v>
      </c>
      <c r="D2306" s="9" t="s">
        <v>3816</v>
      </c>
      <c r="E2306" s="10" t="str">
        <f>HYPERLINK("https://twitter.com/GiebelRalph/status/723203287030353920","723203287030353920")</f>
        <v>723203287030353920</v>
      </c>
      <c r="F2306" s="11" t="s">
        <v>31</v>
      </c>
      <c r="G2306" s="11">
        <v>75</v>
      </c>
      <c r="H2306" s="11">
        <v>167</v>
      </c>
      <c r="I2306" s="11">
        <v>3</v>
      </c>
      <c r="J2306" s="11">
        <v>0</v>
      </c>
      <c r="K2306" s="11" t="s">
        <v>21</v>
      </c>
      <c r="L2306" s="7">
        <v>40748.872569444444</v>
      </c>
      <c r="M2306" s="12" t="s">
        <v>218</v>
      </c>
      <c r="N2306" s="12"/>
      <c r="O2306" s="10" t="str">
        <f>HYPERLINK("https://pbs.twimg.com/profile_images/1458427477/833_RG_140-196_PIC_normal.jpg","View")</f>
        <v>View</v>
      </c>
      <c r="P2306" s="11"/>
    </row>
    <row r="2307" spans="1:16" ht="12.75" x14ac:dyDescent="0.35">
      <c r="A2307" s="7">
        <v>42481.96361111111</v>
      </c>
      <c r="B2307" s="8" t="str">
        <f>HYPERLINK("https://twitter.com/BoschSI","@BoschSI")</f>
        <v>@BoschSI</v>
      </c>
      <c r="C2307" s="9" t="s">
        <v>2131</v>
      </c>
      <c r="D2307" s="9" t="s">
        <v>4119</v>
      </c>
      <c r="E2307" s="10" t="str">
        <f>HYPERLINK("https://twitter.com/BoschSI/status/723204048413966337","723204048413966337")</f>
        <v>723204048413966337</v>
      </c>
      <c r="F2307" s="11" t="s">
        <v>20</v>
      </c>
      <c r="G2307" s="11">
        <v>3696</v>
      </c>
      <c r="H2307" s="11">
        <v>399</v>
      </c>
      <c r="I2307" s="11">
        <v>3</v>
      </c>
      <c r="J2307" s="11">
        <v>0</v>
      </c>
      <c r="K2307" s="11" t="s">
        <v>21</v>
      </c>
      <c r="L2307" s="7">
        <v>40064.70511574074</v>
      </c>
      <c r="M2307" s="12" t="s">
        <v>218</v>
      </c>
      <c r="N2307" s="12" t="s">
        <v>2132</v>
      </c>
      <c r="O2307" s="10" t="str">
        <f>HYPERLINK("https://pbs.twimg.com/profile_images/423816397320241152/83rRQZmm_normal.jpeg","View")</f>
        <v>View</v>
      </c>
      <c r="P2307" s="11"/>
    </row>
    <row r="2308" spans="1:16" ht="12.75" x14ac:dyDescent="0.35">
      <c r="A2308" s="7">
        <v>42481.974953703699</v>
      </c>
      <c r="B2308" s="8" t="str">
        <f>HYPERLINK("https://twitter.com/H_IT_D","@H_IT_D")</f>
        <v>@H_IT_D</v>
      </c>
      <c r="C2308" s="9" t="s">
        <v>159</v>
      </c>
      <c r="D2308" s="9" t="s">
        <v>4131</v>
      </c>
      <c r="E2308" s="10" t="str">
        <f>HYPERLINK("https://twitter.com/H_IT_D/status/723208158546554881","723208158546554881")</f>
        <v>723208158546554881</v>
      </c>
      <c r="F2308" s="11" t="s">
        <v>161</v>
      </c>
      <c r="G2308" s="11">
        <v>463</v>
      </c>
      <c r="H2308" s="11">
        <v>467</v>
      </c>
      <c r="I2308" s="11">
        <v>1</v>
      </c>
      <c r="J2308" s="11">
        <v>2</v>
      </c>
      <c r="K2308" s="11" t="s">
        <v>21</v>
      </c>
      <c r="L2308" s="7">
        <v>40723.867673611108</v>
      </c>
      <c r="M2308" s="12" t="s">
        <v>162</v>
      </c>
      <c r="N2308" s="12" t="s">
        <v>163</v>
      </c>
      <c r="O2308" s="10" t="str">
        <f>HYPERLINK("https://pbs.twimg.com/profile_images/662723326096224256/5V4KH9_O_normal.jpg","View")</f>
        <v>View</v>
      </c>
      <c r="P2308" s="11"/>
    </row>
    <row r="2309" spans="1:16" ht="12.75" x14ac:dyDescent="0.35">
      <c r="A2309" s="7">
        <v>42481.987430555557</v>
      </c>
      <c r="B2309" s="8" t="str">
        <f>HYPERLINK("https://twitter.com/pfisterer_ralf","@pfisterer_ralf")</f>
        <v>@pfisterer_ralf</v>
      </c>
      <c r="C2309" s="9" t="s">
        <v>1995</v>
      </c>
      <c r="D2309" s="9" t="s">
        <v>3905</v>
      </c>
      <c r="E2309" s="10" t="str">
        <f>HYPERLINK("https://twitter.com/pfisterer_ralf/status/723212680476131328","723212680476131328")</f>
        <v>723212680476131328</v>
      </c>
      <c r="F2309" s="11" t="s">
        <v>1997</v>
      </c>
      <c r="G2309" s="11">
        <v>12</v>
      </c>
      <c r="H2309" s="11">
        <v>22</v>
      </c>
      <c r="I2309" s="11">
        <v>5</v>
      </c>
      <c r="J2309" s="11">
        <v>0</v>
      </c>
      <c r="K2309" s="11" t="s">
        <v>21</v>
      </c>
      <c r="L2309" s="7">
        <v>42383.044189814813</v>
      </c>
      <c r="M2309" s="12"/>
      <c r="N2309" s="12"/>
      <c r="O2309" s="10" t="str">
        <f>HYPERLINK("https://pbs.twimg.com/profile_images/687624884244082688/eYnhv8nB_normal.jpg","View")</f>
        <v>View</v>
      </c>
      <c r="P2309" s="11"/>
    </row>
    <row r="2310" spans="1:16" ht="12.75" x14ac:dyDescent="0.35">
      <c r="A2310" s="7">
        <v>42481.988217592589</v>
      </c>
      <c r="B2310" s="8" t="str">
        <f>HYPERLINK("https://twitter.com/INDIZbot","@INDIZbot")</f>
        <v>@INDIZbot</v>
      </c>
      <c r="C2310" s="9" t="s">
        <v>61</v>
      </c>
      <c r="D2310" s="9" t="s">
        <v>4132</v>
      </c>
      <c r="E2310" s="10" t="str">
        <f>HYPERLINK("https://twitter.com/INDIZbot/status/723212968289271809","723212968289271809")</f>
        <v>723212968289271809</v>
      </c>
      <c r="F2310" s="11" t="s">
        <v>62</v>
      </c>
      <c r="G2310" s="11">
        <v>1762</v>
      </c>
      <c r="H2310" s="11">
        <v>481</v>
      </c>
      <c r="I2310" s="11">
        <v>1</v>
      </c>
      <c r="J2310" s="11">
        <v>0</v>
      </c>
      <c r="K2310" s="11" t="s">
        <v>21</v>
      </c>
      <c r="L2310" s="7">
        <v>42267.011921296296</v>
      </c>
      <c r="M2310" s="12"/>
      <c r="N2310" s="12" t="s">
        <v>63</v>
      </c>
      <c r="O2310" s="10" t="str">
        <f>HYPERLINK("https://pbs.twimg.com/profile_images/645716711723925506/t5G0qOS6_normal.jpg","View")</f>
        <v>View</v>
      </c>
      <c r="P2310" s="11"/>
    </row>
    <row r="2311" spans="1:16" ht="12.75" x14ac:dyDescent="0.35">
      <c r="A2311" s="7">
        <v>42481.991111111114</v>
      </c>
      <c r="B2311" s="8" t="str">
        <f>HYPERLINK("https://twitter.com/ke13ds","@ke13ds")</f>
        <v>@ke13ds</v>
      </c>
      <c r="C2311" s="9" t="s">
        <v>685</v>
      </c>
      <c r="D2311" s="9" t="s">
        <v>1558</v>
      </c>
      <c r="E2311" s="10" t="str">
        <f>HYPERLINK("https://twitter.com/ke13ds/status/723214013451128836","723214013451128836")</f>
        <v>723214013451128836</v>
      </c>
      <c r="F2311" s="11" t="s">
        <v>31</v>
      </c>
      <c r="G2311" s="11">
        <v>184</v>
      </c>
      <c r="H2311" s="11">
        <v>351</v>
      </c>
      <c r="I2311" s="11">
        <v>4</v>
      </c>
      <c r="J2311" s="11">
        <v>0</v>
      </c>
      <c r="K2311" s="11" t="s">
        <v>21</v>
      </c>
      <c r="L2311" s="7">
        <v>41654.903900462959</v>
      </c>
      <c r="M2311" s="12" t="s">
        <v>92</v>
      </c>
      <c r="N2311" s="12" t="s">
        <v>687</v>
      </c>
      <c r="O2311" s="10" t="str">
        <f>HYPERLINK("https://pbs.twimg.com/profile_images/660034078662664192/fW_fR4oj_normal.jpg","View")</f>
        <v>View</v>
      </c>
      <c r="P2311" s="11"/>
    </row>
    <row r="2312" spans="1:16" ht="12.75" x14ac:dyDescent="0.35">
      <c r="A2312" s="7">
        <v>42481.995844907404</v>
      </c>
      <c r="B2312" s="8" t="str">
        <f>HYPERLINK("https://twitter.com/QuickFindsIn","@QuickFindsIn")</f>
        <v>@QuickFindsIn</v>
      </c>
      <c r="C2312" s="9" t="s">
        <v>208</v>
      </c>
      <c r="D2312" s="9" t="s">
        <v>733</v>
      </c>
      <c r="E2312" s="10" t="str">
        <f>HYPERLINK("https://twitter.com/QuickFindsIn/status/723215730779377664","723215730779377664")</f>
        <v>723215730779377664</v>
      </c>
      <c r="F2312" s="11" t="s">
        <v>210</v>
      </c>
      <c r="G2312" s="11">
        <v>1895</v>
      </c>
      <c r="H2312" s="11">
        <v>2758</v>
      </c>
      <c r="I2312" s="11">
        <v>0</v>
      </c>
      <c r="J2312" s="11">
        <v>1</v>
      </c>
      <c r="K2312" s="11" t="s">
        <v>21</v>
      </c>
      <c r="L2312" s="7">
        <v>42069.582048611112</v>
      </c>
      <c r="M2312" s="12" t="s">
        <v>211</v>
      </c>
      <c r="N2312" s="12" t="s">
        <v>212</v>
      </c>
      <c r="O2312" s="10" t="str">
        <f>HYPERLINK("https://pbs.twimg.com/profile_images/591951396217327616/HbcCX2zX_normal.png","View")</f>
        <v>View</v>
      </c>
      <c r="P2312" s="11"/>
    </row>
    <row r="2313" spans="1:16" ht="12.75" x14ac:dyDescent="0.35">
      <c r="A2313" s="7">
        <v>42482.008761574078</v>
      </c>
      <c r="B2313" s="8" t="str">
        <f>HYPERLINK("https://twitter.com/nfoerster","@nfoerster")</f>
        <v>@nfoerster</v>
      </c>
      <c r="C2313" s="9" t="s">
        <v>4133</v>
      </c>
      <c r="D2313" s="9" t="s">
        <v>3588</v>
      </c>
      <c r="E2313" s="10" t="str">
        <f>HYPERLINK("https://twitter.com/nfoerster/status/723220410221862912","723220410221862912")</f>
        <v>723220410221862912</v>
      </c>
      <c r="F2313" s="11" t="s">
        <v>29</v>
      </c>
      <c r="G2313" s="11">
        <v>9</v>
      </c>
      <c r="H2313" s="11">
        <v>63</v>
      </c>
      <c r="I2313" s="11">
        <v>24</v>
      </c>
      <c r="J2313" s="11">
        <v>0</v>
      </c>
      <c r="K2313" s="11" t="s">
        <v>21</v>
      </c>
      <c r="L2313" s="7">
        <v>39907.06967592593</v>
      </c>
      <c r="M2313" s="12"/>
      <c r="N2313" s="12"/>
      <c r="O2313" s="10" t="str">
        <f>HYPERLINK("https://pbs.twimg.com/profile_images/120360497/Bild_1_normal.png","View")</f>
        <v>View</v>
      </c>
      <c r="P2313" s="11"/>
    </row>
    <row r="2314" spans="1:16" ht="12.75" x14ac:dyDescent="0.35">
      <c r="A2314" s="7">
        <v>42482.013229166667</v>
      </c>
      <c r="B2314" s="8" t="str">
        <f>HYPERLINK("https://twitter.com/deviceWISEM2M","@deviceWISEM2M")</f>
        <v>@deviceWISEM2M</v>
      </c>
      <c r="C2314" s="9" t="s">
        <v>1192</v>
      </c>
      <c r="D2314" s="9" t="s">
        <v>4134</v>
      </c>
      <c r="E2314" s="10" t="str">
        <f>HYPERLINK("https://twitter.com/deviceWISEM2M/status/723222029948837888","723222029948837888")</f>
        <v>723222029948837888</v>
      </c>
      <c r="F2314" s="11" t="s">
        <v>59</v>
      </c>
      <c r="G2314" s="11">
        <v>495</v>
      </c>
      <c r="H2314" s="11">
        <v>1036</v>
      </c>
      <c r="I2314" s="11">
        <v>1</v>
      </c>
      <c r="J2314" s="11">
        <v>2</v>
      </c>
      <c r="K2314" s="11" t="s">
        <v>21</v>
      </c>
      <c r="L2314" s="7">
        <v>41341.992407407408</v>
      </c>
      <c r="M2314" s="12" t="s">
        <v>1194</v>
      </c>
      <c r="N2314" s="12" t="s">
        <v>1195</v>
      </c>
      <c r="O2314" s="10" t="str">
        <f>HYPERLINK("https://pbs.twimg.com/profile_images/638707523160272896/YonVe2-H_normal.jpg","View")</f>
        <v>View</v>
      </c>
      <c r="P2314" s="11"/>
    </row>
    <row r="2315" spans="1:16" ht="12.75" x14ac:dyDescent="0.35">
      <c r="A2315" s="7">
        <v>42482.01630787037</v>
      </c>
      <c r="B2315" s="8" t="str">
        <f>HYPERLINK("https://twitter.com/BeierMichael71","@BeierMichael71")</f>
        <v>@BeierMichael71</v>
      </c>
      <c r="C2315" s="9" t="s">
        <v>1041</v>
      </c>
      <c r="D2315" s="9" t="s">
        <v>4135</v>
      </c>
      <c r="E2315" s="10" t="str">
        <f>HYPERLINK("https://twitter.com/BeierMichael71/status/723223147516817408","723223147516817408")</f>
        <v>723223147516817408</v>
      </c>
      <c r="F2315" s="11" t="s">
        <v>25</v>
      </c>
      <c r="G2315" s="11">
        <v>92</v>
      </c>
      <c r="H2315" s="11">
        <v>345</v>
      </c>
      <c r="I2315" s="11">
        <v>1</v>
      </c>
      <c r="J2315" s="11">
        <v>0</v>
      </c>
      <c r="K2315" s="11" t="s">
        <v>21</v>
      </c>
      <c r="L2315" s="7">
        <v>41990.142141203702</v>
      </c>
      <c r="M2315" s="12" t="s">
        <v>1043</v>
      </c>
      <c r="N2315" s="12" t="s">
        <v>1044</v>
      </c>
      <c r="O2315" s="10" t="str">
        <f>HYPERLINK("https://pbs.twimg.com/profile_images/704029343115300866/yUARofpi_normal.jpg","View")</f>
        <v>View</v>
      </c>
      <c r="P2315" s="11"/>
    </row>
    <row r="2316" spans="1:16" ht="12.75" x14ac:dyDescent="0.35">
      <c r="A2316" s="7">
        <v>42482.018483796295</v>
      </c>
      <c r="B2316" s="8" t="str">
        <f>HYPERLINK("https://twitter.com/BGMSystemhaus","@BGMSystemhaus")</f>
        <v>@BGMSystemhaus</v>
      </c>
      <c r="C2316" s="9" t="s">
        <v>4136</v>
      </c>
      <c r="D2316" s="9" t="s">
        <v>3968</v>
      </c>
      <c r="E2316" s="10" t="str">
        <f>HYPERLINK("https://twitter.com/BGMSystemhaus/status/723223935152717825","723223935152717825")</f>
        <v>723223935152717825</v>
      </c>
      <c r="F2316" s="11" t="s">
        <v>20</v>
      </c>
      <c r="G2316" s="11">
        <v>174</v>
      </c>
      <c r="H2316" s="11">
        <v>242</v>
      </c>
      <c r="I2316" s="11">
        <v>14</v>
      </c>
      <c r="J2316" s="11">
        <v>0</v>
      </c>
      <c r="K2316" s="11" t="s">
        <v>21</v>
      </c>
      <c r="L2316" s="7">
        <v>42160.735706018517</v>
      </c>
      <c r="M2316" s="12" t="s">
        <v>4137</v>
      </c>
      <c r="N2316" s="12" t="s">
        <v>4138</v>
      </c>
      <c r="O2316" s="10" t="str">
        <f>HYPERLINK("https://pbs.twimg.com/profile_images/717446134499778560/M6wGD8Ci_normal.jpg","View")</f>
        <v>View</v>
      </c>
      <c r="P2316" s="11"/>
    </row>
    <row r="2317" spans="1:16" ht="12.75" x14ac:dyDescent="0.35">
      <c r="A2317" s="7">
        <v>42482.020856481482</v>
      </c>
      <c r="B2317" s="8" t="str">
        <f>HYPERLINK("https://twitter.com/kommoptimierer","@kommoptimierer")</f>
        <v>@kommoptimierer</v>
      </c>
      <c r="C2317" s="9" t="s">
        <v>270</v>
      </c>
      <c r="D2317" s="9" t="s">
        <v>669</v>
      </c>
      <c r="E2317" s="10" t="str">
        <f>HYPERLINK("https://twitter.com/kommoptimierer/status/723224792619474945","723224792619474945")</f>
        <v>723224792619474945</v>
      </c>
      <c r="F2317" s="11" t="s">
        <v>272</v>
      </c>
      <c r="G2317" s="11">
        <v>1347</v>
      </c>
      <c r="H2317" s="11">
        <v>1753</v>
      </c>
      <c r="I2317" s="11">
        <v>1</v>
      </c>
      <c r="J2317" s="11">
        <v>0</v>
      </c>
      <c r="K2317" s="11" t="s">
        <v>21</v>
      </c>
      <c r="L2317" s="7">
        <v>39986.860358796301</v>
      </c>
      <c r="M2317" s="12" t="s">
        <v>273</v>
      </c>
      <c r="N2317" s="12" t="s">
        <v>274</v>
      </c>
      <c r="O2317" s="10" t="str">
        <f>HYPERLINK("https://pbs.twimg.com/profile_images/541146126158536704/IYardufS_normal.jpeg","View")</f>
        <v>View</v>
      </c>
      <c r="P2317" s="11"/>
    </row>
    <row r="2318" spans="1:16" ht="12.75" x14ac:dyDescent="0.35">
      <c r="A2318" s="7">
        <v>42482.021643518514</v>
      </c>
      <c r="B2318" s="8" t="str">
        <f t="shared" ref="B2318:B2319" si="272">HYPERLINK("https://twitter.com/INDIZbot","@INDIZbot")</f>
        <v>@INDIZbot</v>
      </c>
      <c r="C2318" s="9" t="s">
        <v>61</v>
      </c>
      <c r="D2318" s="9" t="s">
        <v>1528</v>
      </c>
      <c r="E2318" s="10" t="str">
        <f>HYPERLINK("https://twitter.com/INDIZbot/status/723225077492408320","723225077492408320")</f>
        <v>723225077492408320</v>
      </c>
      <c r="F2318" s="11" t="s">
        <v>62</v>
      </c>
      <c r="G2318" s="11">
        <v>1762</v>
      </c>
      <c r="H2318" s="11">
        <v>481</v>
      </c>
      <c r="I2318" s="11">
        <v>1</v>
      </c>
      <c r="J2318" s="11">
        <v>0</v>
      </c>
      <c r="K2318" s="11" t="s">
        <v>21</v>
      </c>
      <c r="L2318" s="7">
        <v>42267.011921296296</v>
      </c>
      <c r="M2318" s="12"/>
      <c r="N2318" s="12" t="s">
        <v>63</v>
      </c>
      <c r="O2318" s="10" t="str">
        <f t="shared" ref="O2318:O2319" si="273">HYPERLINK("https://pbs.twimg.com/profile_images/645716711723925506/t5G0qOS6_normal.jpg","View")</f>
        <v>View</v>
      </c>
      <c r="P2318" s="11"/>
    </row>
    <row r="2319" spans="1:16" ht="12.75" x14ac:dyDescent="0.35">
      <c r="A2319" s="7">
        <v>42482.022418981476</v>
      </c>
      <c r="B2319" s="8" t="str">
        <f t="shared" si="272"/>
        <v>@INDIZbot</v>
      </c>
      <c r="C2319" s="9" t="s">
        <v>61</v>
      </c>
      <c r="D2319" s="9" t="s">
        <v>3968</v>
      </c>
      <c r="E2319" s="10" t="str">
        <f>HYPERLINK("https://twitter.com/INDIZbot/status/723225362046566400","723225362046566400")</f>
        <v>723225362046566400</v>
      </c>
      <c r="F2319" s="11" t="s">
        <v>62</v>
      </c>
      <c r="G2319" s="11">
        <v>1762</v>
      </c>
      <c r="H2319" s="11">
        <v>481</v>
      </c>
      <c r="I2319" s="11">
        <v>14</v>
      </c>
      <c r="J2319" s="11">
        <v>0</v>
      </c>
      <c r="K2319" s="11" t="s">
        <v>21</v>
      </c>
      <c r="L2319" s="7">
        <v>42267.011921296296</v>
      </c>
      <c r="M2319" s="12"/>
      <c r="N2319" s="12" t="s">
        <v>63</v>
      </c>
      <c r="O2319" s="10" t="str">
        <f t="shared" si="273"/>
        <v>View</v>
      </c>
      <c r="P2319" s="11"/>
    </row>
    <row r="2320" spans="1:16" ht="12.75" x14ac:dyDescent="0.35">
      <c r="A2320" s="7">
        <v>42482.022858796292</v>
      </c>
      <c r="B2320" s="8" t="str">
        <f>HYPERLINK("https://twitter.com/Beckers_Beste","@Beckers_Beste")</f>
        <v>@Beckers_Beste</v>
      </c>
      <c r="C2320" s="9" t="s">
        <v>4139</v>
      </c>
      <c r="D2320" s="9" t="s">
        <v>3968</v>
      </c>
      <c r="E2320" s="10" t="str">
        <f>HYPERLINK("https://twitter.com/Beckers_Beste/status/723225518234017796","723225518234017796")</f>
        <v>723225518234017796</v>
      </c>
      <c r="F2320" s="11" t="s">
        <v>20</v>
      </c>
      <c r="G2320" s="11">
        <v>115</v>
      </c>
      <c r="H2320" s="11">
        <v>312</v>
      </c>
      <c r="I2320" s="11">
        <v>14</v>
      </c>
      <c r="J2320" s="11">
        <v>0</v>
      </c>
      <c r="K2320" s="11" t="s">
        <v>21</v>
      </c>
      <c r="L2320" s="7">
        <v>41389.666631944448</v>
      </c>
      <c r="M2320" s="12" t="s">
        <v>218</v>
      </c>
      <c r="N2320" s="12" t="s">
        <v>4140</v>
      </c>
      <c r="O2320" s="10" t="str">
        <f>HYPERLINK("https://pbs.twimg.com/profile_images/712359940522958848/YTIPdlXp_normal.jpg","View")</f>
        <v>View</v>
      </c>
      <c r="P2320" s="11"/>
    </row>
    <row r="2321" spans="1:16" ht="12.75" x14ac:dyDescent="0.35">
      <c r="A2321" s="7">
        <v>42482.024259259255</v>
      </c>
      <c r="B2321" s="8" t="str">
        <f>HYPERLINK("https://twitter.com/TorbenFred","@TorbenFred")</f>
        <v>@TorbenFred</v>
      </c>
      <c r="C2321" s="9" t="s">
        <v>4141</v>
      </c>
      <c r="D2321" s="9" t="s">
        <v>3884</v>
      </c>
      <c r="E2321" s="10" t="str">
        <f>HYPERLINK("https://twitter.com/TorbenFred/status/723226025899995137","723226025899995137")</f>
        <v>723226025899995137</v>
      </c>
      <c r="F2321" s="11" t="s">
        <v>20</v>
      </c>
      <c r="G2321" s="11">
        <v>15</v>
      </c>
      <c r="H2321" s="11">
        <v>88</v>
      </c>
      <c r="I2321" s="11">
        <v>2</v>
      </c>
      <c r="J2321" s="11">
        <v>0</v>
      </c>
      <c r="K2321" s="11" t="s">
        <v>21</v>
      </c>
      <c r="L2321" s="7">
        <v>41186.838101851856</v>
      </c>
      <c r="M2321" s="12" t="s">
        <v>4142</v>
      </c>
      <c r="N2321" s="12" t="s">
        <v>4143</v>
      </c>
      <c r="O2321" s="10" t="str">
        <f>HYPERLINK("https://pbs.twimg.com/profile_images/378800000720043036/33eecd625d5bb41fcf35fcdcd9bc74a6_normal.jpeg","View")</f>
        <v>View</v>
      </c>
      <c r="P2321" s="11"/>
    </row>
    <row r="2322" spans="1:16" ht="12.75" x14ac:dyDescent="0.35">
      <c r="A2322" s="7">
        <v>42482.031122685185</v>
      </c>
      <c r="B2322" s="8" t="str">
        <f t="shared" ref="B2322:B2323" si="274">HYPERLINK("https://twitter.com/computerdoktor","@computerdoktor")</f>
        <v>@computerdoktor</v>
      </c>
      <c r="C2322" s="9" t="s">
        <v>4144</v>
      </c>
      <c r="D2322" s="9" t="s">
        <v>4084</v>
      </c>
      <c r="E2322" s="10" t="str">
        <f>HYPERLINK("https://twitter.com/computerdoktor/status/723228513608802304","723228513608802304")</f>
        <v>723228513608802304</v>
      </c>
      <c r="F2322" s="11" t="s">
        <v>31</v>
      </c>
      <c r="G2322" s="11">
        <v>17</v>
      </c>
      <c r="H2322" s="11">
        <v>99</v>
      </c>
      <c r="I2322" s="11">
        <v>4</v>
      </c>
      <c r="J2322" s="11">
        <v>0</v>
      </c>
      <c r="K2322" s="11" t="s">
        <v>21</v>
      </c>
      <c r="L2322" s="7">
        <v>40457.105856481481</v>
      </c>
      <c r="M2322" s="12" t="s">
        <v>2069</v>
      </c>
      <c r="N2322" s="12"/>
      <c r="O2322" s="10" t="str">
        <f t="shared" ref="O2322:O2323" si="275">HYPERLINK("https://abs.twimg.com/sticky/default_profile_images/default_profile_5_normal.png","View")</f>
        <v>View</v>
      </c>
      <c r="P2322" s="11"/>
    </row>
    <row r="2323" spans="1:16" ht="12.75" x14ac:dyDescent="0.35">
      <c r="A2323" s="7">
        <v>42482.031944444447</v>
      </c>
      <c r="B2323" s="8" t="str">
        <f t="shared" si="274"/>
        <v>@computerdoktor</v>
      </c>
      <c r="C2323" s="9" t="s">
        <v>4144</v>
      </c>
      <c r="D2323" s="9" t="s">
        <v>3968</v>
      </c>
      <c r="E2323" s="10" t="str">
        <f>HYPERLINK("https://twitter.com/computerdoktor/status/723228811475718146","723228811475718146")</f>
        <v>723228811475718146</v>
      </c>
      <c r="F2323" s="11" t="s">
        <v>31</v>
      </c>
      <c r="G2323" s="11">
        <v>17</v>
      </c>
      <c r="H2323" s="11">
        <v>99</v>
      </c>
      <c r="I2323" s="11">
        <v>14</v>
      </c>
      <c r="J2323" s="11">
        <v>0</v>
      </c>
      <c r="K2323" s="11" t="s">
        <v>21</v>
      </c>
      <c r="L2323" s="7">
        <v>40457.105856481481</v>
      </c>
      <c r="M2323" s="12" t="s">
        <v>2069</v>
      </c>
      <c r="N2323" s="12"/>
      <c r="O2323" s="10" t="str">
        <f t="shared" si="275"/>
        <v>View</v>
      </c>
      <c r="P2323" s="11"/>
    </row>
    <row r="2324" spans="1:16" ht="12.75" x14ac:dyDescent="0.35">
      <c r="A2324" s="7">
        <v>42482.033634259264</v>
      </c>
      <c r="B2324" s="8" t="str">
        <f>HYPERLINK("https://twitter.com/40_Nachrichten","@40_Nachrichten")</f>
        <v>@40_Nachrichten</v>
      </c>
      <c r="C2324" s="9" t="s">
        <v>4145</v>
      </c>
      <c r="D2324" s="9" t="s">
        <v>4146</v>
      </c>
      <c r="E2324" s="10" t="str">
        <f>HYPERLINK("https://twitter.com/40_Nachrichten/status/723229424146063360","723229424146063360")</f>
        <v>723229424146063360</v>
      </c>
      <c r="F2324" s="11" t="s">
        <v>1712</v>
      </c>
      <c r="G2324" s="11">
        <v>4</v>
      </c>
      <c r="H2324" s="11">
        <v>5</v>
      </c>
      <c r="I2324" s="11">
        <v>0</v>
      </c>
      <c r="J2324" s="11">
        <v>0</v>
      </c>
      <c r="K2324" s="11" t="s">
        <v>21</v>
      </c>
      <c r="L2324" s="7">
        <v>41943.776944444442</v>
      </c>
      <c r="M2324" s="12"/>
      <c r="N2324" s="12" t="s">
        <v>4147</v>
      </c>
      <c r="O2324" s="10" t="str">
        <f>HYPERLINK("https://pbs.twimg.com/profile_images/528172647868166144/lVpOdrD8_normal.png","View")</f>
        <v>View</v>
      </c>
      <c r="P2324" s="11"/>
    </row>
    <row r="2325" spans="1:16" ht="12.75" x14ac:dyDescent="0.35">
      <c r="A2325" s="7">
        <v>42482.038587962961</v>
      </c>
      <c r="B2325" s="8" t="str">
        <f>HYPERLINK("https://twitter.com/vzvManaBear24","@vzvManaBear24")</f>
        <v>@vzvManaBear24</v>
      </c>
      <c r="C2325" s="9" t="s">
        <v>4148</v>
      </c>
      <c r="D2325" s="9" t="s">
        <v>4105</v>
      </c>
      <c r="E2325" s="10" t="str">
        <f>HYPERLINK("https://twitter.com/vzvManaBear24/status/723231219412926465","723231219412926465")</f>
        <v>723231219412926465</v>
      </c>
      <c r="F2325" s="11" t="s">
        <v>25</v>
      </c>
      <c r="G2325" s="11">
        <v>39</v>
      </c>
      <c r="H2325" s="11">
        <v>2143</v>
      </c>
      <c r="I2325" s="11">
        <v>26</v>
      </c>
      <c r="J2325" s="11">
        <v>0</v>
      </c>
      <c r="K2325" s="11" t="s">
        <v>21</v>
      </c>
      <c r="L2325" s="7">
        <v>41085.01866898148</v>
      </c>
      <c r="M2325" s="12" t="s">
        <v>4149</v>
      </c>
      <c r="N2325" s="12" t="s">
        <v>4150</v>
      </c>
      <c r="O2325" s="10" t="str">
        <f>HYPERLINK("https://pbs.twimg.com/profile_images/510826287565254657/THA4WDGZ_normal.jpeg","View")</f>
        <v>View</v>
      </c>
      <c r="P2325" s="11"/>
    </row>
    <row r="2326" spans="1:16" ht="12.75" x14ac:dyDescent="0.35">
      <c r="A2326" s="7">
        <v>42482.041678240741</v>
      </c>
      <c r="B2326" s="8" t="str">
        <f>HYPERLINK("https://twitter.com/kommoptimierer","@kommoptimierer")</f>
        <v>@kommoptimierer</v>
      </c>
      <c r="C2326" s="9" t="s">
        <v>270</v>
      </c>
      <c r="D2326" s="9" t="s">
        <v>684</v>
      </c>
      <c r="E2326" s="10" t="str">
        <f>HYPERLINK("https://twitter.com/kommoptimierer/status/723232340332449793","723232340332449793")</f>
        <v>723232340332449793</v>
      </c>
      <c r="F2326" s="11" t="s">
        <v>272</v>
      </c>
      <c r="G2326" s="11">
        <v>1347</v>
      </c>
      <c r="H2326" s="11">
        <v>1753</v>
      </c>
      <c r="I2326" s="11">
        <v>0</v>
      </c>
      <c r="J2326" s="11">
        <v>0</v>
      </c>
      <c r="K2326" s="11" t="s">
        <v>21</v>
      </c>
      <c r="L2326" s="7">
        <v>39986.860358796301</v>
      </c>
      <c r="M2326" s="12" t="s">
        <v>273</v>
      </c>
      <c r="N2326" s="12" t="s">
        <v>274</v>
      </c>
      <c r="O2326" s="10" t="str">
        <f>HYPERLINK("https://pbs.twimg.com/profile_images/541146126158536704/IYardufS_normal.jpeg","View")</f>
        <v>View</v>
      </c>
      <c r="P2326" s="11"/>
    </row>
    <row r="2327" spans="1:16" ht="12.75" x14ac:dyDescent="0.35">
      <c r="A2327" s="7">
        <v>42482.045648148152</v>
      </c>
      <c r="B2327" s="8" t="str">
        <f>HYPERLINK("https://twitter.com/Angelinux3000","@Angelinux3000")</f>
        <v>@Angelinux3000</v>
      </c>
      <c r="C2327" s="9" t="s">
        <v>4151</v>
      </c>
      <c r="D2327" s="9" t="s">
        <v>4105</v>
      </c>
      <c r="E2327" s="10" t="str">
        <f>HYPERLINK("https://twitter.com/Angelinux3000/status/723233777422458880","723233777422458880")</f>
        <v>723233777422458880</v>
      </c>
      <c r="F2327" s="11" t="s">
        <v>20</v>
      </c>
      <c r="G2327" s="11">
        <v>1660</v>
      </c>
      <c r="H2327" s="11">
        <v>1922</v>
      </c>
      <c r="I2327" s="11">
        <v>26</v>
      </c>
      <c r="J2327" s="11">
        <v>0</v>
      </c>
      <c r="K2327" s="11" t="s">
        <v>21</v>
      </c>
      <c r="L2327" s="7">
        <v>41500.636423611111</v>
      </c>
      <c r="M2327" s="12" t="s">
        <v>4152</v>
      </c>
      <c r="N2327" s="12" t="s">
        <v>4153</v>
      </c>
      <c r="O2327" s="10" t="str">
        <f>HYPERLINK("https://pbs.twimg.com/profile_images/432803682598395905/8nYgOn9r_normal.jpeg","View")</f>
        <v>View</v>
      </c>
      <c r="P2327" s="11"/>
    </row>
    <row r="2328" spans="1:16" ht="12.75" x14ac:dyDescent="0.35">
      <c r="A2328" s="7">
        <v>42482.047268518523</v>
      </c>
      <c r="B2328" s="8" t="str">
        <f>HYPERLINK("https://twitter.com/MTuchelmann","@MTuchelmann")</f>
        <v>@MTuchelmann</v>
      </c>
      <c r="C2328" s="9" t="s">
        <v>1050</v>
      </c>
      <c r="D2328" s="9" t="s">
        <v>4154</v>
      </c>
      <c r="E2328" s="10" t="str">
        <f>HYPERLINK("https://twitter.com/MTuchelmann/status/723234364499345408","723234364499345408")</f>
        <v>723234364499345408</v>
      </c>
      <c r="F2328" s="11" t="s">
        <v>31</v>
      </c>
      <c r="G2328" s="11">
        <v>13</v>
      </c>
      <c r="H2328" s="11">
        <v>18</v>
      </c>
      <c r="I2328" s="11">
        <v>4</v>
      </c>
      <c r="J2328" s="11">
        <v>0</v>
      </c>
      <c r="K2328" s="11" t="s">
        <v>21</v>
      </c>
      <c r="L2328" s="7">
        <v>42402.582627314812</v>
      </c>
      <c r="M2328" s="12"/>
      <c r="N2328" s="12"/>
      <c r="O2328" s="10" t="str">
        <f>HYPERLINK("https://pbs.twimg.com/profile_images/699591789964083200/ZinQaSi0_normal.jpg","View")</f>
        <v>View</v>
      </c>
      <c r="P2328" s="11"/>
    </row>
    <row r="2329" spans="1:16" ht="12.75" x14ac:dyDescent="0.35">
      <c r="A2329" s="7">
        <v>42482.054791666669</v>
      </c>
      <c r="B2329" s="8" t="str">
        <f>HYPERLINK("https://twitter.com/SiePing","@SiePing")</f>
        <v>@SiePing</v>
      </c>
      <c r="C2329" s="9" t="s">
        <v>3442</v>
      </c>
      <c r="D2329" s="9" t="s">
        <v>3588</v>
      </c>
      <c r="E2329" s="10" t="str">
        <f>HYPERLINK("https://twitter.com/SiePing/status/723237091761655808","723237091761655808")</f>
        <v>723237091761655808</v>
      </c>
      <c r="F2329" s="11" t="s">
        <v>31</v>
      </c>
      <c r="G2329" s="11">
        <v>152</v>
      </c>
      <c r="H2329" s="11">
        <v>263</v>
      </c>
      <c r="I2329" s="11">
        <v>24</v>
      </c>
      <c r="J2329" s="11">
        <v>0</v>
      </c>
      <c r="K2329" s="11" t="s">
        <v>21</v>
      </c>
      <c r="L2329" s="7">
        <v>41808.732835648145</v>
      </c>
      <c r="M2329" s="12" t="s">
        <v>3443</v>
      </c>
      <c r="N2329" s="12" t="s">
        <v>3444</v>
      </c>
      <c r="O2329" s="10" t="str">
        <f>HYPERLINK("https://pbs.twimg.com/profile_images/479235073674182657/VBPTQP9b_normal.jpeg","View")</f>
        <v>View</v>
      </c>
      <c r="P2329" s="11"/>
    </row>
    <row r="2330" spans="1:16" ht="12.75" x14ac:dyDescent="0.35">
      <c r="A2330" s="7">
        <v>42482.06212962963</v>
      </c>
      <c r="B2330" s="8" t="str">
        <f>HYPERLINK("https://twitter.com/flashlight1405","@flashlight1405")</f>
        <v>@flashlight1405</v>
      </c>
      <c r="C2330" s="9" t="s">
        <v>4155</v>
      </c>
      <c r="D2330" s="9" t="s">
        <v>3968</v>
      </c>
      <c r="E2330" s="10" t="str">
        <f>HYPERLINK("https://twitter.com/flashlight1405/status/723239750111514625","723239750111514625")</f>
        <v>723239750111514625</v>
      </c>
      <c r="F2330" s="11" t="s">
        <v>31</v>
      </c>
      <c r="G2330" s="11">
        <v>136</v>
      </c>
      <c r="H2330" s="11">
        <v>274</v>
      </c>
      <c r="I2330" s="11">
        <v>14</v>
      </c>
      <c r="J2330" s="11">
        <v>0</v>
      </c>
      <c r="K2330" s="11" t="s">
        <v>21</v>
      </c>
      <c r="L2330" s="7">
        <v>40193.582638888889</v>
      </c>
      <c r="M2330" s="12" t="s">
        <v>4156</v>
      </c>
      <c r="N2330" s="12" t="s">
        <v>4157</v>
      </c>
      <c r="O2330" s="10" t="str">
        <f>HYPERLINK("https://pbs.twimg.com/profile_images/710115007380496384/soUshg0u_normal.jpg","View")</f>
        <v>View</v>
      </c>
      <c r="P2330" s="11"/>
    </row>
    <row r="2331" spans="1:16" ht="12.75" x14ac:dyDescent="0.35">
      <c r="A2331" s="7">
        <v>42482.065983796296</v>
      </c>
      <c r="B2331" s="8" t="str">
        <f>HYPERLINK("https://twitter.com/kommoptimierer","@kommoptimierer")</f>
        <v>@kommoptimierer</v>
      </c>
      <c r="C2331" s="9" t="s">
        <v>270</v>
      </c>
      <c r="D2331" s="9" t="s">
        <v>691</v>
      </c>
      <c r="E2331" s="10" t="str">
        <f>HYPERLINK("https://twitter.com/kommoptimierer/status/723241149171945472","723241149171945472")</f>
        <v>723241149171945472</v>
      </c>
      <c r="F2331" s="11" t="s">
        <v>272</v>
      </c>
      <c r="G2331" s="11">
        <v>1347</v>
      </c>
      <c r="H2331" s="11">
        <v>1753</v>
      </c>
      <c r="I2331" s="11">
        <v>1</v>
      </c>
      <c r="J2331" s="11">
        <v>0</v>
      </c>
      <c r="K2331" s="11" t="s">
        <v>21</v>
      </c>
      <c r="L2331" s="7">
        <v>39986.860358796301</v>
      </c>
      <c r="M2331" s="12" t="s">
        <v>273</v>
      </c>
      <c r="N2331" s="12" t="s">
        <v>274</v>
      </c>
      <c r="O2331" s="10" t="str">
        <f>HYPERLINK("https://pbs.twimg.com/profile_images/541146126158536704/IYardufS_normal.jpeg","View")</f>
        <v>View</v>
      </c>
      <c r="P2331" s="11"/>
    </row>
    <row r="2332" spans="1:16" ht="12.75" x14ac:dyDescent="0.35">
      <c r="A2332" s="7">
        <v>42482.067164351851</v>
      </c>
      <c r="B2332" s="8" t="str">
        <f>HYPERLINK("https://twitter.com/gpodagrosi","@gpodagrosi")</f>
        <v>@gpodagrosi</v>
      </c>
      <c r="C2332" s="9" t="s">
        <v>346</v>
      </c>
      <c r="D2332" s="9" t="s">
        <v>4158</v>
      </c>
      <c r="E2332" s="10" t="str">
        <f>HYPERLINK("https://twitter.com/gpodagrosi/status/723241575254528001","723241575254528001")</f>
        <v>723241575254528001</v>
      </c>
      <c r="F2332" s="11" t="s">
        <v>20</v>
      </c>
      <c r="G2332" s="11">
        <v>2508</v>
      </c>
      <c r="H2332" s="11">
        <v>1479</v>
      </c>
      <c r="I2332" s="11">
        <v>1</v>
      </c>
      <c r="J2332" s="11">
        <v>0</v>
      </c>
      <c r="K2332" s="11" t="s">
        <v>21</v>
      </c>
      <c r="L2332" s="7">
        <v>40649.951840277776</v>
      </c>
      <c r="M2332" s="12" t="s">
        <v>347</v>
      </c>
      <c r="N2332" s="12" t="s">
        <v>348</v>
      </c>
      <c r="O2332" s="10" t="str">
        <f>HYPERLINK("https://pbs.twimg.com/profile_images/588981131996966912/55KBnYR7_normal.jpg","View")</f>
        <v>View</v>
      </c>
      <c r="P2332" s="11"/>
    </row>
    <row r="2333" spans="1:16" ht="12.75" x14ac:dyDescent="0.35">
      <c r="A2333" s="7">
        <v>42482.07094907407</v>
      </c>
      <c r="B2333" s="8" t="str">
        <f>HYPERLINK("https://twitter.com/INDIZbot","@INDIZbot")</f>
        <v>@INDIZbot</v>
      </c>
      <c r="C2333" s="9" t="s">
        <v>61</v>
      </c>
      <c r="D2333" s="9" t="s">
        <v>2035</v>
      </c>
      <c r="E2333" s="10" t="str">
        <f>HYPERLINK("https://twitter.com/INDIZbot/status/723242946296971264","723242946296971264")</f>
        <v>723242946296971264</v>
      </c>
      <c r="F2333" s="11" t="s">
        <v>62</v>
      </c>
      <c r="G2333" s="11">
        <v>1762</v>
      </c>
      <c r="H2333" s="11">
        <v>481</v>
      </c>
      <c r="I2333" s="11">
        <v>1</v>
      </c>
      <c r="J2333" s="11">
        <v>0</v>
      </c>
      <c r="K2333" s="11" t="s">
        <v>21</v>
      </c>
      <c r="L2333" s="7">
        <v>42267.011921296296</v>
      </c>
      <c r="M2333" s="12"/>
      <c r="N2333" s="12" t="s">
        <v>63</v>
      </c>
      <c r="O2333" s="10" t="str">
        <f>HYPERLINK("https://pbs.twimg.com/profile_images/645716711723925506/t5G0qOS6_normal.jpg","View")</f>
        <v>View</v>
      </c>
      <c r="P2333" s="11"/>
    </row>
    <row r="2334" spans="1:16" ht="12.75" x14ac:dyDescent="0.35">
      <c r="A2334" s="7">
        <v>42482.075740740736</v>
      </c>
      <c r="B2334" s="8" t="str">
        <f>HYPERLINK("https://twitter.com/RSchu12","@RSchu12")</f>
        <v>@RSchu12</v>
      </c>
      <c r="C2334" s="9" t="s">
        <v>4159</v>
      </c>
      <c r="D2334" s="9" t="s">
        <v>3670</v>
      </c>
      <c r="E2334" s="10" t="str">
        <f>HYPERLINK("https://twitter.com/RSchu12/status/723244683284086785","723244683284086785")</f>
        <v>723244683284086785</v>
      </c>
      <c r="F2334" s="11" t="s">
        <v>31</v>
      </c>
      <c r="G2334" s="11">
        <v>100</v>
      </c>
      <c r="H2334" s="11">
        <v>95</v>
      </c>
      <c r="I2334" s="11">
        <v>7</v>
      </c>
      <c r="J2334" s="11">
        <v>0</v>
      </c>
      <c r="K2334" s="11" t="s">
        <v>21</v>
      </c>
      <c r="L2334" s="7">
        <v>40961.828020833331</v>
      </c>
      <c r="M2334" s="12" t="s">
        <v>581</v>
      </c>
      <c r="N2334" s="12"/>
      <c r="O2334" s="10" t="str">
        <f>HYPERLINK("https://pbs.twimg.com/profile_images/1845741363/Rudolf-Schuler_facebook_normal.jpg","View")</f>
        <v>View</v>
      </c>
      <c r="P2334" s="11"/>
    </row>
    <row r="2335" spans="1:16" ht="12.75" x14ac:dyDescent="0.35">
      <c r="A2335" s="7">
        <v>42482.076053240744</v>
      </c>
      <c r="B2335" s="8" t="str">
        <f>HYPERLINK("https://twitter.com/catkinEU","@catkinEU")</f>
        <v>@catkinEU</v>
      </c>
      <c r="C2335" s="9" t="s">
        <v>781</v>
      </c>
      <c r="D2335" s="9" t="s">
        <v>3905</v>
      </c>
      <c r="E2335" s="10" t="str">
        <f>HYPERLINK("https://twitter.com/catkinEU/status/723244796723093504","723244796723093504")</f>
        <v>723244796723093504</v>
      </c>
      <c r="F2335" s="11" t="s">
        <v>20</v>
      </c>
      <c r="G2335" s="11">
        <v>403</v>
      </c>
      <c r="H2335" s="11">
        <v>541</v>
      </c>
      <c r="I2335" s="11">
        <v>5</v>
      </c>
      <c r="J2335" s="11">
        <v>0</v>
      </c>
      <c r="K2335" s="11" t="s">
        <v>21</v>
      </c>
      <c r="L2335" s="7">
        <v>42153.955763888887</v>
      </c>
      <c r="M2335" s="12"/>
      <c r="N2335" s="12" t="s">
        <v>782</v>
      </c>
      <c r="O2335" s="10" t="str">
        <f>HYPERLINK("https://pbs.twimg.com/profile_images/604338428227010560/6jzSa8us_normal.png","View")</f>
        <v>View</v>
      </c>
      <c r="P2335" s="11"/>
    </row>
    <row r="2336" spans="1:16" ht="12.75" x14ac:dyDescent="0.35">
      <c r="A2336" s="7">
        <v>42482.085798611108</v>
      </c>
      <c r="B2336" s="8" t="str">
        <f>HYPERLINK("https://twitter.com/cerratlan","@cerratlan")</f>
        <v>@cerratlan</v>
      </c>
      <c r="C2336" s="9" t="s">
        <v>3000</v>
      </c>
      <c r="D2336" s="9" t="s">
        <v>4160</v>
      </c>
      <c r="E2336" s="10" t="str">
        <f>HYPERLINK("https://twitter.com/cerratlan/status/723248327970697216","723248327970697216")</f>
        <v>723248327970697216</v>
      </c>
      <c r="F2336" s="11" t="s">
        <v>31</v>
      </c>
      <c r="G2336" s="11">
        <v>39</v>
      </c>
      <c r="H2336" s="11">
        <v>138</v>
      </c>
      <c r="I2336" s="11">
        <v>0</v>
      </c>
      <c r="J2336" s="11">
        <v>0</v>
      </c>
      <c r="K2336" s="11" t="s">
        <v>21</v>
      </c>
      <c r="L2336" s="7">
        <v>40324.13212962963</v>
      </c>
      <c r="M2336" s="12" t="s">
        <v>3002</v>
      </c>
      <c r="N2336" s="12" t="s">
        <v>3003</v>
      </c>
      <c r="O2336" s="10" t="str">
        <f>HYPERLINK("https://pbs.twimg.com/profile_images/689489673270509572/SdYuHEEE_normal.jpg","View")</f>
        <v>View</v>
      </c>
      <c r="P2336" s="11"/>
    </row>
    <row r="2337" spans="1:16" ht="12.75" x14ac:dyDescent="0.35">
      <c r="A2337" s="7">
        <v>42482.088067129633</v>
      </c>
      <c r="B2337" s="8" t="str">
        <f>HYPERLINK("https://twitter.com/tomweisz","@tomweisz")</f>
        <v>@tomweisz</v>
      </c>
      <c r="C2337" s="9" t="s">
        <v>1229</v>
      </c>
      <c r="D2337" s="9" t="s">
        <v>4161</v>
      </c>
      <c r="E2337" s="10" t="str">
        <f>HYPERLINK("https://twitter.com/tomweisz/status/723249150079434752","723249150079434752")</f>
        <v>723249150079434752</v>
      </c>
      <c r="F2337" s="11" t="s">
        <v>31</v>
      </c>
      <c r="G2337" s="11">
        <v>87</v>
      </c>
      <c r="H2337" s="11">
        <v>126</v>
      </c>
      <c r="I2337" s="11">
        <v>1</v>
      </c>
      <c r="J2337" s="11">
        <v>0</v>
      </c>
      <c r="K2337" s="11" t="s">
        <v>21</v>
      </c>
      <c r="L2337" s="7">
        <v>40910.893321759257</v>
      </c>
      <c r="M2337" s="12" t="s">
        <v>1230</v>
      </c>
      <c r="N2337" s="12" t="s">
        <v>1231</v>
      </c>
      <c r="O2337" s="10" t="str">
        <f>HYPERLINK("https://pbs.twimg.com/profile_images/720669524786327552/lJEA-nOB_normal.jpg","View")</f>
        <v>View</v>
      </c>
      <c r="P2337" s="11"/>
    </row>
    <row r="2338" spans="1:16" ht="12.75" x14ac:dyDescent="0.35">
      <c r="A2338" s="7">
        <v>42482.088229166664</v>
      </c>
      <c r="B2338" s="8" t="str">
        <f t="shared" ref="B2338:B2341" si="276">HYPERLINK("https://twitter.com/DanielKueng","@DanielKueng")</f>
        <v>@DanielKueng</v>
      </c>
      <c r="C2338" s="9" t="s">
        <v>4162</v>
      </c>
      <c r="D2338" s="9" t="s">
        <v>4163</v>
      </c>
      <c r="E2338" s="10" t="str">
        <f>HYPERLINK("https://twitter.com/DanielKueng/status/723249210297073664","723249210297073664")</f>
        <v>723249210297073664</v>
      </c>
      <c r="F2338" s="11" t="s">
        <v>31</v>
      </c>
      <c r="G2338" s="11">
        <v>673</v>
      </c>
      <c r="H2338" s="11">
        <v>52</v>
      </c>
      <c r="I2338" s="11">
        <v>2</v>
      </c>
      <c r="J2338" s="11">
        <v>0</v>
      </c>
      <c r="K2338" s="11" t="s">
        <v>21</v>
      </c>
      <c r="L2338" s="7">
        <v>40231.525995370372</v>
      </c>
      <c r="M2338" s="12" t="s">
        <v>4164</v>
      </c>
      <c r="N2338" s="12" t="s">
        <v>4165</v>
      </c>
      <c r="O2338" s="10" t="str">
        <f t="shared" ref="O2338:O2341" si="277">HYPERLINK("https://pbs.twimg.com/profile_images/709490937043492865/GYoQPOCZ_normal.jpg","View")</f>
        <v>View</v>
      </c>
      <c r="P2338" s="11"/>
    </row>
    <row r="2339" spans="1:16" ht="12.75" x14ac:dyDescent="0.35">
      <c r="A2339" s="7">
        <v>42482.088310185187</v>
      </c>
      <c r="B2339" s="8" t="str">
        <f t="shared" si="276"/>
        <v>@DanielKueng</v>
      </c>
      <c r="C2339" s="9" t="s">
        <v>4162</v>
      </c>
      <c r="D2339" s="9" t="s">
        <v>4166</v>
      </c>
      <c r="E2339" s="10" t="str">
        <f>HYPERLINK("https://twitter.com/DanielKueng/status/723249237627154432","723249237627154432")</f>
        <v>723249237627154432</v>
      </c>
      <c r="F2339" s="11" t="s">
        <v>31</v>
      </c>
      <c r="G2339" s="11">
        <v>673</v>
      </c>
      <c r="H2339" s="11">
        <v>52</v>
      </c>
      <c r="I2339" s="11">
        <v>2</v>
      </c>
      <c r="J2339" s="11">
        <v>0</v>
      </c>
      <c r="K2339" s="11" t="s">
        <v>21</v>
      </c>
      <c r="L2339" s="7">
        <v>40231.525995370372</v>
      </c>
      <c r="M2339" s="12" t="s">
        <v>4164</v>
      </c>
      <c r="N2339" s="12" t="s">
        <v>4165</v>
      </c>
      <c r="O2339" s="10" t="str">
        <f t="shared" si="277"/>
        <v>View</v>
      </c>
      <c r="P2339" s="11"/>
    </row>
    <row r="2340" spans="1:16" ht="12.75" x14ac:dyDescent="0.35">
      <c r="A2340" s="7">
        <v>42482.088425925926</v>
      </c>
      <c r="B2340" s="8" t="str">
        <f t="shared" si="276"/>
        <v>@DanielKueng</v>
      </c>
      <c r="C2340" s="9" t="s">
        <v>4162</v>
      </c>
      <c r="D2340" s="9" t="s">
        <v>4167</v>
      </c>
      <c r="E2340" s="10" t="str">
        <f>HYPERLINK("https://twitter.com/DanielKueng/status/723249281457598466","723249281457598466")</f>
        <v>723249281457598466</v>
      </c>
      <c r="F2340" s="11" t="s">
        <v>31</v>
      </c>
      <c r="G2340" s="11">
        <v>673</v>
      </c>
      <c r="H2340" s="11">
        <v>52</v>
      </c>
      <c r="I2340" s="11">
        <v>3</v>
      </c>
      <c r="J2340" s="11">
        <v>0</v>
      </c>
      <c r="K2340" s="11" t="s">
        <v>21</v>
      </c>
      <c r="L2340" s="7">
        <v>40231.525995370372</v>
      </c>
      <c r="M2340" s="12" t="s">
        <v>4164</v>
      </c>
      <c r="N2340" s="12" t="s">
        <v>4165</v>
      </c>
      <c r="O2340" s="10" t="str">
        <f t="shared" si="277"/>
        <v>View</v>
      </c>
      <c r="P2340" s="11"/>
    </row>
    <row r="2341" spans="1:16" ht="12.75" x14ac:dyDescent="0.35">
      <c r="A2341" s="7">
        <v>42482.088506944448</v>
      </c>
      <c r="B2341" s="8" t="str">
        <f t="shared" si="276"/>
        <v>@DanielKueng</v>
      </c>
      <c r="C2341" s="9" t="s">
        <v>4162</v>
      </c>
      <c r="D2341" s="9" t="s">
        <v>3832</v>
      </c>
      <c r="E2341" s="10" t="str">
        <f>HYPERLINK("https://twitter.com/DanielKueng/status/723249308292767744","723249308292767744")</f>
        <v>723249308292767744</v>
      </c>
      <c r="F2341" s="11" t="s">
        <v>31</v>
      </c>
      <c r="G2341" s="11">
        <v>673</v>
      </c>
      <c r="H2341" s="11">
        <v>52</v>
      </c>
      <c r="I2341" s="11">
        <v>4</v>
      </c>
      <c r="J2341" s="11">
        <v>0</v>
      </c>
      <c r="K2341" s="11" t="s">
        <v>21</v>
      </c>
      <c r="L2341" s="7">
        <v>40231.525995370372</v>
      </c>
      <c r="M2341" s="12" t="s">
        <v>4164</v>
      </c>
      <c r="N2341" s="12" t="s">
        <v>4165</v>
      </c>
      <c r="O2341" s="10" t="str">
        <f t="shared" si="277"/>
        <v>View</v>
      </c>
      <c r="P2341" s="11"/>
    </row>
    <row r="2342" spans="1:16" ht="12.75" x14ac:dyDescent="0.35">
      <c r="A2342" s="7">
        <v>42482.08975694445</v>
      </c>
      <c r="B2342" s="8" t="str">
        <f>HYPERLINK("https://twitter.com/MickLangdale","@MickLangdale")</f>
        <v>@MickLangdale</v>
      </c>
      <c r="C2342" s="9" t="s">
        <v>4168</v>
      </c>
      <c r="D2342" s="9" t="s">
        <v>4169</v>
      </c>
      <c r="E2342" s="10" t="str">
        <f>HYPERLINK("https://twitter.com/MickLangdale/status/723249763890651136","723249763890651136")</f>
        <v>723249763890651136</v>
      </c>
      <c r="F2342" s="11" t="s">
        <v>31</v>
      </c>
      <c r="G2342" s="11">
        <v>42</v>
      </c>
      <c r="H2342" s="11">
        <v>87</v>
      </c>
      <c r="I2342" s="11">
        <v>1</v>
      </c>
      <c r="J2342" s="11">
        <v>0</v>
      </c>
      <c r="K2342" s="11" t="s">
        <v>21</v>
      </c>
      <c r="L2342" s="7">
        <v>40723.771481481483</v>
      </c>
      <c r="M2342" s="12" t="s">
        <v>4170</v>
      </c>
      <c r="N2342" s="12" t="s">
        <v>4171</v>
      </c>
      <c r="O2342" s="10" t="str">
        <f>HYPERLINK("https://pbs.twimg.com/profile_images/713101102577745920/1__bxTI__normal.jpg","View")</f>
        <v>View</v>
      </c>
      <c r="P2342" s="11"/>
    </row>
    <row r="2343" spans="1:16" ht="12.75" x14ac:dyDescent="0.35">
      <c r="A2343" s="7">
        <v>42482.090601851851</v>
      </c>
      <c r="B2343" s="8" t="str">
        <f>HYPERLINK("https://twitter.com/hasford_","@hasford_")</f>
        <v>@hasford_</v>
      </c>
      <c r="C2343" s="9" t="s">
        <v>4172</v>
      </c>
      <c r="D2343" s="9" t="s">
        <v>3905</v>
      </c>
      <c r="E2343" s="10" t="str">
        <f>HYPERLINK("https://twitter.com/hasford_/status/723250070020341760","723250070020341760")</f>
        <v>723250070020341760</v>
      </c>
      <c r="F2343" s="11" t="s">
        <v>29</v>
      </c>
      <c r="G2343" s="11">
        <v>115</v>
      </c>
      <c r="H2343" s="11">
        <v>361</v>
      </c>
      <c r="I2343" s="11">
        <v>5</v>
      </c>
      <c r="J2343" s="11">
        <v>0</v>
      </c>
      <c r="K2343" s="11" t="s">
        <v>21</v>
      </c>
      <c r="L2343" s="7">
        <v>39927.584432870368</v>
      </c>
      <c r="M2343" s="12" t="s">
        <v>4173</v>
      </c>
      <c r="N2343" s="12" t="s">
        <v>4174</v>
      </c>
      <c r="O2343" s="10" t="str">
        <f>HYPERLINK("https://pbs.twimg.com/profile_images/611813155258417152/t2BN8dsF_normal.jpg","View")</f>
        <v>View</v>
      </c>
      <c r="P2343" s="11"/>
    </row>
    <row r="2344" spans="1:16" ht="12.75" x14ac:dyDescent="0.35">
      <c r="A2344" s="7">
        <v>42482.09107638889</v>
      </c>
      <c r="B2344" s="8" t="str">
        <f t="shared" ref="B2344:B2345" si="278">HYPERLINK("https://twitter.com/INDIZbot","@INDIZbot")</f>
        <v>@INDIZbot</v>
      </c>
      <c r="C2344" s="9" t="s">
        <v>61</v>
      </c>
      <c r="D2344" s="9" t="s">
        <v>3832</v>
      </c>
      <c r="E2344" s="10" t="str">
        <f>HYPERLINK("https://twitter.com/INDIZbot/status/723250242200674304","723250242200674304")</f>
        <v>723250242200674304</v>
      </c>
      <c r="F2344" s="11" t="s">
        <v>62</v>
      </c>
      <c r="G2344" s="11">
        <v>1762</v>
      </c>
      <c r="H2344" s="11">
        <v>481</v>
      </c>
      <c r="I2344" s="11">
        <v>4</v>
      </c>
      <c r="J2344" s="11">
        <v>0</v>
      </c>
      <c r="K2344" s="11" t="s">
        <v>21</v>
      </c>
      <c r="L2344" s="7">
        <v>42267.011921296296</v>
      </c>
      <c r="M2344" s="12"/>
      <c r="N2344" s="12" t="s">
        <v>63</v>
      </c>
      <c r="O2344" s="10" t="str">
        <f t="shared" ref="O2344:O2345" si="279">HYPERLINK("https://pbs.twimg.com/profile_images/645716711723925506/t5G0qOS6_normal.jpg","View")</f>
        <v>View</v>
      </c>
      <c r="P2344" s="11"/>
    </row>
    <row r="2345" spans="1:16" ht="12.75" x14ac:dyDescent="0.35">
      <c r="A2345" s="7">
        <v>42482.091481481482</v>
      </c>
      <c r="B2345" s="8" t="str">
        <f t="shared" si="278"/>
        <v>@INDIZbot</v>
      </c>
      <c r="C2345" s="9" t="s">
        <v>61</v>
      </c>
      <c r="D2345" s="9" t="s">
        <v>4167</v>
      </c>
      <c r="E2345" s="10" t="str">
        <f>HYPERLINK("https://twitter.com/INDIZbot/status/723250389525651457","723250389525651457")</f>
        <v>723250389525651457</v>
      </c>
      <c r="F2345" s="11" t="s">
        <v>62</v>
      </c>
      <c r="G2345" s="11">
        <v>1762</v>
      </c>
      <c r="H2345" s="11">
        <v>481</v>
      </c>
      <c r="I2345" s="11">
        <v>3</v>
      </c>
      <c r="J2345" s="11">
        <v>0</v>
      </c>
      <c r="K2345" s="11" t="s">
        <v>21</v>
      </c>
      <c r="L2345" s="7">
        <v>42267.011921296296</v>
      </c>
      <c r="M2345" s="12"/>
      <c r="N2345" s="12" t="s">
        <v>63</v>
      </c>
      <c r="O2345" s="10" t="str">
        <f t="shared" si="279"/>
        <v>View</v>
      </c>
      <c r="P2345" s="11"/>
    </row>
    <row r="2346" spans="1:16" ht="12.75" x14ac:dyDescent="0.35">
      <c r="A2346" s="7">
        <v>42482.091678240744</v>
      </c>
      <c r="B2346" s="8" t="str">
        <f>HYPERLINK("https://twitter.com/kat2812","@kat2812")</f>
        <v>@kat2812</v>
      </c>
      <c r="C2346" s="9" t="s">
        <v>4175</v>
      </c>
      <c r="D2346" s="9" t="s">
        <v>4176</v>
      </c>
      <c r="E2346" s="10" t="str">
        <f>HYPERLINK("https://twitter.com/kat2812/status/723250459515994112","723250459515994112")</f>
        <v>723250459515994112</v>
      </c>
      <c r="F2346" s="11" t="s">
        <v>20</v>
      </c>
      <c r="G2346" s="11">
        <v>23</v>
      </c>
      <c r="H2346" s="11">
        <v>169</v>
      </c>
      <c r="I2346" s="11">
        <v>1</v>
      </c>
      <c r="J2346" s="11">
        <v>0</v>
      </c>
      <c r="K2346" s="11" t="s">
        <v>21</v>
      </c>
      <c r="L2346" s="7">
        <v>39883.80405092593</v>
      </c>
      <c r="M2346" s="12"/>
      <c r="N2346" s="12" t="s">
        <v>4177</v>
      </c>
      <c r="O2346" s="10" t="str">
        <f>HYPERLINK("https://pbs.twimg.com/profile_images/2994151206/72e14517d19cb49aa35fe3019df8b048_normal.jpeg","View")</f>
        <v>View</v>
      </c>
      <c r="P2346" s="11"/>
    </row>
    <row r="2347" spans="1:16" ht="12.75" x14ac:dyDescent="0.35">
      <c r="A2347" s="7">
        <v>42482.091782407406</v>
      </c>
      <c r="B2347" s="8" t="str">
        <f t="shared" ref="B2347:B2349" si="280">HYPERLINK("https://twitter.com/INDIZbot","@INDIZbot")</f>
        <v>@INDIZbot</v>
      </c>
      <c r="C2347" s="9" t="s">
        <v>61</v>
      </c>
      <c r="D2347" s="9" t="s">
        <v>4166</v>
      </c>
      <c r="E2347" s="10" t="str">
        <f>HYPERLINK("https://twitter.com/INDIZbot/status/723250496862081024","723250496862081024")</f>
        <v>723250496862081024</v>
      </c>
      <c r="F2347" s="11" t="s">
        <v>62</v>
      </c>
      <c r="G2347" s="11">
        <v>1762</v>
      </c>
      <c r="H2347" s="11">
        <v>481</v>
      </c>
      <c r="I2347" s="11">
        <v>2</v>
      </c>
      <c r="J2347" s="11">
        <v>0</v>
      </c>
      <c r="K2347" s="11" t="s">
        <v>21</v>
      </c>
      <c r="L2347" s="7">
        <v>42267.011921296296</v>
      </c>
      <c r="M2347" s="12"/>
      <c r="N2347" s="12" t="s">
        <v>63</v>
      </c>
      <c r="O2347" s="10" t="str">
        <f t="shared" ref="O2347:O2349" si="281">HYPERLINK("https://pbs.twimg.com/profile_images/645716711723925506/t5G0qOS6_normal.jpg","View")</f>
        <v>View</v>
      </c>
      <c r="P2347" s="11"/>
    </row>
    <row r="2348" spans="1:16" ht="12.75" x14ac:dyDescent="0.35">
      <c r="A2348" s="7">
        <v>42482.092164351852</v>
      </c>
      <c r="B2348" s="8" t="str">
        <f t="shared" si="280"/>
        <v>@INDIZbot</v>
      </c>
      <c r="C2348" s="9" t="s">
        <v>61</v>
      </c>
      <c r="D2348" s="9" t="s">
        <v>4163</v>
      </c>
      <c r="E2348" s="10" t="str">
        <f>HYPERLINK("https://twitter.com/INDIZbot/status/723250636159082496","723250636159082496")</f>
        <v>723250636159082496</v>
      </c>
      <c r="F2348" s="11" t="s">
        <v>62</v>
      </c>
      <c r="G2348" s="11">
        <v>1762</v>
      </c>
      <c r="H2348" s="11">
        <v>481</v>
      </c>
      <c r="I2348" s="11">
        <v>2</v>
      </c>
      <c r="J2348" s="11">
        <v>0</v>
      </c>
      <c r="K2348" s="11" t="s">
        <v>21</v>
      </c>
      <c r="L2348" s="7">
        <v>42267.011921296296</v>
      </c>
      <c r="M2348" s="12"/>
      <c r="N2348" s="12" t="s">
        <v>63</v>
      </c>
      <c r="O2348" s="10" t="str">
        <f t="shared" si="281"/>
        <v>View</v>
      </c>
      <c r="P2348" s="11"/>
    </row>
    <row r="2349" spans="1:16" ht="12.75" x14ac:dyDescent="0.35">
      <c r="A2349" s="7">
        <v>42482.092465277776</v>
      </c>
      <c r="B2349" s="8" t="str">
        <f t="shared" si="280"/>
        <v>@INDIZbot</v>
      </c>
      <c r="C2349" s="9" t="s">
        <v>61</v>
      </c>
      <c r="D2349" s="9" t="s">
        <v>4178</v>
      </c>
      <c r="E2349" s="10" t="str">
        <f>HYPERLINK("https://twitter.com/INDIZbot/status/723250743998857217","723250743998857217")</f>
        <v>723250743998857217</v>
      </c>
      <c r="F2349" s="11" t="s">
        <v>62</v>
      </c>
      <c r="G2349" s="11">
        <v>1762</v>
      </c>
      <c r="H2349" s="11">
        <v>481</v>
      </c>
      <c r="I2349" s="11">
        <v>1</v>
      </c>
      <c r="J2349" s="11">
        <v>0</v>
      </c>
      <c r="K2349" s="11" t="s">
        <v>21</v>
      </c>
      <c r="L2349" s="7">
        <v>42267.011921296296</v>
      </c>
      <c r="M2349" s="12"/>
      <c r="N2349" s="12" t="s">
        <v>63</v>
      </c>
      <c r="O2349" s="10" t="str">
        <f t="shared" si="281"/>
        <v>View</v>
      </c>
      <c r="P2349" s="11"/>
    </row>
    <row r="2350" spans="1:16" ht="12.75" x14ac:dyDescent="0.35">
      <c r="A2350" s="7">
        <v>42482.092800925922</v>
      </c>
      <c r="B2350" s="8" t="str">
        <f>HYPERLINK("https://twitter.com/LOSTnFOUNDAG","@LOSTnFOUNDAG")</f>
        <v>@LOSTnFOUNDAG</v>
      </c>
      <c r="C2350" s="9" t="s">
        <v>4179</v>
      </c>
      <c r="D2350" s="9" t="s">
        <v>4167</v>
      </c>
      <c r="E2350" s="10" t="str">
        <f>HYPERLINK("https://twitter.com/LOSTnFOUNDAG/status/723250865063247872","723250865063247872")</f>
        <v>723250865063247872</v>
      </c>
      <c r="F2350" s="11" t="s">
        <v>31</v>
      </c>
      <c r="G2350" s="11">
        <v>227</v>
      </c>
      <c r="H2350" s="11">
        <v>105</v>
      </c>
      <c r="I2350" s="11">
        <v>3</v>
      </c>
      <c r="J2350" s="11">
        <v>0</v>
      </c>
      <c r="K2350" s="11" t="s">
        <v>21</v>
      </c>
      <c r="L2350" s="7">
        <v>40915.725520833337</v>
      </c>
      <c r="M2350" s="12" t="s">
        <v>478</v>
      </c>
      <c r="N2350" s="12" t="s">
        <v>4180</v>
      </c>
      <c r="O2350" s="10" t="str">
        <f>HYPERLINK("https://pbs.twimg.com/profile_images/1739127741/Twitter_logo_normal","View")</f>
        <v>View</v>
      </c>
      <c r="P2350" s="11"/>
    </row>
    <row r="2351" spans="1:16" ht="12.75" x14ac:dyDescent="0.35">
      <c r="A2351" s="7">
        <v>42482.100613425922</v>
      </c>
      <c r="B2351" s="8" t="str">
        <f>HYPERLINK("https://twitter.com/frankcausa","@frankcausa")</f>
        <v>@frankcausa</v>
      </c>
      <c r="C2351" s="9" t="s">
        <v>3913</v>
      </c>
      <c r="D2351" s="9" t="s">
        <v>4181</v>
      </c>
      <c r="E2351" s="10" t="str">
        <f>HYPERLINK("https://twitter.com/frankcausa/status/723253698546270208","723253698546270208")</f>
        <v>723253698546270208</v>
      </c>
      <c r="F2351" s="11" t="s">
        <v>31</v>
      </c>
      <c r="G2351" s="11">
        <v>269</v>
      </c>
      <c r="H2351" s="11">
        <v>852</v>
      </c>
      <c r="I2351" s="11">
        <v>2</v>
      </c>
      <c r="J2351" s="11">
        <v>1</v>
      </c>
      <c r="K2351" s="11" t="s">
        <v>21</v>
      </c>
      <c r="L2351" s="7">
        <v>42413.442210648151</v>
      </c>
      <c r="M2351" s="12"/>
      <c r="N2351" s="12" t="s">
        <v>3915</v>
      </c>
      <c r="O2351" s="10" t="str">
        <f>HYPERLINK("https://pbs.twimg.com/profile_images/698375438155059201/CHH9GkNn_normal.jpg","View")</f>
        <v>View</v>
      </c>
      <c r="P2351" s="11"/>
    </row>
    <row r="2352" spans="1:16" ht="12.75" x14ac:dyDescent="0.35">
      <c r="A2352" s="7">
        <v>42482.112210648149</v>
      </c>
      <c r="B2352" s="8" t="str">
        <f>HYPERLINK("https://twitter.com/MindCommerce","@MindCommerce")</f>
        <v>@MindCommerce</v>
      </c>
      <c r="C2352" s="9" t="s">
        <v>1242</v>
      </c>
      <c r="D2352" s="9" t="s">
        <v>4182</v>
      </c>
      <c r="E2352" s="10" t="str">
        <f>HYPERLINK("https://twitter.com/MindCommerce/status/723257901851262977","723257901851262977")</f>
        <v>723257901851262977</v>
      </c>
      <c r="F2352" s="11" t="s">
        <v>437</v>
      </c>
      <c r="G2352" s="11">
        <v>1189</v>
      </c>
      <c r="H2352" s="11">
        <v>427</v>
      </c>
      <c r="I2352" s="11">
        <v>2</v>
      </c>
      <c r="J2352" s="11">
        <v>0</v>
      </c>
      <c r="K2352" s="11" t="s">
        <v>21</v>
      </c>
      <c r="L2352" s="7">
        <v>40577.150787037041</v>
      </c>
      <c r="M2352" s="12"/>
      <c r="N2352" s="12" t="s">
        <v>1244</v>
      </c>
      <c r="O2352" s="10" t="str">
        <f>HYPERLINK("https://pbs.twimg.com/profile_images/548030384030507008/utABqhj9_normal.png","View")</f>
        <v>View</v>
      </c>
      <c r="P2352" s="11"/>
    </row>
    <row r="2353" spans="1:16" ht="12.75" x14ac:dyDescent="0.35">
      <c r="A2353" s="7">
        <v>42482.115416666667</v>
      </c>
      <c r="B2353" s="8" t="str">
        <f>HYPERLINK("https://twitter.com/NorbertKeil","@NorbertKeil")</f>
        <v>@NorbertKeil</v>
      </c>
      <c r="C2353" s="9" t="s">
        <v>4183</v>
      </c>
      <c r="D2353" s="9" t="s">
        <v>3646</v>
      </c>
      <c r="E2353" s="10" t="str">
        <f>HYPERLINK("https://twitter.com/NorbertKeil/status/723259061064597504","723259061064597504")</f>
        <v>723259061064597504</v>
      </c>
      <c r="F2353" s="11" t="s">
        <v>29</v>
      </c>
      <c r="G2353" s="11">
        <v>455</v>
      </c>
      <c r="H2353" s="11">
        <v>1226</v>
      </c>
      <c r="I2353" s="11">
        <v>11</v>
      </c>
      <c r="J2353" s="11">
        <v>0</v>
      </c>
      <c r="K2353" s="11" t="s">
        <v>21</v>
      </c>
      <c r="L2353" s="7">
        <v>40681.815300925926</v>
      </c>
      <c r="M2353" s="12" t="s">
        <v>121</v>
      </c>
      <c r="N2353" s="12" t="s">
        <v>4184</v>
      </c>
      <c r="O2353" s="10" t="str">
        <f>HYPERLINK("https://pbs.twimg.com/profile_images/1359656656/Portrait-NK-APC_normal.jpg","View")</f>
        <v>View</v>
      </c>
      <c r="P2353" s="11"/>
    </row>
    <row r="2354" spans="1:16" ht="12.75" x14ac:dyDescent="0.35">
      <c r="A2354" s="7">
        <v>42482.120798611111</v>
      </c>
      <c r="B2354" s="8" t="str">
        <f>HYPERLINK("https://twitter.com/sarhapu","@sarhapu")</f>
        <v>@sarhapu</v>
      </c>
      <c r="C2354" s="9" t="s">
        <v>4185</v>
      </c>
      <c r="D2354" s="9" t="s">
        <v>2219</v>
      </c>
      <c r="E2354" s="10" t="str">
        <f>HYPERLINK("https://twitter.com/sarhapu/status/723261011223035904","723261011223035904")</f>
        <v>723261011223035904</v>
      </c>
      <c r="F2354" s="11" t="s">
        <v>31</v>
      </c>
      <c r="G2354" s="11">
        <v>93</v>
      </c>
      <c r="H2354" s="11">
        <v>219</v>
      </c>
      <c r="I2354" s="11">
        <v>7</v>
      </c>
      <c r="J2354" s="11">
        <v>0</v>
      </c>
      <c r="K2354" s="11" t="s">
        <v>21</v>
      </c>
      <c r="L2354" s="7">
        <v>41452.151493055557</v>
      </c>
      <c r="M2354" s="12"/>
      <c r="N2354" s="12" t="s">
        <v>4186</v>
      </c>
      <c r="O2354" s="10" t="str">
        <f>HYPERLINK("https://pbs.twimg.com/profile_images/663734674653622272/h2JzQVyL_normal.jpg","View")</f>
        <v>View</v>
      </c>
      <c r="P2354" s="11"/>
    </row>
    <row r="2355" spans="1:16" ht="12.75" x14ac:dyDescent="0.35">
      <c r="A2355" s="7">
        <v>42482.122013888889</v>
      </c>
      <c r="B2355" s="8" t="str">
        <f>HYPERLINK("https://twitter.com/IoTMinded","@IoTMinded")</f>
        <v>@IoTMinded</v>
      </c>
      <c r="C2355" s="9" t="s">
        <v>435</v>
      </c>
      <c r="D2355" s="9" t="s">
        <v>4182</v>
      </c>
      <c r="E2355" s="10" t="str">
        <f>HYPERLINK("https://twitter.com/IoTMinded/status/723261454204448772","723261454204448772")</f>
        <v>723261454204448772</v>
      </c>
      <c r="F2355" s="11" t="s">
        <v>437</v>
      </c>
      <c r="G2355" s="11">
        <v>1102</v>
      </c>
      <c r="H2355" s="11">
        <v>656</v>
      </c>
      <c r="I2355" s="11">
        <v>2</v>
      </c>
      <c r="J2355" s="11">
        <v>0</v>
      </c>
      <c r="K2355" s="11" t="s">
        <v>21</v>
      </c>
      <c r="L2355" s="7">
        <v>40085.127789351856</v>
      </c>
      <c r="M2355" s="12"/>
      <c r="N2355" s="12" t="s">
        <v>438</v>
      </c>
      <c r="O2355" s="10" t="str">
        <f>HYPERLINK("https://pbs.twimg.com/profile_images/603699032804859904/lb5IMG5x_normal.jpg","View")</f>
        <v>View</v>
      </c>
      <c r="P2355" s="11"/>
    </row>
    <row r="2356" spans="1:16" ht="12.75" x14ac:dyDescent="0.35">
      <c r="A2356" s="7">
        <v>42482.122210648144</v>
      </c>
      <c r="B2356" s="8" t="str">
        <f t="shared" ref="B2356:B2357" si="282">HYPERLINK("https://twitter.com/sarhapu","@sarhapu")</f>
        <v>@sarhapu</v>
      </c>
      <c r="C2356" s="9" t="s">
        <v>4185</v>
      </c>
      <c r="D2356" s="9" t="s">
        <v>4187</v>
      </c>
      <c r="E2356" s="10" t="str">
        <f>HYPERLINK("https://twitter.com/sarhapu/status/723261525931241472","723261525931241472")</f>
        <v>723261525931241472</v>
      </c>
      <c r="F2356" s="11" t="s">
        <v>31</v>
      </c>
      <c r="G2356" s="11">
        <v>93</v>
      </c>
      <c r="H2356" s="11">
        <v>219</v>
      </c>
      <c r="I2356" s="11">
        <v>2</v>
      </c>
      <c r="J2356" s="11">
        <v>0</v>
      </c>
      <c r="K2356" s="11" t="s">
        <v>21</v>
      </c>
      <c r="L2356" s="7">
        <v>41452.151493055557</v>
      </c>
      <c r="M2356" s="12"/>
      <c r="N2356" s="12" t="s">
        <v>4186</v>
      </c>
      <c r="O2356" s="10" t="str">
        <f t="shared" ref="O2356:O2357" si="283">HYPERLINK("https://pbs.twimg.com/profile_images/663734674653622272/h2JzQVyL_normal.jpg","View")</f>
        <v>View</v>
      </c>
      <c r="P2356" s="11"/>
    </row>
    <row r="2357" spans="1:16" ht="12.75" x14ac:dyDescent="0.35">
      <c r="A2357" s="7">
        <v>42482.123819444445</v>
      </c>
      <c r="B2357" s="8" t="str">
        <f t="shared" si="282"/>
        <v>@sarhapu</v>
      </c>
      <c r="C2357" s="9" t="s">
        <v>4185</v>
      </c>
      <c r="D2357" s="9" t="s">
        <v>4188</v>
      </c>
      <c r="E2357" s="10" t="str">
        <f>HYPERLINK("https://twitter.com/sarhapu/status/723262108268433408","723262108268433408")</f>
        <v>723262108268433408</v>
      </c>
      <c r="F2357" s="11" t="s">
        <v>31</v>
      </c>
      <c r="G2357" s="11">
        <v>93</v>
      </c>
      <c r="H2357" s="11">
        <v>219</v>
      </c>
      <c r="I2357" s="11">
        <v>2</v>
      </c>
      <c r="J2357" s="11">
        <v>1</v>
      </c>
      <c r="K2357" s="11" t="s">
        <v>21</v>
      </c>
      <c r="L2357" s="7">
        <v>41452.151493055557</v>
      </c>
      <c r="M2357" s="12"/>
      <c r="N2357" s="12" t="s">
        <v>4186</v>
      </c>
      <c r="O2357" s="10" t="str">
        <f t="shared" si="283"/>
        <v>View</v>
      </c>
      <c r="P2357" s="11"/>
    </row>
    <row r="2358" spans="1:16" ht="12.75" x14ac:dyDescent="0.35">
      <c r="A2358" s="7">
        <v>42482.125798611116</v>
      </c>
      <c r="B2358" s="8" t="str">
        <f t="shared" ref="B2358:B2360" si="284">HYPERLINK("https://twitter.com/INDIZbot","@INDIZbot")</f>
        <v>@INDIZbot</v>
      </c>
      <c r="C2358" s="9" t="s">
        <v>61</v>
      </c>
      <c r="D2358" s="9" t="s">
        <v>4189</v>
      </c>
      <c r="E2358" s="10" t="str">
        <f>HYPERLINK("https://twitter.com/INDIZbot/status/723262826110935040","723262826110935040")</f>
        <v>723262826110935040</v>
      </c>
      <c r="F2358" s="11" t="s">
        <v>62</v>
      </c>
      <c r="G2358" s="11">
        <v>1762</v>
      </c>
      <c r="H2358" s="11">
        <v>481</v>
      </c>
      <c r="I2358" s="11">
        <v>2</v>
      </c>
      <c r="J2358" s="11">
        <v>0</v>
      </c>
      <c r="K2358" s="11" t="s">
        <v>21</v>
      </c>
      <c r="L2358" s="7">
        <v>42267.011921296296</v>
      </c>
      <c r="M2358" s="12"/>
      <c r="N2358" s="12" t="s">
        <v>63</v>
      </c>
      <c r="O2358" s="10" t="str">
        <f t="shared" ref="O2358:O2360" si="285">HYPERLINK("https://pbs.twimg.com/profile_images/645716711723925506/t5G0qOS6_normal.jpg","View")</f>
        <v>View</v>
      </c>
      <c r="P2358" s="11"/>
    </row>
    <row r="2359" spans="1:16" ht="12.75" x14ac:dyDescent="0.35">
      <c r="A2359" s="7">
        <v>42482.125937500001</v>
      </c>
      <c r="B2359" s="8" t="str">
        <f t="shared" si="284"/>
        <v>@INDIZbot</v>
      </c>
      <c r="C2359" s="9" t="s">
        <v>61</v>
      </c>
      <c r="D2359" s="9" t="s">
        <v>4187</v>
      </c>
      <c r="E2359" s="10" t="str">
        <f>HYPERLINK("https://twitter.com/INDIZbot/status/723262875796668416","723262875796668416")</f>
        <v>723262875796668416</v>
      </c>
      <c r="F2359" s="11" t="s">
        <v>62</v>
      </c>
      <c r="G2359" s="11">
        <v>1762</v>
      </c>
      <c r="H2359" s="11">
        <v>481</v>
      </c>
      <c r="I2359" s="11">
        <v>2</v>
      </c>
      <c r="J2359" s="11">
        <v>0</v>
      </c>
      <c r="K2359" s="11" t="s">
        <v>21</v>
      </c>
      <c r="L2359" s="7">
        <v>42267.011921296296</v>
      </c>
      <c r="M2359" s="12"/>
      <c r="N2359" s="12" t="s">
        <v>63</v>
      </c>
      <c r="O2359" s="10" t="str">
        <f t="shared" si="285"/>
        <v>View</v>
      </c>
      <c r="P2359" s="11"/>
    </row>
    <row r="2360" spans="1:16" ht="12.75" x14ac:dyDescent="0.35">
      <c r="A2360" s="7">
        <v>42482.126192129625</v>
      </c>
      <c r="B2360" s="8" t="str">
        <f t="shared" si="284"/>
        <v>@INDIZbot</v>
      </c>
      <c r="C2360" s="9" t="s">
        <v>61</v>
      </c>
      <c r="D2360" s="9" t="s">
        <v>2219</v>
      </c>
      <c r="E2360" s="10" t="str">
        <f>HYPERLINK("https://twitter.com/INDIZbot/status/723262965160484865","723262965160484865")</f>
        <v>723262965160484865</v>
      </c>
      <c r="F2360" s="11" t="s">
        <v>62</v>
      </c>
      <c r="G2360" s="11">
        <v>1762</v>
      </c>
      <c r="H2360" s="11">
        <v>481</v>
      </c>
      <c r="I2360" s="11">
        <v>7</v>
      </c>
      <c r="J2360" s="11">
        <v>0</v>
      </c>
      <c r="K2360" s="11" t="s">
        <v>21</v>
      </c>
      <c r="L2360" s="7">
        <v>42267.011921296296</v>
      </c>
      <c r="M2360" s="12"/>
      <c r="N2360" s="12" t="s">
        <v>63</v>
      </c>
      <c r="O2360" s="10" t="str">
        <f t="shared" si="285"/>
        <v>View</v>
      </c>
      <c r="P2360" s="11"/>
    </row>
    <row r="2361" spans="1:16" ht="12.75" x14ac:dyDescent="0.35">
      <c r="A2361" s="7">
        <v>42482.128668981481</v>
      </c>
      <c r="B2361" s="8" t="str">
        <f>HYPERLINK("https://twitter.com/TLinn_Visionico","@TLinn_Visionico")</f>
        <v>@TLinn_Visionico</v>
      </c>
      <c r="C2361" s="9" t="s">
        <v>3512</v>
      </c>
      <c r="D2361" s="9" t="s">
        <v>4190</v>
      </c>
      <c r="E2361" s="10" t="str">
        <f>HYPERLINK("https://twitter.com/TLinn_Visionico/status/723263862930284544","723263862930284544")</f>
        <v>723263862930284544</v>
      </c>
      <c r="F2361" s="11" t="s">
        <v>39</v>
      </c>
      <c r="G2361" s="11">
        <v>1376</v>
      </c>
      <c r="H2361" s="11">
        <v>1181</v>
      </c>
      <c r="I2361" s="11">
        <v>1</v>
      </c>
      <c r="J2361" s="11">
        <v>1</v>
      </c>
      <c r="K2361" s="11" t="s">
        <v>21</v>
      </c>
      <c r="L2361" s="7">
        <v>40614.594791666663</v>
      </c>
      <c r="M2361" s="12" t="s">
        <v>3514</v>
      </c>
      <c r="N2361" s="12" t="s">
        <v>3515</v>
      </c>
      <c r="O2361" s="10" t="str">
        <f>HYPERLINK("https://pbs.twimg.com/profile_images/692017435269054464/uFlgRwyV_normal.jpg","View")</f>
        <v>View</v>
      </c>
      <c r="P2361" s="11"/>
    </row>
    <row r="2362" spans="1:16" ht="12.75" x14ac:dyDescent="0.35">
      <c r="A2362" s="7">
        <v>42482.129062499997</v>
      </c>
      <c r="B2362" s="8" t="str">
        <f>HYPERLINK("https://twitter.com/LudgerKrusenba1","@LudgerKrusenba1")</f>
        <v>@LudgerKrusenba1</v>
      </c>
      <c r="C2362" s="9" t="s">
        <v>4191</v>
      </c>
      <c r="D2362" s="9" t="s">
        <v>104</v>
      </c>
      <c r="E2362" s="10" t="str">
        <f>HYPERLINK("https://twitter.com/LudgerKrusenba1/status/723264006874619904","723264006874619904")</f>
        <v>723264006874619904</v>
      </c>
      <c r="F2362" s="11" t="s">
        <v>20</v>
      </c>
      <c r="G2362" s="11">
        <v>369</v>
      </c>
      <c r="H2362" s="11">
        <v>1016</v>
      </c>
      <c r="I2362" s="11">
        <v>7</v>
      </c>
      <c r="J2362" s="11">
        <v>0</v>
      </c>
      <c r="K2362" s="11" t="s">
        <v>21</v>
      </c>
      <c r="L2362" s="7">
        <v>42019.009918981479</v>
      </c>
      <c r="M2362" s="12"/>
      <c r="N2362" s="12" t="s">
        <v>4192</v>
      </c>
      <c r="O2362" s="10" t="str">
        <f>HYPERLINK("https://pbs.twimg.com/profile_images/555439324096102400/jCOIm1RQ_normal.jpeg","View")</f>
        <v>View</v>
      </c>
      <c r="P2362" s="11"/>
    </row>
    <row r="2363" spans="1:16" ht="12.75" x14ac:dyDescent="0.35">
      <c r="A2363" s="7">
        <v>42482.133402777778</v>
      </c>
      <c r="B2363" s="8" t="str">
        <f t="shared" ref="B2363:B2364" si="286">HYPERLINK("https://twitter.com/INDIZbot","@INDIZbot")</f>
        <v>@INDIZbot</v>
      </c>
      <c r="C2363" s="9" t="s">
        <v>61</v>
      </c>
      <c r="D2363" s="9" t="s">
        <v>104</v>
      </c>
      <c r="E2363" s="10" t="str">
        <f>HYPERLINK("https://twitter.com/INDIZbot/status/723265579101073408","723265579101073408")</f>
        <v>723265579101073408</v>
      </c>
      <c r="F2363" s="11" t="s">
        <v>62</v>
      </c>
      <c r="G2363" s="11">
        <v>1762</v>
      </c>
      <c r="H2363" s="11">
        <v>481</v>
      </c>
      <c r="I2363" s="11">
        <v>7</v>
      </c>
      <c r="J2363" s="11">
        <v>0</v>
      </c>
      <c r="K2363" s="11" t="s">
        <v>21</v>
      </c>
      <c r="L2363" s="7">
        <v>42267.011921296296</v>
      </c>
      <c r="M2363" s="12"/>
      <c r="N2363" s="12" t="s">
        <v>63</v>
      </c>
      <c r="O2363" s="10" t="str">
        <f t="shared" ref="O2363:O2364" si="287">HYPERLINK("https://pbs.twimg.com/profile_images/645716711723925506/t5G0qOS6_normal.jpg","View")</f>
        <v>View</v>
      </c>
      <c r="P2363" s="11"/>
    </row>
    <row r="2364" spans="1:16" ht="12.75" x14ac:dyDescent="0.35">
      <c r="A2364" s="7">
        <v>42482.133692129632</v>
      </c>
      <c r="B2364" s="8" t="str">
        <f t="shared" si="286"/>
        <v>@INDIZbot</v>
      </c>
      <c r="C2364" s="9" t="s">
        <v>61</v>
      </c>
      <c r="D2364" s="9" t="s">
        <v>4193</v>
      </c>
      <c r="E2364" s="10" t="str">
        <f>HYPERLINK("https://twitter.com/INDIZbot/status/723265683035963392","723265683035963392")</f>
        <v>723265683035963392</v>
      </c>
      <c r="F2364" s="11" t="s">
        <v>62</v>
      </c>
      <c r="G2364" s="11">
        <v>1762</v>
      </c>
      <c r="H2364" s="11">
        <v>481</v>
      </c>
      <c r="I2364" s="11">
        <v>1</v>
      </c>
      <c r="J2364" s="11">
        <v>0</v>
      </c>
      <c r="K2364" s="11" t="s">
        <v>21</v>
      </c>
      <c r="L2364" s="7">
        <v>42267.011921296296</v>
      </c>
      <c r="M2364" s="12"/>
      <c r="N2364" s="12" t="s">
        <v>63</v>
      </c>
      <c r="O2364" s="10" t="str">
        <f t="shared" si="287"/>
        <v>View</v>
      </c>
      <c r="P2364" s="11"/>
    </row>
    <row r="2365" spans="1:16" ht="12.75" x14ac:dyDescent="0.35">
      <c r="A2365" s="7">
        <v>42482.156481481477</v>
      </c>
      <c r="B2365" s="8" t="str">
        <f>HYPERLINK("https://twitter.com/openHPI","@openHPI")</f>
        <v>@openHPI</v>
      </c>
      <c r="C2365" s="9" t="s">
        <v>1381</v>
      </c>
      <c r="D2365" s="9" t="s">
        <v>4194</v>
      </c>
      <c r="E2365" s="10" t="str">
        <f>HYPERLINK("https://twitter.com/openHPI/status/723273943164051458","723273943164051458")</f>
        <v>723273943164051458</v>
      </c>
      <c r="F2365" s="11" t="s">
        <v>39</v>
      </c>
      <c r="G2365" s="11">
        <v>1568</v>
      </c>
      <c r="H2365" s="11">
        <v>57</v>
      </c>
      <c r="I2365" s="11">
        <v>2</v>
      </c>
      <c r="J2365" s="11">
        <v>0</v>
      </c>
      <c r="K2365" s="11" t="s">
        <v>21</v>
      </c>
      <c r="L2365" s="7">
        <v>41191.624803240738</v>
      </c>
      <c r="M2365" s="12" t="s">
        <v>1383</v>
      </c>
      <c r="N2365" s="12" t="s">
        <v>1384</v>
      </c>
      <c r="O2365" s="10" t="str">
        <f>HYPERLINK("https://pbs.twimg.com/profile_images/378800000827898552/669f90369b095789252ae6f0649bc39a_normal.png","View")</f>
        <v>View</v>
      </c>
      <c r="P2365" s="11"/>
    </row>
    <row r="2366" spans="1:16" ht="12.75" x14ac:dyDescent="0.35">
      <c r="A2366" s="7">
        <v>42482.160532407404</v>
      </c>
      <c r="B2366" s="8" t="str">
        <f>HYPERLINK("https://twitter.com/INDIZbot","@INDIZbot")</f>
        <v>@INDIZbot</v>
      </c>
      <c r="C2366" s="9" t="s">
        <v>61</v>
      </c>
      <c r="D2366" s="9" t="s">
        <v>4195</v>
      </c>
      <c r="E2366" s="10" t="str">
        <f>HYPERLINK("https://twitter.com/INDIZbot/status/723275412017688576","723275412017688576")</f>
        <v>723275412017688576</v>
      </c>
      <c r="F2366" s="11" t="s">
        <v>62</v>
      </c>
      <c r="G2366" s="11">
        <v>1762</v>
      </c>
      <c r="H2366" s="11">
        <v>481</v>
      </c>
      <c r="I2366" s="11">
        <v>2</v>
      </c>
      <c r="J2366" s="11">
        <v>0</v>
      </c>
      <c r="K2366" s="11" t="s">
        <v>21</v>
      </c>
      <c r="L2366" s="7">
        <v>42267.011921296296</v>
      </c>
      <c r="M2366" s="12"/>
      <c r="N2366" s="12" t="s">
        <v>63</v>
      </c>
      <c r="O2366" s="10" t="str">
        <f>HYPERLINK("https://pbs.twimg.com/profile_images/645716711723925506/t5G0qOS6_normal.jpg","View")</f>
        <v>View</v>
      </c>
      <c r="P2366" s="11"/>
    </row>
    <row r="2367" spans="1:16" ht="12.75" x14ac:dyDescent="0.35">
      <c r="A2367" s="7">
        <v>42482.169490740736</v>
      </c>
      <c r="B2367" s="8" t="str">
        <f>HYPERLINK("https://twitter.com/Frank_Reinelt","@Frank_Reinelt")</f>
        <v>@Frank_Reinelt</v>
      </c>
      <c r="C2367" s="9" t="s">
        <v>963</v>
      </c>
      <c r="D2367" s="9" t="s">
        <v>4196</v>
      </c>
      <c r="E2367" s="10" t="str">
        <f>HYPERLINK("https://twitter.com/Frank_Reinelt/status/723278655561060352","723278655561060352")</f>
        <v>723278655561060352</v>
      </c>
      <c r="F2367" s="11" t="s">
        <v>25</v>
      </c>
      <c r="G2367" s="11">
        <v>86</v>
      </c>
      <c r="H2367" s="11">
        <v>61</v>
      </c>
      <c r="I2367" s="11">
        <v>1</v>
      </c>
      <c r="J2367" s="11">
        <v>0</v>
      </c>
      <c r="K2367" s="11" t="s">
        <v>21</v>
      </c>
      <c r="L2367" s="7">
        <v>42272.607060185182</v>
      </c>
      <c r="M2367" s="12" t="s">
        <v>559</v>
      </c>
      <c r="N2367" s="12" t="s">
        <v>965</v>
      </c>
      <c r="O2367" s="10" t="str">
        <f>HYPERLINK("https://pbs.twimg.com/profile_images/669853588152283137/mqKB9aP__normal.jpg","View")</f>
        <v>View</v>
      </c>
      <c r="P2367" s="11"/>
    </row>
    <row r="2368" spans="1:16" ht="12.75" x14ac:dyDescent="0.35">
      <c r="A2368" s="7">
        <v>42482.174421296295</v>
      </c>
      <c r="B2368" s="8" t="str">
        <f>HYPERLINK("https://twitter.com/INDIZbot","@INDIZbot")</f>
        <v>@INDIZbot</v>
      </c>
      <c r="C2368" s="9" t="s">
        <v>61</v>
      </c>
      <c r="D2368" s="9" t="s">
        <v>4197</v>
      </c>
      <c r="E2368" s="10" t="str">
        <f>HYPERLINK("https://twitter.com/INDIZbot/status/723280446054912001","723280446054912001")</f>
        <v>723280446054912001</v>
      </c>
      <c r="F2368" s="11" t="s">
        <v>62</v>
      </c>
      <c r="G2368" s="11">
        <v>1762</v>
      </c>
      <c r="H2368" s="11">
        <v>481</v>
      </c>
      <c r="I2368" s="11">
        <v>1</v>
      </c>
      <c r="J2368" s="11">
        <v>0</v>
      </c>
      <c r="K2368" s="11" t="s">
        <v>21</v>
      </c>
      <c r="L2368" s="7">
        <v>42267.011921296296</v>
      </c>
      <c r="M2368" s="12"/>
      <c r="N2368" s="12" t="s">
        <v>63</v>
      </c>
      <c r="O2368" s="10" t="str">
        <f>HYPERLINK("https://pbs.twimg.com/profile_images/645716711723925506/t5G0qOS6_normal.jpg","View")</f>
        <v>View</v>
      </c>
      <c r="P2368" s="11"/>
    </row>
    <row r="2369" spans="1:16" ht="12.75" x14ac:dyDescent="0.35">
      <c r="A2369" s="7">
        <v>42482.189849537041</v>
      </c>
      <c r="B2369" s="8" t="str">
        <f>HYPERLINK("https://twitter.com/apetrongari","@apetrongari")</f>
        <v>@apetrongari</v>
      </c>
      <c r="C2369" s="9" t="s">
        <v>4198</v>
      </c>
      <c r="D2369" s="9" t="s">
        <v>4105</v>
      </c>
      <c r="E2369" s="10" t="str">
        <f>HYPERLINK("https://twitter.com/apetrongari/status/723286036160385024","723286036160385024")</f>
        <v>723286036160385024</v>
      </c>
      <c r="F2369" s="11" t="s">
        <v>31</v>
      </c>
      <c r="G2369" s="11">
        <v>92</v>
      </c>
      <c r="H2369" s="11">
        <v>195</v>
      </c>
      <c r="I2369" s="11">
        <v>26</v>
      </c>
      <c r="J2369" s="11">
        <v>0</v>
      </c>
      <c r="K2369" s="11" t="s">
        <v>21</v>
      </c>
      <c r="L2369" s="7">
        <v>40162.38790509259</v>
      </c>
      <c r="M2369" s="12" t="s">
        <v>121</v>
      </c>
      <c r="N2369" s="12" t="s">
        <v>4199</v>
      </c>
      <c r="O2369" s="10" t="str">
        <f>HYPERLINK("https://pbs.twimg.com/profile_images/722034829412409344/6lUy649v_normal.jpg","View")</f>
        <v>View</v>
      </c>
      <c r="P2369" s="11"/>
    </row>
    <row r="2370" spans="1:16" ht="12.75" x14ac:dyDescent="0.35">
      <c r="A2370" s="7">
        <v>42482.191192129627</v>
      </c>
      <c r="B2370" s="8" t="str">
        <f>HYPERLINK("https://twitter.com/TLinn_Visionico","@TLinn_Visionico")</f>
        <v>@TLinn_Visionico</v>
      </c>
      <c r="C2370" s="9" t="s">
        <v>3512</v>
      </c>
      <c r="D2370" s="9" t="s">
        <v>4200</v>
      </c>
      <c r="E2370" s="10" t="str">
        <f>HYPERLINK("https://twitter.com/TLinn_Visionico/status/723286523181981697","723286523181981697")</f>
        <v>723286523181981697</v>
      </c>
      <c r="F2370" s="11" t="s">
        <v>39</v>
      </c>
      <c r="G2370" s="11">
        <v>1376</v>
      </c>
      <c r="H2370" s="11">
        <v>1181</v>
      </c>
      <c r="I2370" s="11">
        <v>2</v>
      </c>
      <c r="J2370" s="11">
        <v>1</v>
      </c>
      <c r="K2370" s="11" t="s">
        <v>21</v>
      </c>
      <c r="L2370" s="7">
        <v>40614.594791666663</v>
      </c>
      <c r="M2370" s="12" t="s">
        <v>3514</v>
      </c>
      <c r="N2370" s="12" t="s">
        <v>3515</v>
      </c>
      <c r="O2370" s="10" t="str">
        <f>HYPERLINK("https://pbs.twimg.com/profile_images/692017435269054464/uFlgRwyV_normal.jpg","View")</f>
        <v>View</v>
      </c>
      <c r="P2370" s="11"/>
    </row>
    <row r="2371" spans="1:16" ht="12.75" x14ac:dyDescent="0.35">
      <c r="A2371" s="7">
        <v>42482.192129629635</v>
      </c>
      <c r="B2371" s="8" t="str">
        <f>HYPERLINK("https://twitter.com/H_IT_D","@H_IT_D")</f>
        <v>@H_IT_D</v>
      </c>
      <c r="C2371" s="9" t="s">
        <v>159</v>
      </c>
      <c r="D2371" s="9" t="s">
        <v>4201</v>
      </c>
      <c r="E2371" s="10" t="str">
        <f>HYPERLINK("https://twitter.com/H_IT_D/status/723286860206772224","723286860206772224")</f>
        <v>723286860206772224</v>
      </c>
      <c r="F2371" s="11" t="s">
        <v>161</v>
      </c>
      <c r="G2371" s="11">
        <v>463</v>
      </c>
      <c r="H2371" s="11">
        <v>467</v>
      </c>
      <c r="I2371" s="11">
        <v>1</v>
      </c>
      <c r="J2371" s="11">
        <v>0</v>
      </c>
      <c r="K2371" s="11" t="s">
        <v>21</v>
      </c>
      <c r="L2371" s="7">
        <v>40723.867673611108</v>
      </c>
      <c r="M2371" s="12" t="s">
        <v>162</v>
      </c>
      <c r="N2371" s="12" t="s">
        <v>163</v>
      </c>
      <c r="O2371" s="10" t="str">
        <f>HYPERLINK("https://pbs.twimg.com/profile_images/662723326096224256/5V4KH9_O_normal.jpg","View")</f>
        <v>View</v>
      </c>
      <c r="P2371" s="11"/>
    </row>
    <row r="2372" spans="1:16" ht="12.75" x14ac:dyDescent="0.35">
      <c r="A2372" s="7">
        <v>42482.195104166662</v>
      </c>
      <c r="B2372" s="8" t="str">
        <f>HYPERLINK("https://twitter.com/BigDataTweetBot","@BigDataTweetBot")</f>
        <v>@BigDataTweetBot</v>
      </c>
      <c r="C2372" s="9" t="s">
        <v>1660</v>
      </c>
      <c r="D2372" s="9" t="s">
        <v>4202</v>
      </c>
      <c r="E2372" s="10" t="str">
        <f>HYPERLINK("https://twitter.com/BigDataTweetBot/status/723287939158007812","723287939158007812")</f>
        <v>723287939158007812</v>
      </c>
      <c r="F2372" s="11" t="s">
        <v>1662</v>
      </c>
      <c r="G2372" s="11">
        <v>11322</v>
      </c>
      <c r="H2372" s="11">
        <v>240</v>
      </c>
      <c r="I2372" s="11">
        <v>2</v>
      </c>
      <c r="J2372" s="11">
        <v>0</v>
      </c>
      <c r="K2372" s="11" t="s">
        <v>21</v>
      </c>
      <c r="L2372" s="7">
        <v>42188.291898148149</v>
      </c>
      <c r="M2372" s="12"/>
      <c r="N2372" s="12" t="s">
        <v>1663</v>
      </c>
      <c r="O2372" s="10" t="str">
        <f>HYPERLINK("https://pbs.twimg.com/profile_images/616793252524650496/bQbxJqmz_normal.jpg","View")</f>
        <v>View</v>
      </c>
      <c r="P2372" s="11"/>
    </row>
    <row r="2373" spans="1:16" ht="12.75" x14ac:dyDescent="0.35">
      <c r="A2373" s="7">
        <v>42482.195254629631</v>
      </c>
      <c r="B2373" s="8" t="str">
        <f t="shared" ref="B2373:B2374" si="288">HYPERLINK("https://twitter.com/INDIZbot","@INDIZbot")</f>
        <v>@INDIZbot</v>
      </c>
      <c r="C2373" s="9" t="s">
        <v>61</v>
      </c>
      <c r="D2373" s="9" t="s">
        <v>4203</v>
      </c>
      <c r="E2373" s="10" t="str">
        <f>HYPERLINK("https://twitter.com/INDIZbot/status/723287994388627456","723287994388627456")</f>
        <v>723287994388627456</v>
      </c>
      <c r="F2373" s="11" t="s">
        <v>62</v>
      </c>
      <c r="G2373" s="11">
        <v>1762</v>
      </c>
      <c r="H2373" s="11">
        <v>481</v>
      </c>
      <c r="I2373" s="11">
        <v>1</v>
      </c>
      <c r="J2373" s="11">
        <v>0</v>
      </c>
      <c r="K2373" s="11" t="s">
        <v>21</v>
      </c>
      <c r="L2373" s="7">
        <v>42267.011921296296</v>
      </c>
      <c r="M2373" s="12"/>
      <c r="N2373" s="12" t="s">
        <v>63</v>
      </c>
      <c r="O2373" s="10" t="str">
        <f t="shared" ref="O2373:O2374" si="289">HYPERLINK("https://pbs.twimg.com/profile_images/645716711723925506/t5G0qOS6_normal.jpg","View")</f>
        <v>View</v>
      </c>
      <c r="P2373" s="11"/>
    </row>
    <row r="2374" spans="1:16" ht="12.75" x14ac:dyDescent="0.35">
      <c r="A2374" s="7">
        <v>42482.195509259254</v>
      </c>
      <c r="B2374" s="8" t="str">
        <f t="shared" si="288"/>
        <v>@INDIZbot</v>
      </c>
      <c r="C2374" s="9" t="s">
        <v>61</v>
      </c>
      <c r="D2374" s="9" t="s">
        <v>4202</v>
      </c>
      <c r="E2374" s="10" t="str">
        <f>HYPERLINK("https://twitter.com/INDIZbot/status/723288085069475841","723288085069475841")</f>
        <v>723288085069475841</v>
      </c>
      <c r="F2374" s="11" t="s">
        <v>62</v>
      </c>
      <c r="G2374" s="11">
        <v>1762</v>
      </c>
      <c r="H2374" s="11">
        <v>481</v>
      </c>
      <c r="I2374" s="11">
        <v>2</v>
      </c>
      <c r="J2374" s="11">
        <v>0</v>
      </c>
      <c r="K2374" s="11" t="s">
        <v>21</v>
      </c>
      <c r="L2374" s="7">
        <v>42267.011921296296</v>
      </c>
      <c r="M2374" s="12"/>
      <c r="N2374" s="12" t="s">
        <v>63</v>
      </c>
      <c r="O2374" s="10" t="str">
        <f t="shared" si="289"/>
        <v>View</v>
      </c>
      <c r="P2374" s="11"/>
    </row>
    <row r="2375" spans="1:16" ht="12.75" x14ac:dyDescent="0.35">
      <c r="A2375" s="7">
        <v>42482.294108796297</v>
      </c>
      <c r="B2375" s="8" t="str">
        <f>HYPERLINK("https://twitter.com/RethinkRobotics","@RethinkRobotics")</f>
        <v>@RethinkRobotics</v>
      </c>
      <c r="C2375" s="9" t="s">
        <v>4204</v>
      </c>
      <c r="D2375" s="9" t="s">
        <v>4205</v>
      </c>
      <c r="E2375" s="10" t="str">
        <f>HYPERLINK("https://twitter.com/RethinkRobotics/status/723323816101986306","723323816101986306")</f>
        <v>723323816101986306</v>
      </c>
      <c r="F2375" s="11" t="s">
        <v>39</v>
      </c>
      <c r="G2375" s="11">
        <v>14518</v>
      </c>
      <c r="H2375" s="11">
        <v>2961</v>
      </c>
      <c r="I2375" s="11">
        <v>5</v>
      </c>
      <c r="J2375" s="11">
        <v>6</v>
      </c>
      <c r="K2375" s="11" t="s">
        <v>21</v>
      </c>
      <c r="L2375" s="7">
        <v>41069.012175925927</v>
      </c>
      <c r="M2375" s="12" t="s">
        <v>471</v>
      </c>
      <c r="N2375" s="12" t="s">
        <v>4206</v>
      </c>
      <c r="O2375" s="10" t="str">
        <f>HYPERLINK("https://pbs.twimg.com/profile_images/3673497206/85ee8240b2449d1748b6e4c0747fb409_normal.jpeg","View")</f>
        <v>View</v>
      </c>
      <c r="P2375" s="11"/>
    </row>
    <row r="2376" spans="1:16" ht="12.75" x14ac:dyDescent="0.35">
      <c r="A2376" s="7">
        <v>42482.297337962962</v>
      </c>
      <c r="B2376" s="8" t="str">
        <f>HYPERLINK("https://twitter.com/JohnRiversToo","@JohnRiversToo")</f>
        <v>@JohnRiversToo</v>
      </c>
      <c r="C2376" s="9" t="s">
        <v>4207</v>
      </c>
      <c r="D2376" s="9" t="s">
        <v>4208</v>
      </c>
      <c r="E2376" s="10" t="str">
        <f>HYPERLINK("https://twitter.com/JohnRiversToo/status/723324986954534912","723324986954534912")</f>
        <v>723324986954534912</v>
      </c>
      <c r="F2376" s="11" t="s">
        <v>25</v>
      </c>
      <c r="G2376" s="11">
        <v>5296</v>
      </c>
      <c r="H2376" s="11">
        <v>110</v>
      </c>
      <c r="I2376" s="11">
        <v>5</v>
      </c>
      <c r="J2376" s="11">
        <v>0</v>
      </c>
      <c r="K2376" s="11" t="s">
        <v>21</v>
      </c>
      <c r="L2376" s="7">
        <v>41919.314456018517</v>
      </c>
      <c r="M2376" s="12"/>
      <c r="N2376" s="12" t="s">
        <v>4209</v>
      </c>
      <c r="O2376" s="10" t="str">
        <f>HYPERLINK("https://pbs.twimg.com/profile_images/599726511197814784/hcPkurXV_normal.jpg","View")</f>
        <v>View</v>
      </c>
      <c r="P2376" s="11"/>
    </row>
    <row r="2377" spans="1:16" ht="12.75" x14ac:dyDescent="0.35">
      <c r="A2377" s="7">
        <v>42482.304525462961</v>
      </c>
      <c r="B2377" s="8" t="str">
        <f>HYPERLINK("https://twitter.com/tim_reichardt","@tim_reichardt")</f>
        <v>@tim_reichardt</v>
      </c>
      <c r="C2377" s="9" t="s">
        <v>4210</v>
      </c>
      <c r="D2377" s="9" t="s">
        <v>4208</v>
      </c>
      <c r="E2377" s="10" t="str">
        <f>HYPERLINK("https://twitter.com/tim_reichardt/status/723327591713767426","723327591713767426")</f>
        <v>723327591713767426</v>
      </c>
      <c r="F2377" s="11" t="s">
        <v>20</v>
      </c>
      <c r="G2377" s="11">
        <v>345</v>
      </c>
      <c r="H2377" s="11">
        <v>430</v>
      </c>
      <c r="I2377" s="11">
        <v>5</v>
      </c>
      <c r="J2377" s="11">
        <v>0</v>
      </c>
      <c r="K2377" s="11" t="s">
        <v>21</v>
      </c>
      <c r="L2377" s="7">
        <v>41256.073472222226</v>
      </c>
      <c r="M2377" s="12" t="s">
        <v>4211</v>
      </c>
      <c r="N2377" s="12" t="s">
        <v>4212</v>
      </c>
      <c r="O2377" s="10" t="str">
        <f>HYPERLINK("https://pbs.twimg.com/profile_images/719638775668858880/hmUhQ5p2_normal.jpg","View")</f>
        <v>View</v>
      </c>
      <c r="P2377" s="11"/>
    </row>
    <row r="2378" spans="1:16" ht="12.75" x14ac:dyDescent="0.35">
      <c r="A2378" s="7">
        <v>42482.321597222224</v>
      </c>
      <c r="B2378" s="8" t="str">
        <f>HYPERLINK("https://twitter.com/PPanchakIW","@PPanchakIW")</f>
        <v>@PPanchakIW</v>
      </c>
      <c r="C2378" s="9" t="s">
        <v>4213</v>
      </c>
      <c r="D2378" s="9" t="s">
        <v>4208</v>
      </c>
      <c r="E2378" s="10" t="str">
        <f>HYPERLINK("https://twitter.com/PPanchakIW/status/723333778597371905","723333778597371905")</f>
        <v>723333778597371905</v>
      </c>
      <c r="F2378" s="11" t="s">
        <v>20</v>
      </c>
      <c r="G2378" s="11">
        <v>1947</v>
      </c>
      <c r="H2378" s="11">
        <v>1047</v>
      </c>
      <c r="I2378" s="11">
        <v>5</v>
      </c>
      <c r="J2378" s="11">
        <v>0</v>
      </c>
      <c r="K2378" s="11" t="s">
        <v>21</v>
      </c>
      <c r="L2378" s="7">
        <v>40941.001504629632</v>
      </c>
      <c r="M2378" s="12" t="s">
        <v>4214</v>
      </c>
      <c r="N2378" s="12" t="s">
        <v>4215</v>
      </c>
      <c r="O2378" s="10" t="str">
        <f>HYPERLINK("https://pbs.twimg.com/profile_images/1827233338/Pat_P._no_glass.twitter_normal.jpg","View")</f>
        <v>View</v>
      </c>
      <c r="P2378" s="11"/>
    </row>
    <row r="2379" spans="1:16" ht="12.75" x14ac:dyDescent="0.35">
      <c r="A2379" s="7">
        <v>42482.412037037036</v>
      </c>
      <c r="B2379" s="8" t="str">
        <f>HYPERLINK("https://twitter.com/H_IT_D","@H_IT_D")</f>
        <v>@H_IT_D</v>
      </c>
      <c r="C2379" s="9" t="s">
        <v>159</v>
      </c>
      <c r="D2379" s="9" t="s">
        <v>4216</v>
      </c>
      <c r="E2379" s="10" t="str">
        <f>HYPERLINK("https://twitter.com/H_IT_D/status/723366551630413824","723366551630413824")</f>
        <v>723366551630413824</v>
      </c>
      <c r="F2379" s="11" t="s">
        <v>161</v>
      </c>
      <c r="G2379" s="11">
        <v>463</v>
      </c>
      <c r="H2379" s="11">
        <v>467</v>
      </c>
      <c r="I2379" s="11">
        <v>2</v>
      </c>
      <c r="J2379" s="11">
        <v>0</v>
      </c>
      <c r="K2379" s="11" t="s">
        <v>21</v>
      </c>
      <c r="L2379" s="7">
        <v>40723.867673611108</v>
      </c>
      <c r="M2379" s="12" t="s">
        <v>162</v>
      </c>
      <c r="N2379" s="12" t="s">
        <v>163</v>
      </c>
      <c r="O2379" s="10" t="str">
        <f>HYPERLINK("https://pbs.twimg.com/profile_images/662723326096224256/5V4KH9_O_normal.jpg","View")</f>
        <v>View</v>
      </c>
      <c r="P2379" s="11"/>
    </row>
    <row r="2380" spans="1:16" ht="12.75" x14ac:dyDescent="0.35">
      <c r="A2380" s="7">
        <v>42482.41777777778</v>
      </c>
      <c r="B2380" s="8" t="str">
        <f>HYPERLINK("https://twitter.com/INDIZbot","@INDIZbot")</f>
        <v>@INDIZbot</v>
      </c>
      <c r="C2380" s="9" t="s">
        <v>61</v>
      </c>
      <c r="D2380" s="9" t="s">
        <v>4217</v>
      </c>
      <c r="E2380" s="10" t="str">
        <f>HYPERLINK("https://twitter.com/INDIZbot/status/723368634874105856","723368634874105856")</f>
        <v>723368634874105856</v>
      </c>
      <c r="F2380" s="11" t="s">
        <v>62</v>
      </c>
      <c r="G2380" s="11">
        <v>1762</v>
      </c>
      <c r="H2380" s="11">
        <v>481</v>
      </c>
      <c r="I2380" s="11">
        <v>2</v>
      </c>
      <c r="J2380" s="11">
        <v>0</v>
      </c>
      <c r="K2380" s="11" t="s">
        <v>21</v>
      </c>
      <c r="L2380" s="7">
        <v>42267.011921296296</v>
      </c>
      <c r="M2380" s="12"/>
      <c r="N2380" s="12" t="s">
        <v>63</v>
      </c>
      <c r="O2380" s="10" t="str">
        <f>HYPERLINK("https://pbs.twimg.com/profile_images/645716711723925506/t5G0qOS6_normal.jpg","View")</f>
        <v>View</v>
      </c>
      <c r="P2380" s="11"/>
    </row>
    <row r="2381" spans="1:16" ht="12.75" x14ac:dyDescent="0.35">
      <c r="A2381" s="7">
        <v>42482.426516203705</v>
      </c>
      <c r="B2381" s="8" t="str">
        <f>HYPERLINK("https://twitter.com/Following_HR","@Following_HR")</f>
        <v>@Following_HR</v>
      </c>
      <c r="C2381" s="9" t="s">
        <v>4218</v>
      </c>
      <c r="D2381" s="9" t="s">
        <v>4217</v>
      </c>
      <c r="E2381" s="10" t="str">
        <f>HYPERLINK("https://twitter.com/Following_HR/status/723371802211147776","723371802211147776")</f>
        <v>723371802211147776</v>
      </c>
      <c r="F2381" s="11" t="s">
        <v>39</v>
      </c>
      <c r="G2381" s="11">
        <v>2103</v>
      </c>
      <c r="H2381" s="11">
        <v>839</v>
      </c>
      <c r="I2381" s="11">
        <v>2</v>
      </c>
      <c r="J2381" s="11">
        <v>0</v>
      </c>
      <c r="K2381" s="11" t="s">
        <v>21</v>
      </c>
      <c r="L2381" s="7">
        <v>40443.783090277779</v>
      </c>
      <c r="M2381" s="12" t="s">
        <v>689</v>
      </c>
      <c r="N2381" s="12" t="s">
        <v>4219</v>
      </c>
      <c r="O2381" s="10" t="str">
        <f>HYPERLINK("https://pbs.twimg.com/profile_images/1182335615/Foto_Stefan_D_ring_normal.jpg","View")</f>
        <v>View</v>
      </c>
      <c r="P2381" s="11"/>
    </row>
    <row r="2382" spans="1:16" ht="12.75" x14ac:dyDescent="0.35">
      <c r="A2382" s="7">
        <v>42482.43037037037</v>
      </c>
      <c r="B2382" s="8" t="str">
        <f t="shared" ref="B2382:B2383" si="290">HYPERLINK("https://twitter.com/germanbirdy","@germanbirdy")</f>
        <v>@germanbirdy</v>
      </c>
      <c r="C2382" s="9" t="s">
        <v>4220</v>
      </c>
      <c r="D2382" s="9" t="s">
        <v>3964</v>
      </c>
      <c r="E2382" s="10" t="str">
        <f>HYPERLINK("https://twitter.com/germanbirdy/status/723373197110874112","723373197110874112")</f>
        <v>723373197110874112</v>
      </c>
      <c r="F2382" s="11" t="s">
        <v>31</v>
      </c>
      <c r="G2382" s="11">
        <v>43</v>
      </c>
      <c r="H2382" s="11">
        <v>55</v>
      </c>
      <c r="I2382" s="11">
        <v>3</v>
      </c>
      <c r="J2382" s="11">
        <v>0</v>
      </c>
      <c r="K2382" s="11" t="s">
        <v>21</v>
      </c>
      <c r="L2382" s="7">
        <v>39927.758923611109</v>
      </c>
      <c r="M2382" s="12"/>
      <c r="N2382" s="12"/>
      <c r="O2382" s="10" t="str">
        <f t="shared" ref="O2382:O2383" si="291">HYPERLINK("https://pbs.twimg.com/profile_images/271136077/Germanbirdy_normal.jpg","View")</f>
        <v>View</v>
      </c>
      <c r="P2382" s="11"/>
    </row>
    <row r="2383" spans="1:16" ht="12.75" x14ac:dyDescent="0.35">
      <c r="A2383" s="7">
        <v>42482.430497685185</v>
      </c>
      <c r="B2383" s="8" t="str">
        <f t="shared" si="290"/>
        <v>@germanbirdy</v>
      </c>
      <c r="C2383" s="9" t="s">
        <v>4220</v>
      </c>
      <c r="D2383" s="9" t="s">
        <v>4221</v>
      </c>
      <c r="E2383" s="10" t="str">
        <f>HYPERLINK("https://twitter.com/germanbirdy/status/723373243852161024","723373243852161024")</f>
        <v>723373243852161024</v>
      </c>
      <c r="F2383" s="11" t="s">
        <v>31</v>
      </c>
      <c r="G2383" s="11">
        <v>43</v>
      </c>
      <c r="H2383" s="11">
        <v>55</v>
      </c>
      <c r="I2383" s="11">
        <v>2</v>
      </c>
      <c r="J2383" s="11">
        <v>0</v>
      </c>
      <c r="K2383" s="11" t="s">
        <v>21</v>
      </c>
      <c r="L2383" s="7">
        <v>39927.758923611109</v>
      </c>
      <c r="M2383" s="12"/>
      <c r="N2383" s="12"/>
      <c r="O2383" s="10" t="str">
        <f t="shared" si="291"/>
        <v>View</v>
      </c>
      <c r="P2383" s="11"/>
    </row>
    <row r="2384" spans="1:16" ht="12.75" x14ac:dyDescent="0.35">
      <c r="A2384" s="7">
        <v>42482.430706018524</v>
      </c>
      <c r="B2384" s="8" t="str">
        <f>HYPERLINK("https://twitter.com/Evolutivist","@Evolutivist")</f>
        <v>@Evolutivist</v>
      </c>
      <c r="C2384" s="9" t="s">
        <v>1310</v>
      </c>
      <c r="D2384" s="9" t="s">
        <v>104</v>
      </c>
      <c r="E2384" s="10" t="str">
        <f>HYPERLINK("https://twitter.com/Evolutivist/status/723373319689363457","723373319689363457")</f>
        <v>723373319689363457</v>
      </c>
      <c r="F2384" s="11" t="s">
        <v>20</v>
      </c>
      <c r="G2384" s="11">
        <v>205</v>
      </c>
      <c r="H2384" s="11">
        <v>351</v>
      </c>
      <c r="I2384" s="11">
        <v>7</v>
      </c>
      <c r="J2384" s="11">
        <v>0</v>
      </c>
      <c r="K2384" s="11" t="s">
        <v>21</v>
      </c>
      <c r="L2384" s="7">
        <v>40926.661990740744</v>
      </c>
      <c r="M2384" s="12" t="s">
        <v>1312</v>
      </c>
      <c r="N2384" s="12" t="s">
        <v>1313</v>
      </c>
      <c r="O2384" s="10" t="str">
        <f>HYPERLINK("https://pbs.twimg.com/profile_images/2162445220/wagnertwitter_normal.jpg","View")</f>
        <v>View</v>
      </c>
      <c r="P2384" s="11"/>
    </row>
    <row r="2385" spans="1:16" ht="12.75" x14ac:dyDescent="0.35">
      <c r="A2385" s="7">
        <v>42482.431747685187</v>
      </c>
      <c r="B2385" s="8" t="str">
        <f t="shared" ref="B2385:B2386" si="292">HYPERLINK("https://twitter.com/INDIZbot","@INDIZbot")</f>
        <v>@INDIZbot</v>
      </c>
      <c r="C2385" s="9" t="s">
        <v>61</v>
      </c>
      <c r="D2385" s="9" t="s">
        <v>4221</v>
      </c>
      <c r="E2385" s="10" t="str">
        <f>HYPERLINK("https://twitter.com/INDIZbot/status/723373698288226310","723373698288226310")</f>
        <v>723373698288226310</v>
      </c>
      <c r="F2385" s="11" t="s">
        <v>62</v>
      </c>
      <c r="G2385" s="11">
        <v>1762</v>
      </c>
      <c r="H2385" s="11">
        <v>481</v>
      </c>
      <c r="I2385" s="11">
        <v>2</v>
      </c>
      <c r="J2385" s="11">
        <v>0</v>
      </c>
      <c r="K2385" s="11" t="s">
        <v>21</v>
      </c>
      <c r="L2385" s="7">
        <v>42267.011921296296</v>
      </c>
      <c r="M2385" s="12"/>
      <c r="N2385" s="12" t="s">
        <v>63</v>
      </c>
      <c r="O2385" s="10" t="str">
        <f t="shared" ref="O2385:O2386" si="293">HYPERLINK("https://pbs.twimg.com/profile_images/645716711723925506/t5G0qOS6_normal.jpg","View")</f>
        <v>View</v>
      </c>
      <c r="P2385" s="11"/>
    </row>
    <row r="2386" spans="1:16" ht="12.75" x14ac:dyDescent="0.35">
      <c r="A2386" s="7">
        <v>42482.431956018518</v>
      </c>
      <c r="B2386" s="8" t="str">
        <f t="shared" si="292"/>
        <v>@INDIZbot</v>
      </c>
      <c r="C2386" s="9" t="s">
        <v>61</v>
      </c>
      <c r="D2386" s="9" t="s">
        <v>3964</v>
      </c>
      <c r="E2386" s="10" t="str">
        <f>HYPERLINK("https://twitter.com/INDIZbot/status/723373770702884864","723373770702884864")</f>
        <v>723373770702884864</v>
      </c>
      <c r="F2386" s="11" t="s">
        <v>62</v>
      </c>
      <c r="G2386" s="11">
        <v>1762</v>
      </c>
      <c r="H2386" s="11">
        <v>481</v>
      </c>
      <c r="I2386" s="11">
        <v>3</v>
      </c>
      <c r="J2386" s="11">
        <v>0</v>
      </c>
      <c r="K2386" s="11" t="s">
        <v>21</v>
      </c>
      <c r="L2386" s="7">
        <v>42267.011921296296</v>
      </c>
      <c r="M2386" s="12"/>
      <c r="N2386" s="12" t="s">
        <v>63</v>
      </c>
      <c r="O2386" s="10" t="str">
        <f t="shared" si="293"/>
        <v>View</v>
      </c>
      <c r="P2386" s="11"/>
    </row>
    <row r="2387" spans="1:16" ht="12.75" x14ac:dyDescent="0.35">
      <c r="A2387" s="7">
        <v>42482.443125000005</v>
      </c>
      <c r="B2387" s="8" t="str">
        <f t="shared" ref="B2387:B2390" si="294">HYPERLINK("https://twitter.com/neerajdeuskar79","@neerajdeuskar79")</f>
        <v>@neerajdeuskar79</v>
      </c>
      <c r="C2387" s="9" t="s">
        <v>4222</v>
      </c>
      <c r="D2387" s="9" t="s">
        <v>4223</v>
      </c>
      <c r="E2387" s="10" t="str">
        <f>HYPERLINK("https://twitter.com/neerajdeuskar79/status/723377819904970753","723377819904970753")</f>
        <v>723377819904970753</v>
      </c>
      <c r="F2387" s="11" t="s">
        <v>25</v>
      </c>
      <c r="G2387" s="11">
        <v>61</v>
      </c>
      <c r="H2387" s="11">
        <v>97</v>
      </c>
      <c r="I2387" s="11">
        <v>0</v>
      </c>
      <c r="J2387" s="11">
        <v>0</v>
      </c>
      <c r="K2387" s="11" t="s">
        <v>21</v>
      </c>
      <c r="L2387" s="7">
        <v>42276.840208333335</v>
      </c>
      <c r="M2387" s="12"/>
      <c r="N2387" s="12"/>
      <c r="O2387" s="10" t="str">
        <f t="shared" ref="O2387:O2390" si="295">HYPERLINK("https://pbs.twimg.com/profile_images/648870164297965568/7muw2QvW_normal.jpg","View")</f>
        <v>View</v>
      </c>
      <c r="P2387" s="11"/>
    </row>
    <row r="2388" spans="1:16" ht="12.75" x14ac:dyDescent="0.35">
      <c r="A2388" s="7">
        <v>42482.444212962961</v>
      </c>
      <c r="B2388" s="8" t="str">
        <f t="shared" si="294"/>
        <v>@neerajdeuskar79</v>
      </c>
      <c r="C2388" s="9" t="s">
        <v>4222</v>
      </c>
      <c r="D2388" s="9" t="s">
        <v>4224</v>
      </c>
      <c r="E2388" s="10" t="str">
        <f>HYPERLINK("https://twitter.com/neerajdeuskar79/status/723378212676341762","723378212676341762")</f>
        <v>723378212676341762</v>
      </c>
      <c r="F2388" s="11" t="s">
        <v>25</v>
      </c>
      <c r="G2388" s="11">
        <v>61</v>
      </c>
      <c r="H2388" s="11">
        <v>97</v>
      </c>
      <c r="I2388" s="11">
        <v>1</v>
      </c>
      <c r="J2388" s="11">
        <v>2</v>
      </c>
      <c r="K2388" s="11" t="s">
        <v>21</v>
      </c>
      <c r="L2388" s="7">
        <v>42276.840208333335</v>
      </c>
      <c r="M2388" s="12"/>
      <c r="N2388" s="12"/>
      <c r="O2388" s="10" t="str">
        <f t="shared" si="295"/>
        <v>View</v>
      </c>
      <c r="P2388" s="11"/>
    </row>
    <row r="2389" spans="1:16" ht="12.75" x14ac:dyDescent="0.35">
      <c r="A2389" s="7">
        <v>42482.444340277776</v>
      </c>
      <c r="B2389" s="8" t="str">
        <f t="shared" si="294"/>
        <v>@neerajdeuskar79</v>
      </c>
      <c r="C2389" s="9" t="s">
        <v>4222</v>
      </c>
      <c r="D2389" s="9" t="s">
        <v>4019</v>
      </c>
      <c r="E2389" s="10" t="str">
        <f>HYPERLINK("https://twitter.com/neerajdeuskar79/status/723378260336218112","723378260336218112")</f>
        <v>723378260336218112</v>
      </c>
      <c r="F2389" s="11" t="s">
        <v>25</v>
      </c>
      <c r="G2389" s="11">
        <v>61</v>
      </c>
      <c r="H2389" s="11">
        <v>97</v>
      </c>
      <c r="I2389" s="11">
        <v>4</v>
      </c>
      <c r="J2389" s="11">
        <v>0</v>
      </c>
      <c r="K2389" s="11" t="s">
        <v>21</v>
      </c>
      <c r="L2389" s="7">
        <v>42276.840208333335</v>
      </c>
      <c r="M2389" s="12"/>
      <c r="N2389" s="12"/>
      <c r="O2389" s="10" t="str">
        <f t="shared" si="295"/>
        <v>View</v>
      </c>
      <c r="P2389" s="11"/>
    </row>
    <row r="2390" spans="1:16" ht="12.75" x14ac:dyDescent="0.35">
      <c r="A2390" s="7">
        <v>42482.445069444446</v>
      </c>
      <c r="B2390" s="8" t="str">
        <f t="shared" si="294"/>
        <v>@neerajdeuskar79</v>
      </c>
      <c r="C2390" s="9" t="s">
        <v>4222</v>
      </c>
      <c r="D2390" s="9" t="s">
        <v>4225</v>
      </c>
      <c r="E2390" s="10" t="str">
        <f>HYPERLINK("https://twitter.com/neerajdeuskar79/status/723378524145340417","723378524145340417")</f>
        <v>723378524145340417</v>
      </c>
      <c r="F2390" s="11" t="s">
        <v>25</v>
      </c>
      <c r="G2390" s="11">
        <v>61</v>
      </c>
      <c r="H2390" s="11">
        <v>97</v>
      </c>
      <c r="I2390" s="11">
        <v>0</v>
      </c>
      <c r="J2390" s="11">
        <v>0</v>
      </c>
      <c r="K2390" s="11" t="s">
        <v>21</v>
      </c>
      <c r="L2390" s="7">
        <v>42276.840208333335</v>
      </c>
      <c r="M2390" s="12"/>
      <c r="N2390" s="12"/>
      <c r="O2390" s="10" t="str">
        <f t="shared" si="295"/>
        <v>View</v>
      </c>
      <c r="P2390" s="11"/>
    </row>
    <row r="2391" spans="1:16" ht="12.75" x14ac:dyDescent="0.35">
      <c r="A2391" s="7">
        <v>42482.452465277776</v>
      </c>
      <c r="B2391" s="8" t="str">
        <f>HYPERLINK("https://twitter.com/VPuksic","@VPuksic")</f>
        <v>@VPuksic</v>
      </c>
      <c r="C2391" s="9" t="s">
        <v>4226</v>
      </c>
      <c r="D2391" s="9" t="s">
        <v>4105</v>
      </c>
      <c r="E2391" s="10" t="str">
        <f>HYPERLINK("https://twitter.com/VPuksic/status/723381205178060800","723381205178060800")</f>
        <v>723381205178060800</v>
      </c>
      <c r="F2391" s="11" t="s">
        <v>20</v>
      </c>
      <c r="G2391" s="11">
        <v>111</v>
      </c>
      <c r="H2391" s="11">
        <v>385</v>
      </c>
      <c r="I2391" s="11">
        <v>26</v>
      </c>
      <c r="J2391" s="11">
        <v>0</v>
      </c>
      <c r="K2391" s="11" t="s">
        <v>21</v>
      </c>
      <c r="L2391" s="7">
        <v>41918.818078703705</v>
      </c>
      <c r="M2391" s="12" t="s">
        <v>4227</v>
      </c>
      <c r="N2391" s="12" t="s">
        <v>4228</v>
      </c>
      <c r="O2391" s="10" t="str">
        <f>HYPERLINK("https://pbs.twimg.com/profile_images/596396295734095872/eMgDT91Y_normal.jpg","View")</f>
        <v>View</v>
      </c>
      <c r="P2391" s="11"/>
    </row>
    <row r="2392" spans="1:16" ht="12.75" x14ac:dyDescent="0.35">
      <c r="A2392" s="7">
        <v>42482.461331018523</v>
      </c>
      <c r="B2392" s="8" t="str">
        <f>HYPERLINK("https://twitter.com/osanten","@osanten")</f>
        <v>@osanten</v>
      </c>
      <c r="C2392" s="9" t="s">
        <v>4229</v>
      </c>
      <c r="D2392" s="9" t="s">
        <v>4230</v>
      </c>
      <c r="E2392" s="10" t="str">
        <f>HYPERLINK("https://twitter.com/osanten/status/723384417440276480","723384417440276480")</f>
        <v>723384417440276480</v>
      </c>
      <c r="F2392" s="11" t="s">
        <v>31</v>
      </c>
      <c r="G2392" s="11">
        <v>434</v>
      </c>
      <c r="H2392" s="11">
        <v>226</v>
      </c>
      <c r="I2392" s="11">
        <v>5</v>
      </c>
      <c r="J2392" s="11">
        <v>1</v>
      </c>
      <c r="K2392" s="11" t="s">
        <v>21</v>
      </c>
      <c r="L2392" s="7">
        <v>40968.820092592592</v>
      </c>
      <c r="M2392" s="12" t="s">
        <v>4231</v>
      </c>
      <c r="N2392" s="12" t="s">
        <v>4232</v>
      </c>
      <c r="O2392" s="10" t="str">
        <f>HYPERLINK("https://pbs.twimg.com/profile_images/589392862422441984/1HFN6ZwF_normal.jpg","View")</f>
        <v>View</v>
      </c>
      <c r="P2392" s="11"/>
    </row>
    <row r="2393" spans="1:16" ht="12.75" x14ac:dyDescent="0.35">
      <c r="A2393" s="7">
        <v>42482.463067129633</v>
      </c>
      <c r="B2393" s="8" t="str">
        <f>HYPERLINK("https://twitter.com/SEWEURODRIVE","@SEWEURODRIVE")</f>
        <v>@SEWEURODRIVE</v>
      </c>
      <c r="C2393" s="9" t="s">
        <v>1640</v>
      </c>
      <c r="D2393" s="9" t="s">
        <v>4233</v>
      </c>
      <c r="E2393" s="10" t="str">
        <f>HYPERLINK("https://twitter.com/SEWEURODRIVE/status/723385045034000384","723385045034000384")</f>
        <v>723385045034000384</v>
      </c>
      <c r="F2393" s="11" t="s">
        <v>25</v>
      </c>
      <c r="G2393" s="11">
        <v>1413</v>
      </c>
      <c r="H2393" s="11">
        <v>297</v>
      </c>
      <c r="I2393" s="11">
        <v>4</v>
      </c>
      <c r="J2393" s="11">
        <v>0</v>
      </c>
      <c r="K2393" s="11" t="s">
        <v>21</v>
      </c>
      <c r="L2393" s="7">
        <v>40221.178854166668</v>
      </c>
      <c r="M2393" s="12" t="s">
        <v>1641</v>
      </c>
      <c r="N2393" s="12" t="s">
        <v>1642</v>
      </c>
      <c r="O2393" s="10" t="str">
        <f>HYPERLINK("https://pbs.twimg.com/profile_images/490060130231132160/qLmnir1s_normal.jpeg","View")</f>
        <v>View</v>
      </c>
      <c r="P2393" s="11"/>
    </row>
    <row r="2394" spans="1:16" ht="12.75" x14ac:dyDescent="0.35">
      <c r="A2394" s="7">
        <v>42482.463252314818</v>
      </c>
      <c r="B2394" s="8" t="str">
        <f>HYPERLINK("https://twitter.com/foresight_lab","@foresight_lab")</f>
        <v>@foresight_lab</v>
      </c>
      <c r="C2394" s="9" t="s">
        <v>1735</v>
      </c>
      <c r="D2394" s="9" t="s">
        <v>4234</v>
      </c>
      <c r="E2394" s="10" t="str">
        <f>HYPERLINK("https://twitter.com/foresight_lab/status/723385114722357249","723385114722357249")</f>
        <v>723385114722357249</v>
      </c>
      <c r="F2394" s="11" t="s">
        <v>25</v>
      </c>
      <c r="G2394" s="11">
        <v>673</v>
      </c>
      <c r="H2394" s="11">
        <v>1023</v>
      </c>
      <c r="I2394" s="11">
        <v>2</v>
      </c>
      <c r="J2394" s="11">
        <v>2</v>
      </c>
      <c r="K2394" s="11" t="s">
        <v>21</v>
      </c>
      <c r="L2394" s="7">
        <v>42322.787974537037</v>
      </c>
      <c r="M2394" s="12" t="s">
        <v>581</v>
      </c>
      <c r="N2394" s="12" t="s">
        <v>1737</v>
      </c>
      <c r="O2394" s="10" t="str">
        <f>HYPERLINK("https://pbs.twimg.com/profile_images/665798535779065856/sbUN3m6Q_normal.jpg","View")</f>
        <v>View</v>
      </c>
      <c r="P2394" s="11"/>
    </row>
    <row r="2395" spans="1:16" ht="12.75" x14ac:dyDescent="0.35">
      <c r="A2395" s="7">
        <v>42482.463344907403</v>
      </c>
      <c r="B2395" s="8" t="str">
        <f>HYPERLINK("https://twitter.com/swissmem","@swissmem")</f>
        <v>@swissmem</v>
      </c>
      <c r="C2395" s="9" t="s">
        <v>4235</v>
      </c>
      <c r="D2395" s="9" t="s">
        <v>4236</v>
      </c>
      <c r="E2395" s="10" t="str">
        <f>HYPERLINK("https://twitter.com/swissmem/status/723385148348100608","723385148348100608")</f>
        <v>723385148348100608</v>
      </c>
      <c r="F2395" s="11" t="s">
        <v>25</v>
      </c>
      <c r="G2395" s="11">
        <v>929</v>
      </c>
      <c r="H2395" s="11">
        <v>642</v>
      </c>
      <c r="I2395" s="11">
        <v>1</v>
      </c>
      <c r="J2395" s="11">
        <v>0</v>
      </c>
      <c r="K2395" s="11" t="s">
        <v>21</v>
      </c>
      <c r="L2395" s="7">
        <v>40589.603333333333</v>
      </c>
      <c r="M2395" s="12" t="s">
        <v>4237</v>
      </c>
      <c r="N2395" s="12" t="s">
        <v>4238</v>
      </c>
      <c r="O2395" s="10" t="str">
        <f>HYPERLINK("https://pbs.twimg.com/profile_images/707152829379698688/LQhLYo72_normal.jpg","View")</f>
        <v>View</v>
      </c>
      <c r="P2395" s="11"/>
    </row>
    <row r="2396" spans="1:16" ht="12.75" x14ac:dyDescent="0.35">
      <c r="A2396" s="7">
        <v>42482.463530092587</v>
      </c>
      <c r="B2396" s="8" t="str">
        <f>HYPERLINK("https://twitter.com/BIGJTHEO","@BIGJTHEO")</f>
        <v>@BIGJTHEO</v>
      </c>
      <c r="C2396" s="9" t="s">
        <v>1386</v>
      </c>
      <c r="D2396" s="9" t="s">
        <v>4154</v>
      </c>
      <c r="E2396" s="10" t="str">
        <f>HYPERLINK("https://twitter.com/BIGJTHEO/status/723385214555185153","723385214555185153")</f>
        <v>723385214555185153</v>
      </c>
      <c r="F2396" s="11" t="s">
        <v>31</v>
      </c>
      <c r="G2396" s="11">
        <v>19</v>
      </c>
      <c r="H2396" s="11">
        <v>35</v>
      </c>
      <c r="I2396" s="11">
        <v>4</v>
      </c>
      <c r="J2396" s="11">
        <v>0</v>
      </c>
      <c r="K2396" s="11" t="s">
        <v>21</v>
      </c>
      <c r="L2396" s="7">
        <v>42416.789502314816</v>
      </c>
      <c r="M2396" s="12"/>
      <c r="N2396" s="12"/>
      <c r="O2396" s="10" t="str">
        <f>HYPERLINK("https://pbs.twimg.com/profile_images/699587498058588160/bU3XuBo9_normal.jpg","View")</f>
        <v>View</v>
      </c>
      <c r="P2396" s="11"/>
    </row>
    <row r="2397" spans="1:16" ht="12.75" x14ac:dyDescent="0.35">
      <c r="A2397" s="7">
        <v>42482.463599537034</v>
      </c>
      <c r="B2397" s="8" t="str">
        <f>HYPERLINK("https://twitter.com/v_reichardt","@v_reichardt")</f>
        <v>@v_reichardt</v>
      </c>
      <c r="C2397" s="9" t="s">
        <v>4239</v>
      </c>
      <c r="D2397" s="9" t="s">
        <v>4240</v>
      </c>
      <c r="E2397" s="10" t="str">
        <f>HYPERLINK("https://twitter.com/v_reichardt/status/723385237175042048","723385237175042048")</f>
        <v>723385237175042048</v>
      </c>
      <c r="F2397" s="11" t="s">
        <v>2213</v>
      </c>
      <c r="G2397" s="11">
        <v>708</v>
      </c>
      <c r="H2397" s="11">
        <v>646</v>
      </c>
      <c r="I2397" s="11">
        <v>5</v>
      </c>
      <c r="J2397" s="11">
        <v>0</v>
      </c>
      <c r="K2397" s="11" t="s">
        <v>21</v>
      </c>
      <c r="L2397" s="7">
        <v>40961.734131944446</v>
      </c>
      <c r="M2397" s="12" t="s">
        <v>4241</v>
      </c>
      <c r="N2397" s="12" t="s">
        <v>4242</v>
      </c>
      <c r="O2397" s="10" t="str">
        <f>HYPERLINK("https://pbs.twimg.com/profile_images/720125925543800832/7_z3svpU_normal.jpg","View")</f>
        <v>View</v>
      </c>
      <c r="P2397" s="11"/>
    </row>
    <row r="2398" spans="1:16" ht="12.75" x14ac:dyDescent="0.35">
      <c r="A2398" s="7">
        <v>42482.464675925927</v>
      </c>
      <c r="B2398" s="8" t="str">
        <f>HYPERLINK("https://twitter.com/OpitzOliver","@OpitzOliver")</f>
        <v>@OpitzOliver</v>
      </c>
      <c r="C2398" s="9" t="s">
        <v>4243</v>
      </c>
      <c r="D2398" s="9" t="s">
        <v>4244</v>
      </c>
      <c r="E2398" s="10" t="str">
        <f>HYPERLINK("https://twitter.com/OpitzOliver/status/723385629912920064","723385629912920064")</f>
        <v>723385629912920064</v>
      </c>
      <c r="F2398" s="11" t="s">
        <v>31</v>
      </c>
      <c r="G2398" s="11">
        <v>57</v>
      </c>
      <c r="H2398" s="11">
        <v>149</v>
      </c>
      <c r="I2398" s="11">
        <v>1</v>
      </c>
      <c r="J2398" s="11">
        <v>1</v>
      </c>
      <c r="K2398" s="11" t="s">
        <v>21</v>
      </c>
      <c r="L2398" s="7">
        <v>39987.516018518516</v>
      </c>
      <c r="M2398" s="12" t="s">
        <v>689</v>
      </c>
      <c r="N2398" s="12"/>
      <c r="O2398" s="10" t="str">
        <f>HYPERLINK("https://pbs.twimg.com/profile_images/723389089098010624/lVEZfWmZ_normal.jpg","View")</f>
        <v>View</v>
      </c>
      <c r="P2398" s="11"/>
    </row>
    <row r="2399" spans="1:16" ht="12.75" x14ac:dyDescent="0.35">
      <c r="A2399" s="7">
        <v>42482.464918981481</v>
      </c>
      <c r="B2399" s="8" t="str">
        <f>HYPERLINK("https://twitter.com/AndreHD20","@AndreHD20")</f>
        <v>@AndreHD20</v>
      </c>
      <c r="C2399" s="9" t="s">
        <v>1693</v>
      </c>
      <c r="D2399" s="9" t="s">
        <v>4245</v>
      </c>
      <c r="E2399" s="10" t="str">
        <f>HYPERLINK("https://twitter.com/AndreHD20/status/723385718626652161","723385718626652161")</f>
        <v>723385718626652161</v>
      </c>
      <c r="F2399" s="11" t="s">
        <v>31</v>
      </c>
      <c r="G2399" s="11">
        <v>981</v>
      </c>
      <c r="H2399" s="11">
        <v>37</v>
      </c>
      <c r="I2399" s="11">
        <v>4</v>
      </c>
      <c r="J2399" s="11">
        <v>0</v>
      </c>
      <c r="K2399" s="11" t="s">
        <v>21</v>
      </c>
      <c r="L2399" s="7">
        <v>41954.033009259263</v>
      </c>
      <c r="M2399" s="12" t="s">
        <v>1694</v>
      </c>
      <c r="N2399" s="12" t="s">
        <v>1695</v>
      </c>
      <c r="O2399" s="10" t="str">
        <f>HYPERLINK("https://pbs.twimg.com/profile_images/701346285345972224/o2eiYGY__normal.jpg","View")</f>
        <v>View</v>
      </c>
      <c r="P2399" s="11"/>
    </row>
    <row r="2400" spans="1:16" ht="12.75" x14ac:dyDescent="0.35">
      <c r="A2400" s="7">
        <v>42482.46607638889</v>
      </c>
      <c r="B2400" s="8" t="str">
        <f t="shared" ref="B2400:B2403" si="296">HYPERLINK("https://twitter.com/INDIZbot","@INDIZbot")</f>
        <v>@INDIZbot</v>
      </c>
      <c r="C2400" s="9" t="s">
        <v>61</v>
      </c>
      <c r="D2400" s="9" t="s">
        <v>4245</v>
      </c>
      <c r="E2400" s="10" t="str">
        <f>HYPERLINK("https://twitter.com/INDIZbot/status/723386137864105984","723386137864105984")</f>
        <v>723386137864105984</v>
      </c>
      <c r="F2400" s="11" t="s">
        <v>62</v>
      </c>
      <c r="G2400" s="11">
        <v>1762</v>
      </c>
      <c r="H2400" s="11">
        <v>481</v>
      </c>
      <c r="I2400" s="11">
        <v>4</v>
      </c>
      <c r="J2400" s="11">
        <v>0</v>
      </c>
      <c r="K2400" s="11" t="s">
        <v>21</v>
      </c>
      <c r="L2400" s="7">
        <v>42267.011921296296</v>
      </c>
      <c r="M2400" s="12"/>
      <c r="N2400" s="12" t="s">
        <v>63</v>
      </c>
      <c r="O2400" s="10" t="str">
        <f t="shared" ref="O2400:O2403" si="297">HYPERLINK("https://pbs.twimg.com/profile_images/645716711723925506/t5G0qOS6_normal.jpg","View")</f>
        <v>View</v>
      </c>
      <c r="P2400" s="11"/>
    </row>
    <row r="2401" spans="1:16" ht="12.75" x14ac:dyDescent="0.35">
      <c r="A2401" s="7">
        <v>42482.466377314813</v>
      </c>
      <c r="B2401" s="8" t="str">
        <f t="shared" si="296"/>
        <v>@INDIZbot</v>
      </c>
      <c r="C2401" s="9" t="s">
        <v>61</v>
      </c>
      <c r="D2401" s="9" t="s">
        <v>4154</v>
      </c>
      <c r="E2401" s="10" t="str">
        <f>HYPERLINK("https://twitter.com/INDIZbot/status/723386244663648256","723386244663648256")</f>
        <v>723386244663648256</v>
      </c>
      <c r="F2401" s="11" t="s">
        <v>62</v>
      </c>
      <c r="G2401" s="11">
        <v>1762</v>
      </c>
      <c r="H2401" s="11">
        <v>481</v>
      </c>
      <c r="I2401" s="11">
        <v>4</v>
      </c>
      <c r="J2401" s="11">
        <v>0</v>
      </c>
      <c r="K2401" s="11" t="s">
        <v>21</v>
      </c>
      <c r="L2401" s="7">
        <v>42267.011921296296</v>
      </c>
      <c r="M2401" s="12"/>
      <c r="N2401" s="12" t="s">
        <v>63</v>
      </c>
      <c r="O2401" s="10" t="str">
        <f t="shared" si="297"/>
        <v>View</v>
      </c>
      <c r="P2401" s="11"/>
    </row>
    <row r="2402" spans="1:16" ht="12.75" x14ac:dyDescent="0.35">
      <c r="A2402" s="7">
        <v>42482.466527777782</v>
      </c>
      <c r="B2402" s="8" t="str">
        <f t="shared" si="296"/>
        <v>@INDIZbot</v>
      </c>
      <c r="C2402" s="9" t="s">
        <v>61</v>
      </c>
      <c r="D2402" s="9" t="s">
        <v>4246</v>
      </c>
      <c r="E2402" s="10" t="str">
        <f>HYPERLINK("https://twitter.com/INDIZbot/status/723386300447875076","723386300447875076")</f>
        <v>723386300447875076</v>
      </c>
      <c r="F2402" s="11" t="s">
        <v>62</v>
      </c>
      <c r="G2402" s="11">
        <v>1762</v>
      </c>
      <c r="H2402" s="11">
        <v>481</v>
      </c>
      <c r="I2402" s="11">
        <v>1</v>
      </c>
      <c r="J2402" s="11">
        <v>0</v>
      </c>
      <c r="K2402" s="11" t="s">
        <v>21</v>
      </c>
      <c r="L2402" s="7">
        <v>42267.011921296296</v>
      </c>
      <c r="M2402" s="12"/>
      <c r="N2402" s="12" t="s">
        <v>63</v>
      </c>
      <c r="O2402" s="10" t="str">
        <f t="shared" si="297"/>
        <v>View</v>
      </c>
      <c r="P2402" s="11"/>
    </row>
    <row r="2403" spans="1:16" ht="12.75" x14ac:dyDescent="0.35">
      <c r="A2403" s="7">
        <v>42482.466874999998</v>
      </c>
      <c r="B2403" s="8" t="str">
        <f t="shared" si="296"/>
        <v>@INDIZbot</v>
      </c>
      <c r="C2403" s="9" t="s">
        <v>61</v>
      </c>
      <c r="D2403" s="9" t="s">
        <v>4247</v>
      </c>
      <c r="E2403" s="10" t="str">
        <f>HYPERLINK("https://twitter.com/INDIZbot/status/723386427149418496","723386427149418496")</f>
        <v>723386427149418496</v>
      </c>
      <c r="F2403" s="11" t="s">
        <v>62</v>
      </c>
      <c r="G2403" s="11">
        <v>1762</v>
      </c>
      <c r="H2403" s="11">
        <v>481</v>
      </c>
      <c r="I2403" s="11">
        <v>2</v>
      </c>
      <c r="J2403" s="11">
        <v>0</v>
      </c>
      <c r="K2403" s="11" t="s">
        <v>21</v>
      </c>
      <c r="L2403" s="7">
        <v>42267.011921296296</v>
      </c>
      <c r="M2403" s="12"/>
      <c r="N2403" s="12" t="s">
        <v>63</v>
      </c>
      <c r="O2403" s="10" t="str">
        <f t="shared" si="297"/>
        <v>View</v>
      </c>
      <c r="P2403" s="11"/>
    </row>
    <row r="2404" spans="1:16" ht="12.75" x14ac:dyDescent="0.35">
      <c r="A2404" s="7">
        <v>42482.466886574075</v>
      </c>
      <c r="B2404" s="8" t="str">
        <f>HYPERLINK("https://twitter.com/we_online","@we_online")</f>
        <v>@we_online</v>
      </c>
      <c r="C2404" s="9" t="s">
        <v>4248</v>
      </c>
      <c r="D2404" s="9" t="s">
        <v>4249</v>
      </c>
      <c r="E2404" s="10" t="str">
        <f>HYPERLINK("https://twitter.com/we_online/status/723386429145944065","723386429145944065")</f>
        <v>723386429145944065</v>
      </c>
      <c r="F2404" s="11" t="s">
        <v>31</v>
      </c>
      <c r="G2404" s="11">
        <v>2050</v>
      </c>
      <c r="H2404" s="11">
        <v>997</v>
      </c>
      <c r="I2404" s="11">
        <v>1</v>
      </c>
      <c r="J2404" s="11">
        <v>0</v>
      </c>
      <c r="K2404" s="11" t="s">
        <v>21</v>
      </c>
      <c r="L2404" s="7">
        <v>41289.633125</v>
      </c>
      <c r="M2404" s="12" t="s">
        <v>4250</v>
      </c>
      <c r="N2404" s="12" t="s">
        <v>4251</v>
      </c>
      <c r="O2404" s="10" t="str">
        <f>HYPERLINK("https://pbs.twimg.com/profile_images/668699237299961856/wsrcFqQk_normal.jpg","View")</f>
        <v>View</v>
      </c>
      <c r="P2404" s="11"/>
    </row>
    <row r="2405" spans="1:16" ht="12.75" x14ac:dyDescent="0.35">
      <c r="A2405" s="7">
        <v>42482.469722222224</v>
      </c>
      <c r="B2405" s="8" t="str">
        <f>HYPERLINK("https://twitter.com/AxHoepner","@AxHoepner")</f>
        <v>@AxHoepner</v>
      </c>
      <c r="C2405" s="9" t="s">
        <v>4252</v>
      </c>
      <c r="D2405" s="9" t="s">
        <v>4253</v>
      </c>
      <c r="E2405" s="10" t="str">
        <f>HYPERLINK("https://twitter.com/AxHoepner/status/723387459594133505","723387459594133505")</f>
        <v>723387459594133505</v>
      </c>
      <c r="F2405" s="11" t="s">
        <v>31</v>
      </c>
      <c r="G2405" s="11">
        <v>598</v>
      </c>
      <c r="H2405" s="11">
        <v>680</v>
      </c>
      <c r="I2405" s="11">
        <v>1</v>
      </c>
      <c r="J2405" s="11">
        <v>3</v>
      </c>
      <c r="K2405" s="11" t="s">
        <v>21</v>
      </c>
      <c r="L2405" s="7">
        <v>42111.751782407402</v>
      </c>
      <c r="M2405" s="12" t="s">
        <v>4254</v>
      </c>
      <c r="N2405" s="12" t="s">
        <v>4255</v>
      </c>
      <c r="O2405" s="10" t="str">
        <f>HYPERLINK("https://pbs.twimg.com/profile_images/589048623935127553/ffXnJVYg_normal.jpg","View")</f>
        <v>View</v>
      </c>
      <c r="P2405" s="11"/>
    </row>
    <row r="2406" spans="1:16" ht="12.75" x14ac:dyDescent="0.35">
      <c r="A2406" s="7">
        <v>42482.470092592594</v>
      </c>
      <c r="B2406" s="8" t="str">
        <f>HYPERLINK("https://twitter.com/catkinEU","@catkinEU")</f>
        <v>@catkinEU</v>
      </c>
      <c r="C2406" s="9" t="s">
        <v>781</v>
      </c>
      <c r="D2406" s="9" t="s">
        <v>4240</v>
      </c>
      <c r="E2406" s="10" t="str">
        <f>HYPERLINK("https://twitter.com/catkinEU/status/723387593409187840","723387593409187840")</f>
        <v>723387593409187840</v>
      </c>
      <c r="F2406" s="11" t="s">
        <v>29</v>
      </c>
      <c r="G2406" s="11">
        <v>403</v>
      </c>
      <c r="H2406" s="11">
        <v>541</v>
      </c>
      <c r="I2406" s="11">
        <v>5</v>
      </c>
      <c r="J2406" s="11">
        <v>0</v>
      </c>
      <c r="K2406" s="11" t="s">
        <v>21</v>
      </c>
      <c r="L2406" s="7">
        <v>42153.955763888887</v>
      </c>
      <c r="M2406" s="12"/>
      <c r="N2406" s="12" t="s">
        <v>782</v>
      </c>
      <c r="O2406" s="10" t="str">
        <f>HYPERLINK("https://pbs.twimg.com/profile_images/604338428227010560/6jzSa8us_normal.png","View")</f>
        <v>View</v>
      </c>
      <c r="P2406" s="11"/>
    </row>
    <row r="2407" spans="1:16" ht="12.75" x14ac:dyDescent="0.35">
      <c r="A2407" s="7">
        <v>42482.472442129627</v>
      </c>
      <c r="B2407" s="8" t="str">
        <f>HYPERLINK("https://twitter.com/MarioReinsch","@MarioReinsch")</f>
        <v>@MarioReinsch</v>
      </c>
      <c r="C2407" s="9" t="s">
        <v>109</v>
      </c>
      <c r="D2407" s="9" t="s">
        <v>4256</v>
      </c>
      <c r="E2407" s="10" t="str">
        <f>HYPERLINK("https://twitter.com/MarioReinsch/status/723388443368165376","723388443368165376")</f>
        <v>723388443368165376</v>
      </c>
      <c r="F2407" s="11" t="s">
        <v>25</v>
      </c>
      <c r="G2407" s="11">
        <v>203</v>
      </c>
      <c r="H2407" s="11">
        <v>455</v>
      </c>
      <c r="I2407" s="11">
        <v>5</v>
      </c>
      <c r="J2407" s="11">
        <v>2</v>
      </c>
      <c r="K2407" s="11" t="s">
        <v>21</v>
      </c>
      <c r="L2407" s="7">
        <v>41858.737534722226</v>
      </c>
      <c r="M2407" s="12" t="s">
        <v>111</v>
      </c>
      <c r="N2407" s="12" t="s">
        <v>112</v>
      </c>
      <c r="O2407" s="10" t="str">
        <f>HYPERLINK("https://pbs.twimg.com/profile_images/560799766007664640/lsjqv0TW_normal.jpeg","View")</f>
        <v>View</v>
      </c>
      <c r="P2407" s="11"/>
    </row>
    <row r="2408" spans="1:16" ht="12.75" x14ac:dyDescent="0.35">
      <c r="A2408" s="7">
        <v>42482.473032407404</v>
      </c>
      <c r="B2408" s="8" t="str">
        <f t="shared" ref="B2408:B2409" si="298">HYPERLINK("https://twitter.com/INDIZbot","@INDIZbot")</f>
        <v>@INDIZbot</v>
      </c>
      <c r="C2408" s="9" t="s">
        <v>61</v>
      </c>
      <c r="D2408" s="9" t="s">
        <v>4257</v>
      </c>
      <c r="E2408" s="10" t="str">
        <f>HYPERLINK("https://twitter.com/INDIZbot/status/723388657684508676","723388657684508676")</f>
        <v>723388657684508676</v>
      </c>
      <c r="F2408" s="11" t="s">
        <v>62</v>
      </c>
      <c r="G2408" s="11">
        <v>1762</v>
      </c>
      <c r="H2408" s="11">
        <v>481</v>
      </c>
      <c r="I2408" s="11">
        <v>5</v>
      </c>
      <c r="J2408" s="11">
        <v>0</v>
      </c>
      <c r="K2408" s="11" t="s">
        <v>21</v>
      </c>
      <c r="L2408" s="7">
        <v>42267.011921296296</v>
      </c>
      <c r="M2408" s="12"/>
      <c r="N2408" s="12" t="s">
        <v>63</v>
      </c>
      <c r="O2408" s="10" t="str">
        <f t="shared" ref="O2408:O2409" si="299">HYPERLINK("https://pbs.twimg.com/profile_images/645716711723925506/t5G0qOS6_normal.jpg","View")</f>
        <v>View</v>
      </c>
      <c r="P2408" s="11"/>
    </row>
    <row r="2409" spans="1:16" ht="12.75" x14ac:dyDescent="0.35">
      <c r="A2409" s="7">
        <v>42482.473726851851</v>
      </c>
      <c r="B2409" s="8" t="str">
        <f t="shared" si="298"/>
        <v>@INDIZbot</v>
      </c>
      <c r="C2409" s="9" t="s">
        <v>61</v>
      </c>
      <c r="D2409" s="9" t="s">
        <v>4258</v>
      </c>
      <c r="E2409" s="10" t="str">
        <f>HYPERLINK("https://twitter.com/INDIZbot/status/723388909141381121","723388909141381121")</f>
        <v>723388909141381121</v>
      </c>
      <c r="F2409" s="11" t="s">
        <v>62</v>
      </c>
      <c r="G2409" s="11">
        <v>1762</v>
      </c>
      <c r="H2409" s="11">
        <v>481</v>
      </c>
      <c r="I2409" s="11">
        <v>1</v>
      </c>
      <c r="J2409" s="11">
        <v>0</v>
      </c>
      <c r="K2409" s="11" t="s">
        <v>21</v>
      </c>
      <c r="L2409" s="7">
        <v>42267.011921296296</v>
      </c>
      <c r="M2409" s="12"/>
      <c r="N2409" s="12" t="s">
        <v>63</v>
      </c>
      <c r="O2409" s="10" t="str">
        <f t="shared" si="299"/>
        <v>View</v>
      </c>
      <c r="P2409" s="11"/>
    </row>
    <row r="2410" spans="1:16" ht="12.75" x14ac:dyDescent="0.35">
      <c r="A2410" s="7">
        <v>42482.474861111114</v>
      </c>
      <c r="B2410" s="8" t="str">
        <f>HYPERLINK("https://twitter.com/siemens_press","@siemens_press")</f>
        <v>@siemens_press</v>
      </c>
      <c r="C2410" s="9" t="s">
        <v>3354</v>
      </c>
      <c r="D2410" s="9" t="s">
        <v>4240</v>
      </c>
      <c r="E2410" s="10" t="str">
        <f>HYPERLINK("https://twitter.com/siemens_press/status/723389318484492289","723389318484492289")</f>
        <v>723389318484492289</v>
      </c>
      <c r="F2410" s="11" t="s">
        <v>31</v>
      </c>
      <c r="G2410" s="11">
        <v>8957</v>
      </c>
      <c r="H2410" s="11">
        <v>174</v>
      </c>
      <c r="I2410" s="11">
        <v>5</v>
      </c>
      <c r="J2410" s="11">
        <v>0</v>
      </c>
      <c r="K2410" s="11" t="s">
        <v>21</v>
      </c>
      <c r="L2410" s="7">
        <v>40869.680115740739</v>
      </c>
      <c r="M2410" s="12" t="s">
        <v>1148</v>
      </c>
      <c r="N2410" s="12" t="s">
        <v>3356</v>
      </c>
      <c r="O2410" s="10" t="str">
        <f>HYPERLINK("https://pbs.twimg.com/profile_images/459331247488004096/2K0groDQ_normal.png","View")</f>
        <v>View</v>
      </c>
      <c r="P2410" s="11"/>
    </row>
    <row r="2411" spans="1:16" ht="12.75" x14ac:dyDescent="0.35">
      <c r="A2411" s="7">
        <v>42482.474861111114</v>
      </c>
      <c r="B2411" s="8" t="str">
        <f>HYPERLINK("https://twitter.com/KaiserMgmt","@KaiserMgmt")</f>
        <v>@KaiserMgmt</v>
      </c>
      <c r="C2411" s="9" t="s">
        <v>4259</v>
      </c>
      <c r="D2411" s="9" t="s">
        <v>4260</v>
      </c>
      <c r="E2411" s="10" t="str">
        <f>HYPERLINK("https://twitter.com/KaiserMgmt/status/723389320657129472","723389320657129472")</f>
        <v>723389320657129472</v>
      </c>
      <c r="F2411" s="11" t="s">
        <v>31</v>
      </c>
      <c r="G2411" s="11">
        <v>159</v>
      </c>
      <c r="H2411" s="11">
        <v>218</v>
      </c>
      <c r="I2411" s="11">
        <v>0</v>
      </c>
      <c r="J2411" s="11">
        <v>0</v>
      </c>
      <c r="K2411" s="11" t="s">
        <v>21</v>
      </c>
      <c r="L2411" s="7">
        <v>42451.854444444441</v>
      </c>
      <c r="M2411" s="12" t="s">
        <v>1308</v>
      </c>
      <c r="N2411" s="12" t="s">
        <v>4261</v>
      </c>
      <c r="O2411" s="10" t="str">
        <f>HYPERLINK("https://pbs.twimg.com/profile_images/712293940125437952/-mwOdFpy_normal.jpg","View")</f>
        <v>View</v>
      </c>
      <c r="P2411" s="11"/>
    </row>
    <row r="2412" spans="1:16" ht="12.75" x14ac:dyDescent="0.35">
      <c r="A2412" s="7">
        <v>42482.477407407408</v>
      </c>
      <c r="B2412" s="8" t="str">
        <f>HYPERLINK("https://twitter.com/SASGYS","@SASGYS")</f>
        <v>@SASGYS</v>
      </c>
      <c r="C2412" s="9" t="s">
        <v>4262</v>
      </c>
      <c r="D2412" s="9" t="s">
        <v>4263</v>
      </c>
      <c r="E2412" s="10" t="str">
        <f>HYPERLINK("https://twitter.com/SASGYS/status/723390242502283265","723390242502283265")</f>
        <v>723390242502283265</v>
      </c>
      <c r="F2412" s="11" t="s">
        <v>115</v>
      </c>
      <c r="G2412" s="11">
        <v>274</v>
      </c>
      <c r="H2412" s="11">
        <v>187</v>
      </c>
      <c r="I2412" s="11">
        <v>2</v>
      </c>
      <c r="J2412" s="11">
        <v>5</v>
      </c>
      <c r="K2412" s="11" t="s">
        <v>21</v>
      </c>
      <c r="L2412" s="7">
        <v>41919.413298611107</v>
      </c>
      <c r="M2412" s="12" t="s">
        <v>4264</v>
      </c>
      <c r="N2412" s="12" t="s">
        <v>4265</v>
      </c>
      <c r="O2412" s="10" t="str">
        <f>HYPERLINK("https://pbs.twimg.com/profile_images/519343309299281920/VUG5uXUt_normal.jpeg","View")</f>
        <v>View</v>
      </c>
      <c r="P2412" s="11"/>
    </row>
    <row r="2413" spans="1:16" ht="12.75" x14ac:dyDescent="0.35">
      <c r="A2413" s="7">
        <v>42482.477418981478</v>
      </c>
      <c r="B2413" s="8" t="str">
        <f>HYPERLINK("https://twitter.com/bearlytech","@bearlytech")</f>
        <v>@bearlytech</v>
      </c>
      <c r="C2413" s="9" t="s">
        <v>4266</v>
      </c>
      <c r="D2413" s="9" t="s">
        <v>4267</v>
      </c>
      <c r="E2413" s="10" t="str">
        <f>HYPERLINK("https://twitter.com/bearlytech/status/723390247195664386","723390247195664386")</f>
        <v>723390247195664386</v>
      </c>
      <c r="F2413" s="11" t="s">
        <v>4268</v>
      </c>
      <c r="G2413" s="11">
        <v>907</v>
      </c>
      <c r="H2413" s="11">
        <v>3</v>
      </c>
      <c r="I2413" s="11">
        <v>2</v>
      </c>
      <c r="J2413" s="11">
        <v>0</v>
      </c>
      <c r="K2413" s="11" t="s">
        <v>21</v>
      </c>
      <c r="L2413" s="7">
        <v>42316.867743055554</v>
      </c>
      <c r="M2413" s="12"/>
      <c r="N2413" s="12" t="s">
        <v>4269</v>
      </c>
      <c r="O2413" s="10" t="str">
        <f>HYPERLINK("https://pbs.twimg.com/profile_images/663376145715363840/LG0s3Yst_normal.png","View")</f>
        <v>View</v>
      </c>
      <c r="P2413" s="11"/>
    </row>
    <row r="2414" spans="1:16" ht="12.75" x14ac:dyDescent="0.35">
      <c r="A2414" s="7">
        <v>42482.477546296301</v>
      </c>
      <c r="B2414" s="8" t="str">
        <f>HYPERLINK("https://twitter.com/BBweeg","@BBweeg")</f>
        <v>@BBweeg</v>
      </c>
      <c r="C2414" s="9" t="s">
        <v>4270</v>
      </c>
      <c r="D2414" s="9" t="s">
        <v>4267</v>
      </c>
      <c r="E2414" s="10" t="str">
        <f>HYPERLINK("https://twitter.com/BBweeg/status/723390291323981825","723390291323981825")</f>
        <v>723390291323981825</v>
      </c>
      <c r="F2414" s="11" t="s">
        <v>115</v>
      </c>
      <c r="G2414" s="11">
        <v>709</v>
      </c>
      <c r="H2414" s="11">
        <v>2011</v>
      </c>
      <c r="I2414" s="11">
        <v>2</v>
      </c>
      <c r="J2414" s="11">
        <v>0</v>
      </c>
      <c r="K2414" s="11" t="s">
        <v>21</v>
      </c>
      <c r="L2414" s="7">
        <v>40870.495219907403</v>
      </c>
      <c r="M2414" s="12" t="s">
        <v>4271</v>
      </c>
      <c r="N2414" s="12" t="s">
        <v>4272</v>
      </c>
      <c r="O2414" s="10" t="str">
        <f>HYPERLINK("https://pbs.twimg.com/profile_images/695859284605870080/gMhdK-dT_normal.jpg","View")</f>
        <v>View</v>
      </c>
      <c r="P2414" s="11"/>
    </row>
    <row r="2415" spans="1:16" ht="12.75" x14ac:dyDescent="0.35">
      <c r="A2415" s="7">
        <v>42482.477546296301</v>
      </c>
      <c r="B2415" s="8" t="str">
        <f>HYPERLINK("https://twitter.com/StepheRose","@StepheRose")</f>
        <v>@StepheRose</v>
      </c>
      <c r="C2415" s="9" t="s">
        <v>4273</v>
      </c>
      <c r="D2415" s="9" t="s">
        <v>4240</v>
      </c>
      <c r="E2415" s="10" t="str">
        <f>HYPERLINK("https://twitter.com/StepheRose/status/723390293748260864","723390293748260864")</f>
        <v>723390293748260864</v>
      </c>
      <c r="F2415" s="11" t="s">
        <v>31</v>
      </c>
      <c r="G2415" s="11">
        <v>138</v>
      </c>
      <c r="H2415" s="11">
        <v>135</v>
      </c>
      <c r="I2415" s="11">
        <v>5</v>
      </c>
      <c r="J2415" s="11">
        <v>0</v>
      </c>
      <c r="K2415" s="11" t="s">
        <v>21</v>
      </c>
      <c r="L2415" s="7">
        <v>39901.789664351854</v>
      </c>
      <c r="M2415" s="12"/>
      <c r="N2415" s="12" t="s">
        <v>4274</v>
      </c>
      <c r="O2415" s="10" t="str">
        <f>HYPERLINK("https://pbs.twimg.com/profile_images/378800000111133717/089a6b46600861851e0931497cfed9d8_normal.jpeg","View")</f>
        <v>View</v>
      </c>
      <c r="P2415" s="11"/>
    </row>
    <row r="2416" spans="1:16" ht="12.75" x14ac:dyDescent="0.35">
      <c r="A2416" s="7">
        <v>42482.481192129635</v>
      </c>
      <c r="B2416" s="8" t="str">
        <f>HYPERLINK("https://twitter.com/LNI40","@LNI40")</f>
        <v>@LNI40</v>
      </c>
      <c r="C2416" s="9" t="s">
        <v>1888</v>
      </c>
      <c r="D2416" s="9" t="s">
        <v>4275</v>
      </c>
      <c r="E2416" s="10" t="str">
        <f>HYPERLINK("https://twitter.com/LNI40/status/723391614928855041","723391614928855041")</f>
        <v>723391614928855041</v>
      </c>
      <c r="F2416" s="11" t="s">
        <v>31</v>
      </c>
      <c r="G2416" s="11">
        <v>36</v>
      </c>
      <c r="H2416" s="11">
        <v>229</v>
      </c>
      <c r="I2416" s="11">
        <v>0</v>
      </c>
      <c r="J2416" s="11">
        <v>0</v>
      </c>
      <c r="K2416" s="11" t="s">
        <v>21</v>
      </c>
      <c r="L2416" s="7">
        <v>42477.465578703705</v>
      </c>
      <c r="M2416" s="12" t="s">
        <v>227</v>
      </c>
      <c r="N2416" s="12" t="s">
        <v>1889</v>
      </c>
      <c r="O2416" s="10" t="str">
        <f>HYPERLINK("https://pbs.twimg.com/profile_images/722098538604281856/CcBxk1_M_normal.jpg","View")</f>
        <v>View</v>
      </c>
      <c r="P2416" s="11"/>
    </row>
    <row r="2417" spans="1:16" ht="12.75" x14ac:dyDescent="0.35">
      <c r="A2417" s="7">
        <v>42482.482442129629</v>
      </c>
      <c r="B2417" s="8" t="str">
        <f>HYPERLINK("https://twitter.com/leibigtsystems","@leibigtsystems")</f>
        <v>@leibigtsystems</v>
      </c>
      <c r="C2417" s="9" t="s">
        <v>4276</v>
      </c>
      <c r="D2417" s="9" t="s">
        <v>3991</v>
      </c>
      <c r="E2417" s="10" t="str">
        <f>HYPERLINK("https://twitter.com/leibigtsystems/status/723392065971724290","723392065971724290")</f>
        <v>723392065971724290</v>
      </c>
      <c r="F2417" s="11" t="s">
        <v>29</v>
      </c>
      <c r="G2417" s="11">
        <v>39</v>
      </c>
      <c r="H2417" s="11">
        <v>42</v>
      </c>
      <c r="I2417" s="11">
        <v>5</v>
      </c>
      <c r="J2417" s="11">
        <v>0</v>
      </c>
      <c r="K2417" s="11" t="s">
        <v>21</v>
      </c>
      <c r="L2417" s="7">
        <v>40115.816851851851</v>
      </c>
      <c r="M2417" s="12" t="s">
        <v>841</v>
      </c>
      <c r="N2417" s="12" t="s">
        <v>4277</v>
      </c>
      <c r="O2417" s="10" t="str">
        <f>HYPERLINK("https://pbs.twimg.com/profile_images/616892318885511168/Ps8q5PsU_normal.jpg","View")</f>
        <v>View</v>
      </c>
      <c r="P2417" s="11"/>
    </row>
    <row r="2418" spans="1:16" ht="12.75" x14ac:dyDescent="0.35">
      <c r="A2418" s="7">
        <v>42482.482835648145</v>
      </c>
      <c r="B2418" s="8" t="str">
        <f>HYPERLINK("https://twitter.com/LNI40","@LNI40")</f>
        <v>@LNI40</v>
      </c>
      <c r="C2418" s="9" t="s">
        <v>1888</v>
      </c>
      <c r="D2418" s="9" t="s">
        <v>4278</v>
      </c>
      <c r="E2418" s="10" t="str">
        <f>HYPERLINK("https://twitter.com/LNI40/status/723392208649392128","723392208649392128")</f>
        <v>723392208649392128</v>
      </c>
      <c r="F2418" s="11" t="s">
        <v>31</v>
      </c>
      <c r="G2418" s="11">
        <v>36</v>
      </c>
      <c r="H2418" s="11">
        <v>229</v>
      </c>
      <c r="I2418" s="11">
        <v>1</v>
      </c>
      <c r="J2418" s="11">
        <v>1</v>
      </c>
      <c r="K2418" s="11" t="s">
        <v>21</v>
      </c>
      <c r="L2418" s="7">
        <v>42477.465578703705</v>
      </c>
      <c r="M2418" s="12" t="s">
        <v>227</v>
      </c>
      <c r="N2418" s="12" t="s">
        <v>1889</v>
      </c>
      <c r="O2418" s="10" t="str">
        <f>HYPERLINK("https://pbs.twimg.com/profile_images/722098538604281856/CcBxk1_M_normal.jpg","View")</f>
        <v>View</v>
      </c>
      <c r="P2418" s="11"/>
    </row>
    <row r="2419" spans="1:16" ht="12.75" x14ac:dyDescent="0.35">
      <c r="A2419" s="7">
        <v>42482.483865740738</v>
      </c>
      <c r="B2419" s="8" t="str">
        <f>HYPERLINK("https://twitter.com/IoTMinded","@IoTMinded")</f>
        <v>@IoTMinded</v>
      </c>
      <c r="C2419" s="9" t="s">
        <v>435</v>
      </c>
      <c r="D2419" s="9" t="s">
        <v>4257</v>
      </c>
      <c r="E2419" s="10" t="str">
        <f>HYPERLINK("https://twitter.com/IoTMinded/status/723392585260130304","723392585260130304")</f>
        <v>723392585260130304</v>
      </c>
      <c r="F2419" s="11" t="s">
        <v>437</v>
      </c>
      <c r="G2419" s="11">
        <v>1102</v>
      </c>
      <c r="H2419" s="11">
        <v>656</v>
      </c>
      <c r="I2419" s="11">
        <v>5</v>
      </c>
      <c r="J2419" s="11">
        <v>0</v>
      </c>
      <c r="K2419" s="11" t="s">
        <v>21</v>
      </c>
      <c r="L2419" s="7">
        <v>40085.127789351856</v>
      </c>
      <c r="M2419" s="12"/>
      <c r="N2419" s="12" t="s">
        <v>438</v>
      </c>
      <c r="O2419" s="10" t="str">
        <f>HYPERLINK("https://pbs.twimg.com/profile_images/603699032804859904/lb5IMG5x_normal.jpg","View")</f>
        <v>View</v>
      </c>
      <c r="P2419" s="11"/>
    </row>
    <row r="2420" spans="1:16" ht="12.75" x14ac:dyDescent="0.35">
      <c r="A2420" s="7">
        <v>42482.487291666665</v>
      </c>
      <c r="B2420" s="8" t="str">
        <f t="shared" ref="B2420:B2421" si="300">HYPERLINK("https://twitter.com/INDIZbot","@INDIZbot")</f>
        <v>@INDIZbot</v>
      </c>
      <c r="C2420" s="9" t="s">
        <v>61</v>
      </c>
      <c r="D2420" s="9" t="s">
        <v>4279</v>
      </c>
      <c r="E2420" s="10" t="str">
        <f>HYPERLINK("https://twitter.com/INDIZbot/status/723393826581147648","723393826581147648")</f>
        <v>723393826581147648</v>
      </c>
      <c r="F2420" s="11" t="s">
        <v>62</v>
      </c>
      <c r="G2420" s="11">
        <v>1762</v>
      </c>
      <c r="H2420" s="11">
        <v>481</v>
      </c>
      <c r="I2420" s="11">
        <v>1</v>
      </c>
      <c r="J2420" s="11">
        <v>0</v>
      </c>
      <c r="K2420" s="11" t="s">
        <v>21</v>
      </c>
      <c r="L2420" s="7">
        <v>42267.011921296296</v>
      </c>
      <c r="M2420" s="12"/>
      <c r="N2420" s="12" t="s">
        <v>63</v>
      </c>
      <c r="O2420" s="10" t="str">
        <f t="shared" ref="O2420:O2421" si="301">HYPERLINK("https://pbs.twimg.com/profile_images/645716711723925506/t5G0qOS6_normal.jpg","View")</f>
        <v>View</v>
      </c>
      <c r="P2420" s="11"/>
    </row>
    <row r="2421" spans="1:16" ht="12.75" x14ac:dyDescent="0.35">
      <c r="A2421" s="7">
        <v>42482.487476851849</v>
      </c>
      <c r="B2421" s="8" t="str">
        <f t="shared" si="300"/>
        <v>@INDIZbot</v>
      </c>
      <c r="C2421" s="9" t="s">
        <v>61</v>
      </c>
      <c r="D2421" s="9" t="s">
        <v>3991</v>
      </c>
      <c r="E2421" s="10" t="str">
        <f>HYPERLINK("https://twitter.com/INDIZbot/status/723393890829496320","723393890829496320")</f>
        <v>723393890829496320</v>
      </c>
      <c r="F2421" s="11" t="s">
        <v>62</v>
      </c>
      <c r="G2421" s="11">
        <v>1762</v>
      </c>
      <c r="H2421" s="11">
        <v>481</v>
      </c>
      <c r="I2421" s="11">
        <v>5</v>
      </c>
      <c r="J2421" s="11">
        <v>0</v>
      </c>
      <c r="K2421" s="11" t="s">
        <v>21</v>
      </c>
      <c r="L2421" s="7">
        <v>42267.011921296296</v>
      </c>
      <c r="M2421" s="12"/>
      <c r="N2421" s="12" t="s">
        <v>63</v>
      </c>
      <c r="O2421" s="10" t="str">
        <f t="shared" si="301"/>
        <v>View</v>
      </c>
      <c r="P2421" s="11"/>
    </row>
    <row r="2422" spans="1:16" ht="12.75" x14ac:dyDescent="0.35">
      <c r="A2422" s="7">
        <v>42482.489768518513</v>
      </c>
      <c r="B2422" s="8" t="str">
        <f>HYPERLINK("https://twitter.com/CapgeminiDE","@CapgeminiDE")</f>
        <v>@CapgeminiDE</v>
      </c>
      <c r="C2422" s="9" t="s">
        <v>280</v>
      </c>
      <c r="D2422" s="9" t="s">
        <v>4280</v>
      </c>
      <c r="E2422" s="10" t="str">
        <f>HYPERLINK("https://twitter.com/CapgeminiDE/status/723394723117813760","723394723117813760")</f>
        <v>723394723117813760</v>
      </c>
      <c r="F2422" s="11" t="s">
        <v>39</v>
      </c>
      <c r="G2422" s="11">
        <v>1640</v>
      </c>
      <c r="H2422" s="11">
        <v>509</v>
      </c>
      <c r="I2422" s="11">
        <v>1</v>
      </c>
      <c r="J2422" s="11">
        <v>0</v>
      </c>
      <c r="K2422" s="11" t="s">
        <v>21</v>
      </c>
      <c r="L2422" s="7">
        <v>40424.022048611107</v>
      </c>
      <c r="M2422" s="12" t="s">
        <v>218</v>
      </c>
      <c r="N2422" s="12" t="s">
        <v>282</v>
      </c>
      <c r="O2422" s="10" t="str">
        <f>HYPERLINK("https://pbs.twimg.com/profile_images/666911961599315968/aP7ID_qm_normal.png","View")</f>
        <v>View</v>
      </c>
      <c r="P2422" s="11"/>
    </row>
    <row r="2423" spans="1:16" ht="12.75" x14ac:dyDescent="0.35">
      <c r="A2423" s="7">
        <v>42482.493888888886</v>
      </c>
      <c r="B2423" s="8" t="str">
        <f>HYPERLINK("https://twitter.com/Casopis_Automa","@Casopis_Automa")</f>
        <v>@Casopis_Automa</v>
      </c>
      <c r="C2423" s="9" t="s">
        <v>4281</v>
      </c>
      <c r="D2423" s="9" t="s">
        <v>4282</v>
      </c>
      <c r="E2423" s="10" t="str">
        <f>HYPERLINK("https://twitter.com/Casopis_Automa/status/723396215430246400","723396215430246400")</f>
        <v>723396215430246400</v>
      </c>
      <c r="F2423" s="11" t="s">
        <v>25</v>
      </c>
      <c r="G2423" s="11">
        <v>125</v>
      </c>
      <c r="H2423" s="11">
        <v>154</v>
      </c>
      <c r="I2423" s="11">
        <v>1</v>
      </c>
      <c r="J2423" s="11">
        <v>0</v>
      </c>
      <c r="K2423" s="11" t="s">
        <v>21</v>
      </c>
      <c r="L2423" s="7">
        <v>41674.595763888887</v>
      </c>
      <c r="M2423" s="12" t="s">
        <v>4283</v>
      </c>
      <c r="N2423" s="12" t="s">
        <v>4284</v>
      </c>
      <c r="O2423" s="10" t="str">
        <f>HYPERLINK("https://pbs.twimg.com/profile_images/430737987626733568/zsJ5yUk8_normal.jpeg","View")</f>
        <v>View</v>
      </c>
      <c r="P2423" s="11"/>
    </row>
    <row r="2424" spans="1:16" ht="12.75" x14ac:dyDescent="0.35">
      <c r="A2424" s="7">
        <v>42482.494016203702</v>
      </c>
      <c r="B2424" s="8" t="str">
        <f>HYPERLINK("https://twitter.com/INDIZbot","@INDIZbot")</f>
        <v>@INDIZbot</v>
      </c>
      <c r="C2424" s="9" t="s">
        <v>61</v>
      </c>
      <c r="D2424" s="9" t="s">
        <v>4285</v>
      </c>
      <c r="E2424" s="10" t="str">
        <f>HYPERLINK("https://twitter.com/INDIZbot/status/723396259915034624","723396259915034624")</f>
        <v>723396259915034624</v>
      </c>
      <c r="F2424" s="11" t="s">
        <v>62</v>
      </c>
      <c r="G2424" s="11">
        <v>1762</v>
      </c>
      <c r="H2424" s="11">
        <v>481</v>
      </c>
      <c r="I2424" s="11">
        <v>1</v>
      </c>
      <c r="J2424" s="11">
        <v>0</v>
      </c>
      <c r="K2424" s="11" t="s">
        <v>21</v>
      </c>
      <c r="L2424" s="7">
        <v>42267.011921296296</v>
      </c>
      <c r="M2424" s="12"/>
      <c r="N2424" s="12" t="s">
        <v>63</v>
      </c>
      <c r="O2424" s="10" t="str">
        <f>HYPERLINK("https://pbs.twimg.com/profile_images/645716711723925506/t5G0qOS6_normal.jpg","View")</f>
        <v>View</v>
      </c>
      <c r="P2424" s="11"/>
    </row>
    <row r="2425" spans="1:16" ht="12.75" x14ac:dyDescent="0.35">
      <c r="A2425" s="7">
        <v>42482.495416666672</v>
      </c>
      <c r="B2425" s="8" t="str">
        <f>HYPERLINK("https://twitter.com/Xethix","@Xethix")</f>
        <v>@Xethix</v>
      </c>
      <c r="C2425" s="9" t="s">
        <v>4286</v>
      </c>
      <c r="D2425" s="9" t="s">
        <v>3412</v>
      </c>
      <c r="E2425" s="10" t="str">
        <f>HYPERLINK("https://twitter.com/Xethix/status/723396768960901120","723396768960901120")</f>
        <v>723396768960901120</v>
      </c>
      <c r="F2425" s="11" t="s">
        <v>25</v>
      </c>
      <c r="G2425" s="11">
        <v>290</v>
      </c>
      <c r="H2425" s="11">
        <v>479</v>
      </c>
      <c r="I2425" s="11">
        <v>3</v>
      </c>
      <c r="J2425" s="11">
        <v>0</v>
      </c>
      <c r="K2425" s="11" t="s">
        <v>21</v>
      </c>
      <c r="L2425" s="7">
        <v>40251.814328703702</v>
      </c>
      <c r="M2425" s="12"/>
      <c r="N2425" s="12" t="s">
        <v>4287</v>
      </c>
      <c r="O2425" s="10" t="str">
        <f>HYPERLINK("https://pbs.twimg.com/profile_images/1078958034/Logo_xethix_klein_normal.jpg","View")</f>
        <v>View</v>
      </c>
      <c r="P2425" s="11"/>
    </row>
    <row r="2426" spans="1:16" ht="12.75" x14ac:dyDescent="0.35">
      <c r="A2426" s="7">
        <v>42482.500428240739</v>
      </c>
      <c r="B2426" s="8" t="str">
        <f>HYPERLINK("https://twitter.com/m_biscarrat","@m_biscarrat")</f>
        <v>@m_biscarrat</v>
      </c>
      <c r="C2426" s="9" t="s">
        <v>725</v>
      </c>
      <c r="D2426" s="9" t="s">
        <v>4288</v>
      </c>
      <c r="E2426" s="10" t="str">
        <f>HYPERLINK("https://twitter.com/m_biscarrat/status/723398586558349312","723398586558349312")</f>
        <v>723398586558349312</v>
      </c>
      <c r="F2426" s="10" t="s">
        <v>1820</v>
      </c>
      <c r="G2426" s="11">
        <v>217</v>
      </c>
      <c r="H2426" s="11">
        <v>398</v>
      </c>
      <c r="I2426" s="11">
        <v>0</v>
      </c>
      <c r="J2426" s="11">
        <v>0</v>
      </c>
      <c r="K2426" s="11" t="s">
        <v>21</v>
      </c>
      <c r="L2426" s="7">
        <v>40156.914143518516</v>
      </c>
      <c r="M2426" s="12" t="s">
        <v>243</v>
      </c>
      <c r="N2426" s="12" t="s">
        <v>727</v>
      </c>
      <c r="O2426" s="10" t="str">
        <f>HYPERLINK("https://pbs.twimg.com/profile_images/699724829713428484/rUT0r7Dq_normal.jpg","View")</f>
        <v>View</v>
      </c>
      <c r="P2426" s="11"/>
    </row>
    <row r="2427" spans="1:16" ht="12.75" x14ac:dyDescent="0.35">
      <c r="A2427" s="7">
        <v>42482.500543981485</v>
      </c>
      <c r="B2427" s="8" t="str">
        <f>HYPERLINK("https://twitter.com/H_IT_D","@H_IT_D")</f>
        <v>@H_IT_D</v>
      </c>
      <c r="C2427" s="9" t="s">
        <v>159</v>
      </c>
      <c r="D2427" s="9" t="s">
        <v>4289</v>
      </c>
      <c r="E2427" s="10" t="str">
        <f>HYPERLINK("https://twitter.com/H_IT_D/status/723398629189283840","723398629189283840")</f>
        <v>723398629189283840</v>
      </c>
      <c r="F2427" s="11" t="s">
        <v>161</v>
      </c>
      <c r="G2427" s="11">
        <v>463</v>
      </c>
      <c r="H2427" s="11">
        <v>467</v>
      </c>
      <c r="I2427" s="11">
        <v>0</v>
      </c>
      <c r="J2427" s="11">
        <v>0</v>
      </c>
      <c r="K2427" s="11" t="s">
        <v>21</v>
      </c>
      <c r="L2427" s="7">
        <v>40723.867673611108</v>
      </c>
      <c r="M2427" s="12" t="s">
        <v>162</v>
      </c>
      <c r="N2427" s="12" t="s">
        <v>163</v>
      </c>
      <c r="O2427" s="10" t="str">
        <f>HYPERLINK("https://pbs.twimg.com/profile_images/662723326096224256/5V4KH9_O_normal.jpg","View")</f>
        <v>View</v>
      </c>
      <c r="P2427" s="11"/>
    </row>
    <row r="2428" spans="1:16" ht="12.75" x14ac:dyDescent="0.35">
      <c r="A2428" s="7">
        <v>42482.50136574074</v>
      </c>
      <c r="B2428" s="8" t="str">
        <f>HYPERLINK("https://twitter.com/INDIZbot","@INDIZbot")</f>
        <v>@INDIZbot</v>
      </c>
      <c r="C2428" s="9" t="s">
        <v>61</v>
      </c>
      <c r="D2428" s="9" t="s">
        <v>3412</v>
      </c>
      <c r="E2428" s="10" t="str">
        <f>HYPERLINK("https://twitter.com/INDIZbot/status/723398923138650112","723398923138650112")</f>
        <v>723398923138650112</v>
      </c>
      <c r="F2428" s="11" t="s">
        <v>62</v>
      </c>
      <c r="G2428" s="11">
        <v>1762</v>
      </c>
      <c r="H2428" s="11">
        <v>481</v>
      </c>
      <c r="I2428" s="11">
        <v>3</v>
      </c>
      <c r="J2428" s="11">
        <v>0</v>
      </c>
      <c r="K2428" s="11" t="s">
        <v>21</v>
      </c>
      <c r="L2428" s="7">
        <v>42267.011921296296</v>
      </c>
      <c r="M2428" s="12"/>
      <c r="N2428" s="12" t="s">
        <v>63</v>
      </c>
      <c r="O2428" s="10" t="str">
        <f>HYPERLINK("https://pbs.twimg.com/profile_images/645716711723925506/t5G0qOS6_normal.jpg","View")</f>
        <v>View</v>
      </c>
      <c r="P2428" s="11"/>
    </row>
    <row r="2429" spans="1:16" ht="12.75" x14ac:dyDescent="0.35">
      <c r="A2429" s="7">
        <v>42482.504062499997</v>
      </c>
      <c r="B2429" s="8" t="str">
        <f>HYPERLINK("https://twitter.com/automotive_IT","@automotive_IT")</f>
        <v>@automotive_IT</v>
      </c>
      <c r="C2429" s="9" t="s">
        <v>297</v>
      </c>
      <c r="D2429" s="9" t="s">
        <v>4290</v>
      </c>
      <c r="E2429" s="10" t="str">
        <f>HYPERLINK("https://twitter.com/automotive_IT/status/723399902768721923","723399902768721923")</f>
        <v>723399902768721923</v>
      </c>
      <c r="F2429" s="11" t="s">
        <v>115</v>
      </c>
      <c r="G2429" s="11">
        <v>1501</v>
      </c>
      <c r="H2429" s="11">
        <v>385</v>
      </c>
      <c r="I2429" s="11">
        <v>1</v>
      </c>
      <c r="J2429" s="11">
        <v>0</v>
      </c>
      <c r="K2429" s="11" t="s">
        <v>21</v>
      </c>
      <c r="L2429" s="7">
        <v>39919.805219907408</v>
      </c>
      <c r="M2429" s="12" t="s">
        <v>299</v>
      </c>
      <c r="N2429" s="12" t="s">
        <v>300</v>
      </c>
      <c r="O2429" s="10" t="str">
        <f>HYPERLINK("https://pbs.twimg.com/profile_images/616871511236997121/YFo9usbN_normal.png","View")</f>
        <v>View</v>
      </c>
      <c r="P2429" s="11"/>
    </row>
    <row r="2430" spans="1:16" ht="12.75" x14ac:dyDescent="0.35">
      <c r="A2430" s="7">
        <v>42482.505243055552</v>
      </c>
      <c r="B2430" s="8" t="str">
        <f>HYPERLINK("https://twitter.com/SEWEURODRIVE","@SEWEURODRIVE")</f>
        <v>@SEWEURODRIVE</v>
      </c>
      <c r="C2430" s="9" t="s">
        <v>1640</v>
      </c>
      <c r="D2430" s="9" t="s">
        <v>4291</v>
      </c>
      <c r="E2430" s="10" t="str">
        <f>HYPERLINK("https://twitter.com/SEWEURODRIVE/status/723400329564282880","723400329564282880")</f>
        <v>723400329564282880</v>
      </c>
      <c r="F2430" s="11" t="s">
        <v>25</v>
      </c>
      <c r="G2430" s="11">
        <v>1413</v>
      </c>
      <c r="H2430" s="11">
        <v>297</v>
      </c>
      <c r="I2430" s="11">
        <v>0</v>
      </c>
      <c r="J2430" s="11">
        <v>0</v>
      </c>
      <c r="K2430" s="11" t="s">
        <v>21</v>
      </c>
      <c r="L2430" s="7">
        <v>40221.178854166668</v>
      </c>
      <c r="M2430" s="12" t="s">
        <v>1641</v>
      </c>
      <c r="N2430" s="12" t="s">
        <v>1642</v>
      </c>
      <c r="O2430" s="10" t="str">
        <f>HYPERLINK("https://pbs.twimg.com/profile_images/490060130231132160/qLmnir1s_normal.jpeg","View")</f>
        <v>View</v>
      </c>
      <c r="P2430" s="11"/>
    </row>
    <row r="2431" spans="1:16" ht="12.75" x14ac:dyDescent="0.35">
      <c r="A2431" s="7">
        <v>42482.505405092597</v>
      </c>
      <c r="B2431" s="8" t="str">
        <f>HYPERLINK("https://twitter.com/VladaCZE","@VladaCZE")</f>
        <v>@VladaCZE</v>
      </c>
      <c r="C2431" s="9" t="s">
        <v>4292</v>
      </c>
      <c r="D2431" s="9" t="s">
        <v>4293</v>
      </c>
      <c r="E2431" s="10" t="str">
        <f>HYPERLINK("https://twitter.com/VladaCZE/status/723400389635112964","723400389635112964")</f>
        <v>723400389635112964</v>
      </c>
      <c r="F2431" s="11" t="s">
        <v>1491</v>
      </c>
      <c r="G2431" s="11">
        <v>181</v>
      </c>
      <c r="H2431" s="11">
        <v>166</v>
      </c>
      <c r="I2431" s="11">
        <v>1</v>
      </c>
      <c r="J2431" s="11">
        <v>0</v>
      </c>
      <c r="K2431" s="11" t="s">
        <v>21</v>
      </c>
      <c r="L2431" s="7">
        <v>41832.047916666663</v>
      </c>
      <c r="M2431" s="12" t="s">
        <v>4294</v>
      </c>
      <c r="N2431" s="12" t="s">
        <v>4295</v>
      </c>
      <c r="O2431" s="10" t="str">
        <f>HYPERLINK("https://pbs.twimg.com/profile_images/551043199108542464/sp-EDfB4_normal.png","View")</f>
        <v>View</v>
      </c>
      <c r="P2431" s="11"/>
    </row>
    <row r="2432" spans="1:16" ht="12.75" x14ac:dyDescent="0.35">
      <c r="A2432" s="7">
        <v>42482.505497685182</v>
      </c>
      <c r="B2432" s="8" t="str">
        <f>HYPERLINK("https://twitter.com/guidogoeldenitz","@guidogoeldenitz")</f>
        <v>@guidogoeldenitz</v>
      </c>
      <c r="C2432" s="9" t="s">
        <v>4296</v>
      </c>
      <c r="D2432" s="9" t="s">
        <v>4297</v>
      </c>
      <c r="E2432" s="10" t="str">
        <f>HYPERLINK("https://twitter.com/guidogoeldenitz/status/723400420433891332","723400420433891332")</f>
        <v>723400420433891332</v>
      </c>
      <c r="F2432" s="11" t="s">
        <v>25</v>
      </c>
      <c r="G2432" s="11">
        <v>73</v>
      </c>
      <c r="H2432" s="11">
        <v>221</v>
      </c>
      <c r="I2432" s="11">
        <v>1</v>
      </c>
      <c r="J2432" s="11">
        <v>0</v>
      </c>
      <c r="K2432" s="11" t="s">
        <v>21</v>
      </c>
      <c r="L2432" s="7">
        <v>42083.50618055556</v>
      </c>
      <c r="M2432" s="12"/>
      <c r="N2432" s="12" t="s">
        <v>4298</v>
      </c>
      <c r="O2432" s="10" t="str">
        <f>HYPERLINK("https://pbs.twimg.com/profile_images/695616618769092608/CuKL2LcQ_normal.jpg","View")</f>
        <v>View</v>
      </c>
      <c r="P2432" s="11"/>
    </row>
    <row r="2433" spans="1:16" ht="12.75" x14ac:dyDescent="0.35">
      <c r="A2433" s="7">
        <v>42482.506365740745</v>
      </c>
      <c r="B2433" s="8" t="str">
        <f t="shared" ref="B2433:B2434" si="302">HYPERLINK("https://twitter.com/sandimschuh","@sandimschuh")</f>
        <v>@sandimschuh</v>
      </c>
      <c r="C2433" s="9" t="s">
        <v>4299</v>
      </c>
      <c r="D2433" s="9" t="s">
        <v>4257</v>
      </c>
      <c r="E2433" s="10" t="str">
        <f>HYPERLINK("https://twitter.com/sandimschuh/status/723400738454425600","723400738454425600")</f>
        <v>723400738454425600</v>
      </c>
      <c r="F2433" s="11" t="s">
        <v>20</v>
      </c>
      <c r="G2433" s="11">
        <v>1395</v>
      </c>
      <c r="H2433" s="11">
        <v>4074</v>
      </c>
      <c r="I2433" s="11">
        <v>5</v>
      </c>
      <c r="J2433" s="11">
        <v>0</v>
      </c>
      <c r="K2433" s="11" t="s">
        <v>21</v>
      </c>
      <c r="L2433" s="7">
        <v>39639.820057870369</v>
      </c>
      <c r="M2433" s="12" t="s">
        <v>4300</v>
      </c>
      <c r="N2433" s="12" t="s">
        <v>4301</v>
      </c>
      <c r="O2433" s="10" t="str">
        <f t="shared" ref="O2433:O2434" si="303">HYPERLINK("https://pbs.twimg.com/profile_images/595639511855529984/XvdMq9KS_normal.jpg","View")</f>
        <v>View</v>
      </c>
      <c r="P2433" s="11"/>
    </row>
    <row r="2434" spans="1:16" ht="12.75" x14ac:dyDescent="0.35">
      <c r="A2434" s="7">
        <v>42482.506863425922</v>
      </c>
      <c r="B2434" s="8" t="str">
        <f t="shared" si="302"/>
        <v>@sandimschuh</v>
      </c>
      <c r="C2434" s="9" t="s">
        <v>4299</v>
      </c>
      <c r="D2434" s="9" t="s">
        <v>3201</v>
      </c>
      <c r="E2434" s="10" t="str">
        <f>HYPERLINK("https://twitter.com/sandimschuh/status/723400916217397248","723400916217397248")</f>
        <v>723400916217397248</v>
      </c>
      <c r="F2434" s="11" t="s">
        <v>20</v>
      </c>
      <c r="G2434" s="11">
        <v>1395</v>
      </c>
      <c r="H2434" s="11">
        <v>4074</v>
      </c>
      <c r="I2434" s="11">
        <v>8</v>
      </c>
      <c r="J2434" s="11">
        <v>0</v>
      </c>
      <c r="K2434" s="11" t="s">
        <v>21</v>
      </c>
      <c r="L2434" s="7">
        <v>39639.820057870369</v>
      </c>
      <c r="M2434" s="12" t="s">
        <v>4300</v>
      </c>
      <c r="N2434" s="12" t="s">
        <v>4301</v>
      </c>
      <c r="O2434" s="10" t="str">
        <f t="shared" si="303"/>
        <v>View</v>
      </c>
      <c r="P2434" s="11"/>
    </row>
    <row r="2435" spans="1:16" ht="12.75" x14ac:dyDescent="0.35">
      <c r="A2435" s="7">
        <v>42482.506886574076</v>
      </c>
      <c r="B2435" s="8" t="str">
        <f>HYPERLINK("https://twitter.com/tobias_goers","@tobias_goers")</f>
        <v>@tobias_goers</v>
      </c>
      <c r="C2435" s="9" t="s">
        <v>1020</v>
      </c>
      <c r="D2435" s="9" t="s">
        <v>4302</v>
      </c>
      <c r="E2435" s="10" t="str">
        <f>HYPERLINK("https://twitter.com/tobias_goers/status/723400924354347008","723400924354347008")</f>
        <v>723400924354347008</v>
      </c>
      <c r="F2435" s="11" t="s">
        <v>25</v>
      </c>
      <c r="G2435" s="11">
        <v>649</v>
      </c>
      <c r="H2435" s="11">
        <v>1310</v>
      </c>
      <c r="I2435" s="11">
        <v>1</v>
      </c>
      <c r="J2435" s="11">
        <v>0</v>
      </c>
      <c r="K2435" s="11" t="s">
        <v>21</v>
      </c>
      <c r="L2435" s="7">
        <v>42195.589988425927</v>
      </c>
      <c r="M2435" s="12" t="s">
        <v>549</v>
      </c>
      <c r="N2435" s="12" t="s">
        <v>1022</v>
      </c>
      <c r="O2435" s="10" t="str">
        <f>HYPERLINK("https://pbs.twimg.com/profile_images/619429467434434560/ywWYiH5V_normal.jpg","View")</f>
        <v>View</v>
      </c>
      <c r="P2435" s="11"/>
    </row>
    <row r="2436" spans="1:16" ht="12.75" x14ac:dyDescent="0.35">
      <c r="A2436" s="7">
        <v>42482.506979166668</v>
      </c>
      <c r="B2436" s="8" t="str">
        <f>HYPERLINK("https://twitter.com/kommoptimierer","@kommoptimierer")</f>
        <v>@kommoptimierer</v>
      </c>
      <c r="C2436" s="9" t="s">
        <v>270</v>
      </c>
      <c r="D2436" s="9" t="s">
        <v>803</v>
      </c>
      <c r="E2436" s="10" t="str">
        <f>HYPERLINK("https://twitter.com/kommoptimierer/status/723400959590690816","723400959590690816")</f>
        <v>723400959590690816</v>
      </c>
      <c r="F2436" s="11" t="s">
        <v>272</v>
      </c>
      <c r="G2436" s="11">
        <v>1347</v>
      </c>
      <c r="H2436" s="11">
        <v>1753</v>
      </c>
      <c r="I2436" s="11">
        <v>1</v>
      </c>
      <c r="J2436" s="11">
        <v>1</v>
      </c>
      <c r="K2436" s="11" t="s">
        <v>21</v>
      </c>
      <c r="L2436" s="7">
        <v>39986.860358796301</v>
      </c>
      <c r="M2436" s="12" t="s">
        <v>273</v>
      </c>
      <c r="N2436" s="12" t="s">
        <v>274</v>
      </c>
      <c r="O2436" s="10" t="str">
        <f>HYPERLINK("https://pbs.twimg.com/profile_images/541146126158536704/IYardufS_normal.jpeg","View")</f>
        <v>View</v>
      </c>
      <c r="P2436" s="11"/>
    </row>
    <row r="2437" spans="1:16" ht="12.75" x14ac:dyDescent="0.35">
      <c r="A2437" s="7">
        <v>42482.507743055554</v>
      </c>
      <c r="B2437" s="8" t="str">
        <f t="shared" ref="B2437:B2438" si="304">HYPERLINK("https://twitter.com/INDIZbot","@INDIZbot")</f>
        <v>@INDIZbot</v>
      </c>
      <c r="C2437" s="9" t="s">
        <v>61</v>
      </c>
      <c r="D2437" s="9" t="s">
        <v>804</v>
      </c>
      <c r="E2437" s="10" t="str">
        <f>HYPERLINK("https://twitter.com/INDIZbot/status/723401235307487232","723401235307487232")</f>
        <v>723401235307487232</v>
      </c>
      <c r="F2437" s="11" t="s">
        <v>62</v>
      </c>
      <c r="G2437" s="11">
        <v>1762</v>
      </c>
      <c r="H2437" s="11">
        <v>481</v>
      </c>
      <c r="I2437" s="11">
        <v>1</v>
      </c>
      <c r="J2437" s="11">
        <v>0</v>
      </c>
      <c r="K2437" s="11" t="s">
        <v>21</v>
      </c>
      <c r="L2437" s="7">
        <v>42267.011921296296</v>
      </c>
      <c r="M2437" s="12"/>
      <c r="N2437" s="12" t="s">
        <v>63</v>
      </c>
      <c r="O2437" s="10" t="str">
        <f t="shared" ref="O2437:O2438" si="305">HYPERLINK("https://pbs.twimg.com/profile_images/645716711723925506/t5G0qOS6_normal.jpg","View")</f>
        <v>View</v>
      </c>
      <c r="P2437" s="11"/>
    </row>
    <row r="2438" spans="1:16" ht="12.75" x14ac:dyDescent="0.35">
      <c r="A2438" s="7">
        <v>42482.507893518516</v>
      </c>
      <c r="B2438" s="8" t="str">
        <f t="shared" si="304"/>
        <v>@INDIZbot</v>
      </c>
      <c r="C2438" s="9" t="s">
        <v>61</v>
      </c>
      <c r="D2438" s="9" t="s">
        <v>4303</v>
      </c>
      <c r="E2438" s="10" t="str">
        <f>HYPERLINK("https://twitter.com/INDIZbot/status/723401291616002051","723401291616002051")</f>
        <v>723401291616002051</v>
      </c>
      <c r="F2438" s="11" t="s">
        <v>62</v>
      </c>
      <c r="G2438" s="11">
        <v>1762</v>
      </c>
      <c r="H2438" s="11">
        <v>481</v>
      </c>
      <c r="I2438" s="11">
        <v>1</v>
      </c>
      <c r="J2438" s="11">
        <v>0</v>
      </c>
      <c r="K2438" s="11" t="s">
        <v>21</v>
      </c>
      <c r="L2438" s="7">
        <v>42267.011921296296</v>
      </c>
      <c r="M2438" s="12"/>
      <c r="N2438" s="12" t="s">
        <v>63</v>
      </c>
      <c r="O2438" s="10" t="str">
        <f t="shared" si="305"/>
        <v>View</v>
      </c>
      <c r="P2438" s="11"/>
    </row>
    <row r="2439" spans="1:16" ht="12.75" x14ac:dyDescent="0.35">
      <c r="A2439" s="7">
        <v>42482.508842592593</v>
      </c>
      <c r="B2439" s="8" t="str">
        <f>HYPERLINK("https://twitter.com/bechtle_ag","@bechtle_ag")</f>
        <v>@bechtle_ag</v>
      </c>
      <c r="C2439" s="9" t="s">
        <v>4304</v>
      </c>
      <c r="D2439" s="9" t="s">
        <v>4305</v>
      </c>
      <c r="E2439" s="10" t="str">
        <f>HYPERLINK("https://twitter.com/bechtle_ag/status/723401633787322370","723401633787322370")</f>
        <v>723401633787322370</v>
      </c>
      <c r="F2439" s="11" t="s">
        <v>25</v>
      </c>
      <c r="G2439" s="11">
        <v>2219</v>
      </c>
      <c r="H2439" s="11">
        <v>404</v>
      </c>
      <c r="I2439" s="11">
        <v>1</v>
      </c>
      <c r="J2439" s="11">
        <v>1</v>
      </c>
      <c r="K2439" s="11" t="s">
        <v>21</v>
      </c>
      <c r="L2439" s="7">
        <v>40109.614421296297</v>
      </c>
      <c r="M2439" s="12" t="s">
        <v>4306</v>
      </c>
      <c r="N2439" s="12" t="s">
        <v>4307</v>
      </c>
      <c r="O2439" s="10" t="str">
        <f>HYPERLINK("https://pbs.twimg.com/profile_images/463677817322881024/whzwFXjx_normal.png","View")</f>
        <v>View</v>
      </c>
      <c r="P2439" s="11"/>
    </row>
    <row r="2440" spans="1:16" ht="12.75" x14ac:dyDescent="0.35">
      <c r="A2440" s="7">
        <v>42482.510624999995</v>
      </c>
      <c r="B2440" s="8" t="str">
        <f>HYPERLINK("https://twitter.com/webducation","@webducation")</f>
        <v>@webducation</v>
      </c>
      <c r="C2440" s="9" t="s">
        <v>4308</v>
      </c>
      <c r="D2440" s="9" t="s">
        <v>4309</v>
      </c>
      <c r="E2440" s="10" t="str">
        <f>HYPERLINK("https://twitter.com/webducation/status/723402279777247232","723402279777247232")</f>
        <v>723402279777247232</v>
      </c>
      <c r="F2440" s="11" t="s">
        <v>39</v>
      </c>
      <c r="G2440" s="11">
        <v>56</v>
      </c>
      <c r="H2440" s="11">
        <v>39</v>
      </c>
      <c r="I2440" s="11">
        <v>0</v>
      </c>
      <c r="J2440" s="11">
        <v>0</v>
      </c>
      <c r="K2440" s="11" t="s">
        <v>21</v>
      </c>
      <c r="L2440" s="7">
        <v>40584.764583333337</v>
      </c>
      <c r="M2440" s="12" t="s">
        <v>3605</v>
      </c>
      <c r="N2440" s="12"/>
      <c r="O2440" s="10" t="str">
        <f>HYPERLINK("https://pbs.twimg.com/profile_images/612885190445277184/czOaaOdG_normal.jpg","View")</f>
        <v>View</v>
      </c>
      <c r="P2440" s="11"/>
    </row>
    <row r="2441" spans="1:16" ht="12.75" x14ac:dyDescent="0.35">
      <c r="A2441" s="7">
        <v>42482.511076388888</v>
      </c>
      <c r="B2441" s="8" t="str">
        <f>HYPERLINK("https://twitter.com/IT2Industry","@IT2Industry")</f>
        <v>@IT2Industry</v>
      </c>
      <c r="C2441" s="9" t="s">
        <v>721</v>
      </c>
      <c r="D2441" s="9" t="s">
        <v>4310</v>
      </c>
      <c r="E2441" s="10" t="str">
        <f>HYPERLINK("https://twitter.com/IT2Industry/status/723402444193964032","723402444193964032")</f>
        <v>723402444193964032</v>
      </c>
      <c r="F2441" s="11" t="s">
        <v>25</v>
      </c>
      <c r="G2441" s="11">
        <v>1930</v>
      </c>
      <c r="H2441" s="11">
        <v>992</v>
      </c>
      <c r="I2441" s="11">
        <v>3</v>
      </c>
      <c r="J2441" s="11">
        <v>2</v>
      </c>
      <c r="K2441" s="11" t="s">
        <v>21</v>
      </c>
      <c r="L2441" s="7">
        <v>39771.779502314814</v>
      </c>
      <c r="M2441" s="12" t="s">
        <v>443</v>
      </c>
      <c r="N2441" s="12" t="s">
        <v>724</v>
      </c>
      <c r="O2441" s="10" t="str">
        <f>HYPERLINK("https://pbs.twimg.com/profile_images/489403559394304001/8SQlWWA1_normal.jpeg","View")</f>
        <v>View</v>
      </c>
      <c r="P2441" s="11"/>
    </row>
    <row r="2442" spans="1:16" ht="12.75" x14ac:dyDescent="0.35">
      <c r="A2442" s="7">
        <v>42482.513217592597</v>
      </c>
      <c r="B2442" s="8" t="str">
        <f>HYPERLINK("https://twitter.com/IoTMinded","@IoTMinded")</f>
        <v>@IoTMinded</v>
      </c>
      <c r="C2442" s="9" t="s">
        <v>435</v>
      </c>
      <c r="D2442" s="9" t="s">
        <v>4311</v>
      </c>
      <c r="E2442" s="10" t="str">
        <f>HYPERLINK("https://twitter.com/IoTMinded/status/723403221364953088","723403221364953088")</f>
        <v>723403221364953088</v>
      </c>
      <c r="F2442" s="11" t="s">
        <v>437</v>
      </c>
      <c r="G2442" s="11">
        <v>1102</v>
      </c>
      <c r="H2442" s="11">
        <v>656</v>
      </c>
      <c r="I2442" s="11">
        <v>3</v>
      </c>
      <c r="J2442" s="11">
        <v>0</v>
      </c>
      <c r="K2442" s="11" t="s">
        <v>21</v>
      </c>
      <c r="L2442" s="7">
        <v>40085.127789351856</v>
      </c>
      <c r="M2442" s="12"/>
      <c r="N2442" s="12" t="s">
        <v>438</v>
      </c>
      <c r="O2442" s="10" t="str">
        <f>HYPERLINK("https://pbs.twimg.com/profile_images/603699032804859904/lb5IMG5x_normal.jpg","View")</f>
        <v>View</v>
      </c>
      <c r="P2442" s="11"/>
    </row>
    <row r="2443" spans="1:16" ht="12.75" x14ac:dyDescent="0.35">
      <c r="A2443" s="7">
        <v>42482.513483796298</v>
      </c>
      <c r="B2443" s="8" t="str">
        <f>HYPERLINK("https://twitter.com/sarhapu","@sarhapu")</f>
        <v>@sarhapu</v>
      </c>
      <c r="C2443" s="9" t="s">
        <v>4185</v>
      </c>
      <c r="D2443" s="9" t="s">
        <v>4312</v>
      </c>
      <c r="E2443" s="10" t="str">
        <f>HYPERLINK("https://twitter.com/sarhapu/status/723403317678739456","723403317678739456")</f>
        <v>723403317678739456</v>
      </c>
      <c r="F2443" s="11" t="s">
        <v>25</v>
      </c>
      <c r="G2443" s="11">
        <v>93</v>
      </c>
      <c r="H2443" s="11">
        <v>219</v>
      </c>
      <c r="I2443" s="11">
        <v>3</v>
      </c>
      <c r="J2443" s="11">
        <v>0</v>
      </c>
      <c r="K2443" s="11" t="s">
        <v>21</v>
      </c>
      <c r="L2443" s="7">
        <v>41452.151493055557</v>
      </c>
      <c r="M2443" s="12"/>
      <c r="N2443" s="12" t="s">
        <v>4186</v>
      </c>
      <c r="O2443" s="10" t="str">
        <f>HYPERLINK("https://pbs.twimg.com/profile_images/663734674653622272/h2JzQVyL_normal.jpg","View")</f>
        <v>View</v>
      </c>
      <c r="P2443" s="11"/>
    </row>
    <row r="2444" spans="1:16" ht="12.75" x14ac:dyDescent="0.35">
      <c r="A2444" s="7">
        <v>42482.514097222222</v>
      </c>
      <c r="B2444" s="8" t="str">
        <f>HYPERLINK("https://twitter.com/FreudenbergITde","@FreudenbergITde")</f>
        <v>@FreudenbergITde</v>
      </c>
      <c r="C2444" s="9" t="s">
        <v>1576</v>
      </c>
      <c r="D2444" s="9" t="s">
        <v>4313</v>
      </c>
      <c r="E2444" s="10" t="str">
        <f>HYPERLINK("https://twitter.com/FreudenbergITde/status/723403538718556160","723403538718556160")</f>
        <v>723403538718556160</v>
      </c>
      <c r="F2444" s="11" t="s">
        <v>39</v>
      </c>
      <c r="G2444" s="11">
        <v>399</v>
      </c>
      <c r="H2444" s="11">
        <v>93</v>
      </c>
      <c r="I2444" s="11">
        <v>1</v>
      </c>
      <c r="J2444" s="11">
        <v>0</v>
      </c>
      <c r="K2444" s="11" t="s">
        <v>21</v>
      </c>
      <c r="L2444" s="7">
        <v>40969.841539351852</v>
      </c>
      <c r="M2444" s="12" t="s">
        <v>1578</v>
      </c>
      <c r="N2444" s="12" t="s">
        <v>1579</v>
      </c>
      <c r="O2444" s="10" t="str">
        <f>HYPERLINK("https://pbs.twimg.com/profile_images/378800000732095310/37ab974996c9a200327301623007a55d_normal.png","View")</f>
        <v>View</v>
      </c>
      <c r="P2444" s="11"/>
    </row>
    <row r="2445" spans="1:16" ht="12.75" x14ac:dyDescent="0.35">
      <c r="A2445" s="7">
        <v>42482.514918981484</v>
      </c>
      <c r="B2445" s="8" t="str">
        <f t="shared" ref="B2445:B2447" si="306">HYPERLINK("https://twitter.com/INDIZbot","@INDIZbot")</f>
        <v>@INDIZbot</v>
      </c>
      <c r="C2445" s="9" t="s">
        <v>61</v>
      </c>
      <c r="D2445" s="9" t="s">
        <v>4314</v>
      </c>
      <c r="E2445" s="10" t="str">
        <f>HYPERLINK("https://twitter.com/INDIZbot/status/723403834723180545","723403834723180545")</f>
        <v>723403834723180545</v>
      </c>
      <c r="F2445" s="11" t="s">
        <v>62</v>
      </c>
      <c r="G2445" s="11">
        <v>1762</v>
      </c>
      <c r="H2445" s="11">
        <v>481</v>
      </c>
      <c r="I2445" s="11">
        <v>1</v>
      </c>
      <c r="J2445" s="11">
        <v>0</v>
      </c>
      <c r="K2445" s="11" t="s">
        <v>21</v>
      </c>
      <c r="L2445" s="7">
        <v>42267.011921296296</v>
      </c>
      <c r="M2445" s="12"/>
      <c r="N2445" s="12" t="s">
        <v>63</v>
      </c>
      <c r="O2445" s="10" t="str">
        <f t="shared" ref="O2445:O2447" si="307">HYPERLINK("https://pbs.twimg.com/profile_images/645716711723925506/t5G0qOS6_normal.jpg","View")</f>
        <v>View</v>
      </c>
      <c r="P2445" s="11"/>
    </row>
    <row r="2446" spans="1:16" ht="12.75" x14ac:dyDescent="0.35">
      <c r="A2446" s="7">
        <v>42482.515081018515</v>
      </c>
      <c r="B2446" s="8" t="str">
        <f t="shared" si="306"/>
        <v>@INDIZbot</v>
      </c>
      <c r="C2446" s="9" t="s">
        <v>61</v>
      </c>
      <c r="D2446" s="9" t="s">
        <v>4315</v>
      </c>
      <c r="E2446" s="10" t="str">
        <f>HYPERLINK("https://twitter.com/INDIZbot/status/723403896261988352","723403896261988352")</f>
        <v>723403896261988352</v>
      </c>
      <c r="F2446" s="11" t="s">
        <v>62</v>
      </c>
      <c r="G2446" s="11">
        <v>1762</v>
      </c>
      <c r="H2446" s="11">
        <v>481</v>
      </c>
      <c r="I2446" s="11">
        <v>3</v>
      </c>
      <c r="J2446" s="11">
        <v>0</v>
      </c>
      <c r="K2446" s="11" t="s">
        <v>21</v>
      </c>
      <c r="L2446" s="7">
        <v>42267.011921296296</v>
      </c>
      <c r="M2446" s="12"/>
      <c r="N2446" s="12" t="s">
        <v>63</v>
      </c>
      <c r="O2446" s="10" t="str">
        <f t="shared" si="307"/>
        <v>View</v>
      </c>
      <c r="P2446" s="11"/>
    </row>
    <row r="2447" spans="1:16" ht="12.75" x14ac:dyDescent="0.35">
      <c r="A2447" s="7">
        <v>42482.515416666662</v>
      </c>
      <c r="B2447" s="8" t="str">
        <f t="shared" si="306"/>
        <v>@INDIZbot</v>
      </c>
      <c r="C2447" s="9" t="s">
        <v>61</v>
      </c>
      <c r="D2447" s="9" t="s">
        <v>4311</v>
      </c>
      <c r="E2447" s="10" t="str">
        <f>HYPERLINK("https://twitter.com/INDIZbot/status/723404018467246081","723404018467246081")</f>
        <v>723404018467246081</v>
      </c>
      <c r="F2447" s="11" t="s">
        <v>62</v>
      </c>
      <c r="G2447" s="11">
        <v>1762</v>
      </c>
      <c r="H2447" s="11">
        <v>481</v>
      </c>
      <c r="I2447" s="11">
        <v>3</v>
      </c>
      <c r="J2447" s="11">
        <v>0</v>
      </c>
      <c r="K2447" s="11" t="s">
        <v>21</v>
      </c>
      <c r="L2447" s="7">
        <v>42267.011921296296</v>
      </c>
      <c r="M2447" s="12"/>
      <c r="N2447" s="12" t="s">
        <v>63</v>
      </c>
      <c r="O2447" s="10" t="str">
        <f t="shared" si="307"/>
        <v>View</v>
      </c>
      <c r="P2447" s="11"/>
    </row>
    <row r="2448" spans="1:16" ht="12.75" x14ac:dyDescent="0.35">
      <c r="A2448" s="7">
        <v>42482.515532407408</v>
      </c>
      <c r="B2448" s="8" t="str">
        <f>HYPERLINK("https://twitter.com/SBH_Germany","@SBH_Germany")</f>
        <v>@SBH_Germany</v>
      </c>
      <c r="C2448" s="9" t="s">
        <v>3900</v>
      </c>
      <c r="D2448" s="9" t="s">
        <v>4316</v>
      </c>
      <c r="E2448" s="10" t="str">
        <f>HYPERLINK("https://twitter.com/SBH_Germany/status/723404059395289088","723404059395289088")</f>
        <v>723404059395289088</v>
      </c>
      <c r="F2448" s="11" t="s">
        <v>25</v>
      </c>
      <c r="G2448" s="11">
        <v>63</v>
      </c>
      <c r="H2448" s="11">
        <v>172</v>
      </c>
      <c r="I2448" s="11">
        <v>1</v>
      </c>
      <c r="J2448" s="11">
        <v>0</v>
      </c>
      <c r="K2448" s="11" t="s">
        <v>21</v>
      </c>
      <c r="L2448" s="7">
        <v>42405.551932870367</v>
      </c>
      <c r="M2448" s="12" t="s">
        <v>157</v>
      </c>
      <c r="N2448" s="12" t="s">
        <v>3901</v>
      </c>
      <c r="O2448" s="10" t="str">
        <f>HYPERLINK("https://pbs.twimg.com/profile_images/695514574359953408/hQTmgrlk_normal.png","View")</f>
        <v>View</v>
      </c>
      <c r="P2448" s="11"/>
    </row>
    <row r="2449" spans="1:16" ht="12.75" x14ac:dyDescent="0.35">
      <c r="A2449" s="7">
        <v>42482.51561342593</v>
      </c>
      <c r="B2449" s="8" t="str">
        <f>HYPERLINK("https://twitter.com/SEWEURODRIVE","@SEWEURODRIVE")</f>
        <v>@SEWEURODRIVE</v>
      </c>
      <c r="C2449" s="9" t="s">
        <v>1640</v>
      </c>
      <c r="D2449" s="9" t="s">
        <v>4317</v>
      </c>
      <c r="E2449" s="10" t="str">
        <f>HYPERLINK("https://twitter.com/SEWEURODRIVE/status/723404089539747842","723404089539747842")</f>
        <v>723404089539747842</v>
      </c>
      <c r="F2449" s="11" t="s">
        <v>25</v>
      </c>
      <c r="G2449" s="11">
        <v>1413</v>
      </c>
      <c r="H2449" s="11">
        <v>297</v>
      </c>
      <c r="I2449" s="11">
        <v>1</v>
      </c>
      <c r="J2449" s="11">
        <v>0</v>
      </c>
      <c r="K2449" s="11" t="s">
        <v>21</v>
      </c>
      <c r="L2449" s="7">
        <v>40221.178854166668</v>
      </c>
      <c r="M2449" s="12" t="s">
        <v>1641</v>
      </c>
      <c r="N2449" s="12" t="s">
        <v>1642</v>
      </c>
      <c r="O2449" s="10" t="str">
        <f>HYPERLINK("https://pbs.twimg.com/profile_images/490060130231132160/qLmnir1s_normal.jpeg","View")</f>
        <v>View</v>
      </c>
      <c r="P2449" s="11"/>
    </row>
    <row r="2450" spans="1:16" ht="12.75" x14ac:dyDescent="0.35">
      <c r="A2450" s="7">
        <v>42482.515844907408</v>
      </c>
      <c r="B2450" s="8" t="str">
        <f>HYPERLINK("https://twitter.com/APuZ_bpb","@APuZ_bpb")</f>
        <v>@APuZ_bpb</v>
      </c>
      <c r="C2450" s="9" t="s">
        <v>4318</v>
      </c>
      <c r="D2450" s="9" t="s">
        <v>4319</v>
      </c>
      <c r="E2450" s="10" t="str">
        <f>HYPERLINK("https://twitter.com/APuZ_bpb/status/723404171261542401","723404171261542401")</f>
        <v>723404171261542401</v>
      </c>
      <c r="F2450" s="11" t="s">
        <v>25</v>
      </c>
      <c r="G2450" s="11">
        <v>5877</v>
      </c>
      <c r="H2450" s="11">
        <v>363</v>
      </c>
      <c r="I2450" s="11">
        <v>2</v>
      </c>
      <c r="J2450" s="11">
        <v>6</v>
      </c>
      <c r="K2450" s="11" t="s">
        <v>21</v>
      </c>
      <c r="L2450" s="7">
        <v>40008.189722222218</v>
      </c>
      <c r="M2450" s="12" t="s">
        <v>3031</v>
      </c>
      <c r="N2450" s="12" t="s">
        <v>4320</v>
      </c>
      <c r="O2450" s="10" t="str">
        <f>HYPERLINK("https://pbs.twimg.com/profile_images/366014169/twitapuz_normal.jpg","View")</f>
        <v>View</v>
      </c>
      <c r="P2450" s="11"/>
    </row>
    <row r="2451" spans="1:16" ht="12.75" x14ac:dyDescent="0.35">
      <c r="A2451" s="7">
        <v>42482.516331018516</v>
      </c>
      <c r="B2451" s="8" t="str">
        <f t="shared" ref="B2451:B2452" si="308">HYPERLINK("https://twitter.com/MindCommerce","@MindCommerce")</f>
        <v>@MindCommerce</v>
      </c>
      <c r="C2451" s="9" t="s">
        <v>1242</v>
      </c>
      <c r="D2451" s="9" t="s">
        <v>4257</v>
      </c>
      <c r="E2451" s="10" t="str">
        <f>HYPERLINK("https://twitter.com/MindCommerce/status/723404346772230144","723404346772230144")</f>
        <v>723404346772230144</v>
      </c>
      <c r="F2451" s="11" t="s">
        <v>437</v>
      </c>
      <c r="G2451" s="11">
        <v>1189</v>
      </c>
      <c r="H2451" s="11">
        <v>427</v>
      </c>
      <c r="I2451" s="11">
        <v>5</v>
      </c>
      <c r="J2451" s="11">
        <v>0</v>
      </c>
      <c r="K2451" s="11" t="s">
        <v>21</v>
      </c>
      <c r="L2451" s="7">
        <v>40577.150787037041</v>
      </c>
      <c r="M2451" s="12"/>
      <c r="N2451" s="12" t="s">
        <v>1244</v>
      </c>
      <c r="O2451" s="10" t="str">
        <f t="shared" ref="O2451:O2452" si="309">HYPERLINK("https://pbs.twimg.com/profile_images/548030384030507008/utABqhj9_normal.png","View")</f>
        <v>View</v>
      </c>
      <c r="P2451" s="11"/>
    </row>
    <row r="2452" spans="1:16" ht="12.75" x14ac:dyDescent="0.35">
      <c r="A2452" s="7">
        <v>42482.516342592593</v>
      </c>
      <c r="B2452" s="8" t="str">
        <f t="shared" si="308"/>
        <v>@MindCommerce</v>
      </c>
      <c r="C2452" s="9" t="s">
        <v>1242</v>
      </c>
      <c r="D2452" s="9" t="s">
        <v>4311</v>
      </c>
      <c r="E2452" s="10" t="str">
        <f>HYPERLINK("https://twitter.com/MindCommerce/status/723404353093038080","723404353093038080")</f>
        <v>723404353093038080</v>
      </c>
      <c r="F2452" s="11" t="s">
        <v>437</v>
      </c>
      <c r="G2452" s="11">
        <v>1189</v>
      </c>
      <c r="H2452" s="11">
        <v>427</v>
      </c>
      <c r="I2452" s="11">
        <v>3</v>
      </c>
      <c r="J2452" s="11">
        <v>0</v>
      </c>
      <c r="K2452" s="11" t="s">
        <v>21</v>
      </c>
      <c r="L2452" s="7">
        <v>40577.150787037041</v>
      </c>
      <c r="M2452" s="12"/>
      <c r="N2452" s="12" t="s">
        <v>1244</v>
      </c>
      <c r="O2452" s="10" t="str">
        <f t="shared" si="309"/>
        <v>View</v>
      </c>
      <c r="P2452" s="11"/>
    </row>
    <row r="2453" spans="1:16" ht="12.75" x14ac:dyDescent="0.35">
      <c r="A2453" s="7">
        <v>42482.516493055555</v>
      </c>
      <c r="B2453" s="8" t="str">
        <f>HYPERLINK("https://twitter.com/AndreHD20","@AndreHD20")</f>
        <v>@AndreHD20</v>
      </c>
      <c r="C2453" s="9" t="s">
        <v>1693</v>
      </c>
      <c r="D2453" s="9" t="s">
        <v>4321</v>
      </c>
      <c r="E2453" s="10" t="str">
        <f>HYPERLINK("https://twitter.com/AndreHD20/status/723404406562025472","723404406562025472")</f>
        <v>723404406562025472</v>
      </c>
      <c r="F2453" s="11" t="s">
        <v>31</v>
      </c>
      <c r="G2453" s="11">
        <v>981</v>
      </c>
      <c r="H2453" s="11">
        <v>37</v>
      </c>
      <c r="I2453" s="11">
        <v>1</v>
      </c>
      <c r="J2453" s="11">
        <v>0</v>
      </c>
      <c r="K2453" s="11" t="s">
        <v>21</v>
      </c>
      <c r="L2453" s="7">
        <v>41954.033009259263</v>
      </c>
      <c r="M2453" s="12" t="s">
        <v>1694</v>
      </c>
      <c r="N2453" s="12" t="s">
        <v>1695</v>
      </c>
      <c r="O2453" s="10" t="str">
        <f>HYPERLINK("https://pbs.twimg.com/profile_images/701346285345972224/o2eiYGY__normal.jpg","View")</f>
        <v>View</v>
      </c>
      <c r="P2453" s="11"/>
    </row>
    <row r="2454" spans="1:16" ht="12.75" x14ac:dyDescent="0.35">
      <c r="A2454" s="7">
        <v>42482.517453703702</v>
      </c>
      <c r="B2454" s="8" t="str">
        <f>HYPERLINK("https://twitter.com/pageissler","@pageissler")</f>
        <v>@pageissler</v>
      </c>
      <c r="C2454" s="9" t="s">
        <v>4322</v>
      </c>
      <c r="D2454" s="9" t="s">
        <v>4323</v>
      </c>
      <c r="E2454" s="10" t="str">
        <f>HYPERLINK("https://twitter.com/pageissler/status/723404754764746758","723404754764746758")</f>
        <v>723404754764746758</v>
      </c>
      <c r="F2454" s="11" t="s">
        <v>268</v>
      </c>
      <c r="G2454" s="11">
        <v>618</v>
      </c>
      <c r="H2454" s="11">
        <v>789</v>
      </c>
      <c r="I2454" s="11">
        <v>2</v>
      </c>
      <c r="J2454" s="11">
        <v>0</v>
      </c>
      <c r="K2454" s="11" t="s">
        <v>21</v>
      </c>
      <c r="L2454" s="7">
        <v>40052.644224537034</v>
      </c>
      <c r="M2454" s="12" t="s">
        <v>895</v>
      </c>
      <c r="N2454" s="12" t="s">
        <v>4324</v>
      </c>
      <c r="O2454" s="10" t="str">
        <f>HYPERLINK("https://pbs.twimg.com/profile_images/720398951539699712/frIo6DH3_normal.jpg","View")</f>
        <v>View</v>
      </c>
      <c r="P2454" s="11"/>
    </row>
    <row r="2455" spans="1:16" ht="12.75" x14ac:dyDescent="0.35">
      <c r="A2455" s="7">
        <v>42482.517905092594</v>
      </c>
      <c r="B2455" s="8" t="str">
        <f>HYPERLINK("https://twitter.com/Wolf_Har","@Wolf_Har")</f>
        <v>@Wolf_Har</v>
      </c>
      <c r="C2455" s="9" t="s">
        <v>4325</v>
      </c>
      <c r="D2455" s="9" t="s">
        <v>4323</v>
      </c>
      <c r="E2455" s="10" t="str">
        <f>HYPERLINK("https://twitter.com/Wolf_Har/status/723404919013670913","723404919013670913")</f>
        <v>723404919013670913</v>
      </c>
      <c r="F2455" s="11" t="s">
        <v>115</v>
      </c>
      <c r="G2455" s="11">
        <v>186</v>
      </c>
      <c r="H2455" s="11">
        <v>171</v>
      </c>
      <c r="I2455" s="11">
        <v>2</v>
      </c>
      <c r="J2455" s="11">
        <v>0</v>
      </c>
      <c r="K2455" s="11" t="s">
        <v>21</v>
      </c>
      <c r="L2455" s="7">
        <v>41273.987962962965</v>
      </c>
      <c r="M2455" s="12" t="s">
        <v>4326</v>
      </c>
      <c r="N2455" s="12" t="s">
        <v>4327</v>
      </c>
      <c r="O2455" s="10" t="str">
        <f>HYPERLINK("https://pbs.twimg.com/profile_images/378800000365331675/6e3f40375e80e32a298feb5626225511_normal.jpeg","View")</f>
        <v>View</v>
      </c>
      <c r="P2455" s="11"/>
    </row>
    <row r="2456" spans="1:16" ht="12.75" x14ac:dyDescent="0.35">
      <c r="A2456" s="7">
        <v>42482.518321759257</v>
      </c>
      <c r="B2456" s="8" t="str">
        <f t="shared" ref="B2456:B2457" si="310">HYPERLINK("https://twitter.com/MartinGaedt","@MartinGaedt")</f>
        <v>@MartinGaedt</v>
      </c>
      <c r="C2456" s="9" t="s">
        <v>1296</v>
      </c>
      <c r="D2456" s="9" t="s">
        <v>4315</v>
      </c>
      <c r="E2456" s="10" t="str">
        <f>HYPERLINK("https://twitter.com/MartinGaedt/status/723405068007936001","723405068007936001")</f>
        <v>723405068007936001</v>
      </c>
      <c r="F2456" s="11" t="s">
        <v>25</v>
      </c>
      <c r="G2456" s="11">
        <v>5366</v>
      </c>
      <c r="H2456" s="11">
        <v>5909</v>
      </c>
      <c r="I2456" s="11">
        <v>3</v>
      </c>
      <c r="J2456" s="11">
        <v>0</v>
      </c>
      <c r="K2456" s="11" t="s">
        <v>21</v>
      </c>
      <c r="L2456" s="7">
        <v>39938.908993055556</v>
      </c>
      <c r="M2456" s="12" t="s">
        <v>1297</v>
      </c>
      <c r="N2456" s="12" t="s">
        <v>1298</v>
      </c>
      <c r="O2456" s="10" t="str">
        <f t="shared" ref="O2456:O2457" si="311">HYPERLINK("https://pbs.twimg.com/profile_images/709444980553740288/Xds-Aan6_normal.jpg","View")</f>
        <v>View</v>
      </c>
      <c r="P2456" s="11"/>
    </row>
    <row r="2457" spans="1:16" ht="12.75" x14ac:dyDescent="0.35">
      <c r="A2457" s="7">
        <v>42482.518657407403</v>
      </c>
      <c r="B2457" s="8" t="str">
        <f t="shared" si="310"/>
        <v>@MartinGaedt</v>
      </c>
      <c r="C2457" s="9" t="s">
        <v>1296</v>
      </c>
      <c r="D2457" s="9" t="s">
        <v>4328</v>
      </c>
      <c r="E2457" s="10" t="str">
        <f>HYPERLINK("https://twitter.com/MartinGaedt/status/723405189529505796","723405189529505796")</f>
        <v>723405189529505796</v>
      </c>
      <c r="F2457" s="11" t="s">
        <v>25</v>
      </c>
      <c r="G2457" s="11">
        <v>5366</v>
      </c>
      <c r="H2457" s="11">
        <v>5909</v>
      </c>
      <c r="I2457" s="11">
        <v>9</v>
      </c>
      <c r="J2457" s="11">
        <v>0</v>
      </c>
      <c r="K2457" s="11" t="s">
        <v>21</v>
      </c>
      <c r="L2457" s="7">
        <v>39938.908993055556</v>
      </c>
      <c r="M2457" s="12" t="s">
        <v>1297</v>
      </c>
      <c r="N2457" s="12" t="s">
        <v>1298</v>
      </c>
      <c r="O2457" s="10" t="str">
        <f t="shared" si="311"/>
        <v>View</v>
      </c>
      <c r="P2457" s="11"/>
    </row>
    <row r="2458" spans="1:16" ht="12.75" x14ac:dyDescent="0.35">
      <c r="A2458" s="7">
        <v>42482.519062499996</v>
      </c>
      <c r="B2458" s="8" t="str">
        <f t="shared" ref="B2458:B2459" si="312">HYPERLINK("https://twitter.com/innovationbawue","@innovationbawue")</f>
        <v>@innovationbawue</v>
      </c>
      <c r="C2458" s="8" t="s">
        <v>1173</v>
      </c>
      <c r="D2458" s="9" t="s">
        <v>4315</v>
      </c>
      <c r="E2458" s="10" t="str">
        <f>HYPERLINK("https://twitter.com/innovationbawue/status/723405336955121664","723405336955121664")</f>
        <v>723405336955121664</v>
      </c>
      <c r="F2458" s="11" t="s">
        <v>25</v>
      </c>
      <c r="G2458" s="11">
        <v>209</v>
      </c>
      <c r="H2458" s="11">
        <v>353</v>
      </c>
      <c r="I2458" s="11">
        <v>3</v>
      </c>
      <c r="J2458" s="11">
        <v>0</v>
      </c>
      <c r="K2458" s="11" t="s">
        <v>21</v>
      </c>
      <c r="L2458" s="7">
        <v>42380.713946759264</v>
      </c>
      <c r="M2458" s="12" t="s">
        <v>985</v>
      </c>
      <c r="N2458" s="12" t="s">
        <v>1175</v>
      </c>
      <c r="O2458" s="10" t="str">
        <f t="shared" ref="O2458:O2459" si="313">HYPERLINK("https://pbs.twimg.com/profile_images/719538951988592641/7lKnB2dG_normal.jpg","View")</f>
        <v>View</v>
      </c>
      <c r="P2458" s="11"/>
    </row>
    <row r="2459" spans="1:16" ht="12.75" x14ac:dyDescent="0.35">
      <c r="A2459" s="7">
        <v>42482.519467592589</v>
      </c>
      <c r="B2459" s="8" t="str">
        <f t="shared" si="312"/>
        <v>@innovationbawue</v>
      </c>
      <c r="C2459" s="8" t="s">
        <v>1173</v>
      </c>
      <c r="D2459" s="9" t="s">
        <v>4329</v>
      </c>
      <c r="E2459" s="10" t="str">
        <f>HYPERLINK("https://twitter.com/innovationbawue/status/723405484007428101","723405484007428101")</f>
        <v>723405484007428101</v>
      </c>
      <c r="F2459" s="11" t="s">
        <v>25</v>
      </c>
      <c r="G2459" s="11">
        <v>209</v>
      </c>
      <c r="H2459" s="11">
        <v>353</v>
      </c>
      <c r="I2459" s="11">
        <v>1</v>
      </c>
      <c r="J2459" s="11">
        <v>0</v>
      </c>
      <c r="K2459" s="11" t="s">
        <v>21</v>
      </c>
      <c r="L2459" s="7">
        <v>42380.713946759264</v>
      </c>
      <c r="M2459" s="12" t="s">
        <v>985</v>
      </c>
      <c r="N2459" s="12" t="s">
        <v>1175</v>
      </c>
      <c r="O2459" s="10" t="str">
        <f t="shared" si="313"/>
        <v>View</v>
      </c>
      <c r="P2459" s="11"/>
    </row>
    <row r="2460" spans="1:16" ht="12.75" x14ac:dyDescent="0.35">
      <c r="A2460" s="7">
        <v>42482.520000000004</v>
      </c>
      <c r="B2460" s="8" t="str">
        <f>HYPERLINK("https://twitter.com/Martina_Palm","@Martina_Palm")</f>
        <v>@Martina_Palm</v>
      </c>
      <c r="C2460" s="9" t="s">
        <v>3870</v>
      </c>
      <c r="D2460" s="9" t="s">
        <v>4330</v>
      </c>
      <c r="E2460" s="10" t="str">
        <f>HYPERLINK("https://twitter.com/Martina_Palm/status/723405677742317569","723405677742317569")</f>
        <v>723405677742317569</v>
      </c>
      <c r="F2460" s="11" t="s">
        <v>25</v>
      </c>
      <c r="G2460" s="11">
        <v>38</v>
      </c>
      <c r="H2460" s="11">
        <v>50</v>
      </c>
      <c r="I2460" s="11">
        <v>2</v>
      </c>
      <c r="J2460" s="11">
        <v>0</v>
      </c>
      <c r="K2460" s="11" t="s">
        <v>21</v>
      </c>
      <c r="L2460" s="7">
        <v>41060.564467592594</v>
      </c>
      <c r="M2460" s="12" t="s">
        <v>3872</v>
      </c>
      <c r="N2460" s="12" t="s">
        <v>3873</v>
      </c>
      <c r="O2460" s="10" t="str">
        <f>HYPERLINK("https://pbs.twimg.com/profile_images/3286498945/83c49690655e24688ac62bd4fdc079ea_normal.jpeg","View")</f>
        <v>View</v>
      </c>
      <c r="P2460" s="11"/>
    </row>
    <row r="2461" spans="1:16" ht="12.75" x14ac:dyDescent="0.35">
      <c r="A2461" s="7">
        <v>42482.520046296297</v>
      </c>
      <c r="B2461" s="8" t="str">
        <f>HYPERLINK("https://twitter.com/pechardscheck","@pechardscheck")</f>
        <v>@pechardscheck</v>
      </c>
      <c r="C2461" s="9" t="s">
        <v>4055</v>
      </c>
      <c r="D2461" s="9" t="s">
        <v>4331</v>
      </c>
      <c r="E2461" s="10" t="str">
        <f>HYPERLINK("https://twitter.com/pechardscheck/status/723405693705809921","723405693705809921")</f>
        <v>723405693705809921</v>
      </c>
      <c r="F2461" s="11" t="s">
        <v>25</v>
      </c>
      <c r="G2461" s="11">
        <v>230</v>
      </c>
      <c r="H2461" s="11">
        <v>191</v>
      </c>
      <c r="I2461" s="11">
        <v>0</v>
      </c>
      <c r="J2461" s="11">
        <v>0</v>
      </c>
      <c r="K2461" s="11" t="s">
        <v>21</v>
      </c>
      <c r="L2461" s="7">
        <v>39932.549953703703</v>
      </c>
      <c r="M2461" s="12" t="s">
        <v>218</v>
      </c>
      <c r="N2461" s="12" t="s">
        <v>4057</v>
      </c>
      <c r="O2461" s="10" t="str">
        <f>HYPERLINK("https://pbs.twimg.com/profile_images/484308591910723584/icpo-IsD_normal.jpeg","View")</f>
        <v>View</v>
      </c>
      <c r="P2461" s="11"/>
    </row>
    <row r="2462" spans="1:16" ht="12.75" x14ac:dyDescent="0.35">
      <c r="A2462" s="7">
        <v>42482.520138888889</v>
      </c>
      <c r="B2462" s="8" t="str">
        <f t="shared" ref="B2462:B2463" si="314">HYPERLINK("https://twitter.com/rajesh266","@rajesh266")</f>
        <v>@rajesh266</v>
      </c>
      <c r="C2462" s="9" t="s">
        <v>4332</v>
      </c>
      <c r="D2462" s="9" t="s">
        <v>4333</v>
      </c>
      <c r="E2462" s="10" t="str">
        <f>HYPERLINK("https://twitter.com/rajesh266/status/723405729961402368","723405729961402368")</f>
        <v>723405729961402368</v>
      </c>
      <c r="F2462" s="11" t="s">
        <v>25</v>
      </c>
      <c r="G2462" s="11">
        <v>474</v>
      </c>
      <c r="H2462" s="11">
        <v>645</v>
      </c>
      <c r="I2462" s="11">
        <v>1</v>
      </c>
      <c r="J2462" s="11">
        <v>0</v>
      </c>
      <c r="K2462" s="11" t="s">
        <v>21</v>
      </c>
      <c r="L2462" s="7">
        <v>39364.853773148148</v>
      </c>
      <c r="M2462" s="12" t="s">
        <v>4334</v>
      </c>
      <c r="N2462" s="12" t="s">
        <v>4335</v>
      </c>
      <c r="O2462" s="10" t="str">
        <f t="shared" ref="O2462:O2463" si="315">HYPERLINK("https://pbs.twimg.com/profile_images/656031368640598016/s_6nLAlN_normal.jpg","View")</f>
        <v>View</v>
      </c>
      <c r="P2462" s="11"/>
    </row>
    <row r="2463" spans="1:16" ht="12.75" x14ac:dyDescent="0.35">
      <c r="A2463" s="7">
        <v>42482.520324074074</v>
      </c>
      <c r="B2463" s="8" t="str">
        <f t="shared" si="314"/>
        <v>@rajesh266</v>
      </c>
      <c r="C2463" s="9" t="s">
        <v>4332</v>
      </c>
      <c r="D2463" s="9" t="s">
        <v>4019</v>
      </c>
      <c r="E2463" s="10" t="str">
        <f>HYPERLINK("https://twitter.com/rajesh266/status/723405794788540416","723405794788540416")</f>
        <v>723405794788540416</v>
      </c>
      <c r="F2463" s="11" t="s">
        <v>25</v>
      </c>
      <c r="G2463" s="11">
        <v>474</v>
      </c>
      <c r="H2463" s="11">
        <v>645</v>
      </c>
      <c r="I2463" s="11">
        <v>4</v>
      </c>
      <c r="J2463" s="11">
        <v>0</v>
      </c>
      <c r="K2463" s="11" t="s">
        <v>21</v>
      </c>
      <c r="L2463" s="7">
        <v>39364.853773148148</v>
      </c>
      <c r="M2463" s="12" t="s">
        <v>4334</v>
      </c>
      <c r="N2463" s="12" t="s">
        <v>4335</v>
      </c>
      <c r="O2463" s="10" t="str">
        <f t="shared" si="315"/>
        <v>View</v>
      </c>
      <c r="P2463" s="11"/>
    </row>
    <row r="2464" spans="1:16" ht="12.75" x14ac:dyDescent="0.35">
      <c r="A2464" s="7">
        <v>42482.520694444444</v>
      </c>
      <c r="B2464" s="8" t="str">
        <f>HYPERLINK("https://twitter.com/innovationbawue","@innovationbawue")</f>
        <v>@innovationbawue</v>
      </c>
      <c r="C2464" s="8" t="s">
        <v>1173</v>
      </c>
      <c r="D2464" s="9" t="s">
        <v>4154</v>
      </c>
      <c r="E2464" s="10" t="str">
        <f>HYPERLINK("https://twitter.com/innovationbawue/status/723405929291489280","723405929291489280")</f>
        <v>723405929291489280</v>
      </c>
      <c r="F2464" s="11" t="s">
        <v>25</v>
      </c>
      <c r="G2464" s="11">
        <v>209</v>
      </c>
      <c r="H2464" s="11">
        <v>353</v>
      </c>
      <c r="I2464" s="11">
        <v>4</v>
      </c>
      <c r="J2464" s="11">
        <v>0</v>
      </c>
      <c r="K2464" s="11" t="s">
        <v>21</v>
      </c>
      <c r="L2464" s="7">
        <v>42380.713946759264</v>
      </c>
      <c r="M2464" s="12" t="s">
        <v>985</v>
      </c>
      <c r="N2464" s="12" t="s">
        <v>1175</v>
      </c>
      <c r="O2464" s="10" t="str">
        <f>HYPERLINK("https://pbs.twimg.com/profile_images/719538951988592641/7lKnB2dG_normal.jpg","View")</f>
        <v>View</v>
      </c>
      <c r="P2464" s="11"/>
    </row>
    <row r="2465" spans="1:16" ht="12.75" x14ac:dyDescent="0.35">
      <c r="A2465" s="7">
        <v>42482.52107638889</v>
      </c>
      <c r="B2465" s="8" t="str">
        <f>HYPERLINK("https://twitter.com/VDMAonline","@VDMAonline")</f>
        <v>@VDMAonline</v>
      </c>
      <c r="C2465" s="9" t="s">
        <v>191</v>
      </c>
      <c r="D2465" s="9" t="s">
        <v>4336</v>
      </c>
      <c r="E2465" s="10" t="str">
        <f>HYPERLINK("https://twitter.com/VDMAonline/status/723406068676591616","723406068676591616")</f>
        <v>723406068676591616</v>
      </c>
      <c r="F2465" s="11" t="s">
        <v>115</v>
      </c>
      <c r="G2465" s="11">
        <v>6793</v>
      </c>
      <c r="H2465" s="11">
        <v>4</v>
      </c>
      <c r="I2465" s="11">
        <v>3</v>
      </c>
      <c r="J2465" s="11">
        <v>0</v>
      </c>
      <c r="K2465" s="11" t="s">
        <v>21</v>
      </c>
      <c r="L2465" s="7">
        <v>39932.616342592592</v>
      </c>
      <c r="M2465" s="12" t="s">
        <v>49</v>
      </c>
      <c r="N2465" s="12" t="s">
        <v>193</v>
      </c>
      <c r="O2465" s="10" t="str">
        <f>HYPERLINK("https://pbs.twimg.com/profile_images/609375510158774272/P5glOk4b_normal.jpg","View")</f>
        <v>View</v>
      </c>
      <c r="P2465" s="11"/>
    </row>
    <row r="2466" spans="1:16" ht="12.75" x14ac:dyDescent="0.35">
      <c r="A2466" s="7">
        <v>42482.52134259259</v>
      </c>
      <c r="B2466" s="8" t="str">
        <f>HYPERLINK("https://twitter.com/siemens_press","@siemens_press")</f>
        <v>@siemens_press</v>
      </c>
      <c r="C2466" s="9" t="s">
        <v>3354</v>
      </c>
      <c r="D2466" s="9" t="s">
        <v>4337</v>
      </c>
      <c r="E2466" s="10" t="str">
        <f>HYPERLINK("https://twitter.com/siemens_press/status/723406163778228224","723406163778228224")</f>
        <v>723406163778228224</v>
      </c>
      <c r="F2466" s="11" t="s">
        <v>39</v>
      </c>
      <c r="G2466" s="11">
        <v>8957</v>
      </c>
      <c r="H2466" s="11">
        <v>174</v>
      </c>
      <c r="I2466" s="11">
        <v>5</v>
      </c>
      <c r="J2466" s="11">
        <v>2</v>
      </c>
      <c r="K2466" s="11" t="s">
        <v>21</v>
      </c>
      <c r="L2466" s="7">
        <v>40869.680115740739</v>
      </c>
      <c r="M2466" s="12" t="s">
        <v>1148</v>
      </c>
      <c r="N2466" s="12" t="s">
        <v>3356</v>
      </c>
      <c r="O2466" s="10" t="str">
        <f>HYPERLINK("https://pbs.twimg.com/profile_images/459331247488004096/2K0groDQ_normal.png","View")</f>
        <v>View</v>
      </c>
      <c r="P2466" s="11"/>
    </row>
    <row r="2467" spans="1:16" ht="12.75" x14ac:dyDescent="0.35">
      <c r="A2467" s="7">
        <v>42482.521550925929</v>
      </c>
      <c r="B2467" s="8" t="str">
        <f>HYPERLINK("https://twitter.com/innovationbawue","@innovationbawue")</f>
        <v>@innovationbawue</v>
      </c>
      <c r="C2467" s="8" t="s">
        <v>1173</v>
      </c>
      <c r="D2467" s="9" t="s">
        <v>4245</v>
      </c>
      <c r="E2467" s="10" t="str">
        <f>HYPERLINK("https://twitter.com/innovationbawue/status/723406238629826560","723406238629826560")</f>
        <v>723406238629826560</v>
      </c>
      <c r="F2467" s="11" t="s">
        <v>25</v>
      </c>
      <c r="G2467" s="11">
        <v>209</v>
      </c>
      <c r="H2467" s="11">
        <v>353</v>
      </c>
      <c r="I2467" s="11">
        <v>4</v>
      </c>
      <c r="J2467" s="11">
        <v>0</v>
      </c>
      <c r="K2467" s="11" t="s">
        <v>21</v>
      </c>
      <c r="L2467" s="7">
        <v>42380.713946759264</v>
      </c>
      <c r="M2467" s="12" t="s">
        <v>985</v>
      </c>
      <c r="N2467" s="12" t="s">
        <v>1175</v>
      </c>
      <c r="O2467" s="10" t="str">
        <f>HYPERLINK("https://pbs.twimg.com/profile_images/719538951988592641/7lKnB2dG_normal.jpg","View")</f>
        <v>View</v>
      </c>
      <c r="P2467" s="11"/>
    </row>
    <row r="2468" spans="1:16" ht="12.75" x14ac:dyDescent="0.35">
      <c r="A2468" s="7">
        <v>42482.521620370375</v>
      </c>
      <c r="B2468" s="8" t="str">
        <f>HYPERLINK("https://twitter.com/AndreHD20","@AndreHD20")</f>
        <v>@AndreHD20</v>
      </c>
      <c r="C2468" s="9" t="s">
        <v>1693</v>
      </c>
      <c r="D2468" s="9" t="s">
        <v>4338</v>
      </c>
      <c r="E2468" s="10" t="str">
        <f>HYPERLINK("https://twitter.com/AndreHD20/status/723406266492575744","723406266492575744")</f>
        <v>723406266492575744</v>
      </c>
      <c r="F2468" s="11" t="s">
        <v>25</v>
      </c>
      <c r="G2468" s="11">
        <v>981</v>
      </c>
      <c r="H2468" s="11">
        <v>37</v>
      </c>
      <c r="I2468" s="11">
        <v>0</v>
      </c>
      <c r="J2468" s="11">
        <v>0</v>
      </c>
      <c r="K2468" s="11" t="s">
        <v>21</v>
      </c>
      <c r="L2468" s="7">
        <v>41954.033009259263</v>
      </c>
      <c r="M2468" s="12" t="s">
        <v>1694</v>
      </c>
      <c r="N2468" s="12" t="s">
        <v>1695</v>
      </c>
      <c r="O2468" s="10" t="str">
        <f>HYPERLINK("https://pbs.twimg.com/profile_images/701346285345972224/o2eiYGY__normal.jpg","View")</f>
        <v>View</v>
      </c>
      <c r="P2468" s="11"/>
    </row>
    <row r="2469" spans="1:16" ht="12.75" x14ac:dyDescent="0.35">
      <c r="A2469" s="7">
        <v>42482.521643518514</v>
      </c>
      <c r="B2469" s="8" t="str">
        <f>HYPERLINK("https://twitter.com/INDIZbot","@INDIZbot")</f>
        <v>@INDIZbot</v>
      </c>
      <c r="C2469" s="9" t="s">
        <v>61</v>
      </c>
      <c r="D2469" s="9" t="s">
        <v>4339</v>
      </c>
      <c r="E2469" s="10" t="str">
        <f>HYPERLINK("https://twitter.com/INDIZbot/status/723406272624611329","723406272624611329")</f>
        <v>723406272624611329</v>
      </c>
      <c r="F2469" s="11" t="s">
        <v>62</v>
      </c>
      <c r="G2469" s="11">
        <v>1762</v>
      </c>
      <c r="H2469" s="11">
        <v>481</v>
      </c>
      <c r="I2469" s="11">
        <v>3</v>
      </c>
      <c r="J2469" s="11">
        <v>0</v>
      </c>
      <c r="K2469" s="11" t="s">
        <v>21</v>
      </c>
      <c r="L2469" s="7">
        <v>42267.011921296296</v>
      </c>
      <c r="M2469" s="12"/>
      <c r="N2469" s="12" t="s">
        <v>63</v>
      </c>
      <c r="O2469" s="10" t="str">
        <f>HYPERLINK("https://pbs.twimg.com/profile_images/645716711723925506/t5G0qOS6_normal.jpg","View")</f>
        <v>View</v>
      </c>
      <c r="P2469" s="11"/>
    </row>
    <row r="2470" spans="1:16" ht="12.75" x14ac:dyDescent="0.35">
      <c r="A2470" s="7">
        <v>42482.522233796291</v>
      </c>
      <c r="B2470" s="8" t="str">
        <f>HYPERLINK("https://twitter.com/knauf_philipp","@knauf_philipp")</f>
        <v>@knauf_philipp</v>
      </c>
      <c r="C2470" s="9" t="s">
        <v>1760</v>
      </c>
      <c r="D2470" s="9" t="s">
        <v>4340</v>
      </c>
      <c r="E2470" s="10" t="str">
        <f>HYPERLINK("https://twitter.com/knauf_philipp/status/723406489273004032","723406489273004032")</f>
        <v>723406489273004032</v>
      </c>
      <c r="F2470" s="11" t="s">
        <v>25</v>
      </c>
      <c r="G2470" s="11">
        <v>16</v>
      </c>
      <c r="H2470" s="11">
        <v>45</v>
      </c>
      <c r="I2470" s="11">
        <v>0</v>
      </c>
      <c r="J2470" s="11">
        <v>0</v>
      </c>
      <c r="K2470" s="11" t="s">
        <v>21</v>
      </c>
      <c r="L2470" s="7">
        <v>42257.564039351855</v>
      </c>
      <c r="M2470" s="12" t="s">
        <v>1762</v>
      </c>
      <c r="N2470" s="12" t="s">
        <v>1763</v>
      </c>
      <c r="O2470" s="10" t="str">
        <f>HYPERLINK("https://pbs.twimg.com/profile_images/709647002586497024/8PZ2WUY3_normal.jpg","View")</f>
        <v>View</v>
      </c>
      <c r="P2470" s="11"/>
    </row>
    <row r="2471" spans="1:16" ht="12.75" x14ac:dyDescent="0.35">
      <c r="A2471" s="7">
        <v>42482.523090277777</v>
      </c>
      <c r="B2471" s="8" t="str">
        <f>HYPERLINK("https://twitter.com/INDIZbot","@INDIZbot")</f>
        <v>@INDIZbot</v>
      </c>
      <c r="C2471" s="9" t="s">
        <v>61</v>
      </c>
      <c r="D2471" s="9" t="s">
        <v>4341</v>
      </c>
      <c r="E2471" s="10" t="str">
        <f>HYPERLINK("https://twitter.com/INDIZbot/status/723406796950376448","723406796950376448")</f>
        <v>723406796950376448</v>
      </c>
      <c r="F2471" s="11" t="s">
        <v>62</v>
      </c>
      <c r="G2471" s="11">
        <v>1762</v>
      </c>
      <c r="H2471" s="11">
        <v>481</v>
      </c>
      <c r="I2471" s="11">
        <v>2</v>
      </c>
      <c r="J2471" s="11">
        <v>0</v>
      </c>
      <c r="K2471" s="11" t="s">
        <v>21</v>
      </c>
      <c r="L2471" s="7">
        <v>42267.011921296296</v>
      </c>
      <c r="M2471" s="12"/>
      <c r="N2471" s="12" t="s">
        <v>63</v>
      </c>
      <c r="O2471" s="10" t="str">
        <f>HYPERLINK("https://pbs.twimg.com/profile_images/645716711723925506/t5G0qOS6_normal.jpg","View")</f>
        <v>View</v>
      </c>
      <c r="P2471" s="11"/>
    </row>
    <row r="2472" spans="1:16" ht="12.75" x14ac:dyDescent="0.35">
      <c r="A2472" s="7">
        <v>42482.524537037039</v>
      </c>
      <c r="B2472" s="8" t="str">
        <f>HYPERLINK("https://twitter.com/CapgeminiDE","@CapgeminiDE")</f>
        <v>@CapgeminiDE</v>
      </c>
      <c r="C2472" s="9" t="s">
        <v>280</v>
      </c>
      <c r="D2472" s="9" t="s">
        <v>4342</v>
      </c>
      <c r="E2472" s="10" t="str">
        <f>HYPERLINK("https://twitter.com/CapgeminiDE/status/723407321427107840","723407321427107840")</f>
        <v>723407321427107840</v>
      </c>
      <c r="F2472" s="11" t="s">
        <v>39</v>
      </c>
      <c r="G2472" s="11">
        <v>1640</v>
      </c>
      <c r="H2472" s="11">
        <v>509</v>
      </c>
      <c r="I2472" s="11">
        <v>0</v>
      </c>
      <c r="J2472" s="11">
        <v>1</v>
      </c>
      <c r="K2472" s="11" t="s">
        <v>21</v>
      </c>
      <c r="L2472" s="7">
        <v>40424.022048611107</v>
      </c>
      <c r="M2472" s="12" t="s">
        <v>218</v>
      </c>
      <c r="N2472" s="12" t="s">
        <v>282</v>
      </c>
      <c r="O2472" s="10" t="str">
        <f>HYPERLINK("https://pbs.twimg.com/profile_images/666911961599315968/aP7ID_qm_normal.png","View")</f>
        <v>View</v>
      </c>
      <c r="P2472" s="11"/>
    </row>
    <row r="2473" spans="1:16" ht="12.75" x14ac:dyDescent="0.35">
      <c r="A2473" s="7">
        <v>42482.524884259255</v>
      </c>
      <c r="B2473" s="8" t="str">
        <f>HYPERLINK("https://twitter.com/VDE_Group","@VDE_Group")</f>
        <v>@VDE_Group</v>
      </c>
      <c r="C2473" s="9" t="s">
        <v>3130</v>
      </c>
      <c r="D2473" s="9" t="s">
        <v>4343</v>
      </c>
      <c r="E2473" s="10" t="str">
        <f>HYPERLINK("https://twitter.com/VDE_Group/status/723407446379626497","723407446379626497")</f>
        <v>723407446379626497</v>
      </c>
      <c r="F2473" s="11" t="s">
        <v>785</v>
      </c>
      <c r="G2473" s="11">
        <v>1645</v>
      </c>
      <c r="H2473" s="11">
        <v>398</v>
      </c>
      <c r="I2473" s="11">
        <v>3</v>
      </c>
      <c r="J2473" s="11">
        <v>1</v>
      </c>
      <c r="K2473" s="11" t="s">
        <v>21</v>
      </c>
      <c r="L2473" s="7">
        <v>40025.606932870374</v>
      </c>
      <c r="M2473" s="12" t="s">
        <v>2217</v>
      </c>
      <c r="N2473" s="12" t="s">
        <v>3132</v>
      </c>
      <c r="O2473" s="10" t="str">
        <f>HYPERLINK("https://pbs.twimg.com/profile_images/481000476872175616/HSvfIApp_normal.jpeg","View")</f>
        <v>View</v>
      </c>
      <c r="P2473" s="11"/>
    </row>
    <row r="2474" spans="1:16" ht="12.75" x14ac:dyDescent="0.35">
      <c r="A2474" s="7">
        <v>42482.525277777779</v>
      </c>
      <c r="B2474" s="8" t="str">
        <f>HYPERLINK("https://twitter.com/WSattlberger","@WSattlberger")</f>
        <v>@WSattlberger</v>
      </c>
      <c r="C2474" s="9" t="s">
        <v>4344</v>
      </c>
      <c r="D2474" s="9" t="s">
        <v>4345</v>
      </c>
      <c r="E2474" s="10" t="str">
        <f>HYPERLINK("https://twitter.com/WSattlberger/status/723407589334118400","723407589334118400")</f>
        <v>723407589334118400</v>
      </c>
      <c r="F2474" s="11" t="s">
        <v>31</v>
      </c>
      <c r="G2474" s="11">
        <v>81</v>
      </c>
      <c r="H2474" s="11">
        <v>111</v>
      </c>
      <c r="I2474" s="11">
        <v>5</v>
      </c>
      <c r="J2474" s="11">
        <v>0</v>
      </c>
      <c r="K2474" s="11" t="s">
        <v>21</v>
      </c>
      <c r="L2474" s="7">
        <v>41563.512025462966</v>
      </c>
      <c r="M2474" s="12" t="s">
        <v>406</v>
      </c>
      <c r="N2474" s="12" t="s">
        <v>4346</v>
      </c>
      <c r="O2474" s="10" t="str">
        <f>HYPERLINK("https://pbs.twimg.com/profile_images/659395378723225600/zdE7dn4F_normal.jpg","View")</f>
        <v>View</v>
      </c>
      <c r="P2474" s="11"/>
    </row>
    <row r="2475" spans="1:16" ht="12.75" x14ac:dyDescent="0.35">
      <c r="A2475" s="7">
        <v>42482.526180555556</v>
      </c>
      <c r="B2475" s="8" t="str">
        <f>HYPERLINK("https://twitter.com/IEBook","@IEBook")</f>
        <v>@IEBook</v>
      </c>
      <c r="C2475" s="9" t="s">
        <v>2966</v>
      </c>
      <c r="D2475" s="9" t="s">
        <v>4345</v>
      </c>
      <c r="E2475" s="10" t="str">
        <f>HYPERLINK("https://twitter.com/IEBook/status/723407916942774272","723407916942774272")</f>
        <v>723407916942774272</v>
      </c>
      <c r="F2475" s="11" t="s">
        <v>25</v>
      </c>
      <c r="G2475" s="11">
        <v>1757</v>
      </c>
      <c r="H2475" s="11">
        <v>46</v>
      </c>
      <c r="I2475" s="11">
        <v>5</v>
      </c>
      <c r="J2475" s="11">
        <v>0</v>
      </c>
      <c r="K2475" s="11" t="s">
        <v>21</v>
      </c>
      <c r="L2475" s="7">
        <v>40073.879814814813</v>
      </c>
      <c r="M2475" s="12"/>
      <c r="N2475" s="12" t="s">
        <v>2968</v>
      </c>
      <c r="O2475" s="10" t="str">
        <f>HYPERLINK("https://pbs.twimg.com/profile_images/718453542210703360/gxKMOQIw_normal.jpg","View")</f>
        <v>View</v>
      </c>
      <c r="P2475" s="11"/>
    </row>
    <row r="2476" spans="1:16" ht="12.75" x14ac:dyDescent="0.35">
      <c r="A2476" s="7">
        <v>42482.527048611111</v>
      </c>
      <c r="B2476" s="8" t="str">
        <f>HYPERLINK("https://twitter.com/HilgerVoss","@HilgerVoss")</f>
        <v>@HilgerVoss</v>
      </c>
      <c r="C2476" s="9" t="s">
        <v>966</v>
      </c>
      <c r="D2476" s="9" t="s">
        <v>4341</v>
      </c>
      <c r="E2476" s="10" t="str">
        <f>HYPERLINK("https://twitter.com/HilgerVoss/status/723408234212544515","723408234212544515")</f>
        <v>723408234212544515</v>
      </c>
      <c r="F2476" s="11" t="s">
        <v>25</v>
      </c>
      <c r="G2476" s="11">
        <v>873</v>
      </c>
      <c r="H2476" s="11">
        <v>1069</v>
      </c>
      <c r="I2476" s="11">
        <v>2</v>
      </c>
      <c r="J2476" s="11">
        <v>0</v>
      </c>
      <c r="K2476" s="11" t="s">
        <v>21</v>
      </c>
      <c r="L2476" s="7">
        <v>42270.528460648144</v>
      </c>
      <c r="M2476" s="12" t="s">
        <v>116</v>
      </c>
      <c r="N2476" s="12" t="s">
        <v>967</v>
      </c>
      <c r="O2476" s="10" t="str">
        <f>HYPERLINK("https://pbs.twimg.com/profile_images/647052308170297344/Q29AIuZ__normal.jpg","View")</f>
        <v>View</v>
      </c>
      <c r="P2476" s="11"/>
    </row>
    <row r="2477" spans="1:16" ht="12.75" x14ac:dyDescent="0.35">
      <c r="A2477" s="7">
        <v>42482.527997685189</v>
      </c>
      <c r="B2477" s="8" t="str">
        <f>HYPERLINK("https://twitter.com/GTAI_com","@GTAI_com")</f>
        <v>@GTAI_com</v>
      </c>
      <c r="C2477" s="9" t="s">
        <v>3393</v>
      </c>
      <c r="D2477" s="9" t="s">
        <v>4347</v>
      </c>
      <c r="E2477" s="10" t="str">
        <f>HYPERLINK("https://twitter.com/GTAI_com/status/723408574559350784","723408574559350784")</f>
        <v>723408574559350784</v>
      </c>
      <c r="F2477" s="11" t="s">
        <v>39</v>
      </c>
      <c r="G2477" s="11">
        <v>6145</v>
      </c>
      <c r="H2477" s="11">
        <v>518</v>
      </c>
      <c r="I2477" s="11">
        <v>0</v>
      </c>
      <c r="J2477" s="11">
        <v>0</v>
      </c>
      <c r="K2477" s="11" t="s">
        <v>21</v>
      </c>
      <c r="L2477" s="7">
        <v>40855.83326388889</v>
      </c>
      <c r="M2477" s="12" t="s">
        <v>218</v>
      </c>
      <c r="N2477" s="12" t="s">
        <v>3395</v>
      </c>
      <c r="O2477" s="10" t="str">
        <f>HYPERLINK("https://pbs.twimg.com/profile_images/716977461079179268/JVN5NZO8_normal.jpg","View")</f>
        <v>View</v>
      </c>
      <c r="P2477" s="11"/>
    </row>
    <row r="2478" spans="1:16" ht="12.75" x14ac:dyDescent="0.35">
      <c r="A2478" s="7">
        <v>42482.529178240744</v>
      </c>
      <c r="B2478" s="8" t="str">
        <f>HYPERLINK("https://twitter.com/QuickFindsIn","@QuickFindsIn")</f>
        <v>@QuickFindsIn</v>
      </c>
      <c r="C2478" s="9" t="s">
        <v>208</v>
      </c>
      <c r="D2478" s="9" t="s">
        <v>710</v>
      </c>
      <c r="E2478" s="10" t="str">
        <f>HYPERLINK("https://twitter.com/QuickFindsIn/status/723409005557649408","723409005557649408")</f>
        <v>723409005557649408</v>
      </c>
      <c r="F2478" s="11" t="s">
        <v>210</v>
      </c>
      <c r="G2478" s="11">
        <v>1895</v>
      </c>
      <c r="H2478" s="11">
        <v>2758</v>
      </c>
      <c r="I2478" s="11">
        <v>0</v>
      </c>
      <c r="J2478" s="11">
        <v>0</v>
      </c>
      <c r="K2478" s="11" t="s">
        <v>21</v>
      </c>
      <c r="L2478" s="7">
        <v>42069.582048611112</v>
      </c>
      <c r="M2478" s="12" t="s">
        <v>211</v>
      </c>
      <c r="N2478" s="12" t="s">
        <v>212</v>
      </c>
      <c r="O2478" s="10" t="str">
        <f>HYPERLINK("https://pbs.twimg.com/profile_images/591951396217327616/HbcCX2zX_normal.png","View")</f>
        <v>View</v>
      </c>
      <c r="P2478" s="11"/>
    </row>
    <row r="2479" spans="1:16" ht="12.75" x14ac:dyDescent="0.35">
      <c r="A2479" s="7">
        <v>42482.529340277775</v>
      </c>
      <c r="B2479" s="8" t="str">
        <f>HYPERLINK("https://twitter.com/christophwitte","@christophwitte")</f>
        <v>@christophwitte</v>
      </c>
      <c r="C2479" s="9" t="s">
        <v>972</v>
      </c>
      <c r="D2479" s="9" t="s">
        <v>4348</v>
      </c>
      <c r="E2479" s="10" t="str">
        <f>HYPERLINK("https://twitter.com/christophwitte/status/723409063715831808","723409063715831808")</f>
        <v>723409063715831808</v>
      </c>
      <c r="F2479" s="11" t="s">
        <v>115</v>
      </c>
      <c r="G2479" s="11">
        <v>1402</v>
      </c>
      <c r="H2479" s="11">
        <v>622</v>
      </c>
      <c r="I2479" s="11">
        <v>0</v>
      </c>
      <c r="J2479" s="11">
        <v>0</v>
      </c>
      <c r="K2479" s="11" t="s">
        <v>21</v>
      </c>
      <c r="L2479" s="7">
        <v>40378.60528935185</v>
      </c>
      <c r="M2479" s="12" t="s">
        <v>689</v>
      </c>
      <c r="N2479" s="12" t="s">
        <v>974</v>
      </c>
      <c r="O2479" s="10" t="str">
        <f>HYPERLINK("https://pbs.twimg.com/profile_images/618449316055748612/F_9LrZDf_normal.jpg","View")</f>
        <v>View</v>
      </c>
      <c r="P2479" s="11"/>
    </row>
    <row r="2480" spans="1:16" ht="12.75" x14ac:dyDescent="0.35">
      <c r="A2480" s="7">
        <v>42482.529340277775</v>
      </c>
      <c r="B2480" s="8" t="str">
        <f>HYPERLINK("https://twitter.com/it_rebellen","@it_rebellen")</f>
        <v>@it_rebellen</v>
      </c>
      <c r="C2480" s="9" t="s">
        <v>975</v>
      </c>
      <c r="D2480" s="9" t="s">
        <v>4349</v>
      </c>
      <c r="E2480" s="10" t="str">
        <f>HYPERLINK("https://twitter.com/it_rebellen/status/723409063736807424","723409063736807424")</f>
        <v>723409063736807424</v>
      </c>
      <c r="F2480" s="11" t="s">
        <v>115</v>
      </c>
      <c r="G2480" s="11">
        <v>573</v>
      </c>
      <c r="H2480" s="11">
        <v>253</v>
      </c>
      <c r="I2480" s="11">
        <v>0</v>
      </c>
      <c r="J2480" s="11">
        <v>0</v>
      </c>
      <c r="K2480" s="11" t="s">
        <v>21</v>
      </c>
      <c r="L2480" s="7">
        <v>41401.659270833334</v>
      </c>
      <c r="M2480" s="12"/>
      <c r="N2480" s="12"/>
      <c r="O2480" s="10" t="str">
        <f>HYPERLINK("https://pbs.twimg.com/profile_images/3625979673/acb661eae563d818836eb138c74e91f7_normal.jpeg","View")</f>
        <v>View</v>
      </c>
      <c r="P2480" s="11"/>
    </row>
    <row r="2481" spans="1:16" ht="12.75" x14ac:dyDescent="0.35">
      <c r="A2481" s="7">
        <v>42482.529340277775</v>
      </c>
      <c r="B2481" s="8" t="str">
        <f>HYPERLINK("https://twitter.com/CIOVoice","@CIOVoice")</f>
        <v>@CIOVoice</v>
      </c>
      <c r="C2481" s="9" t="s">
        <v>4350</v>
      </c>
      <c r="D2481" s="9" t="s">
        <v>4351</v>
      </c>
      <c r="E2481" s="10" t="str">
        <f>HYPERLINK("https://twitter.com/CIOVoice/status/723409063791349760","723409063791349760")</f>
        <v>723409063791349760</v>
      </c>
      <c r="F2481" s="11" t="s">
        <v>115</v>
      </c>
      <c r="G2481" s="11">
        <v>132</v>
      </c>
      <c r="H2481" s="11">
        <v>43</v>
      </c>
      <c r="I2481" s="11">
        <v>0</v>
      </c>
      <c r="J2481" s="11">
        <v>0</v>
      </c>
      <c r="K2481" s="11" t="s">
        <v>21</v>
      </c>
      <c r="L2481" s="7">
        <v>40854.822789351849</v>
      </c>
      <c r="M2481" s="12" t="s">
        <v>4352</v>
      </c>
      <c r="N2481" s="12" t="s">
        <v>4353</v>
      </c>
      <c r="O2481" s="10" t="str">
        <f>HYPERLINK("https://pbs.twimg.com/profile_images/572399545279971328/fEGOYeng_normal.jpeg","View")</f>
        <v>View</v>
      </c>
      <c r="P2481" s="11"/>
    </row>
    <row r="2482" spans="1:16" ht="12.75" x14ac:dyDescent="0.35">
      <c r="A2482" s="7">
        <v>42482.529386574075</v>
      </c>
      <c r="B2482" s="8" t="str">
        <f>HYPERLINK("https://twitter.com/rreitz1","@rreitz1")</f>
        <v>@rreitz1</v>
      </c>
      <c r="C2482" s="9" t="s">
        <v>4354</v>
      </c>
      <c r="D2482" s="9" t="s">
        <v>4355</v>
      </c>
      <c r="E2482" s="10" t="str">
        <f>HYPERLINK("https://twitter.com/rreitz1/status/723409080811835392","723409080811835392")</f>
        <v>723409080811835392</v>
      </c>
      <c r="F2482" s="11" t="s">
        <v>25</v>
      </c>
      <c r="G2482" s="11">
        <v>965</v>
      </c>
      <c r="H2482" s="11">
        <v>2024</v>
      </c>
      <c r="I2482" s="11">
        <v>2</v>
      </c>
      <c r="J2482" s="11">
        <v>1</v>
      </c>
      <c r="K2482" s="11" t="s">
        <v>21</v>
      </c>
      <c r="L2482" s="7">
        <v>40370.782430555555</v>
      </c>
      <c r="M2482" s="12" t="s">
        <v>4356</v>
      </c>
      <c r="N2482" s="12" t="s">
        <v>4357</v>
      </c>
      <c r="O2482" s="10" t="str">
        <f>HYPERLINK("https://pbs.twimg.com/profile_images/706179725409034240/LeeUleiq_normal.jpg","View")</f>
        <v>View</v>
      </c>
      <c r="P2482" s="11"/>
    </row>
    <row r="2483" spans="1:16" ht="12.75" x14ac:dyDescent="0.35">
      <c r="A2483" s="7">
        <v>42482.529490740737</v>
      </c>
      <c r="B2483" s="8" t="str">
        <f>HYPERLINK("https://twitter.com/INDIZbot","@INDIZbot")</f>
        <v>@INDIZbot</v>
      </c>
      <c r="C2483" s="9" t="s">
        <v>61</v>
      </c>
      <c r="D2483" s="9" t="s">
        <v>4358</v>
      </c>
      <c r="E2483" s="10" t="str">
        <f>HYPERLINK("https://twitter.com/INDIZbot/status/723409116983492608","723409116983492608")</f>
        <v>723409116983492608</v>
      </c>
      <c r="F2483" s="11" t="s">
        <v>62</v>
      </c>
      <c r="G2483" s="11">
        <v>1762</v>
      </c>
      <c r="H2483" s="11">
        <v>481</v>
      </c>
      <c r="I2483" s="11">
        <v>3</v>
      </c>
      <c r="J2483" s="11">
        <v>0</v>
      </c>
      <c r="K2483" s="11" t="s">
        <v>21</v>
      </c>
      <c r="L2483" s="7">
        <v>42267.011921296296</v>
      </c>
      <c r="M2483" s="12"/>
      <c r="N2483" s="12" t="s">
        <v>63</v>
      </c>
      <c r="O2483" s="10" t="str">
        <f>HYPERLINK("https://pbs.twimg.com/profile_images/645716711723925506/t5G0qOS6_normal.jpg","View")</f>
        <v>View</v>
      </c>
      <c r="P2483" s="11"/>
    </row>
    <row r="2484" spans="1:16" ht="12.75" x14ac:dyDescent="0.35">
      <c r="A2484" s="7">
        <v>42482.529490740737</v>
      </c>
      <c r="B2484" s="8" t="str">
        <f>HYPERLINK("https://twitter.com/DerKonstrukteu","@DerKonstrukteu")</f>
        <v>@DerKonstrukteu</v>
      </c>
      <c r="C2484" s="9" t="s">
        <v>2098</v>
      </c>
      <c r="D2484" s="9" t="s">
        <v>4359</v>
      </c>
      <c r="E2484" s="10" t="str">
        <f>HYPERLINK("https://twitter.com/DerKonstrukteu/status/723409119332331521","723409119332331521")</f>
        <v>723409119332331521</v>
      </c>
      <c r="F2484" s="11" t="s">
        <v>25</v>
      </c>
      <c r="G2484" s="11">
        <v>1142</v>
      </c>
      <c r="H2484" s="11">
        <v>610</v>
      </c>
      <c r="I2484" s="11">
        <v>0</v>
      </c>
      <c r="J2484" s="11">
        <v>1</v>
      </c>
      <c r="K2484" s="11" t="s">
        <v>21</v>
      </c>
      <c r="L2484" s="7">
        <v>41612.809548611112</v>
      </c>
      <c r="M2484" s="12" t="s">
        <v>2100</v>
      </c>
      <c r="N2484" s="12" t="s">
        <v>2101</v>
      </c>
      <c r="O2484" s="10" t="str">
        <f>HYPERLINK("https://pbs.twimg.com/profile_images/448785978165968896/SQOcI8cJ_normal.png","View")</f>
        <v>View</v>
      </c>
      <c r="P2484" s="11"/>
    </row>
    <row r="2485" spans="1:16" ht="12.75" x14ac:dyDescent="0.35">
      <c r="A2485" s="7">
        <v>42482.531111111108</v>
      </c>
      <c r="B2485" s="8" t="str">
        <f>HYPERLINK("https://twitter.com/BerHerg","@BerHerg")</f>
        <v>@BerHerg</v>
      </c>
      <c r="C2485" s="9" t="s">
        <v>1870</v>
      </c>
      <c r="D2485" s="9" t="s">
        <v>3946</v>
      </c>
      <c r="E2485" s="10" t="str">
        <f>HYPERLINK("https://twitter.com/BerHerg/status/723409703204585472","723409703204585472")</f>
        <v>723409703204585472</v>
      </c>
      <c r="F2485" s="11" t="s">
        <v>25</v>
      </c>
      <c r="G2485" s="11">
        <v>244</v>
      </c>
      <c r="H2485" s="11">
        <v>82</v>
      </c>
      <c r="I2485" s="11">
        <v>2</v>
      </c>
      <c r="J2485" s="11">
        <v>0</v>
      </c>
      <c r="K2485" s="11" t="s">
        <v>21</v>
      </c>
      <c r="L2485" s="7">
        <v>40269.782847222225</v>
      </c>
      <c r="M2485" s="12" t="s">
        <v>1872</v>
      </c>
      <c r="N2485" s="12" t="s">
        <v>1873</v>
      </c>
      <c r="O2485" s="10" t="str">
        <f>HYPERLINK("https://pbs.twimg.com/profile_images/1648827386/image_normal.jpg","View")</f>
        <v>View</v>
      </c>
      <c r="P2485" s="11"/>
    </row>
    <row r="2486" spans="1:16" ht="12.75" x14ac:dyDescent="0.35">
      <c r="A2486" s="7">
        <v>42482.53125</v>
      </c>
      <c r="B2486" s="8" t="str">
        <f>HYPERLINK("https://twitter.com/View85","@View85")</f>
        <v>@View85</v>
      </c>
      <c r="C2486" s="9" t="s">
        <v>4360</v>
      </c>
      <c r="D2486" s="9" t="s">
        <v>4361</v>
      </c>
      <c r="E2486" s="10" t="str">
        <f>HYPERLINK("https://twitter.com/View85/status/723409754794561537","723409754794561537")</f>
        <v>723409754794561537</v>
      </c>
      <c r="F2486" s="11" t="s">
        <v>25</v>
      </c>
      <c r="G2486" s="11">
        <v>780</v>
      </c>
      <c r="H2486" s="11">
        <v>321</v>
      </c>
      <c r="I2486" s="11">
        <v>2</v>
      </c>
      <c r="J2486" s="11">
        <v>0</v>
      </c>
      <c r="K2486" s="11" t="s">
        <v>21</v>
      </c>
      <c r="L2486" s="7">
        <v>40069.782268518517</v>
      </c>
      <c r="M2486" s="12" t="s">
        <v>689</v>
      </c>
      <c r="N2486" s="12" t="s">
        <v>4362</v>
      </c>
      <c r="O2486" s="10" t="str">
        <f>HYPERLINK("https://pbs.twimg.com/profile_images/533525565954084864/GuMd6KSl_normal.jpeg","View")</f>
        <v>View</v>
      </c>
      <c r="P2486" s="11"/>
    </row>
    <row r="2487" spans="1:16" ht="12.75" x14ac:dyDescent="0.35">
      <c r="A2487" s="7">
        <v>42482.534016203703</v>
      </c>
      <c r="B2487" s="8" t="str">
        <f>HYPERLINK("https://twitter.com/Fraunhofer_IPA","@Fraunhofer_IPA")</f>
        <v>@Fraunhofer_IPA</v>
      </c>
      <c r="C2487" s="9" t="s">
        <v>1799</v>
      </c>
      <c r="D2487" s="9" t="s">
        <v>4363</v>
      </c>
      <c r="E2487" s="10" t="str">
        <f>HYPERLINK("https://twitter.com/Fraunhofer_IPA/status/723410755266080769","723410755266080769")</f>
        <v>723410755266080769</v>
      </c>
      <c r="F2487" s="11" t="s">
        <v>25</v>
      </c>
      <c r="G2487" s="11">
        <v>1698</v>
      </c>
      <c r="H2487" s="11">
        <v>99</v>
      </c>
      <c r="I2487" s="11">
        <v>1</v>
      </c>
      <c r="J2487" s="11">
        <v>2</v>
      </c>
      <c r="K2487" s="11" t="s">
        <v>21</v>
      </c>
      <c r="L2487" s="7">
        <v>40366.710729166669</v>
      </c>
      <c r="M2487" s="12" t="s">
        <v>157</v>
      </c>
      <c r="N2487" s="12" t="s">
        <v>1801</v>
      </c>
      <c r="O2487" s="10" t="str">
        <f>HYPERLINK("https://pbs.twimg.com/profile_images/423438208873922560/3cq2Jpt-_normal.jpeg","View")</f>
        <v>View</v>
      </c>
      <c r="P2487" s="11"/>
    </row>
    <row r="2488" spans="1:16" ht="12.75" x14ac:dyDescent="0.35">
      <c r="A2488" s="7">
        <v>42482.535254629634</v>
      </c>
      <c r="B2488" s="8" t="str">
        <f>HYPERLINK("https://twitter.com/SabineGillessen","@SabineGillessen")</f>
        <v>@SabineGillessen</v>
      </c>
      <c r="C2488" s="9" t="s">
        <v>4364</v>
      </c>
      <c r="D2488" s="9" t="s">
        <v>4195</v>
      </c>
      <c r="E2488" s="10" t="str">
        <f>HYPERLINK("https://twitter.com/SabineGillessen/status/723411206556413952","723411206556413952")</f>
        <v>723411206556413952</v>
      </c>
      <c r="F2488" s="11" t="s">
        <v>29</v>
      </c>
      <c r="G2488" s="11">
        <v>819</v>
      </c>
      <c r="H2488" s="11">
        <v>1803</v>
      </c>
      <c r="I2488" s="11">
        <v>2</v>
      </c>
      <c r="J2488" s="11">
        <v>0</v>
      </c>
      <c r="K2488" s="11" t="s">
        <v>21</v>
      </c>
      <c r="L2488" s="7">
        <v>41035.070289351854</v>
      </c>
      <c r="M2488" s="12"/>
      <c r="N2488" s="12" t="s">
        <v>4365</v>
      </c>
      <c r="O2488" s="10" t="str">
        <f>HYPERLINK("https://pbs.twimg.com/profile_images/689200589851508737/q7a1TiZV_normal.jpg","View")</f>
        <v>View</v>
      </c>
      <c r="P2488" s="11"/>
    </row>
    <row r="2489" spans="1:16" ht="12.75" x14ac:dyDescent="0.35">
      <c r="A2489" s="7">
        <v>42482.535532407404</v>
      </c>
      <c r="B2489" s="8" t="str">
        <f>HYPERLINK("https://twitter.com/INDIZbot","@INDIZbot")</f>
        <v>@INDIZbot</v>
      </c>
      <c r="C2489" s="9" t="s">
        <v>61</v>
      </c>
      <c r="D2489" s="9" t="s">
        <v>4366</v>
      </c>
      <c r="E2489" s="10" t="str">
        <f>HYPERLINK("https://twitter.com/INDIZbot/status/723411305642651655","723411305642651655")</f>
        <v>723411305642651655</v>
      </c>
      <c r="F2489" s="11" t="s">
        <v>62</v>
      </c>
      <c r="G2489" s="11">
        <v>1762</v>
      </c>
      <c r="H2489" s="11">
        <v>481</v>
      </c>
      <c r="I2489" s="11">
        <v>1</v>
      </c>
      <c r="J2489" s="11">
        <v>0</v>
      </c>
      <c r="K2489" s="11" t="s">
        <v>21</v>
      </c>
      <c r="L2489" s="7">
        <v>42267.011921296296</v>
      </c>
      <c r="M2489" s="12"/>
      <c r="N2489" s="12" t="s">
        <v>63</v>
      </c>
      <c r="O2489" s="10" t="str">
        <f>HYPERLINK("https://pbs.twimg.com/profile_images/645716711723925506/t5G0qOS6_normal.jpg","View")</f>
        <v>View</v>
      </c>
      <c r="P2489" s="11"/>
    </row>
    <row r="2490" spans="1:16" ht="12.75" x14ac:dyDescent="0.35">
      <c r="A2490" s="7">
        <v>42482.535740740743</v>
      </c>
      <c r="B2490" s="8" t="str">
        <f>HYPERLINK("https://twitter.com/FortisPR","@FortisPR")</f>
        <v>@FortisPR</v>
      </c>
      <c r="C2490" s="9" t="s">
        <v>4367</v>
      </c>
      <c r="D2490" s="9" t="s">
        <v>4119</v>
      </c>
      <c r="E2490" s="10" t="str">
        <f>HYPERLINK("https://twitter.com/FortisPR/status/723411382960459776","723411382960459776")</f>
        <v>723411382960459776</v>
      </c>
      <c r="F2490" s="11" t="s">
        <v>25</v>
      </c>
      <c r="G2490" s="11">
        <v>201</v>
      </c>
      <c r="H2490" s="11">
        <v>261</v>
      </c>
      <c r="I2490" s="11">
        <v>3</v>
      </c>
      <c r="J2490" s="11">
        <v>0</v>
      </c>
      <c r="K2490" s="11" t="s">
        <v>21</v>
      </c>
      <c r="L2490" s="7">
        <v>40056.799467592595</v>
      </c>
      <c r="M2490" s="12" t="s">
        <v>443</v>
      </c>
      <c r="N2490" s="12" t="s">
        <v>4368</v>
      </c>
      <c r="O2490" s="10" t="str">
        <f>HYPERLINK("https://pbs.twimg.com/profile_images/2576400690/xmq1oe43pen0xmb3trm9_normal.jpeg","View")</f>
        <v>View</v>
      </c>
      <c r="P2490" s="11"/>
    </row>
    <row r="2491" spans="1:16" ht="12.75" x14ac:dyDescent="0.35">
      <c r="A2491" s="7">
        <v>42482.536168981482</v>
      </c>
      <c r="B2491" s="8" t="str">
        <f>HYPERLINK("https://twitter.com/catkinEU","@catkinEU")</f>
        <v>@catkinEU</v>
      </c>
      <c r="C2491" s="9" t="s">
        <v>781</v>
      </c>
      <c r="D2491" s="9" t="s">
        <v>4369</v>
      </c>
      <c r="E2491" s="10" t="str">
        <f>HYPERLINK("https://twitter.com/catkinEU/status/723411538569129984","723411538569129984")</f>
        <v>723411538569129984</v>
      </c>
      <c r="F2491" s="11" t="s">
        <v>115</v>
      </c>
      <c r="G2491" s="11">
        <v>403</v>
      </c>
      <c r="H2491" s="11">
        <v>541</v>
      </c>
      <c r="I2491" s="11">
        <v>0</v>
      </c>
      <c r="J2491" s="11">
        <v>1</v>
      </c>
      <c r="K2491" s="11" t="s">
        <v>21</v>
      </c>
      <c r="L2491" s="7">
        <v>42153.955763888887</v>
      </c>
      <c r="M2491" s="12"/>
      <c r="N2491" s="12" t="s">
        <v>782</v>
      </c>
      <c r="O2491" s="10" t="str">
        <f>HYPERLINK("https://pbs.twimg.com/profile_images/604338428227010560/6jzSa8us_normal.png","View")</f>
        <v>View</v>
      </c>
      <c r="P2491" s="11"/>
    </row>
    <row r="2492" spans="1:16" ht="12.75" x14ac:dyDescent="0.35">
      <c r="A2492" s="7">
        <v>42482.536435185189</v>
      </c>
      <c r="B2492" s="8" t="str">
        <f>HYPERLINK("https://twitter.com/INDIZbot","@INDIZbot")</f>
        <v>@INDIZbot</v>
      </c>
      <c r="C2492" s="9" t="s">
        <v>61</v>
      </c>
      <c r="D2492" s="9" t="s">
        <v>4361</v>
      </c>
      <c r="E2492" s="10" t="str">
        <f>HYPERLINK("https://twitter.com/INDIZbot/status/723411633721085952","723411633721085952")</f>
        <v>723411633721085952</v>
      </c>
      <c r="F2492" s="11" t="s">
        <v>62</v>
      </c>
      <c r="G2492" s="11">
        <v>1762</v>
      </c>
      <c r="H2492" s="11">
        <v>481</v>
      </c>
      <c r="I2492" s="11">
        <v>2</v>
      </c>
      <c r="J2492" s="11">
        <v>0</v>
      </c>
      <c r="K2492" s="11" t="s">
        <v>21</v>
      </c>
      <c r="L2492" s="7">
        <v>42267.011921296296</v>
      </c>
      <c r="M2492" s="12"/>
      <c r="N2492" s="12" t="s">
        <v>63</v>
      </c>
      <c r="O2492" s="10" t="str">
        <f>HYPERLINK("https://pbs.twimg.com/profile_images/645716711723925506/t5G0qOS6_normal.jpg","View")</f>
        <v>View</v>
      </c>
      <c r="P2492" s="11"/>
    </row>
    <row r="2493" spans="1:16" ht="12.75" x14ac:dyDescent="0.35">
      <c r="A2493" s="7">
        <v>42482.53770833333</v>
      </c>
      <c r="B2493" s="8" t="str">
        <f>HYPERLINK("https://twitter.com/acatech_de","@acatech_de")</f>
        <v>@acatech_de</v>
      </c>
      <c r="C2493" s="9" t="s">
        <v>1667</v>
      </c>
      <c r="D2493" s="9" t="s">
        <v>4370</v>
      </c>
      <c r="E2493" s="10" t="str">
        <f>HYPERLINK("https://twitter.com/acatech_de/status/723412094901571584","723412094901571584")</f>
        <v>723412094901571584</v>
      </c>
      <c r="F2493" s="11" t="s">
        <v>25</v>
      </c>
      <c r="G2493" s="11">
        <v>201</v>
      </c>
      <c r="H2493" s="11">
        <v>204</v>
      </c>
      <c r="I2493" s="11">
        <v>0</v>
      </c>
      <c r="J2493" s="11">
        <v>0</v>
      </c>
      <c r="K2493" s="11" t="s">
        <v>21</v>
      </c>
      <c r="L2493" s="7">
        <v>42101.61513888889</v>
      </c>
      <c r="M2493" s="12" t="s">
        <v>1669</v>
      </c>
      <c r="N2493" s="12" t="s">
        <v>1670</v>
      </c>
      <c r="O2493" s="10" t="str">
        <f>HYPERLINK("https://pbs.twimg.com/profile_images/600969802908356609/3JqGMg38_normal.png","View")</f>
        <v>View</v>
      </c>
      <c r="P2493" s="11"/>
    </row>
    <row r="2494" spans="1:16" ht="12.75" x14ac:dyDescent="0.35">
      <c r="A2494" s="7">
        <v>42482.537939814814</v>
      </c>
      <c r="B2494" s="8" t="str">
        <f t="shared" ref="B2494:B2496" si="316">HYPERLINK("https://twitter.com/PapaVise","@PapaVise")</f>
        <v>@PapaVise</v>
      </c>
      <c r="C2494" s="9" t="s">
        <v>1822</v>
      </c>
      <c r="D2494" s="9" t="s">
        <v>4371</v>
      </c>
      <c r="E2494" s="10" t="str">
        <f>HYPERLINK("https://twitter.com/PapaVise/status/723412179311988736","723412179311988736")</f>
        <v>723412179311988736</v>
      </c>
      <c r="F2494" s="11" t="s">
        <v>25</v>
      </c>
      <c r="G2494" s="11">
        <v>1146</v>
      </c>
      <c r="H2494" s="11">
        <v>1183</v>
      </c>
      <c r="I2494" s="11">
        <v>0</v>
      </c>
      <c r="J2494" s="11">
        <v>0</v>
      </c>
      <c r="K2494" s="11" t="s">
        <v>21</v>
      </c>
      <c r="L2494" s="7">
        <v>41310.781030092592</v>
      </c>
      <c r="M2494" s="12"/>
      <c r="N2494" s="12" t="s">
        <v>1824</v>
      </c>
      <c r="O2494" s="10" t="str">
        <f t="shared" ref="O2494:O2496" si="317">HYPERLINK("https://pbs.twimg.com/profile_images/561137710287425536/htHMwCBr_normal.png","View")</f>
        <v>View</v>
      </c>
      <c r="P2494" s="11"/>
    </row>
    <row r="2495" spans="1:16" ht="12.75" x14ac:dyDescent="0.35">
      <c r="A2495" s="7">
        <v>42482.538634259261</v>
      </c>
      <c r="B2495" s="8" t="str">
        <f t="shared" si="316"/>
        <v>@PapaVise</v>
      </c>
      <c r="C2495" s="9" t="s">
        <v>1822</v>
      </c>
      <c r="D2495" s="9" t="s">
        <v>4372</v>
      </c>
      <c r="E2495" s="10" t="str">
        <f>HYPERLINK("https://twitter.com/PapaVise/status/723412431989415941","723412431989415941")</f>
        <v>723412431989415941</v>
      </c>
      <c r="F2495" s="11" t="s">
        <v>25</v>
      </c>
      <c r="G2495" s="11">
        <v>1146</v>
      </c>
      <c r="H2495" s="11">
        <v>1183</v>
      </c>
      <c r="I2495" s="11">
        <v>0</v>
      </c>
      <c r="J2495" s="11">
        <v>0</v>
      </c>
      <c r="K2495" s="11" t="s">
        <v>21</v>
      </c>
      <c r="L2495" s="7">
        <v>41310.781030092592</v>
      </c>
      <c r="M2495" s="12"/>
      <c r="N2495" s="12" t="s">
        <v>1824</v>
      </c>
      <c r="O2495" s="10" t="str">
        <f t="shared" si="317"/>
        <v>View</v>
      </c>
      <c r="P2495" s="11"/>
    </row>
    <row r="2496" spans="1:16" ht="12.75" x14ac:dyDescent="0.35">
      <c r="A2496" s="7">
        <v>42482.539444444439</v>
      </c>
      <c r="B2496" s="8" t="str">
        <f t="shared" si="316"/>
        <v>@PapaVise</v>
      </c>
      <c r="C2496" s="9" t="s">
        <v>1822</v>
      </c>
      <c r="D2496" s="9" t="s">
        <v>4373</v>
      </c>
      <c r="E2496" s="10" t="str">
        <f>HYPERLINK("https://twitter.com/PapaVise/status/723412724735041536","723412724735041536")</f>
        <v>723412724735041536</v>
      </c>
      <c r="F2496" s="11" t="s">
        <v>25</v>
      </c>
      <c r="G2496" s="11">
        <v>1146</v>
      </c>
      <c r="H2496" s="11">
        <v>1183</v>
      </c>
      <c r="I2496" s="11">
        <v>0</v>
      </c>
      <c r="J2496" s="11">
        <v>0</v>
      </c>
      <c r="K2496" s="11" t="s">
        <v>21</v>
      </c>
      <c r="L2496" s="7">
        <v>41310.781030092592</v>
      </c>
      <c r="M2496" s="12"/>
      <c r="N2496" s="12" t="s">
        <v>1824</v>
      </c>
      <c r="O2496" s="10" t="str">
        <f t="shared" si="317"/>
        <v>View</v>
      </c>
      <c r="P2496" s="11"/>
    </row>
    <row r="2497" spans="1:16" ht="12.75" x14ac:dyDescent="0.35">
      <c r="A2497" s="7">
        <v>42482.539664351847</v>
      </c>
      <c r="B2497" s="8" t="str">
        <f t="shared" ref="B2497:B2498" si="318">HYPERLINK("https://twitter.com/CompetitorsNews","@CompetitorsNews")</f>
        <v>@CompetitorsNews</v>
      </c>
      <c r="C2497" s="9" t="s">
        <v>4374</v>
      </c>
      <c r="D2497" s="9" t="s">
        <v>3588</v>
      </c>
      <c r="E2497" s="10" t="str">
        <f>HYPERLINK("https://twitter.com/CompetitorsNews/status/723412804422619137","723412804422619137")</f>
        <v>723412804422619137</v>
      </c>
      <c r="F2497" s="11" t="s">
        <v>25</v>
      </c>
      <c r="G2497" s="11">
        <v>31</v>
      </c>
      <c r="H2497" s="11">
        <v>58</v>
      </c>
      <c r="I2497" s="11">
        <v>24</v>
      </c>
      <c r="J2497" s="11">
        <v>0</v>
      </c>
      <c r="K2497" s="11" t="s">
        <v>21</v>
      </c>
      <c r="L2497" s="7">
        <v>41592.737627314811</v>
      </c>
      <c r="M2497" s="12"/>
      <c r="N2497" s="12"/>
      <c r="O2497" s="10" t="str">
        <f t="shared" ref="O2497:O2498" si="319">HYPERLINK("https://pbs.twimg.com/profile_images/378800000756770506/ec883914de9f4b2f3cd0acea75bbad08_normal.png","View")</f>
        <v>View</v>
      </c>
      <c r="P2497" s="11"/>
    </row>
    <row r="2498" spans="1:16" ht="12.75" x14ac:dyDescent="0.35">
      <c r="A2498" s="7">
        <v>42482.540868055556</v>
      </c>
      <c r="B2498" s="8" t="str">
        <f t="shared" si="318"/>
        <v>@CompetitorsNews</v>
      </c>
      <c r="C2498" s="9" t="s">
        <v>4374</v>
      </c>
      <c r="D2498" s="9" t="s">
        <v>3968</v>
      </c>
      <c r="E2498" s="10" t="str">
        <f>HYPERLINK("https://twitter.com/CompetitorsNews/status/723413241867567104","723413241867567104")</f>
        <v>723413241867567104</v>
      </c>
      <c r="F2498" s="11" t="s">
        <v>25</v>
      </c>
      <c r="G2498" s="11">
        <v>31</v>
      </c>
      <c r="H2498" s="11">
        <v>58</v>
      </c>
      <c r="I2498" s="11">
        <v>14</v>
      </c>
      <c r="J2498" s="11">
        <v>0</v>
      </c>
      <c r="K2498" s="11" t="s">
        <v>21</v>
      </c>
      <c r="L2498" s="7">
        <v>41592.737627314811</v>
      </c>
      <c r="M2498" s="12"/>
      <c r="N2498" s="12"/>
      <c r="O2498" s="10" t="str">
        <f t="shared" si="319"/>
        <v>View</v>
      </c>
      <c r="P2498" s="11"/>
    </row>
    <row r="2499" spans="1:16" ht="12.75" x14ac:dyDescent="0.35">
      <c r="A2499" s="7">
        <v>42482.541608796295</v>
      </c>
      <c r="B2499" s="8" t="str">
        <f>HYPERLINK("https://twitter.com/csschweiz","@csschweiz")</f>
        <v>@csschweiz</v>
      </c>
      <c r="C2499" s="9" t="s">
        <v>4375</v>
      </c>
      <c r="D2499" s="9" t="s">
        <v>4376</v>
      </c>
      <c r="E2499" s="10" t="str">
        <f>HYPERLINK("https://twitter.com/csschweiz/status/723413506691751937","723413506691751937")</f>
        <v>723413506691751937</v>
      </c>
      <c r="F2499" s="11" t="s">
        <v>25</v>
      </c>
      <c r="G2499" s="11">
        <v>1494</v>
      </c>
      <c r="H2499" s="11">
        <v>507</v>
      </c>
      <c r="I2499" s="11">
        <v>3</v>
      </c>
      <c r="J2499" s="11">
        <v>0</v>
      </c>
      <c r="K2499" s="11" t="s">
        <v>21</v>
      </c>
      <c r="L2499" s="7">
        <v>41292.65315972222</v>
      </c>
      <c r="M2499" s="12" t="s">
        <v>3812</v>
      </c>
      <c r="N2499" s="12" t="s">
        <v>4377</v>
      </c>
      <c r="O2499" s="10" t="str">
        <f>HYPERLINK("https://pbs.twimg.com/profile_images/649126352726171648/YL98rCL3_normal.png","View")</f>
        <v>View</v>
      </c>
      <c r="P2499" s="11"/>
    </row>
    <row r="2500" spans="1:16" ht="12.75" x14ac:dyDescent="0.35">
      <c r="A2500" s="7">
        <v>42482.542094907403</v>
      </c>
      <c r="B2500" s="8" t="str">
        <f>HYPERLINK("https://twitter.com/heidelbergmobil","@heidelbergmobil")</f>
        <v>@heidelbergmobil</v>
      </c>
      <c r="C2500" s="9" t="s">
        <v>1137</v>
      </c>
      <c r="D2500" s="9" t="s">
        <v>4378</v>
      </c>
      <c r="E2500" s="10" t="str">
        <f>HYPERLINK("https://twitter.com/heidelbergmobil/status/723413683771039748","723413683771039748")</f>
        <v>723413683771039748</v>
      </c>
      <c r="F2500" s="11" t="s">
        <v>39</v>
      </c>
      <c r="G2500" s="11">
        <v>640</v>
      </c>
      <c r="H2500" s="11">
        <v>478</v>
      </c>
      <c r="I2500" s="11">
        <v>3</v>
      </c>
      <c r="J2500" s="11">
        <v>0</v>
      </c>
      <c r="K2500" s="11" t="s">
        <v>21</v>
      </c>
      <c r="L2500" s="7">
        <v>40466.728900462964</v>
      </c>
      <c r="M2500" s="12" t="s">
        <v>1139</v>
      </c>
      <c r="N2500" s="12" t="s">
        <v>1140</v>
      </c>
      <c r="O2500" s="10" t="str">
        <f>HYPERLINK("https://pbs.twimg.com/profile_images/456341504751964160/Cdptz2iN_normal.jpeg","View")</f>
        <v>View</v>
      </c>
      <c r="P2500" s="11"/>
    </row>
    <row r="2501" spans="1:16" ht="12.75" x14ac:dyDescent="0.35">
      <c r="A2501" s="7">
        <v>42482.542557870373</v>
      </c>
      <c r="B2501" s="8" t="str">
        <f>HYPERLINK("https://twitter.com/PapaVise","@PapaVise")</f>
        <v>@PapaVise</v>
      </c>
      <c r="C2501" s="9" t="s">
        <v>1822</v>
      </c>
      <c r="D2501" s="9" t="s">
        <v>4379</v>
      </c>
      <c r="E2501" s="10" t="str">
        <f>HYPERLINK("https://twitter.com/PapaVise/status/723413851329290242","723413851329290242")</f>
        <v>723413851329290242</v>
      </c>
      <c r="F2501" s="11" t="s">
        <v>25</v>
      </c>
      <c r="G2501" s="11">
        <v>1146</v>
      </c>
      <c r="H2501" s="11">
        <v>1183</v>
      </c>
      <c r="I2501" s="11">
        <v>0</v>
      </c>
      <c r="J2501" s="11">
        <v>0</v>
      </c>
      <c r="K2501" s="11" t="s">
        <v>21</v>
      </c>
      <c r="L2501" s="7">
        <v>41310.781030092592</v>
      </c>
      <c r="M2501" s="12"/>
      <c r="N2501" s="12" t="s">
        <v>1824</v>
      </c>
      <c r="O2501" s="10" t="str">
        <f>HYPERLINK("https://pbs.twimg.com/profile_images/561137710287425536/htHMwCBr_normal.png","View")</f>
        <v>View</v>
      </c>
      <c r="P2501" s="11"/>
    </row>
    <row r="2502" spans="1:16" ht="12.75" x14ac:dyDescent="0.35">
      <c r="A2502" s="7">
        <v>42482.542719907404</v>
      </c>
      <c r="B2502" s="8" t="str">
        <f>HYPERLINK("https://twitter.com/INDIZbot","@INDIZbot")</f>
        <v>@INDIZbot</v>
      </c>
      <c r="C2502" s="9" t="s">
        <v>61</v>
      </c>
      <c r="D2502" s="9" t="s">
        <v>4380</v>
      </c>
      <c r="E2502" s="10" t="str">
        <f>HYPERLINK("https://twitter.com/INDIZbot/status/723413909617545216","723413909617545216")</f>
        <v>723413909617545216</v>
      </c>
      <c r="F2502" s="11" t="s">
        <v>62</v>
      </c>
      <c r="G2502" s="11">
        <v>1762</v>
      </c>
      <c r="H2502" s="11">
        <v>481</v>
      </c>
      <c r="I2502" s="11">
        <v>3</v>
      </c>
      <c r="J2502" s="11">
        <v>0</v>
      </c>
      <c r="K2502" s="11" t="s">
        <v>21</v>
      </c>
      <c r="L2502" s="7">
        <v>42267.011921296296</v>
      </c>
      <c r="M2502" s="12"/>
      <c r="N2502" s="12" t="s">
        <v>63</v>
      </c>
      <c r="O2502" s="10" t="str">
        <f>HYPERLINK("https://pbs.twimg.com/profile_images/645716711723925506/t5G0qOS6_normal.jpg","View")</f>
        <v>View</v>
      </c>
      <c r="P2502" s="11"/>
    </row>
    <row r="2503" spans="1:16" ht="12.75" x14ac:dyDescent="0.35">
      <c r="A2503" s="7">
        <v>42482.542962962965</v>
      </c>
      <c r="B2503" s="8" t="str">
        <f>HYPERLINK("https://twitter.com/catkinEU","@catkinEU")</f>
        <v>@catkinEU</v>
      </c>
      <c r="C2503" s="9" t="s">
        <v>781</v>
      </c>
      <c r="D2503" s="9" t="s">
        <v>4381</v>
      </c>
      <c r="E2503" s="10" t="str">
        <f>HYPERLINK("https://twitter.com/catkinEU/status/723413999048499200","723413999048499200")</f>
        <v>723413999048499200</v>
      </c>
      <c r="F2503" s="11" t="s">
        <v>25</v>
      </c>
      <c r="G2503" s="11">
        <v>403</v>
      </c>
      <c r="H2503" s="11">
        <v>541</v>
      </c>
      <c r="I2503" s="11">
        <v>2</v>
      </c>
      <c r="J2503" s="11">
        <v>1</v>
      </c>
      <c r="K2503" s="11" t="s">
        <v>21</v>
      </c>
      <c r="L2503" s="7">
        <v>42153.955763888887</v>
      </c>
      <c r="M2503" s="12"/>
      <c r="N2503" s="12" t="s">
        <v>782</v>
      </c>
      <c r="O2503" s="10" t="str">
        <f>HYPERLINK("https://pbs.twimg.com/profile_images/604338428227010560/6jzSa8us_normal.png","View")</f>
        <v>View</v>
      </c>
      <c r="P2503" s="11"/>
    </row>
    <row r="2504" spans="1:16" ht="12.75" x14ac:dyDescent="0.35">
      <c r="A2504" s="7">
        <v>42482.543240740742</v>
      </c>
      <c r="B2504" s="8" t="str">
        <f>HYPERLINK("https://twitter.com/_Logistra_","@_Logistra_")</f>
        <v>@_Logistra_</v>
      </c>
      <c r="C2504" s="9" t="s">
        <v>4382</v>
      </c>
      <c r="D2504" s="9" t="s">
        <v>4339</v>
      </c>
      <c r="E2504" s="10" t="str">
        <f>HYPERLINK("https://twitter.com/_Logistra_/status/723414100210913280","723414100210913280")</f>
        <v>723414100210913280</v>
      </c>
      <c r="F2504" s="11" t="s">
        <v>25</v>
      </c>
      <c r="G2504" s="11">
        <v>1295</v>
      </c>
      <c r="H2504" s="11">
        <v>907</v>
      </c>
      <c r="I2504" s="11">
        <v>3</v>
      </c>
      <c r="J2504" s="11">
        <v>0</v>
      </c>
      <c r="K2504" s="11" t="s">
        <v>21</v>
      </c>
      <c r="L2504" s="7">
        <v>40919.833009259259</v>
      </c>
      <c r="M2504" s="12"/>
      <c r="N2504" s="12" t="s">
        <v>4383</v>
      </c>
      <c r="O2504" s="10" t="str">
        <f>HYPERLINK("https://pbs.twimg.com/profile_images/560808349239746560/NJEwEVs5_normal.png","View")</f>
        <v>View</v>
      </c>
      <c r="P2504" s="11"/>
    </row>
    <row r="2505" spans="1:16" ht="12.75" x14ac:dyDescent="0.35">
      <c r="A2505" s="7">
        <v>42482.543252314819</v>
      </c>
      <c r="B2505" s="8" t="str">
        <f>HYPERLINK("https://twitter.com/tanit","@tanit")</f>
        <v>@tanit</v>
      </c>
      <c r="C2505" s="9" t="s">
        <v>4384</v>
      </c>
      <c r="D2505" s="9" t="s">
        <v>4240</v>
      </c>
      <c r="E2505" s="10" t="str">
        <f>HYPERLINK("https://twitter.com/tanit/status/723414104073854976","723414104073854976")</f>
        <v>723414104073854976</v>
      </c>
      <c r="F2505" s="11" t="s">
        <v>31</v>
      </c>
      <c r="G2505" s="11">
        <v>11762</v>
      </c>
      <c r="H2505" s="11">
        <v>614</v>
      </c>
      <c r="I2505" s="11">
        <v>5</v>
      </c>
      <c r="J2505" s="11">
        <v>0</v>
      </c>
      <c r="K2505" s="11" t="s">
        <v>21</v>
      </c>
      <c r="L2505" s="7">
        <v>41234.739895833336</v>
      </c>
      <c r="M2505" s="12" t="s">
        <v>218</v>
      </c>
      <c r="N2505" s="12" t="s">
        <v>4385</v>
      </c>
      <c r="O2505" s="10" t="str">
        <f>HYPERLINK("https://pbs.twimg.com/profile_images/378800000642092644/15f6a42d761faf5b6c93058c94a43e63_normal.jpeg","View")</f>
        <v>View</v>
      </c>
      <c r="P2505" s="11"/>
    </row>
    <row r="2506" spans="1:16" ht="12.75" x14ac:dyDescent="0.35">
      <c r="A2506" s="7">
        <v>42482.543368055558</v>
      </c>
      <c r="B2506" s="8" t="str">
        <f>HYPERLINK("https://twitter.com/INDIZbot","@INDIZbot")</f>
        <v>@INDIZbot</v>
      </c>
      <c r="C2506" s="9" t="s">
        <v>61</v>
      </c>
      <c r="D2506" s="9" t="s">
        <v>4386</v>
      </c>
      <c r="E2506" s="10" t="str">
        <f>HYPERLINK("https://twitter.com/INDIZbot/status/723414144565665792","723414144565665792")</f>
        <v>723414144565665792</v>
      </c>
      <c r="F2506" s="11" t="s">
        <v>62</v>
      </c>
      <c r="G2506" s="11">
        <v>1762</v>
      </c>
      <c r="H2506" s="11">
        <v>481</v>
      </c>
      <c r="I2506" s="11">
        <v>3</v>
      </c>
      <c r="J2506" s="11">
        <v>0</v>
      </c>
      <c r="K2506" s="11" t="s">
        <v>21</v>
      </c>
      <c r="L2506" s="7">
        <v>42267.011921296296</v>
      </c>
      <c r="M2506" s="12"/>
      <c r="N2506" s="12" t="s">
        <v>63</v>
      </c>
      <c r="O2506" s="10" t="str">
        <f>HYPERLINK("https://pbs.twimg.com/profile_images/645716711723925506/t5G0qOS6_normal.jpg","View")</f>
        <v>View</v>
      </c>
      <c r="P2506" s="11"/>
    </row>
    <row r="2507" spans="1:16" ht="12.75" x14ac:dyDescent="0.35">
      <c r="A2507" s="7">
        <v>42482.543530092589</v>
      </c>
      <c r="B2507" s="8" t="str">
        <f>HYPERLINK("https://twitter.com/Bosch_BCDS","@Bosch_BCDS")</f>
        <v>@Bosch_BCDS</v>
      </c>
      <c r="C2507" s="9" t="s">
        <v>3058</v>
      </c>
      <c r="D2507" s="9" t="s">
        <v>3905</v>
      </c>
      <c r="E2507" s="10" t="str">
        <f>HYPERLINK("https://twitter.com/Bosch_BCDS/status/723414206494601216","723414206494601216")</f>
        <v>723414206494601216</v>
      </c>
      <c r="F2507" s="11" t="s">
        <v>25</v>
      </c>
      <c r="G2507" s="11">
        <v>481</v>
      </c>
      <c r="H2507" s="11">
        <v>483</v>
      </c>
      <c r="I2507" s="11">
        <v>5</v>
      </c>
      <c r="J2507" s="11">
        <v>0</v>
      </c>
      <c r="K2507" s="11" t="s">
        <v>21</v>
      </c>
      <c r="L2507" s="7">
        <v>41625.803622685184</v>
      </c>
      <c r="M2507" s="12" t="s">
        <v>3059</v>
      </c>
      <c r="N2507" s="12" t="s">
        <v>3060</v>
      </c>
      <c r="O2507" s="10" t="str">
        <f>HYPERLINK("https://pbs.twimg.com/profile_images/656085170995535873/WqzD_O5g_normal.jpg","View")</f>
        <v>View</v>
      </c>
      <c r="P2507" s="11"/>
    </row>
    <row r="2508" spans="1:16" ht="12.75" x14ac:dyDescent="0.35">
      <c r="A2508" s="7">
        <v>42482.543553240743</v>
      </c>
      <c r="B2508" s="8" t="str">
        <f>HYPERLINK("https://twitter.com/Angela_Josephs","@Angela_Josephs")</f>
        <v>@Angela_Josephs</v>
      </c>
      <c r="C2508" s="9" t="s">
        <v>1612</v>
      </c>
      <c r="D2508" s="9" t="s">
        <v>4387</v>
      </c>
      <c r="E2508" s="10" t="str">
        <f>HYPERLINK("https://twitter.com/Angela_Josephs/status/723414211615821824","723414211615821824")</f>
        <v>723414211615821824</v>
      </c>
      <c r="F2508" s="11" t="s">
        <v>31</v>
      </c>
      <c r="G2508" s="11">
        <v>173</v>
      </c>
      <c r="H2508" s="11">
        <v>83</v>
      </c>
      <c r="I2508" s="11">
        <v>4</v>
      </c>
      <c r="J2508" s="11">
        <v>2</v>
      </c>
      <c r="K2508" s="11" t="s">
        <v>21</v>
      </c>
      <c r="L2508" s="7">
        <v>41954.653541666667</v>
      </c>
      <c r="M2508" s="12" t="s">
        <v>1273</v>
      </c>
      <c r="N2508" s="12" t="s">
        <v>1614</v>
      </c>
      <c r="O2508" s="10" t="str">
        <f>HYPERLINK("https://pbs.twimg.com/profile_images/649572788148285440/Sxl5vTa3_normal.jpg","View")</f>
        <v>View</v>
      </c>
      <c r="P2508" s="11"/>
    </row>
    <row r="2509" spans="1:16" ht="12.75" x14ac:dyDescent="0.35">
      <c r="A2509" s="7">
        <v>42482.54383101852</v>
      </c>
      <c r="B2509" s="8" t="str">
        <f>HYPERLINK("https://twitter.com/BentNiklas","@BentNiklas")</f>
        <v>@BentNiklas</v>
      </c>
      <c r="C2509" s="9" t="s">
        <v>4388</v>
      </c>
      <c r="D2509" s="9" t="s">
        <v>4389</v>
      </c>
      <c r="E2509" s="10" t="str">
        <f>HYPERLINK("https://twitter.com/BentNiklas/status/723414315789766656","723414315789766656")</f>
        <v>723414315789766656</v>
      </c>
      <c r="F2509" s="11" t="s">
        <v>31</v>
      </c>
      <c r="G2509" s="11">
        <v>138</v>
      </c>
      <c r="H2509" s="11">
        <v>106</v>
      </c>
      <c r="I2509" s="11">
        <v>4</v>
      </c>
      <c r="J2509" s="11">
        <v>0</v>
      </c>
      <c r="K2509" s="11" t="s">
        <v>21</v>
      </c>
      <c r="L2509" s="7">
        <v>41484.744120370371</v>
      </c>
      <c r="M2509" s="12" t="s">
        <v>1273</v>
      </c>
      <c r="N2509" s="12" t="s">
        <v>4390</v>
      </c>
      <c r="O2509" s="10" t="str">
        <f>HYPERLINK("https://pbs.twimg.com/profile_images/687629708092129280/PQUSwFlr_normal.jpg","View")</f>
        <v>View</v>
      </c>
      <c r="P2509" s="11"/>
    </row>
    <row r="2510" spans="1:16" ht="12.75" x14ac:dyDescent="0.35">
      <c r="A2510" s="7">
        <v>42482.543900462959</v>
      </c>
      <c r="B2510" s="8" t="str">
        <f>HYPERLINK("https://twitter.com/BGarciaSchmidt","@BGarciaSchmidt")</f>
        <v>@BGarciaSchmidt</v>
      </c>
      <c r="C2510" s="9" t="s">
        <v>1281</v>
      </c>
      <c r="D2510" s="9" t="s">
        <v>4389</v>
      </c>
      <c r="E2510" s="10" t="str">
        <f>HYPERLINK("https://twitter.com/BGarciaSchmidt/status/723414338833248256","723414338833248256")</f>
        <v>723414338833248256</v>
      </c>
      <c r="F2510" s="11" t="s">
        <v>31</v>
      </c>
      <c r="G2510" s="11">
        <v>51</v>
      </c>
      <c r="H2510" s="11">
        <v>57</v>
      </c>
      <c r="I2510" s="11">
        <v>4</v>
      </c>
      <c r="J2510" s="11">
        <v>0</v>
      </c>
      <c r="K2510" s="11" t="s">
        <v>21</v>
      </c>
      <c r="L2510" s="7">
        <v>40054.956192129626</v>
      </c>
      <c r="M2510" s="12" t="s">
        <v>1062</v>
      </c>
      <c r="N2510" s="12" t="s">
        <v>1282</v>
      </c>
      <c r="O2510" s="10" t="str">
        <f>HYPERLINK("https://pbs.twimg.com/profile_images/690172121973145601/pudiMkyd_normal.jpg","View")</f>
        <v>View</v>
      </c>
      <c r="P2510" s="11"/>
    </row>
    <row r="2511" spans="1:16" ht="12.75" x14ac:dyDescent="0.35">
      <c r="A2511" s="7">
        <v>42482.544629629629</v>
      </c>
      <c r="B2511" s="8" t="str">
        <f>HYPERLINK("https://twitter.com/SEWEURODRIVE","@SEWEURODRIVE")</f>
        <v>@SEWEURODRIVE</v>
      </c>
      <c r="C2511" s="9" t="s">
        <v>1640</v>
      </c>
      <c r="D2511" s="9" t="s">
        <v>4391</v>
      </c>
      <c r="E2511" s="10" t="str">
        <f>HYPERLINK("https://twitter.com/SEWEURODRIVE/status/723414604437540864","723414604437540864")</f>
        <v>723414604437540864</v>
      </c>
      <c r="F2511" s="11" t="s">
        <v>25</v>
      </c>
      <c r="G2511" s="11">
        <v>1413</v>
      </c>
      <c r="H2511" s="11">
        <v>297</v>
      </c>
      <c r="I2511" s="11">
        <v>2</v>
      </c>
      <c r="J2511" s="11">
        <v>0</v>
      </c>
      <c r="K2511" s="11" t="s">
        <v>21</v>
      </c>
      <c r="L2511" s="7">
        <v>40221.178854166668</v>
      </c>
      <c r="M2511" s="12" t="s">
        <v>1641</v>
      </c>
      <c r="N2511" s="12" t="s">
        <v>1642</v>
      </c>
      <c r="O2511" s="10" t="str">
        <f>HYPERLINK("https://pbs.twimg.com/profile_images/490060130231132160/qLmnir1s_normal.jpeg","View")</f>
        <v>View</v>
      </c>
      <c r="P2511" s="11"/>
    </row>
    <row r="2512" spans="1:16" ht="12.75" x14ac:dyDescent="0.35">
      <c r="A2512" s="7">
        <v>42482.54614583333</v>
      </c>
      <c r="B2512" s="8" t="str">
        <f>HYPERLINK("https://twitter.com/verbalis_","@verbalis_")</f>
        <v>@verbalis_</v>
      </c>
      <c r="C2512" s="9" t="s">
        <v>4392</v>
      </c>
      <c r="D2512" s="9" t="s">
        <v>4393</v>
      </c>
      <c r="E2512" s="10" t="str">
        <f>HYPERLINK("https://twitter.com/verbalis_/status/723415153048313856","723415153048313856")</f>
        <v>723415153048313856</v>
      </c>
      <c r="F2512" s="11" t="s">
        <v>25</v>
      </c>
      <c r="G2512" s="11">
        <v>181</v>
      </c>
      <c r="H2512" s="11">
        <v>255</v>
      </c>
      <c r="I2512" s="11">
        <v>2</v>
      </c>
      <c r="J2512" s="11">
        <v>0</v>
      </c>
      <c r="K2512" s="11" t="s">
        <v>21</v>
      </c>
      <c r="L2512" s="7">
        <v>40204.944212962961</v>
      </c>
      <c r="M2512" s="12" t="s">
        <v>3086</v>
      </c>
      <c r="N2512" s="12" t="s">
        <v>4394</v>
      </c>
      <c r="O2512" s="10" t="str">
        <f>HYPERLINK("https://pbs.twimg.com/profile_images/504283944099934208/aYXjwtP5_normal.jpeg","View")</f>
        <v>View</v>
      </c>
      <c r="P2512" s="11"/>
    </row>
    <row r="2513" spans="1:16" ht="12.75" x14ac:dyDescent="0.35">
      <c r="A2513" s="7">
        <v>42482.549189814818</v>
      </c>
      <c r="B2513" s="8" t="str">
        <f>HYPERLINK("https://twitter.com/BakerMcGER","@BakerMcGER")</f>
        <v>@BakerMcGER</v>
      </c>
      <c r="C2513" s="9" t="s">
        <v>935</v>
      </c>
      <c r="D2513" s="9" t="s">
        <v>4395</v>
      </c>
      <c r="E2513" s="10" t="str">
        <f>HYPERLINK("https://twitter.com/BakerMcGER/status/723416255214948352","723416255214948352")</f>
        <v>723416255214948352</v>
      </c>
      <c r="F2513" s="11" t="s">
        <v>25</v>
      </c>
      <c r="G2513" s="11">
        <v>457</v>
      </c>
      <c r="H2513" s="11">
        <v>215</v>
      </c>
      <c r="I2513" s="11">
        <v>0</v>
      </c>
      <c r="J2513" s="11">
        <v>0</v>
      </c>
      <c r="K2513" s="11" t="s">
        <v>21</v>
      </c>
      <c r="L2513" s="7">
        <v>41578.702696759261</v>
      </c>
      <c r="M2513" s="12" t="s">
        <v>936</v>
      </c>
      <c r="N2513" s="12" t="s">
        <v>937</v>
      </c>
      <c r="O2513" s="10" t="str">
        <f>HYPERLINK("https://pbs.twimg.com/profile_images/707877685721231360/0WBLwHQ-_normal.jpg","View")</f>
        <v>View</v>
      </c>
      <c r="P2513" s="11"/>
    </row>
    <row r="2514" spans="1:16" ht="12.75" x14ac:dyDescent="0.35">
      <c r="A2514" s="7">
        <v>42482.549664351856</v>
      </c>
      <c r="B2514" s="8" t="str">
        <f t="shared" ref="B2514:B2515" si="320">HYPERLINK("https://twitter.com/INDIZbot","@INDIZbot")</f>
        <v>@INDIZbot</v>
      </c>
      <c r="C2514" s="9" t="s">
        <v>61</v>
      </c>
      <c r="D2514" s="9" t="s">
        <v>4393</v>
      </c>
      <c r="E2514" s="10" t="str">
        <f>HYPERLINK("https://twitter.com/INDIZbot/status/723416427193995264","723416427193995264")</f>
        <v>723416427193995264</v>
      </c>
      <c r="F2514" s="11" t="s">
        <v>62</v>
      </c>
      <c r="G2514" s="11">
        <v>1762</v>
      </c>
      <c r="H2514" s="11">
        <v>481</v>
      </c>
      <c r="I2514" s="11">
        <v>2</v>
      </c>
      <c r="J2514" s="11">
        <v>0</v>
      </c>
      <c r="K2514" s="11" t="s">
        <v>21</v>
      </c>
      <c r="L2514" s="7">
        <v>42267.011921296296</v>
      </c>
      <c r="M2514" s="12"/>
      <c r="N2514" s="12" t="s">
        <v>63</v>
      </c>
      <c r="O2514" s="10" t="str">
        <f t="shared" ref="O2514:O2515" si="321">HYPERLINK("https://pbs.twimg.com/profile_images/645716711723925506/t5G0qOS6_normal.jpg","View")</f>
        <v>View</v>
      </c>
      <c r="P2514" s="11"/>
    </row>
    <row r="2515" spans="1:16" ht="12.75" x14ac:dyDescent="0.35">
      <c r="A2515" s="7">
        <v>42482.550682870366</v>
      </c>
      <c r="B2515" s="8" t="str">
        <f t="shared" si="320"/>
        <v>@INDIZbot</v>
      </c>
      <c r="C2515" s="9" t="s">
        <v>61</v>
      </c>
      <c r="D2515" s="9" t="s">
        <v>4396</v>
      </c>
      <c r="E2515" s="10" t="str">
        <f>HYPERLINK("https://twitter.com/INDIZbot/status/723416795567132672","723416795567132672")</f>
        <v>723416795567132672</v>
      </c>
      <c r="F2515" s="11" t="s">
        <v>62</v>
      </c>
      <c r="G2515" s="11">
        <v>1762</v>
      </c>
      <c r="H2515" s="11">
        <v>481</v>
      </c>
      <c r="I2515" s="11">
        <v>2</v>
      </c>
      <c r="J2515" s="11">
        <v>0</v>
      </c>
      <c r="K2515" s="11" t="s">
        <v>21</v>
      </c>
      <c r="L2515" s="7">
        <v>42267.011921296296</v>
      </c>
      <c r="M2515" s="12"/>
      <c r="N2515" s="12" t="s">
        <v>63</v>
      </c>
      <c r="O2515" s="10" t="str">
        <f t="shared" si="321"/>
        <v>View</v>
      </c>
      <c r="P2515" s="11"/>
    </row>
    <row r="2516" spans="1:16" ht="12.75" x14ac:dyDescent="0.35">
      <c r="A2516" s="7">
        <v>42482.550717592589</v>
      </c>
      <c r="B2516" s="8" t="str">
        <f>HYPERLINK("https://twitter.com/DKEAktuell","@DKEAktuell")</f>
        <v>@DKEAktuell</v>
      </c>
      <c r="C2516" s="9" t="s">
        <v>1289</v>
      </c>
      <c r="D2516" s="9" t="s">
        <v>4358</v>
      </c>
      <c r="E2516" s="10" t="str">
        <f>HYPERLINK("https://twitter.com/DKEAktuell/status/723416809169293312","723416809169293312")</f>
        <v>723416809169293312</v>
      </c>
      <c r="F2516" s="11" t="s">
        <v>25</v>
      </c>
      <c r="G2516" s="11">
        <v>572</v>
      </c>
      <c r="H2516" s="11">
        <v>525</v>
      </c>
      <c r="I2516" s="11">
        <v>3</v>
      </c>
      <c r="J2516" s="11">
        <v>0</v>
      </c>
      <c r="K2516" s="11" t="s">
        <v>21</v>
      </c>
      <c r="L2516" s="7">
        <v>41764.84847222222</v>
      </c>
      <c r="M2516" s="12" t="s">
        <v>1290</v>
      </c>
      <c r="N2516" s="12" t="s">
        <v>1291</v>
      </c>
      <c r="O2516" s="10" t="str">
        <f>HYPERLINK("https://pbs.twimg.com/profile_images/465817969902092288/sEIgw9Gb_normal.jpeg","View")</f>
        <v>View</v>
      </c>
      <c r="P2516" s="11"/>
    </row>
    <row r="2517" spans="1:16" ht="12.75" x14ac:dyDescent="0.35">
      <c r="A2517" s="7">
        <v>42482.551145833335</v>
      </c>
      <c r="B2517" s="8" t="str">
        <f>HYPERLINK("https://twitter.com/tubezweinull","@tubezweinull")</f>
        <v>@tubezweinull</v>
      </c>
      <c r="C2517" s="9" t="s">
        <v>4397</v>
      </c>
      <c r="D2517" s="9" t="s">
        <v>4398</v>
      </c>
      <c r="E2517" s="10" t="str">
        <f>HYPERLINK("https://twitter.com/tubezweinull/status/723416965264470016","723416965264470016")</f>
        <v>723416965264470016</v>
      </c>
      <c r="F2517" s="11" t="s">
        <v>115</v>
      </c>
      <c r="G2517" s="11">
        <v>290</v>
      </c>
      <c r="H2517" s="11">
        <v>337</v>
      </c>
      <c r="I2517" s="11">
        <v>2</v>
      </c>
      <c r="J2517" s="11">
        <v>0</v>
      </c>
      <c r="K2517" s="11" t="s">
        <v>21</v>
      </c>
      <c r="L2517" s="7">
        <v>39959.512939814813</v>
      </c>
      <c r="M2517" s="12" t="s">
        <v>689</v>
      </c>
      <c r="N2517" s="12" t="s">
        <v>4399</v>
      </c>
      <c r="O2517" s="10" t="str">
        <f>HYPERLINK("https://pbs.twimg.com/profile_images/621021669650505728/a35AEy4u_normal.png","View")</f>
        <v>View</v>
      </c>
      <c r="P2517" s="11"/>
    </row>
    <row r="2518" spans="1:16" ht="12.75" x14ac:dyDescent="0.35">
      <c r="A2518" s="7">
        <v>42482.551145833335</v>
      </c>
      <c r="B2518" s="8" t="str">
        <f>HYPERLINK("https://twitter.com/TechTargetDE","@TechTargetDE")</f>
        <v>@TechTargetDE</v>
      </c>
      <c r="C2518" s="9" t="s">
        <v>4400</v>
      </c>
      <c r="D2518" s="9" t="s">
        <v>4401</v>
      </c>
      <c r="E2518" s="10" t="str">
        <f>HYPERLINK("https://twitter.com/TechTargetDE/status/723416965268692993","723416965268692993")</f>
        <v>723416965268692993</v>
      </c>
      <c r="F2518" s="11" t="s">
        <v>115</v>
      </c>
      <c r="G2518" s="11">
        <v>685</v>
      </c>
      <c r="H2518" s="11">
        <v>67</v>
      </c>
      <c r="I2518" s="11">
        <v>0</v>
      </c>
      <c r="J2518" s="11">
        <v>0</v>
      </c>
      <c r="K2518" s="11" t="s">
        <v>21</v>
      </c>
      <c r="L2518" s="7">
        <v>41425.780787037038</v>
      </c>
      <c r="M2518" s="12"/>
      <c r="N2518" s="12" t="s">
        <v>4402</v>
      </c>
      <c r="O2518" s="10" t="str">
        <f>HYPERLINK("https://pbs.twimg.com/profile_images/696725980027572224/2-3HmqsY_normal.jpg","View")</f>
        <v>View</v>
      </c>
      <c r="P2518" s="11"/>
    </row>
    <row r="2519" spans="1:16" ht="12.75" x14ac:dyDescent="0.35">
      <c r="A2519" s="7">
        <v>42482.551145833335</v>
      </c>
      <c r="B2519" s="8" t="str">
        <f>HYPERLINK("https://twitter.com/sentsoftwarede","@sentsoftwarede")</f>
        <v>@sentsoftwarede</v>
      </c>
      <c r="C2519" s="9" t="s">
        <v>4403</v>
      </c>
      <c r="D2519" s="9" t="s">
        <v>4404</v>
      </c>
      <c r="E2519" s="10" t="str">
        <f>HYPERLINK("https://twitter.com/sentsoftwarede/status/723416965277048832","723416965277048832")</f>
        <v>723416965277048832</v>
      </c>
      <c r="F2519" s="11" t="s">
        <v>115</v>
      </c>
      <c r="G2519" s="11">
        <v>244</v>
      </c>
      <c r="H2519" s="11">
        <v>166</v>
      </c>
      <c r="I2519" s="11">
        <v>0</v>
      </c>
      <c r="J2519" s="11">
        <v>0</v>
      </c>
      <c r="K2519" s="11" t="s">
        <v>21</v>
      </c>
      <c r="L2519" s="7">
        <v>41425.78502314815</v>
      </c>
      <c r="M2519" s="12" t="s">
        <v>440</v>
      </c>
      <c r="N2519" s="12" t="s">
        <v>4405</v>
      </c>
      <c r="O2519" s="10" t="str">
        <f>HYPERLINK("https://pbs.twimg.com/profile_images/3758783658/6f76e2753821fd7888cef817739545ee_normal.jpeg","View")</f>
        <v>View</v>
      </c>
      <c r="P2519" s="11"/>
    </row>
    <row r="2520" spans="1:16" ht="12.75" x14ac:dyDescent="0.35">
      <c r="A2520" s="7">
        <v>42482.552002314813</v>
      </c>
      <c r="B2520" s="8" t="str">
        <f>HYPERLINK("https://twitter.com/DKEAktuell","@DKEAktuell")</f>
        <v>@DKEAktuell</v>
      </c>
      <c r="C2520" s="9" t="s">
        <v>1289</v>
      </c>
      <c r="D2520" s="9" t="s">
        <v>4389</v>
      </c>
      <c r="E2520" s="10" t="str">
        <f>HYPERLINK("https://twitter.com/DKEAktuell/status/723417275777208321","723417275777208321")</f>
        <v>723417275777208321</v>
      </c>
      <c r="F2520" s="11" t="s">
        <v>25</v>
      </c>
      <c r="G2520" s="11">
        <v>572</v>
      </c>
      <c r="H2520" s="11">
        <v>525</v>
      </c>
      <c r="I2520" s="11">
        <v>4</v>
      </c>
      <c r="J2520" s="11">
        <v>0</v>
      </c>
      <c r="K2520" s="11" t="s">
        <v>21</v>
      </c>
      <c r="L2520" s="7">
        <v>41764.84847222222</v>
      </c>
      <c r="M2520" s="12" t="s">
        <v>1290</v>
      </c>
      <c r="N2520" s="12" t="s">
        <v>1291</v>
      </c>
      <c r="O2520" s="10" t="str">
        <f>HYPERLINK("https://pbs.twimg.com/profile_images/465817969902092288/sEIgw9Gb_normal.jpeg","View")</f>
        <v>View</v>
      </c>
      <c r="P2520" s="11"/>
    </row>
    <row r="2521" spans="1:16" ht="12.75" x14ac:dyDescent="0.35">
      <c r="A2521" s="7">
        <v>42482.552245370374</v>
      </c>
      <c r="B2521" s="8" t="str">
        <f>HYPERLINK("https://twitter.com/MartinGaedt","@MartinGaedt")</f>
        <v>@MartinGaedt</v>
      </c>
      <c r="C2521" s="9" t="s">
        <v>1296</v>
      </c>
      <c r="D2521" s="9" t="s">
        <v>4406</v>
      </c>
      <c r="E2521" s="10" t="str">
        <f>HYPERLINK("https://twitter.com/MartinGaedt/status/723417362288906240","723417362288906240")</f>
        <v>723417362288906240</v>
      </c>
      <c r="F2521" s="11" t="s">
        <v>25</v>
      </c>
      <c r="G2521" s="11">
        <v>5366</v>
      </c>
      <c r="H2521" s="11">
        <v>5909</v>
      </c>
      <c r="I2521" s="11">
        <v>2</v>
      </c>
      <c r="J2521" s="11">
        <v>0</v>
      </c>
      <c r="K2521" s="11" t="s">
        <v>21</v>
      </c>
      <c r="L2521" s="7">
        <v>39938.908993055556</v>
      </c>
      <c r="M2521" s="12" t="s">
        <v>1297</v>
      </c>
      <c r="N2521" s="12" t="s">
        <v>1298</v>
      </c>
      <c r="O2521" s="10" t="str">
        <f>HYPERLINK("https://pbs.twimg.com/profile_images/709444980553740288/Xds-Aan6_normal.jpg","View")</f>
        <v>View</v>
      </c>
      <c r="P2521" s="11"/>
    </row>
    <row r="2522" spans="1:16" ht="12.75" x14ac:dyDescent="0.35">
      <c r="A2522" s="7">
        <v>42482.553078703699</v>
      </c>
      <c r="B2522" s="8" t="str">
        <f>HYPERLINK("https://twitter.com/kat2812","@kat2812")</f>
        <v>@kat2812</v>
      </c>
      <c r="C2522" s="9" t="s">
        <v>4175</v>
      </c>
      <c r="D2522" s="9" t="s">
        <v>4389</v>
      </c>
      <c r="E2522" s="10" t="str">
        <f>HYPERLINK("https://twitter.com/kat2812/status/723417665994252288","723417665994252288")</f>
        <v>723417665994252288</v>
      </c>
      <c r="F2522" s="11" t="s">
        <v>25</v>
      </c>
      <c r="G2522" s="11">
        <v>23</v>
      </c>
      <c r="H2522" s="11">
        <v>169</v>
      </c>
      <c r="I2522" s="11">
        <v>4</v>
      </c>
      <c r="J2522" s="11">
        <v>0</v>
      </c>
      <c r="K2522" s="11" t="s">
        <v>21</v>
      </c>
      <c r="L2522" s="7">
        <v>39883.80405092593</v>
      </c>
      <c r="M2522" s="12"/>
      <c r="N2522" s="12" t="s">
        <v>4177</v>
      </c>
      <c r="O2522" s="10" t="str">
        <f>HYPERLINK("https://pbs.twimg.com/profile_images/2994151206/72e14517d19cb49aa35fe3019df8b048_normal.jpeg","View")</f>
        <v>View</v>
      </c>
      <c r="P2522" s="11"/>
    </row>
    <row r="2523" spans="1:16" ht="12.75" x14ac:dyDescent="0.35">
      <c r="A2523" s="7">
        <v>42482.553124999999</v>
      </c>
      <c r="B2523" s="8" t="str">
        <f>HYPERLINK("https://twitter.com/MarkusKleeb","@MarkusKleeb")</f>
        <v>@MarkusKleeb</v>
      </c>
      <c r="C2523" s="9" t="s">
        <v>4407</v>
      </c>
      <c r="D2523" s="9" t="s">
        <v>4386</v>
      </c>
      <c r="E2523" s="10" t="str">
        <f>HYPERLINK("https://twitter.com/MarkusKleeb/status/723417680884076544","723417680884076544")</f>
        <v>723417680884076544</v>
      </c>
      <c r="F2523" s="11" t="s">
        <v>31</v>
      </c>
      <c r="G2523" s="11">
        <v>10</v>
      </c>
      <c r="H2523" s="11">
        <v>6</v>
      </c>
      <c r="I2523" s="11">
        <v>3</v>
      </c>
      <c r="J2523" s="11">
        <v>0</v>
      </c>
      <c r="K2523" s="11" t="s">
        <v>21</v>
      </c>
      <c r="L2523" s="7">
        <v>42461.759618055556</v>
      </c>
      <c r="M2523" s="12" t="s">
        <v>3950</v>
      </c>
      <c r="N2523" s="12"/>
      <c r="O2523" s="10" t="str">
        <f>HYPERLINK("https://pbs.twimg.com/profile_images/715969231968473089/wpPBpd5d_normal.jpg","View")</f>
        <v>View</v>
      </c>
      <c r="P2523" s="11"/>
    </row>
    <row r="2524" spans="1:16" ht="12.75" x14ac:dyDescent="0.35">
      <c r="A2524" s="7">
        <v>42482.553900462968</v>
      </c>
      <c r="B2524" s="8" t="str">
        <f>HYPERLINK("https://twitter.com/kat2812","@kat2812")</f>
        <v>@kat2812</v>
      </c>
      <c r="C2524" s="9" t="s">
        <v>4175</v>
      </c>
      <c r="D2524" s="9" t="s">
        <v>4358</v>
      </c>
      <c r="E2524" s="10" t="str">
        <f>HYPERLINK("https://twitter.com/kat2812/status/723417963630448640","723417963630448640")</f>
        <v>723417963630448640</v>
      </c>
      <c r="F2524" s="11" t="s">
        <v>25</v>
      </c>
      <c r="G2524" s="11">
        <v>23</v>
      </c>
      <c r="H2524" s="11">
        <v>169</v>
      </c>
      <c r="I2524" s="11">
        <v>3</v>
      </c>
      <c r="J2524" s="11">
        <v>0</v>
      </c>
      <c r="K2524" s="11" t="s">
        <v>21</v>
      </c>
      <c r="L2524" s="7">
        <v>39883.80405092593</v>
      </c>
      <c r="M2524" s="12"/>
      <c r="N2524" s="12" t="s">
        <v>4177</v>
      </c>
      <c r="O2524" s="10" t="str">
        <f>HYPERLINK("https://pbs.twimg.com/profile_images/2994151206/72e14517d19cb49aa35fe3019df8b048_normal.jpeg","View")</f>
        <v>View</v>
      </c>
      <c r="P2524" s="11"/>
    </row>
    <row r="2525" spans="1:16" ht="12.75" x14ac:dyDescent="0.35">
      <c r="A2525" s="7">
        <v>42482.554120370369</v>
      </c>
      <c r="B2525" s="8" t="str">
        <f>HYPERLINK("https://twitter.com/kommunikationsm","@kommunikationsm")</f>
        <v>@kommunikationsm</v>
      </c>
      <c r="C2525" s="9" t="s">
        <v>2242</v>
      </c>
      <c r="D2525" s="9" t="s">
        <v>4386</v>
      </c>
      <c r="E2525" s="10" t="str">
        <f>HYPERLINK("https://twitter.com/kommunikationsm/status/723418043326439424","723418043326439424")</f>
        <v>723418043326439424</v>
      </c>
      <c r="F2525" s="11" t="s">
        <v>31</v>
      </c>
      <c r="G2525" s="11">
        <v>1826</v>
      </c>
      <c r="H2525" s="11">
        <v>2304</v>
      </c>
      <c r="I2525" s="11">
        <v>3</v>
      </c>
      <c r="J2525" s="11">
        <v>0</v>
      </c>
      <c r="K2525" s="11" t="s">
        <v>21</v>
      </c>
      <c r="L2525" s="7">
        <v>39843.910439814819</v>
      </c>
      <c r="M2525" s="12" t="s">
        <v>121</v>
      </c>
      <c r="N2525" s="12" t="s">
        <v>2243</v>
      </c>
      <c r="O2525" s="10" t="str">
        <f>HYPERLINK("https://pbs.twimg.com/profile_images/619614759370014720/AS__iYuZ_normal.jpg","View")</f>
        <v>View</v>
      </c>
      <c r="P2525" s="11"/>
    </row>
    <row r="2526" spans="1:16" ht="12.75" x14ac:dyDescent="0.35">
      <c r="A2526" s="7">
        <v>42482.555</v>
      </c>
      <c r="B2526" s="8" t="str">
        <f>HYPERLINK("https://twitter.com/BakerMcGER","@BakerMcGER")</f>
        <v>@BakerMcGER</v>
      </c>
      <c r="C2526" s="9" t="s">
        <v>935</v>
      </c>
      <c r="D2526" s="9" t="s">
        <v>4408</v>
      </c>
      <c r="E2526" s="10" t="str">
        <f>HYPERLINK("https://twitter.com/BakerMcGER/status/723418359748919296","723418359748919296")</f>
        <v>723418359748919296</v>
      </c>
      <c r="F2526" s="11" t="s">
        <v>25</v>
      </c>
      <c r="G2526" s="11">
        <v>457</v>
      </c>
      <c r="H2526" s="11">
        <v>215</v>
      </c>
      <c r="I2526" s="11">
        <v>0</v>
      </c>
      <c r="J2526" s="11">
        <v>0</v>
      </c>
      <c r="K2526" s="11" t="s">
        <v>21</v>
      </c>
      <c r="L2526" s="7">
        <v>41578.702696759261</v>
      </c>
      <c r="M2526" s="12" t="s">
        <v>936</v>
      </c>
      <c r="N2526" s="12" t="s">
        <v>937</v>
      </c>
      <c r="O2526" s="10" t="str">
        <f>HYPERLINK("https://pbs.twimg.com/profile_images/707877685721231360/0WBLwHQ-_normal.jpg","View")</f>
        <v>View</v>
      </c>
      <c r="P2526" s="11"/>
    </row>
    <row r="2527" spans="1:16" ht="12.75" x14ac:dyDescent="0.35">
      <c r="A2527" s="7">
        <v>42482.556111111116</v>
      </c>
      <c r="B2527" s="8" t="str">
        <f>HYPERLINK("https://twitter.com/1StepTo","@1StepTo")</f>
        <v>@1StepTo</v>
      </c>
      <c r="C2527" s="9" t="s">
        <v>4409</v>
      </c>
      <c r="D2527" s="9" t="s">
        <v>4406</v>
      </c>
      <c r="E2527" s="10" t="str">
        <f>HYPERLINK("https://twitter.com/1StepTo/status/723418765728178177","723418765728178177")</f>
        <v>723418765728178177</v>
      </c>
      <c r="F2527" s="11" t="s">
        <v>29</v>
      </c>
      <c r="G2527" s="11">
        <v>1524</v>
      </c>
      <c r="H2527" s="11">
        <v>1322</v>
      </c>
      <c r="I2527" s="11">
        <v>2</v>
      </c>
      <c r="J2527" s="11">
        <v>0</v>
      </c>
      <c r="K2527" s="11" t="s">
        <v>21</v>
      </c>
      <c r="L2527" s="7">
        <v>39877.756435185183</v>
      </c>
      <c r="M2527" s="12" t="s">
        <v>218</v>
      </c>
      <c r="N2527" s="12" t="s">
        <v>4410</v>
      </c>
      <c r="O2527" s="10" t="str">
        <f>HYPERLINK("https://pbs.twimg.com/profile_images/1298797782/1_quadrat_xing_96_normal.jpg","View")</f>
        <v>View</v>
      </c>
      <c r="P2527" s="11"/>
    </row>
    <row r="2528" spans="1:16" ht="12.75" x14ac:dyDescent="0.35">
      <c r="A2528" s="7">
        <v>42482.556435185186</v>
      </c>
      <c r="B2528" s="8" t="str">
        <f>HYPERLINK("https://twitter.com/BitkomResearch","@BitkomResearch")</f>
        <v>@BitkomResearch</v>
      </c>
      <c r="C2528" s="9" t="s">
        <v>238</v>
      </c>
      <c r="D2528" s="9" t="s">
        <v>3968</v>
      </c>
      <c r="E2528" s="10" t="str">
        <f>HYPERLINK("https://twitter.com/BitkomResearch/status/723418880123629568","723418880123629568")</f>
        <v>723418880123629568</v>
      </c>
      <c r="F2528" s="11" t="s">
        <v>25</v>
      </c>
      <c r="G2528" s="11">
        <v>7067</v>
      </c>
      <c r="H2528" s="11">
        <v>6781</v>
      </c>
      <c r="I2528" s="11">
        <v>14</v>
      </c>
      <c r="J2528" s="11">
        <v>0</v>
      </c>
      <c r="K2528" s="11" t="s">
        <v>21</v>
      </c>
      <c r="L2528" s="7">
        <v>42227.56631944445</v>
      </c>
      <c r="M2528" s="12" t="s">
        <v>116</v>
      </c>
      <c r="N2528" s="12" t="s">
        <v>240</v>
      </c>
      <c r="O2528" s="10" t="str">
        <f>HYPERLINK("https://pbs.twimg.com/profile_images/631021673857290240/dsNYkRwd_normal.jpg","View")</f>
        <v>View</v>
      </c>
      <c r="P2528" s="11"/>
    </row>
    <row r="2529" spans="1:16" ht="12.75" x14ac:dyDescent="0.35">
      <c r="A2529" s="7">
        <v>42482.558275462958</v>
      </c>
      <c r="B2529" s="8" t="str">
        <f>HYPERLINK("https://twitter.com/VDI_News","@VDI_News")</f>
        <v>@VDI_News</v>
      </c>
      <c r="C2529" s="9" t="s">
        <v>118</v>
      </c>
      <c r="D2529" s="9" t="s">
        <v>4411</v>
      </c>
      <c r="E2529" s="10" t="str">
        <f>HYPERLINK("https://twitter.com/VDI_News/status/723419546669867009","723419546669867009")</f>
        <v>723419546669867009</v>
      </c>
      <c r="F2529" s="11" t="s">
        <v>25</v>
      </c>
      <c r="G2529" s="11">
        <v>8755</v>
      </c>
      <c r="H2529" s="11">
        <v>514</v>
      </c>
      <c r="I2529" s="11">
        <v>3</v>
      </c>
      <c r="J2529" s="11">
        <v>0</v>
      </c>
      <c r="K2529" s="11" t="s">
        <v>21</v>
      </c>
      <c r="L2529" s="7">
        <v>39876.69908564815</v>
      </c>
      <c r="M2529" s="12" t="s">
        <v>121</v>
      </c>
      <c r="N2529" s="12" t="s">
        <v>122</v>
      </c>
      <c r="O2529" s="10" t="str">
        <f>HYPERLINK("https://pbs.twimg.com/profile_images/469070945483628546/iD8AeJP6_normal.png","View")</f>
        <v>View</v>
      </c>
      <c r="P2529" s="11"/>
    </row>
    <row r="2530" spans="1:16" ht="12.75" x14ac:dyDescent="0.35">
      <c r="A2530" s="7">
        <v>42482.559212962966</v>
      </c>
      <c r="B2530" s="8" t="str">
        <f>HYPERLINK("https://twitter.com/IoTMinded","@IoTMinded")</f>
        <v>@IoTMinded</v>
      </c>
      <c r="C2530" s="9" t="s">
        <v>435</v>
      </c>
      <c r="D2530" s="9" t="s">
        <v>4380</v>
      </c>
      <c r="E2530" s="10" t="str">
        <f>HYPERLINK("https://twitter.com/IoTMinded/status/723419888576929793","723419888576929793")</f>
        <v>723419888576929793</v>
      </c>
      <c r="F2530" s="11" t="s">
        <v>437</v>
      </c>
      <c r="G2530" s="11">
        <v>1102</v>
      </c>
      <c r="H2530" s="11">
        <v>656</v>
      </c>
      <c r="I2530" s="11">
        <v>3</v>
      </c>
      <c r="J2530" s="11">
        <v>0</v>
      </c>
      <c r="K2530" s="11" t="s">
        <v>21</v>
      </c>
      <c r="L2530" s="7">
        <v>40085.127789351856</v>
      </c>
      <c r="M2530" s="12"/>
      <c r="N2530" s="12" t="s">
        <v>438</v>
      </c>
      <c r="O2530" s="10" t="str">
        <f>HYPERLINK("https://pbs.twimg.com/profile_images/603699032804859904/lb5IMG5x_normal.jpg","View")</f>
        <v>View</v>
      </c>
      <c r="P2530" s="11"/>
    </row>
    <row r="2531" spans="1:16" ht="12.75" x14ac:dyDescent="0.35">
      <c r="A2531" s="7">
        <v>42482.560150462959</v>
      </c>
      <c r="B2531" s="8" t="str">
        <f>HYPERLINK("https://twitter.com/AMETRAInge","@AMETRAInge")</f>
        <v>@AMETRAInge</v>
      </c>
      <c r="C2531" s="9" t="s">
        <v>1168</v>
      </c>
      <c r="D2531" s="9" t="s">
        <v>4412</v>
      </c>
      <c r="E2531" s="10" t="str">
        <f>HYPERLINK("https://twitter.com/AMETRAInge/status/723420227095031808","723420227095031808")</f>
        <v>723420227095031808</v>
      </c>
      <c r="F2531" s="11" t="s">
        <v>59</v>
      </c>
      <c r="G2531" s="11">
        <v>603</v>
      </c>
      <c r="H2531" s="11">
        <v>2614</v>
      </c>
      <c r="I2531" s="11">
        <v>6</v>
      </c>
      <c r="J2531" s="11">
        <v>2</v>
      </c>
      <c r="K2531" s="11" t="s">
        <v>21</v>
      </c>
      <c r="L2531" s="7">
        <v>42341.674085648148</v>
      </c>
      <c r="M2531" s="12" t="s">
        <v>214</v>
      </c>
      <c r="N2531" s="12" t="s">
        <v>1170</v>
      </c>
      <c r="O2531" s="10" t="str">
        <f>HYPERLINK("https://pbs.twimg.com/profile_images/677781149037514752/TcTK8Bpv_normal.png","View")</f>
        <v>View</v>
      </c>
      <c r="P2531" s="11"/>
    </row>
    <row r="2532" spans="1:16" ht="12.75" x14ac:dyDescent="0.35">
      <c r="A2532" s="7">
        <v>42482.563275462962</v>
      </c>
      <c r="B2532" s="8" t="str">
        <f>HYPERLINK("https://twitter.com/BOLDLYGO_FFM","@BOLDLYGO_FFM")</f>
        <v>@BOLDLYGO_FFM</v>
      </c>
      <c r="C2532" s="9" t="s">
        <v>3524</v>
      </c>
      <c r="D2532" s="9" t="s">
        <v>4396</v>
      </c>
      <c r="E2532" s="10" t="str">
        <f>HYPERLINK("https://twitter.com/BOLDLYGO_FFM/status/723421359921979394","723421359921979394")</f>
        <v>723421359921979394</v>
      </c>
      <c r="F2532" s="11" t="s">
        <v>25</v>
      </c>
      <c r="G2532" s="11">
        <v>134</v>
      </c>
      <c r="H2532" s="11">
        <v>364</v>
      </c>
      <c r="I2532" s="11">
        <v>2</v>
      </c>
      <c r="J2532" s="11">
        <v>0</v>
      </c>
      <c r="K2532" s="11" t="s">
        <v>21</v>
      </c>
      <c r="L2532" s="7">
        <v>42211.596736111111</v>
      </c>
      <c r="M2532" s="12" t="s">
        <v>79</v>
      </c>
      <c r="N2532" s="12" t="s">
        <v>3526</v>
      </c>
      <c r="O2532" s="10" t="str">
        <f>HYPERLINK("https://pbs.twimg.com/profile_images/636836616263311360/-akWmcev_normal.png","View")</f>
        <v>View</v>
      </c>
      <c r="P2532" s="11"/>
    </row>
    <row r="2533" spans="1:16" ht="12.75" x14ac:dyDescent="0.35">
      <c r="A2533" s="7">
        <v>42482.564016203702</v>
      </c>
      <c r="B2533" s="8" t="str">
        <f>HYPERLINK("https://twitter.com/BMAS_Bund","@BMAS_Bund")</f>
        <v>@BMAS_Bund</v>
      </c>
      <c r="C2533" s="9" t="s">
        <v>3667</v>
      </c>
      <c r="D2533" s="9" t="s">
        <v>4413</v>
      </c>
      <c r="E2533" s="10" t="str">
        <f>HYPERLINK("https://twitter.com/BMAS_Bund/status/723421629485748224","723421629485748224")</f>
        <v>723421629485748224</v>
      </c>
      <c r="F2533" s="11" t="s">
        <v>4414</v>
      </c>
      <c r="G2533" s="11">
        <v>6633</v>
      </c>
      <c r="H2533" s="11">
        <v>158</v>
      </c>
      <c r="I2533" s="11">
        <v>0</v>
      </c>
      <c r="J2533" s="11">
        <v>0</v>
      </c>
      <c r="K2533" s="11" t="s">
        <v>21</v>
      </c>
      <c r="L2533" s="7">
        <v>41449.835231481484</v>
      </c>
      <c r="M2533" s="12" t="s">
        <v>218</v>
      </c>
      <c r="N2533" s="12" t="s">
        <v>3669</v>
      </c>
      <c r="O2533" s="10" t="str">
        <f>HYPERLINK("https://pbs.twimg.com/profile_images/458890407313559552/jLyIiacO_normal.png","View")</f>
        <v>View</v>
      </c>
      <c r="P2533" s="11"/>
    </row>
    <row r="2534" spans="1:16" ht="12.75" x14ac:dyDescent="0.35">
      <c r="A2534" s="7">
        <v>42482.564120370371</v>
      </c>
      <c r="B2534" s="8" t="str">
        <f>HYPERLINK("https://twitter.com/LeasingVerband","@LeasingVerband")</f>
        <v>@LeasingVerband</v>
      </c>
      <c r="C2534" s="9" t="s">
        <v>1330</v>
      </c>
      <c r="D2534" s="9" t="s">
        <v>4084</v>
      </c>
      <c r="E2534" s="10" t="str">
        <f>HYPERLINK("https://twitter.com/LeasingVerband/status/723421666940874752","723421666940874752")</f>
        <v>723421666940874752</v>
      </c>
      <c r="F2534" s="11" t="s">
        <v>25</v>
      </c>
      <c r="G2534" s="11">
        <v>85</v>
      </c>
      <c r="H2534" s="11">
        <v>188</v>
      </c>
      <c r="I2534" s="11">
        <v>4</v>
      </c>
      <c r="J2534" s="11">
        <v>0</v>
      </c>
      <c r="K2534" s="11" t="s">
        <v>21</v>
      </c>
      <c r="L2534" s="7">
        <v>42018.857268518521</v>
      </c>
      <c r="M2534" s="12" t="s">
        <v>1332</v>
      </c>
      <c r="N2534" s="12" t="s">
        <v>1333</v>
      </c>
      <c r="O2534" s="10" t="str">
        <f>HYPERLINK("https://pbs.twimg.com/profile_images/657444681853198336/u2cJqzo7_normal.jpg","View")</f>
        <v>View</v>
      </c>
      <c r="P2534" s="11"/>
    </row>
    <row r="2535" spans="1:16" ht="12.75" x14ac:dyDescent="0.35">
      <c r="A2535" s="7">
        <v>42482.564166666663</v>
      </c>
      <c r="B2535" s="8" t="str">
        <f>HYPERLINK("https://twitter.com/MindCommerce","@MindCommerce")</f>
        <v>@MindCommerce</v>
      </c>
      <c r="C2535" s="9" t="s">
        <v>1242</v>
      </c>
      <c r="D2535" s="9" t="s">
        <v>4380</v>
      </c>
      <c r="E2535" s="10" t="str">
        <f>HYPERLINK("https://twitter.com/MindCommerce/status/723421682224885760","723421682224885760")</f>
        <v>723421682224885760</v>
      </c>
      <c r="F2535" s="11" t="s">
        <v>437</v>
      </c>
      <c r="G2535" s="11">
        <v>1189</v>
      </c>
      <c r="H2535" s="11">
        <v>427</v>
      </c>
      <c r="I2535" s="11">
        <v>3</v>
      </c>
      <c r="J2535" s="11">
        <v>0</v>
      </c>
      <c r="K2535" s="11" t="s">
        <v>21</v>
      </c>
      <c r="L2535" s="7">
        <v>40577.150787037041</v>
      </c>
      <c r="M2535" s="12"/>
      <c r="N2535" s="12" t="s">
        <v>1244</v>
      </c>
      <c r="O2535" s="10" t="str">
        <f>HYPERLINK("https://pbs.twimg.com/profile_images/548030384030507008/utABqhj9_normal.png","View")</f>
        <v>View</v>
      </c>
      <c r="P2535" s="11"/>
    </row>
    <row r="2536" spans="1:16" ht="12.75" x14ac:dyDescent="0.35">
      <c r="A2536" s="7">
        <v>42482.564398148148</v>
      </c>
      <c r="B2536" s="8" t="str">
        <f>HYPERLINK("https://twitter.com/INDIZbot","@INDIZbot")</f>
        <v>@INDIZbot</v>
      </c>
      <c r="C2536" s="9" t="s">
        <v>61</v>
      </c>
      <c r="D2536" s="9" t="s">
        <v>4411</v>
      </c>
      <c r="E2536" s="10" t="str">
        <f>HYPERLINK("https://twitter.com/INDIZbot/status/723421765209182208","723421765209182208")</f>
        <v>723421765209182208</v>
      </c>
      <c r="F2536" s="11" t="s">
        <v>62</v>
      </c>
      <c r="G2536" s="11">
        <v>1762</v>
      </c>
      <c r="H2536" s="11">
        <v>481</v>
      </c>
      <c r="I2536" s="11">
        <v>3</v>
      </c>
      <c r="J2536" s="11">
        <v>0</v>
      </c>
      <c r="K2536" s="11" t="s">
        <v>21</v>
      </c>
      <c r="L2536" s="7">
        <v>42267.011921296296</v>
      </c>
      <c r="M2536" s="12"/>
      <c r="N2536" s="12" t="s">
        <v>63</v>
      </c>
      <c r="O2536" s="10" t="str">
        <f>HYPERLINK("https://pbs.twimg.com/profile_images/645716711723925506/t5G0qOS6_normal.jpg","View")</f>
        <v>View</v>
      </c>
      <c r="P2536" s="11"/>
    </row>
    <row r="2537" spans="1:16" ht="12.75" x14ac:dyDescent="0.35">
      <c r="A2537" s="7">
        <v>42482.565381944441</v>
      </c>
      <c r="B2537" s="8" t="str">
        <f>HYPERLINK("https://twitter.com/CompTIA_DACH","@CompTIA_DACH")</f>
        <v>@CompTIA_DACH</v>
      </c>
      <c r="C2537" s="9" t="s">
        <v>1363</v>
      </c>
      <c r="D2537" s="9" t="s">
        <v>3588</v>
      </c>
      <c r="E2537" s="10" t="str">
        <f>HYPERLINK("https://twitter.com/CompTIA_DACH/status/723422122287058944","723422122287058944")</f>
        <v>723422122287058944</v>
      </c>
      <c r="F2537" s="11" t="s">
        <v>25</v>
      </c>
      <c r="G2537" s="11">
        <v>54</v>
      </c>
      <c r="H2537" s="11">
        <v>119</v>
      </c>
      <c r="I2537" s="11">
        <v>24</v>
      </c>
      <c r="J2537" s="11">
        <v>0</v>
      </c>
      <c r="K2537" s="11" t="s">
        <v>21</v>
      </c>
      <c r="L2537" s="7">
        <v>42250.560532407406</v>
      </c>
      <c r="M2537" s="12"/>
      <c r="N2537" s="12" t="s">
        <v>1364</v>
      </c>
      <c r="O2537" s="10" t="str">
        <f>HYPERLINK("https://pbs.twimg.com/profile_images/704719602014679040/mJ2zg355_normal.jpg","View")</f>
        <v>View</v>
      </c>
      <c r="P2537" s="11"/>
    </row>
    <row r="2538" spans="1:16" ht="12.75" x14ac:dyDescent="0.35">
      <c r="A2538" s="7">
        <v>42482.565486111111</v>
      </c>
      <c r="B2538" s="8" t="str">
        <f>HYPERLINK("https://twitter.com/tcerisier_johan","@tcerisier_johan")</f>
        <v>@tcerisier_johan</v>
      </c>
      <c r="C2538" s="9" t="s">
        <v>1292</v>
      </c>
      <c r="D2538" s="9" t="s">
        <v>4415</v>
      </c>
      <c r="E2538" s="10" t="str">
        <f>HYPERLINK("https://twitter.com/tcerisier_johan/status/723422160727867392","723422160727867392")</f>
        <v>723422160727867392</v>
      </c>
      <c r="F2538" s="11" t="s">
        <v>31</v>
      </c>
      <c r="G2538" s="11">
        <v>236</v>
      </c>
      <c r="H2538" s="11">
        <v>1763</v>
      </c>
      <c r="I2538" s="11">
        <v>6</v>
      </c>
      <c r="J2538" s="11">
        <v>0</v>
      </c>
      <c r="K2538" s="11" t="s">
        <v>21</v>
      </c>
      <c r="L2538" s="7">
        <v>42448.238032407404</v>
      </c>
      <c r="M2538" s="12"/>
      <c r="N2538" s="12"/>
      <c r="O2538" s="10" t="str">
        <f>HYPERLINK("https://pbs.twimg.com/profile_images/710982607606038528/t8IYX_cK_normal.jpg","View")</f>
        <v>View</v>
      </c>
      <c r="P2538" s="11"/>
    </row>
    <row r="2539" spans="1:16" ht="12.75" x14ac:dyDescent="0.35">
      <c r="A2539" s="7">
        <v>42482.567199074074</v>
      </c>
      <c r="B2539" s="8" t="str">
        <f>HYPERLINK("https://twitter.com/francoi55889292","@francoi55889292")</f>
        <v>@francoi55889292</v>
      </c>
      <c r="C2539" s="9" t="s">
        <v>4416</v>
      </c>
      <c r="D2539" s="9" t="s">
        <v>4415</v>
      </c>
      <c r="E2539" s="10" t="str">
        <f>HYPERLINK("https://twitter.com/francoi55889292/status/723422782122397696","723422782122397696")</f>
        <v>723422782122397696</v>
      </c>
      <c r="F2539" s="11" t="s">
        <v>25</v>
      </c>
      <c r="G2539" s="11">
        <v>10</v>
      </c>
      <c r="H2539" s="11">
        <v>38</v>
      </c>
      <c r="I2539" s="11">
        <v>6</v>
      </c>
      <c r="J2539" s="11">
        <v>0</v>
      </c>
      <c r="K2539" s="11" t="s">
        <v>21</v>
      </c>
      <c r="L2539" s="7">
        <v>42473.801481481481</v>
      </c>
      <c r="M2539" s="12"/>
      <c r="N2539" s="12"/>
      <c r="O2539" s="10" t="str">
        <f>HYPERLINK("https://abs.twimg.com/sticky/default_profile_images/default_profile_5_normal.png","View")</f>
        <v>View</v>
      </c>
      <c r="P2539" s="11"/>
    </row>
    <row r="2540" spans="1:16" ht="12.75" x14ac:dyDescent="0.35">
      <c r="A2540" s="7">
        <v>42482.568900462968</v>
      </c>
      <c r="B2540" s="8" t="str">
        <f>HYPERLINK("https://twitter.com/joworf","@joworf")</f>
        <v>@joworf</v>
      </c>
      <c r="C2540" s="9" t="s">
        <v>746</v>
      </c>
      <c r="D2540" s="9" t="s">
        <v>4417</v>
      </c>
      <c r="E2540" s="10" t="str">
        <f>HYPERLINK("https://twitter.com/joworf/status/723423400065003520","723423400065003520")</f>
        <v>723423400065003520</v>
      </c>
      <c r="F2540" s="11" t="s">
        <v>31</v>
      </c>
      <c r="G2540" s="11">
        <v>221</v>
      </c>
      <c r="H2540" s="11">
        <v>264</v>
      </c>
      <c r="I2540" s="11">
        <v>1</v>
      </c>
      <c r="J2540" s="11">
        <v>0</v>
      </c>
      <c r="K2540" s="11" t="s">
        <v>21</v>
      </c>
      <c r="L2540" s="7">
        <v>41445.874745370369</v>
      </c>
      <c r="M2540" s="12" t="s">
        <v>121</v>
      </c>
      <c r="N2540" s="12" t="s">
        <v>747</v>
      </c>
      <c r="O2540" s="10" t="str">
        <f>HYPERLINK("https://pbs.twimg.com/profile_images/378800000730237374/61248132aea1de8788bfabe0f46145e3_normal.jpeg","View")</f>
        <v>View</v>
      </c>
      <c r="P2540" s="11"/>
    </row>
    <row r="2541" spans="1:16" ht="12.75" x14ac:dyDescent="0.35">
      <c r="A2541" s="7">
        <v>42482.570254629631</v>
      </c>
      <c r="B2541" s="8" t="str">
        <f>HYPERLINK("https://twitter.com/INDIZbot","@INDIZbot")</f>
        <v>@INDIZbot</v>
      </c>
      <c r="C2541" s="9" t="s">
        <v>61</v>
      </c>
      <c r="D2541" s="9" t="s">
        <v>4418</v>
      </c>
      <c r="E2541" s="10" t="str">
        <f>HYPERLINK("https://twitter.com/INDIZbot/status/723423890790178816","723423890790178816")</f>
        <v>723423890790178816</v>
      </c>
      <c r="F2541" s="11" t="s">
        <v>62</v>
      </c>
      <c r="G2541" s="11">
        <v>1762</v>
      </c>
      <c r="H2541" s="11">
        <v>481</v>
      </c>
      <c r="I2541" s="11">
        <v>1</v>
      </c>
      <c r="J2541" s="11">
        <v>0</v>
      </c>
      <c r="K2541" s="11" t="s">
        <v>21</v>
      </c>
      <c r="L2541" s="7">
        <v>42267.011921296296</v>
      </c>
      <c r="M2541" s="12"/>
      <c r="N2541" s="12" t="s">
        <v>63</v>
      </c>
      <c r="O2541" s="10" t="str">
        <f>HYPERLINK("https://pbs.twimg.com/profile_images/645716711723925506/t5G0qOS6_normal.jpg","View")</f>
        <v>View</v>
      </c>
      <c r="P2541" s="11"/>
    </row>
    <row r="2542" spans="1:16" ht="12.75" x14ac:dyDescent="0.35">
      <c r="A2542" s="7">
        <v>42482.572453703702</v>
      </c>
      <c r="B2542" s="8" t="str">
        <f>HYPERLINK("https://twitter.com/ChrisSpahnADP","@ChrisSpahnADP")</f>
        <v>@ChrisSpahnADP</v>
      </c>
      <c r="C2542" s="9" t="s">
        <v>77</v>
      </c>
      <c r="D2542" s="9" t="s">
        <v>4419</v>
      </c>
      <c r="E2542" s="10" t="str">
        <f>HYPERLINK("https://twitter.com/ChrisSpahnADP/status/723424685904424961","723424685904424961")</f>
        <v>723424685904424961</v>
      </c>
      <c r="F2542" s="11" t="s">
        <v>25</v>
      </c>
      <c r="G2542" s="11">
        <v>672</v>
      </c>
      <c r="H2542" s="11">
        <v>1219</v>
      </c>
      <c r="I2542" s="11">
        <v>1</v>
      </c>
      <c r="J2542" s="11">
        <v>0</v>
      </c>
      <c r="K2542" s="11" t="s">
        <v>21</v>
      </c>
      <c r="L2542" s="7">
        <v>42284.785925925928</v>
      </c>
      <c r="M2542" s="12" t="s">
        <v>79</v>
      </c>
      <c r="N2542" s="12" t="s">
        <v>80</v>
      </c>
      <c r="O2542" s="10" t="str">
        <f>HYPERLINK("https://pbs.twimg.com/profile_images/651750095508086786/7EobC7Vn_normal.jpg","View")</f>
        <v>View</v>
      </c>
      <c r="P2542" s="11"/>
    </row>
    <row r="2543" spans="1:16" ht="12.75" x14ac:dyDescent="0.35">
      <c r="A2543" s="7">
        <v>42482.573217592595</v>
      </c>
      <c r="B2543" s="8" t="str">
        <f>HYPERLINK("https://twitter.com/NicolasChulot","@NicolasChulot")</f>
        <v>@NicolasChulot</v>
      </c>
      <c r="C2543" s="9" t="s">
        <v>1621</v>
      </c>
      <c r="D2543" s="9" t="s">
        <v>4415</v>
      </c>
      <c r="E2543" s="10" t="str">
        <f>HYPERLINK("https://twitter.com/NicolasChulot/status/723424964628500481","723424964628500481")</f>
        <v>723424964628500481</v>
      </c>
      <c r="F2543" s="11" t="s">
        <v>25</v>
      </c>
      <c r="G2543" s="11">
        <v>68</v>
      </c>
      <c r="H2543" s="11">
        <v>432</v>
      </c>
      <c r="I2543" s="11">
        <v>6</v>
      </c>
      <c r="J2543" s="11">
        <v>0</v>
      </c>
      <c r="K2543" s="11" t="s">
        <v>21</v>
      </c>
      <c r="L2543" s="7">
        <v>42451.762048611112</v>
      </c>
      <c r="M2543" s="12" t="s">
        <v>1622</v>
      </c>
      <c r="N2543" s="12" t="s">
        <v>1623</v>
      </c>
      <c r="O2543" s="10" t="str">
        <f>HYPERLINK("https://pbs.twimg.com/profile_images/712259533599580160/jLEP38YT_normal.jpg","View")</f>
        <v>View</v>
      </c>
      <c r="P2543" s="11"/>
    </row>
    <row r="2544" spans="1:16" ht="12.75" x14ac:dyDescent="0.35">
      <c r="A2544" s="7">
        <v>42482.574201388888</v>
      </c>
      <c r="B2544" s="8" t="str">
        <f>HYPERLINK("https://twitter.com/NRWEuropa","@NRWEuropa")</f>
        <v>@NRWEuropa</v>
      </c>
      <c r="C2544" s="9" t="s">
        <v>4420</v>
      </c>
      <c r="D2544" s="9" t="s">
        <v>4339</v>
      </c>
      <c r="E2544" s="10" t="str">
        <f>HYPERLINK("https://twitter.com/NRWEuropa/status/723425317826650114","723425317826650114")</f>
        <v>723425317826650114</v>
      </c>
      <c r="F2544" s="11" t="s">
        <v>25</v>
      </c>
      <c r="G2544" s="11">
        <v>51</v>
      </c>
      <c r="H2544" s="11">
        <v>47</v>
      </c>
      <c r="I2544" s="11">
        <v>3</v>
      </c>
      <c r="J2544" s="11">
        <v>0</v>
      </c>
      <c r="K2544" s="11" t="s">
        <v>21</v>
      </c>
      <c r="L2544" s="7">
        <v>42382.595277777778</v>
      </c>
      <c r="M2544" s="12" t="s">
        <v>3086</v>
      </c>
      <c r="N2544" s="12" t="s">
        <v>4421</v>
      </c>
      <c r="O2544" s="10" t="str">
        <f>HYPERLINK("https://pbs.twimg.com/profile_images/689477529749622785/o9GKf3PS_normal.png","View")</f>
        <v>View</v>
      </c>
      <c r="P2544" s="11"/>
    </row>
    <row r="2545" spans="1:16" ht="12.75" x14ac:dyDescent="0.35">
      <c r="A2545" s="7">
        <v>42482.574328703704</v>
      </c>
      <c r="B2545" s="8" t="str">
        <f>HYPERLINK("https://twitter.com/fabiendutheil71","@fabiendutheil71")</f>
        <v>@fabiendutheil71</v>
      </c>
      <c r="C2545" s="9" t="s">
        <v>4422</v>
      </c>
      <c r="D2545" s="9" t="s">
        <v>4415</v>
      </c>
      <c r="E2545" s="10" t="str">
        <f>HYPERLINK("https://twitter.com/fabiendutheil71/status/723425365289394177","723425365289394177")</f>
        <v>723425365289394177</v>
      </c>
      <c r="F2545" s="11" t="s">
        <v>25</v>
      </c>
      <c r="G2545" s="11">
        <v>55</v>
      </c>
      <c r="H2545" s="11">
        <v>301</v>
      </c>
      <c r="I2545" s="11">
        <v>6</v>
      </c>
      <c r="J2545" s="11">
        <v>0</v>
      </c>
      <c r="K2545" s="11" t="s">
        <v>21</v>
      </c>
      <c r="L2545" s="7">
        <v>42451.756597222222</v>
      </c>
      <c r="M2545" s="12" t="s">
        <v>45</v>
      </c>
      <c r="N2545" s="12" t="s">
        <v>4423</v>
      </c>
      <c r="O2545" s="10" t="str">
        <f>HYPERLINK("https://pbs.twimg.com/profile_images/712257666094075904/QGnaygAl_normal.jpg","View")</f>
        <v>View</v>
      </c>
      <c r="P2545" s="11"/>
    </row>
    <row r="2546" spans="1:16" ht="12.75" x14ac:dyDescent="0.35">
      <c r="A2546" s="7">
        <v>42482.575266203705</v>
      </c>
      <c r="B2546" s="8" t="str">
        <f>HYPERLINK("https://twitter.com/s_w_weyer","@s_w_weyer")</f>
        <v>@s_w_weyer</v>
      </c>
      <c r="C2546" s="9" t="s">
        <v>4424</v>
      </c>
      <c r="D2546" s="9" t="s">
        <v>4425</v>
      </c>
      <c r="E2546" s="10" t="str">
        <f>HYPERLINK("https://twitter.com/s_w_weyer/status/723425706164670470","723425706164670470")</f>
        <v>723425706164670470</v>
      </c>
      <c r="F2546" s="11" t="s">
        <v>115</v>
      </c>
      <c r="G2546" s="11">
        <v>27</v>
      </c>
      <c r="H2546" s="11">
        <v>50</v>
      </c>
      <c r="I2546" s="11">
        <v>0</v>
      </c>
      <c r="J2546" s="11">
        <v>0</v>
      </c>
      <c r="K2546" s="11" t="s">
        <v>21</v>
      </c>
      <c r="L2546" s="7">
        <v>42452.95884259259</v>
      </c>
      <c r="M2546" s="12"/>
      <c r="N2546" s="12" t="s">
        <v>4426</v>
      </c>
      <c r="O2546" s="10" t="str">
        <f>HYPERLINK("https://pbs.twimg.com/profile_images/716951093406728192/N9bkGpwE_normal.jpg","View")</f>
        <v>View</v>
      </c>
      <c r="P2546" s="11"/>
    </row>
    <row r="2547" spans="1:16" ht="12.75" x14ac:dyDescent="0.35">
      <c r="A2547" s="7">
        <v>42482.576331018514</v>
      </c>
      <c r="B2547" s="8" t="str">
        <f>HYPERLINK("https://twitter.com/Rhenatic","@Rhenatic")</f>
        <v>@Rhenatic</v>
      </c>
      <c r="C2547" s="9" t="s">
        <v>2602</v>
      </c>
      <c r="D2547" s="9" t="s">
        <v>4427</v>
      </c>
      <c r="E2547" s="10" t="str">
        <f>HYPERLINK("https://twitter.com/Rhenatic/status/723426091851882496","723426091851882496")</f>
        <v>723426091851882496</v>
      </c>
      <c r="F2547" s="11" t="s">
        <v>31</v>
      </c>
      <c r="G2547" s="11">
        <v>1446</v>
      </c>
      <c r="H2547" s="11">
        <v>236</v>
      </c>
      <c r="I2547" s="11">
        <v>1</v>
      </c>
      <c r="J2547" s="11">
        <v>2</v>
      </c>
      <c r="K2547" s="11" t="s">
        <v>21</v>
      </c>
      <c r="L2547" s="7">
        <v>40018.606840277775</v>
      </c>
      <c r="M2547" s="12" t="s">
        <v>2604</v>
      </c>
      <c r="N2547" s="12" t="s">
        <v>2605</v>
      </c>
      <c r="O2547" s="10" t="str">
        <f>HYPERLINK("https://pbs.twimg.com/profile_images/555327405187801088/bhizIjB-_normal.png","View")</f>
        <v>View</v>
      </c>
      <c r="P2547" s="11"/>
    </row>
    <row r="2548" spans="1:16" ht="12.75" x14ac:dyDescent="0.35">
      <c r="A2548" s="7">
        <v>42482.576724537037</v>
      </c>
      <c r="B2548" s="8" t="str">
        <f>HYPERLINK("https://twitter.com/Samarelli75","@Samarelli75")</f>
        <v>@Samarelli75</v>
      </c>
      <c r="C2548" s="9" t="s">
        <v>4428</v>
      </c>
      <c r="D2548" s="9" t="s">
        <v>4415</v>
      </c>
      <c r="E2548" s="10" t="str">
        <f>HYPERLINK("https://twitter.com/Samarelli75/status/723426234818916352","723426234818916352")</f>
        <v>723426234818916352</v>
      </c>
      <c r="F2548" s="11" t="s">
        <v>25</v>
      </c>
      <c r="G2548" s="11">
        <v>125</v>
      </c>
      <c r="H2548" s="11">
        <v>958</v>
      </c>
      <c r="I2548" s="11">
        <v>6</v>
      </c>
      <c r="J2548" s="11">
        <v>0</v>
      </c>
      <c r="K2548" s="11" t="s">
        <v>21</v>
      </c>
      <c r="L2548" s="7">
        <v>42430.688796296294</v>
      </c>
      <c r="M2548" s="12"/>
      <c r="N2548" s="12"/>
      <c r="O2548" s="10" t="str">
        <f>HYPERLINK("https://abs.twimg.com/sticky/default_profile_images/default_profile_3_normal.png","View")</f>
        <v>View</v>
      </c>
      <c r="P2548" s="11"/>
    </row>
    <row r="2549" spans="1:16" ht="12.75" x14ac:dyDescent="0.35">
      <c r="A2549" s="7">
        <v>42482.57712962963</v>
      </c>
      <c r="B2549" s="8" t="str">
        <f>HYPERLINK("https://twitter.com/opierrat","@opierrat")</f>
        <v>@opierrat</v>
      </c>
      <c r="C2549" s="9" t="s">
        <v>4429</v>
      </c>
      <c r="D2549" s="9" t="s">
        <v>4430</v>
      </c>
      <c r="E2549" s="10" t="str">
        <f>HYPERLINK("https://twitter.com/opierrat/status/723426381929926657","723426381929926657")</f>
        <v>723426381929926657</v>
      </c>
      <c r="F2549" s="11" t="s">
        <v>866</v>
      </c>
      <c r="G2549" s="11">
        <v>288</v>
      </c>
      <c r="H2549" s="11">
        <v>468</v>
      </c>
      <c r="I2549" s="11">
        <v>1</v>
      </c>
      <c r="J2549" s="11">
        <v>0</v>
      </c>
      <c r="K2549" s="11" t="s">
        <v>21</v>
      </c>
      <c r="L2549" s="7">
        <v>40738.146377314813</v>
      </c>
      <c r="M2549" s="12" t="s">
        <v>4431</v>
      </c>
      <c r="N2549" s="12" t="s">
        <v>4432</v>
      </c>
      <c r="O2549" s="10" t="str">
        <f>HYPERLINK("https://pbs.twimg.com/profile_images/516225055496228864/tsHkO0zs_normal.jpeg","View")</f>
        <v>View</v>
      </c>
      <c r="P2549" s="11"/>
    </row>
    <row r="2550" spans="1:16" ht="12.75" x14ac:dyDescent="0.35">
      <c r="A2550" s="7">
        <v>42482.577280092592</v>
      </c>
      <c r="B2550" s="8" t="str">
        <f>HYPERLINK("https://twitter.com/ClementineHule","@ClementineHule")</f>
        <v>@ClementineHule</v>
      </c>
      <c r="C2550" s="9" t="s">
        <v>4433</v>
      </c>
      <c r="D2550" s="9" t="s">
        <v>4415</v>
      </c>
      <c r="E2550" s="10" t="str">
        <f>HYPERLINK("https://twitter.com/ClementineHule/status/723426433729613824","723426433729613824")</f>
        <v>723426433729613824</v>
      </c>
      <c r="F2550" s="11" t="s">
        <v>25</v>
      </c>
      <c r="G2550" s="11">
        <v>17</v>
      </c>
      <c r="H2550" s="11">
        <v>111</v>
      </c>
      <c r="I2550" s="11">
        <v>6</v>
      </c>
      <c r="J2550" s="11">
        <v>0</v>
      </c>
      <c r="K2550" s="11" t="s">
        <v>21</v>
      </c>
      <c r="L2550" s="7">
        <v>42471.84646990741</v>
      </c>
      <c r="M2550" s="12"/>
      <c r="N2550" s="12"/>
      <c r="O2550" s="10" t="str">
        <f>HYPERLINK("https://pbs.twimg.com/profile_images/719537970005602304/4yxq2Cg-_normal.jpg","View")</f>
        <v>View</v>
      </c>
      <c r="P2550" s="11"/>
    </row>
    <row r="2551" spans="1:16" ht="12.75" x14ac:dyDescent="0.35">
      <c r="A2551" s="7">
        <v>42482.578599537039</v>
      </c>
      <c r="B2551" s="8" t="str">
        <f>HYPERLINK("https://twitter.com/JETZT_PRde","@JETZT_PRde")</f>
        <v>@JETZT_PRde</v>
      </c>
      <c r="C2551" s="9" t="s">
        <v>1356</v>
      </c>
      <c r="D2551" s="9" t="s">
        <v>4434</v>
      </c>
      <c r="E2551" s="10" t="str">
        <f>HYPERLINK("https://twitter.com/JETZT_PRde/status/723426912991739904","723426912991739904")</f>
        <v>723426912991739904</v>
      </c>
      <c r="F2551" s="11" t="s">
        <v>25</v>
      </c>
      <c r="G2551" s="11">
        <v>1677</v>
      </c>
      <c r="H2551" s="11">
        <v>748</v>
      </c>
      <c r="I2551" s="11">
        <v>0</v>
      </c>
      <c r="J2551" s="11">
        <v>1</v>
      </c>
      <c r="K2551" s="11" t="s">
        <v>21</v>
      </c>
      <c r="L2551" s="7">
        <v>40682.604201388887</v>
      </c>
      <c r="M2551" s="12" t="s">
        <v>581</v>
      </c>
      <c r="N2551" s="12" t="s">
        <v>1358</v>
      </c>
      <c r="O2551" s="10" t="str">
        <f>HYPERLINK("https://pbs.twimg.com/profile_images/593011135428882432/BGMPkrwp_normal.jpg","View")</f>
        <v>View</v>
      </c>
      <c r="P2551" s="11"/>
    </row>
    <row r="2552" spans="1:16" ht="12.75" x14ac:dyDescent="0.35">
      <c r="A2552" s="7">
        <v>42482.578796296293</v>
      </c>
      <c r="B2552" s="8" t="str">
        <f>HYPERLINK("https://twitter.com/karl__maurer","@karl__maurer")</f>
        <v>@karl__maurer</v>
      </c>
      <c r="C2552" s="9" t="s">
        <v>2993</v>
      </c>
      <c r="D2552" s="9" t="s">
        <v>4435</v>
      </c>
      <c r="E2552" s="10" t="str">
        <f>HYPERLINK("https://twitter.com/karl__maurer/status/723426984311713793","723426984311713793")</f>
        <v>723426984311713793</v>
      </c>
      <c r="F2552" s="11" t="s">
        <v>25</v>
      </c>
      <c r="G2552" s="11">
        <v>1008</v>
      </c>
      <c r="H2552" s="11">
        <v>3306</v>
      </c>
      <c r="I2552" s="11">
        <v>0</v>
      </c>
      <c r="J2552" s="11">
        <v>0</v>
      </c>
      <c r="K2552" s="11" t="s">
        <v>21</v>
      </c>
      <c r="L2552" s="7">
        <v>41190.089155092595</v>
      </c>
      <c r="M2552" s="12" t="s">
        <v>406</v>
      </c>
      <c r="N2552" s="12" t="s">
        <v>2995</v>
      </c>
      <c r="O2552" s="10" t="str">
        <f>HYPERLINK("https://pbs.twimg.com/profile_images/702515686623600640/uy75x3mT_normal.jpg","View")</f>
        <v>View</v>
      </c>
      <c r="P2552" s="11"/>
    </row>
    <row r="2553" spans="1:16" ht="12.75" x14ac:dyDescent="0.35">
      <c r="A2553" s="7">
        <v>42482.579409722224</v>
      </c>
      <c r="B2553" s="8" t="str">
        <f t="shared" ref="B2553:B2554" si="322">HYPERLINK("https://twitter.com/JETZT_PRde","@JETZT_PRde")</f>
        <v>@JETZT_PRde</v>
      </c>
      <c r="C2553" s="9" t="s">
        <v>1356</v>
      </c>
      <c r="D2553" s="9" t="s">
        <v>4436</v>
      </c>
      <c r="E2553" s="10" t="str">
        <f>HYPERLINK("https://twitter.com/JETZT_PRde/status/723427207553507328","723427207553507328")</f>
        <v>723427207553507328</v>
      </c>
      <c r="F2553" s="11" t="s">
        <v>25</v>
      </c>
      <c r="G2553" s="11">
        <v>1677</v>
      </c>
      <c r="H2553" s="11">
        <v>748</v>
      </c>
      <c r="I2553" s="11">
        <v>0</v>
      </c>
      <c r="J2553" s="11">
        <v>1</v>
      </c>
      <c r="K2553" s="11" t="s">
        <v>21</v>
      </c>
      <c r="L2553" s="7">
        <v>40682.604201388887</v>
      </c>
      <c r="M2553" s="12" t="s">
        <v>581</v>
      </c>
      <c r="N2553" s="12" t="s">
        <v>1358</v>
      </c>
      <c r="O2553" s="10" t="str">
        <f t="shared" ref="O2553:O2554" si="323">HYPERLINK("https://pbs.twimg.com/profile_images/593011135428882432/BGMPkrwp_normal.jpg","View")</f>
        <v>View</v>
      </c>
      <c r="P2553" s="11"/>
    </row>
    <row r="2554" spans="1:16" ht="12.75" x14ac:dyDescent="0.35">
      <c r="A2554" s="7">
        <v>42482.579837962963</v>
      </c>
      <c r="B2554" s="8" t="str">
        <f t="shared" si="322"/>
        <v>@JETZT_PRde</v>
      </c>
      <c r="C2554" s="9" t="s">
        <v>1356</v>
      </c>
      <c r="D2554" s="9" t="s">
        <v>4437</v>
      </c>
      <c r="E2554" s="10" t="str">
        <f>HYPERLINK("https://twitter.com/JETZT_PRde/status/723427362575028224","723427362575028224")</f>
        <v>723427362575028224</v>
      </c>
      <c r="F2554" s="11" t="s">
        <v>25</v>
      </c>
      <c r="G2554" s="11">
        <v>1677</v>
      </c>
      <c r="H2554" s="11">
        <v>748</v>
      </c>
      <c r="I2554" s="11">
        <v>0</v>
      </c>
      <c r="J2554" s="11">
        <v>1</v>
      </c>
      <c r="K2554" s="11" t="s">
        <v>21</v>
      </c>
      <c r="L2554" s="7">
        <v>40682.604201388887</v>
      </c>
      <c r="M2554" s="12" t="s">
        <v>581</v>
      </c>
      <c r="N2554" s="12" t="s">
        <v>1358</v>
      </c>
      <c r="O2554" s="10" t="str">
        <f t="shared" si="323"/>
        <v>View</v>
      </c>
      <c r="P2554" s="11"/>
    </row>
    <row r="2555" spans="1:16" ht="12.75" x14ac:dyDescent="0.35">
      <c r="A2555" s="7">
        <v>42482.579976851848</v>
      </c>
      <c r="B2555" s="8" t="str">
        <f>HYPERLINK("https://twitter.com/GTAI_com","@GTAI_com")</f>
        <v>@GTAI_com</v>
      </c>
      <c r="C2555" s="9" t="s">
        <v>3393</v>
      </c>
      <c r="D2555" s="9" t="s">
        <v>4438</v>
      </c>
      <c r="E2555" s="10" t="str">
        <f>HYPERLINK("https://twitter.com/GTAI_com/status/723427413191847936","723427413191847936")</f>
        <v>723427413191847936</v>
      </c>
      <c r="F2555" s="11" t="s">
        <v>39</v>
      </c>
      <c r="G2555" s="11">
        <v>6145</v>
      </c>
      <c r="H2555" s="11">
        <v>518</v>
      </c>
      <c r="I2555" s="11">
        <v>0</v>
      </c>
      <c r="J2555" s="11">
        <v>0</v>
      </c>
      <c r="K2555" s="11" t="s">
        <v>21</v>
      </c>
      <c r="L2555" s="7">
        <v>40855.83326388889</v>
      </c>
      <c r="M2555" s="12" t="s">
        <v>218</v>
      </c>
      <c r="N2555" s="12" t="s">
        <v>3395</v>
      </c>
      <c r="O2555" s="10" t="str">
        <f>HYPERLINK("https://pbs.twimg.com/profile_images/716977461079179268/JVN5NZO8_normal.jpg","View")</f>
        <v>View</v>
      </c>
      <c r="P2555" s="11"/>
    </row>
    <row r="2556" spans="1:16" ht="12.75" x14ac:dyDescent="0.35">
      <c r="A2556" s="7">
        <v>42482.579988425925</v>
      </c>
      <c r="B2556" s="8" t="str">
        <f>HYPERLINK("https://twitter.com/MeinGeldMedien","@MeinGeldMedien")</f>
        <v>@MeinGeldMedien</v>
      </c>
      <c r="C2556" s="9" t="s">
        <v>302</v>
      </c>
      <c r="D2556" s="9" t="s">
        <v>4439</v>
      </c>
      <c r="E2556" s="10" t="str">
        <f>HYPERLINK("https://twitter.com/MeinGeldMedien/status/723427415880409088","723427415880409088")</f>
        <v>723427415880409088</v>
      </c>
      <c r="F2556" s="11" t="s">
        <v>39</v>
      </c>
      <c r="G2556" s="11">
        <v>694</v>
      </c>
      <c r="H2556" s="11">
        <v>583</v>
      </c>
      <c r="I2556" s="11">
        <v>0</v>
      </c>
      <c r="J2556" s="11">
        <v>0</v>
      </c>
      <c r="K2556" s="11" t="s">
        <v>21</v>
      </c>
      <c r="L2556" s="7">
        <v>41793.608449074076</v>
      </c>
      <c r="M2556" s="12" t="s">
        <v>218</v>
      </c>
      <c r="N2556" s="12" t="s">
        <v>304</v>
      </c>
      <c r="O2556" s="10" t="str">
        <f>HYPERLINK("https://pbs.twimg.com/profile_images/473759721023758338/3CcJL-Vq_normal.jpeg","View")</f>
        <v>View</v>
      </c>
      <c r="P2556" s="11"/>
    </row>
    <row r="2557" spans="1:16" ht="12.75" x14ac:dyDescent="0.35">
      <c r="A2557" s="7">
        <v>42482.580405092594</v>
      </c>
      <c r="B2557" s="8" t="str">
        <f>HYPERLINK("https://twitter.com/JETZT_PRde","@JETZT_PRde")</f>
        <v>@JETZT_PRde</v>
      </c>
      <c r="C2557" s="9" t="s">
        <v>1356</v>
      </c>
      <c r="D2557" s="9" t="s">
        <v>4440</v>
      </c>
      <c r="E2557" s="10" t="str">
        <f>HYPERLINK("https://twitter.com/JETZT_PRde/status/723427569018634246","723427569018634246")</f>
        <v>723427569018634246</v>
      </c>
      <c r="F2557" s="11" t="s">
        <v>25</v>
      </c>
      <c r="G2557" s="11">
        <v>1677</v>
      </c>
      <c r="H2557" s="11">
        <v>748</v>
      </c>
      <c r="I2557" s="11">
        <v>0</v>
      </c>
      <c r="J2557" s="11">
        <v>1</v>
      </c>
      <c r="K2557" s="11" t="s">
        <v>21</v>
      </c>
      <c r="L2557" s="7">
        <v>40682.604201388887</v>
      </c>
      <c r="M2557" s="12" t="s">
        <v>581</v>
      </c>
      <c r="N2557" s="12" t="s">
        <v>1358</v>
      </c>
      <c r="O2557" s="10" t="str">
        <f>HYPERLINK("https://pbs.twimg.com/profile_images/593011135428882432/BGMPkrwp_normal.jpg","View")</f>
        <v>View</v>
      </c>
      <c r="P2557" s="11"/>
    </row>
    <row r="2558" spans="1:16" ht="12.75" x14ac:dyDescent="0.35">
      <c r="A2558" s="7">
        <v>42482.580509259264</v>
      </c>
      <c r="B2558" s="8" t="str">
        <f>HYPERLINK("https://twitter.com/s_w_weyer","@s_w_weyer")</f>
        <v>@s_w_weyer</v>
      </c>
      <c r="C2558" s="9" t="s">
        <v>4424</v>
      </c>
      <c r="D2558" s="9" t="s">
        <v>4441</v>
      </c>
      <c r="E2558" s="10" t="str">
        <f>HYPERLINK("https://twitter.com/s_w_weyer/status/723427605249024001","723427605249024001")</f>
        <v>723427605249024001</v>
      </c>
      <c r="F2558" s="11" t="s">
        <v>115</v>
      </c>
      <c r="G2558" s="11">
        <v>27</v>
      </c>
      <c r="H2558" s="11">
        <v>50</v>
      </c>
      <c r="I2558" s="11">
        <v>1</v>
      </c>
      <c r="J2558" s="11">
        <v>1</v>
      </c>
      <c r="K2558" s="11" t="s">
        <v>21</v>
      </c>
      <c r="L2558" s="7">
        <v>42452.95884259259</v>
      </c>
      <c r="M2558" s="12"/>
      <c r="N2558" s="12" t="s">
        <v>4426</v>
      </c>
      <c r="O2558" s="10" t="str">
        <f>HYPERLINK("https://pbs.twimg.com/profile_images/716951093406728192/N9bkGpwE_normal.jpg","View")</f>
        <v>View</v>
      </c>
      <c r="P2558" s="11"/>
    </row>
    <row r="2559" spans="1:16" ht="12.75" x14ac:dyDescent="0.35">
      <c r="A2559" s="7">
        <v>42482.582777777774</v>
      </c>
      <c r="B2559" s="8" t="str">
        <f>HYPERLINK("https://twitter.com/AccenturePresse","@AccenturePresse")</f>
        <v>@AccenturePresse</v>
      </c>
      <c r="C2559" s="9" t="s">
        <v>3319</v>
      </c>
      <c r="D2559" s="9" t="s">
        <v>4442</v>
      </c>
      <c r="E2559" s="10" t="str">
        <f>HYPERLINK("https://twitter.com/AccenturePresse/status/723428427546529792","723428427546529792")</f>
        <v>723428427546529792</v>
      </c>
      <c r="F2559" s="11" t="s">
        <v>25</v>
      </c>
      <c r="G2559" s="11">
        <v>715</v>
      </c>
      <c r="H2559" s="11">
        <v>236</v>
      </c>
      <c r="I2559" s="11">
        <v>0</v>
      </c>
      <c r="J2559" s="11">
        <v>0</v>
      </c>
      <c r="K2559" s="11" t="s">
        <v>21</v>
      </c>
      <c r="L2559" s="7">
        <v>40116.818645833337</v>
      </c>
      <c r="M2559" s="12" t="s">
        <v>3321</v>
      </c>
      <c r="N2559" s="12" t="s">
        <v>3322</v>
      </c>
      <c r="O2559" s="10" t="str">
        <f>HYPERLINK("https://pbs.twimg.com/profile_images/470826247132438529/xf6oFNFR_normal.jpeg","View")</f>
        <v>View</v>
      </c>
      <c r="P2559" s="11"/>
    </row>
    <row r="2560" spans="1:16" ht="12.75" x14ac:dyDescent="0.35">
      <c r="A2560" s="7">
        <v>42482.583738425921</v>
      </c>
      <c r="B2560" s="8" t="str">
        <f>HYPERLINK("https://twitter.com/AMETRAInge","@AMETRAInge")</f>
        <v>@AMETRAInge</v>
      </c>
      <c r="C2560" s="9" t="s">
        <v>1168</v>
      </c>
      <c r="D2560" s="9" t="s">
        <v>4443</v>
      </c>
      <c r="E2560" s="10" t="str">
        <f>HYPERLINK("https://twitter.com/AMETRAInge/status/723428777523433473","723428777523433473")</f>
        <v>723428777523433473</v>
      </c>
      <c r="F2560" s="11" t="s">
        <v>59</v>
      </c>
      <c r="G2560" s="11">
        <v>603</v>
      </c>
      <c r="H2560" s="11">
        <v>2614</v>
      </c>
      <c r="I2560" s="11">
        <v>0</v>
      </c>
      <c r="J2560" s="11">
        <v>0</v>
      </c>
      <c r="K2560" s="11" t="s">
        <v>21</v>
      </c>
      <c r="L2560" s="7">
        <v>42341.674085648148</v>
      </c>
      <c r="M2560" s="12" t="s">
        <v>214</v>
      </c>
      <c r="N2560" s="12" t="s">
        <v>1170</v>
      </c>
      <c r="O2560" s="10" t="str">
        <f>HYPERLINK("https://pbs.twimg.com/profile_images/677781149037514752/TcTK8Bpv_normal.png","View")</f>
        <v>View</v>
      </c>
      <c r="P2560" s="11"/>
    </row>
    <row r="2561" spans="1:16" ht="12.75" x14ac:dyDescent="0.35">
      <c r="A2561" s="7">
        <v>42482.58384259259</v>
      </c>
      <c r="B2561" s="8" t="str">
        <f>HYPERLINK("https://twitter.com/induux_de","@induux_de")</f>
        <v>@induux_de</v>
      </c>
      <c r="C2561" s="9" t="s">
        <v>349</v>
      </c>
      <c r="D2561" s="9" t="s">
        <v>4444</v>
      </c>
      <c r="E2561" s="10" t="str">
        <f>HYPERLINK("https://twitter.com/induux_de/status/723428813661560832","723428813661560832")</f>
        <v>723428813661560832</v>
      </c>
      <c r="F2561" s="11" t="s">
        <v>39</v>
      </c>
      <c r="G2561" s="11">
        <v>1751</v>
      </c>
      <c r="H2561" s="11">
        <v>2358</v>
      </c>
      <c r="I2561" s="11">
        <v>1</v>
      </c>
      <c r="J2561" s="11">
        <v>1</v>
      </c>
      <c r="K2561" s="11" t="s">
        <v>21</v>
      </c>
      <c r="L2561" s="7">
        <v>40222.837696759263</v>
      </c>
      <c r="M2561" s="12" t="s">
        <v>351</v>
      </c>
      <c r="N2561" s="12" t="s">
        <v>352</v>
      </c>
      <c r="O2561" s="10" t="str">
        <f>HYPERLINK("https://pbs.twimg.com/profile_images/455629070454116352/ujZ3h7Ww_normal.png","View")</f>
        <v>View</v>
      </c>
      <c r="P2561" s="11"/>
    </row>
    <row r="2562" spans="1:16" ht="12.75" x14ac:dyDescent="0.35">
      <c r="A2562" s="7">
        <v>42482.58394675926</v>
      </c>
      <c r="B2562" s="8" t="str">
        <f>HYPERLINK("https://twitter.com/FM_Elektro","@FM_Elektro")</f>
        <v>@FM_Elektro</v>
      </c>
      <c r="C2562" s="9" t="s">
        <v>2360</v>
      </c>
      <c r="D2562" s="9" t="s">
        <v>4445</v>
      </c>
      <c r="E2562" s="10" t="str">
        <f>HYPERLINK("https://twitter.com/FM_Elektro/status/723428851565494273","723428851565494273")</f>
        <v>723428851565494273</v>
      </c>
      <c r="F2562" s="11" t="s">
        <v>39</v>
      </c>
      <c r="G2562" s="11">
        <v>185</v>
      </c>
      <c r="H2562" s="11">
        <v>231</v>
      </c>
      <c r="I2562" s="11">
        <v>0</v>
      </c>
      <c r="J2562" s="11">
        <v>0</v>
      </c>
      <c r="K2562" s="11" t="s">
        <v>21</v>
      </c>
      <c r="L2562" s="7">
        <v>41464.652106481481</v>
      </c>
      <c r="M2562" s="12" t="s">
        <v>2362</v>
      </c>
      <c r="N2562" s="12" t="s">
        <v>2363</v>
      </c>
      <c r="O2562" s="10" t="str">
        <f>HYPERLINK("https://pbs.twimg.com/profile_images/699912588302426112/2kZQzAuA_normal.jpg","View")</f>
        <v>View</v>
      </c>
      <c r="P2562" s="11"/>
    </row>
    <row r="2563" spans="1:16" ht="12.75" x14ac:dyDescent="0.35">
      <c r="A2563" s="7">
        <v>42482.585127314815</v>
      </c>
      <c r="B2563" s="8" t="str">
        <f>HYPERLINK("https://twitter.com/fmalatier","@fmalatier")</f>
        <v>@fmalatier</v>
      </c>
      <c r="C2563" s="9" t="s">
        <v>4446</v>
      </c>
      <c r="D2563" s="9" t="s">
        <v>4345</v>
      </c>
      <c r="E2563" s="10" t="str">
        <f>HYPERLINK("https://twitter.com/fmalatier/status/723429278650527744","723429278650527744")</f>
        <v>723429278650527744</v>
      </c>
      <c r="F2563" s="11" t="s">
        <v>25</v>
      </c>
      <c r="G2563" s="11">
        <v>95</v>
      </c>
      <c r="H2563" s="11">
        <v>57</v>
      </c>
      <c r="I2563" s="11">
        <v>5</v>
      </c>
      <c r="J2563" s="11">
        <v>0</v>
      </c>
      <c r="K2563" s="11" t="s">
        <v>21</v>
      </c>
      <c r="L2563" s="7">
        <v>40091.619270833333</v>
      </c>
      <c r="M2563" s="12" t="s">
        <v>4447</v>
      </c>
      <c r="N2563" s="12" t="s">
        <v>4448</v>
      </c>
      <c r="O2563" s="10" t="str">
        <f>HYPERLINK("https://pbs.twimg.com/profile_images/1609201658/Photo_PM_normal.jpg","View")</f>
        <v>View</v>
      </c>
      <c r="P2563" s="11"/>
    </row>
    <row r="2564" spans="1:16" ht="12.75" x14ac:dyDescent="0.35">
      <c r="A2564" s="7">
        <v>42482.585486111115</v>
      </c>
      <c r="B2564" s="8" t="str">
        <f>HYPERLINK("https://twitter.com/meta_level","@meta_level")</f>
        <v>@meta_level</v>
      </c>
      <c r="C2564" s="9" t="s">
        <v>4449</v>
      </c>
      <c r="D2564" s="9" t="s">
        <v>4450</v>
      </c>
      <c r="E2564" s="10" t="str">
        <f>HYPERLINK("https://twitter.com/meta_level/status/723429407478534144","723429407478534144")</f>
        <v>723429407478534144</v>
      </c>
      <c r="F2564" s="11" t="s">
        <v>25</v>
      </c>
      <c r="G2564" s="11">
        <v>73</v>
      </c>
      <c r="H2564" s="11">
        <v>176</v>
      </c>
      <c r="I2564" s="11">
        <v>0</v>
      </c>
      <c r="J2564" s="11">
        <v>0</v>
      </c>
      <c r="K2564" s="11" t="s">
        <v>21</v>
      </c>
      <c r="L2564" s="7">
        <v>40129.810543981483</v>
      </c>
      <c r="M2564" s="12" t="s">
        <v>2451</v>
      </c>
      <c r="N2564" s="12" t="s">
        <v>4451</v>
      </c>
      <c r="O2564" s="10" t="str">
        <f>HYPERLINK("https://pbs.twimg.com/profile_images/657509394675073024/BGbmwcyb_normal.png","View")</f>
        <v>View</v>
      </c>
      <c r="P2564" s="11"/>
    </row>
    <row r="2565" spans="1:16" ht="12.75" x14ac:dyDescent="0.35">
      <c r="A2565" s="7">
        <v>42482.586192129631</v>
      </c>
      <c r="B2565" s="8" t="str">
        <f>HYPERLINK("https://twitter.com/PASSnews","@PASSnews")</f>
        <v>@PASSnews</v>
      </c>
      <c r="C2565" s="9" t="s">
        <v>261</v>
      </c>
      <c r="D2565" s="9" t="s">
        <v>4452</v>
      </c>
      <c r="E2565" s="10" t="str">
        <f>HYPERLINK("https://twitter.com/PASSnews/status/723429665667338242","723429665667338242")</f>
        <v>723429665667338242</v>
      </c>
      <c r="F2565" s="11" t="s">
        <v>115</v>
      </c>
      <c r="G2565" s="11">
        <v>680</v>
      </c>
      <c r="H2565" s="11">
        <v>666</v>
      </c>
      <c r="I2565" s="11">
        <v>0</v>
      </c>
      <c r="J2565" s="11">
        <v>0</v>
      </c>
      <c r="K2565" s="11" t="s">
        <v>21</v>
      </c>
      <c r="L2565" s="7">
        <v>39990.109155092592</v>
      </c>
      <c r="M2565" s="12" t="s">
        <v>121</v>
      </c>
      <c r="N2565" s="12" t="s">
        <v>262</v>
      </c>
      <c r="O2565" s="10" t="str">
        <f>HYPERLINK("https://pbs.twimg.com/profile_images/378800000181509745/cc2ac55b1f8cf6de6ab7c9ea96eae6fa_normal.png","View")</f>
        <v>View</v>
      </c>
      <c r="P2565" s="11"/>
    </row>
    <row r="2566" spans="1:16" ht="12.75" x14ac:dyDescent="0.35">
      <c r="A2566" s="7">
        <v>42482.586481481485</v>
      </c>
      <c r="B2566" s="8" t="str">
        <f>HYPERLINK("https://twitter.com/Energize_Rec","@Energize_Rec")</f>
        <v>@Energize_Rec</v>
      </c>
      <c r="C2566" s="9" t="s">
        <v>4453</v>
      </c>
      <c r="D2566" s="9" t="s">
        <v>4245</v>
      </c>
      <c r="E2566" s="10" t="str">
        <f>HYPERLINK("https://twitter.com/Energize_Rec/status/723429772022304769","723429772022304769")</f>
        <v>723429772022304769</v>
      </c>
      <c r="F2566" s="11" t="s">
        <v>39</v>
      </c>
      <c r="G2566" s="11">
        <v>1158</v>
      </c>
      <c r="H2566" s="11">
        <v>1582</v>
      </c>
      <c r="I2566" s="11">
        <v>4</v>
      </c>
      <c r="J2566" s="11">
        <v>0</v>
      </c>
      <c r="K2566" s="11" t="s">
        <v>21</v>
      </c>
      <c r="L2566" s="7">
        <v>39878.744293981479</v>
      </c>
      <c r="M2566" s="12" t="s">
        <v>4454</v>
      </c>
      <c r="N2566" s="12" t="s">
        <v>4455</v>
      </c>
      <c r="O2566" s="10" t="str">
        <f>HYPERLINK("https://pbs.twimg.com/profile_images/683927095706292225/xNVAEpIh_normal.jpg","View")</f>
        <v>View</v>
      </c>
      <c r="P2566" s="11"/>
    </row>
    <row r="2567" spans="1:16" ht="12.75" x14ac:dyDescent="0.35">
      <c r="A2567" s="7">
        <v>42482.586875000001</v>
      </c>
      <c r="B2567" s="8" t="str">
        <f>HYPERLINK("https://twitter.com/H_IT_D","@H_IT_D")</f>
        <v>@H_IT_D</v>
      </c>
      <c r="C2567" s="9" t="s">
        <v>159</v>
      </c>
      <c r="D2567" s="9" t="s">
        <v>4456</v>
      </c>
      <c r="E2567" s="10" t="str">
        <f>HYPERLINK("https://twitter.com/H_IT_D/status/723429914691522560","723429914691522560")</f>
        <v>723429914691522560</v>
      </c>
      <c r="F2567" s="11" t="s">
        <v>161</v>
      </c>
      <c r="G2567" s="11">
        <v>463</v>
      </c>
      <c r="H2567" s="11">
        <v>467</v>
      </c>
      <c r="I2567" s="11">
        <v>0</v>
      </c>
      <c r="J2567" s="11">
        <v>0</v>
      </c>
      <c r="K2567" s="11" t="s">
        <v>21</v>
      </c>
      <c r="L2567" s="7">
        <v>40723.867673611108</v>
      </c>
      <c r="M2567" s="12" t="s">
        <v>162</v>
      </c>
      <c r="N2567" s="12" t="s">
        <v>163</v>
      </c>
      <c r="O2567" s="10" t="str">
        <f>HYPERLINK("https://pbs.twimg.com/profile_images/662723326096224256/5V4KH9_O_normal.jpg","View")</f>
        <v>View</v>
      </c>
      <c r="P2567" s="11"/>
    </row>
    <row r="2568" spans="1:16" ht="12.75" x14ac:dyDescent="0.35">
      <c r="A2568" s="7">
        <v>42482.587094907409</v>
      </c>
      <c r="B2568" s="8" t="str">
        <f>HYPERLINK("https://twitter.com/WakeUpMob","@WakeUpMob")</f>
        <v>@WakeUpMob</v>
      </c>
      <c r="C2568" s="9" t="s">
        <v>4457</v>
      </c>
      <c r="D2568" s="9" t="s">
        <v>4208</v>
      </c>
      <c r="E2568" s="10" t="str">
        <f>HYPERLINK("https://twitter.com/WakeUpMob/status/723429991346638848","723429991346638848")</f>
        <v>723429991346638848</v>
      </c>
      <c r="F2568" s="11" t="s">
        <v>20</v>
      </c>
      <c r="G2568" s="11">
        <v>5137</v>
      </c>
      <c r="H2568" s="11">
        <v>5085</v>
      </c>
      <c r="I2568" s="11">
        <v>5</v>
      </c>
      <c r="J2568" s="11">
        <v>0</v>
      </c>
      <c r="K2568" s="11" t="s">
        <v>21</v>
      </c>
      <c r="L2568" s="7">
        <v>39909.424317129626</v>
      </c>
      <c r="M2568" s="12" t="s">
        <v>4458</v>
      </c>
      <c r="N2568" s="12" t="s">
        <v>4459</v>
      </c>
      <c r="O2568" s="10" t="str">
        <f>HYPERLINK("https://pbs.twimg.com/profile_images/717007736634888192/JNyoPpRt_normal.jpg","View")</f>
        <v>View</v>
      </c>
      <c r="P2568" s="11"/>
    </row>
    <row r="2569" spans="1:16" ht="12.75" x14ac:dyDescent="0.35">
      <c r="A2569" s="7">
        <v>42482.587349537032</v>
      </c>
      <c r="B2569" s="8" t="str">
        <f>HYPERLINK("https://twitter.com/konsultwerk","@konsultwerk")</f>
        <v>@konsultwerk</v>
      </c>
      <c r="C2569" s="9" t="s">
        <v>3176</v>
      </c>
      <c r="D2569" s="9" t="s">
        <v>4411</v>
      </c>
      <c r="E2569" s="10" t="str">
        <f>HYPERLINK("https://twitter.com/konsultwerk/status/723430086188273665","723430086188273665")</f>
        <v>723430086188273665</v>
      </c>
      <c r="F2569" s="11" t="s">
        <v>25</v>
      </c>
      <c r="G2569" s="11">
        <v>36</v>
      </c>
      <c r="H2569" s="11">
        <v>60</v>
      </c>
      <c r="I2569" s="11">
        <v>3</v>
      </c>
      <c r="J2569" s="11">
        <v>0</v>
      </c>
      <c r="K2569" s="11" t="s">
        <v>21</v>
      </c>
      <c r="L2569" s="7">
        <v>39979.91646990741</v>
      </c>
      <c r="M2569" s="12" t="s">
        <v>1148</v>
      </c>
      <c r="N2569" s="12" t="s">
        <v>3178</v>
      </c>
      <c r="O2569" s="10" t="str">
        <f>HYPERLINK("https://pbs.twimg.com/profile_images/1539645084/FB-KWlogo.004_normal.png","View")</f>
        <v>View</v>
      </c>
      <c r="P2569" s="11"/>
    </row>
    <row r="2570" spans="1:16" ht="12.75" x14ac:dyDescent="0.35">
      <c r="A2570" s="7">
        <v>42482.588078703702</v>
      </c>
      <c r="B2570" s="8" t="str">
        <f>HYPERLINK("https://twitter.com/conosco","@conosco")</f>
        <v>@conosco</v>
      </c>
      <c r="C2570" s="9" t="s">
        <v>1052</v>
      </c>
      <c r="D2570" s="9" t="s">
        <v>4460</v>
      </c>
      <c r="E2570" s="10" t="str">
        <f>HYPERLINK("https://twitter.com/conosco/status/723430347073974272","723430347073974272")</f>
        <v>723430347073974272</v>
      </c>
      <c r="F2570" s="11" t="s">
        <v>115</v>
      </c>
      <c r="G2570" s="11">
        <v>1015</v>
      </c>
      <c r="H2570" s="11">
        <v>1897</v>
      </c>
      <c r="I2570" s="11">
        <v>1</v>
      </c>
      <c r="J2570" s="11">
        <v>0</v>
      </c>
      <c r="K2570" s="11" t="s">
        <v>21</v>
      </c>
      <c r="L2570" s="7">
        <v>39560.746261574073</v>
      </c>
      <c r="M2570" s="12" t="s">
        <v>121</v>
      </c>
      <c r="N2570" s="12" t="s">
        <v>1054</v>
      </c>
      <c r="O2570" s="10" t="str">
        <f>HYPERLINK("https://pbs.twimg.com/profile_images/459441279181398016/MmGzaeIu_normal.jpeg","View")</f>
        <v>View</v>
      </c>
      <c r="P2570" s="11"/>
    </row>
    <row r="2571" spans="1:16" ht="12.75" x14ac:dyDescent="0.35">
      <c r="A2571" s="7">
        <v>42482.588182870371</v>
      </c>
      <c r="B2571" s="8" t="str">
        <f>HYPERLINK("https://twitter.com/LNI40","@LNI40")</f>
        <v>@LNI40</v>
      </c>
      <c r="C2571" s="9" t="s">
        <v>1888</v>
      </c>
      <c r="D2571" s="9" t="s">
        <v>4461</v>
      </c>
      <c r="E2571" s="10" t="str">
        <f>HYPERLINK("https://twitter.com/LNI40/status/723430386877882375","723430386877882375")</f>
        <v>723430386877882375</v>
      </c>
      <c r="F2571" s="11" t="s">
        <v>31</v>
      </c>
      <c r="G2571" s="11">
        <v>36</v>
      </c>
      <c r="H2571" s="11">
        <v>229</v>
      </c>
      <c r="I2571" s="11">
        <v>1</v>
      </c>
      <c r="J2571" s="11">
        <v>0</v>
      </c>
      <c r="K2571" s="11" t="s">
        <v>21</v>
      </c>
      <c r="L2571" s="7">
        <v>42477.465578703705</v>
      </c>
      <c r="M2571" s="12" t="s">
        <v>227</v>
      </c>
      <c r="N2571" s="12" t="s">
        <v>1889</v>
      </c>
      <c r="O2571" s="10" t="str">
        <f>HYPERLINK("https://pbs.twimg.com/profile_images/722098538604281856/CcBxk1_M_normal.jpg","View")</f>
        <v>View</v>
      </c>
      <c r="P2571" s="11"/>
    </row>
    <row r="2572" spans="1:16" ht="12.75" x14ac:dyDescent="0.35">
      <c r="A2572" s="7">
        <v>42482.588333333333</v>
      </c>
      <c r="B2572" s="8" t="str">
        <f>HYPERLINK("https://twitter.com/RobotsArmy","@RobotsArmy")</f>
        <v>@RobotsArmy</v>
      </c>
      <c r="C2572" s="9" t="s">
        <v>4462</v>
      </c>
      <c r="D2572" s="9" t="s">
        <v>4208</v>
      </c>
      <c r="E2572" s="10" t="str">
        <f>HYPERLINK("https://twitter.com/RobotsArmy/status/723430442716684288","723430442716684288")</f>
        <v>723430442716684288</v>
      </c>
      <c r="F2572" s="11" t="s">
        <v>4463</v>
      </c>
      <c r="G2572" s="11">
        <v>1614</v>
      </c>
      <c r="H2572" s="11">
        <v>1644</v>
      </c>
      <c r="I2572" s="11">
        <v>5</v>
      </c>
      <c r="J2572" s="11">
        <v>0</v>
      </c>
      <c r="K2572" s="11" t="s">
        <v>21</v>
      </c>
      <c r="L2572" s="7">
        <v>42420.702256944445</v>
      </c>
      <c r="M2572" s="12" t="s">
        <v>4464</v>
      </c>
      <c r="N2572" s="12" t="s">
        <v>4465</v>
      </c>
      <c r="O2572" s="10" t="str">
        <f>HYPERLINK("https://pbs.twimg.com/profile_images/701005531578822658/NQEqvycB_normal.png","View")</f>
        <v>View</v>
      </c>
      <c r="P2572" s="11"/>
    </row>
    <row r="2573" spans="1:16" ht="12.75" x14ac:dyDescent="0.35">
      <c r="A2573" s="7">
        <v>42482.589212962965</v>
      </c>
      <c r="B2573" s="8" t="str">
        <f>HYPERLINK("https://twitter.com/gerhardauer","@gerhardauer")</f>
        <v>@gerhardauer</v>
      </c>
      <c r="C2573" s="9" t="s">
        <v>4466</v>
      </c>
      <c r="D2573" s="9" t="s">
        <v>4467</v>
      </c>
      <c r="E2573" s="10" t="str">
        <f>HYPERLINK("https://twitter.com/gerhardauer/status/723430759806038016","723430759806038016")</f>
        <v>723430759806038016</v>
      </c>
      <c r="F2573" s="11" t="s">
        <v>25</v>
      </c>
      <c r="G2573" s="11">
        <v>62</v>
      </c>
      <c r="H2573" s="11">
        <v>134</v>
      </c>
      <c r="I2573" s="11">
        <v>0</v>
      </c>
      <c r="J2573" s="11">
        <v>0</v>
      </c>
      <c r="K2573" s="11" t="s">
        <v>21</v>
      </c>
      <c r="L2573" s="7">
        <v>40234.763773148152</v>
      </c>
      <c r="M2573" s="12"/>
      <c r="N2573" s="12" t="s">
        <v>4468</v>
      </c>
      <c r="O2573" s="10" t="str">
        <f>HYPERLINK("https://pbs.twimg.com/profile_images/1467460421/DSC_0321_normal.jpg","View")</f>
        <v>View</v>
      </c>
      <c r="P2573" s="11"/>
    </row>
    <row r="2574" spans="1:16" ht="12.75" x14ac:dyDescent="0.35">
      <c r="A2574" s="7">
        <v>42482.590069444443</v>
      </c>
      <c r="B2574" s="8" t="str">
        <f>HYPERLINK("https://twitter.com/Apandia","@Apandia")</f>
        <v>@Apandia</v>
      </c>
      <c r="C2574" s="9" t="s">
        <v>245</v>
      </c>
      <c r="D2574" s="9" t="s">
        <v>4257</v>
      </c>
      <c r="E2574" s="10" t="str">
        <f>HYPERLINK("https://twitter.com/Apandia/status/723431070826295297","723431070826295297")</f>
        <v>723431070826295297</v>
      </c>
      <c r="F2574" s="11" t="s">
        <v>20</v>
      </c>
      <c r="G2574" s="11">
        <v>196</v>
      </c>
      <c r="H2574" s="11">
        <v>384</v>
      </c>
      <c r="I2574" s="11">
        <v>5</v>
      </c>
      <c r="J2574" s="11">
        <v>0</v>
      </c>
      <c r="K2574" s="11" t="s">
        <v>21</v>
      </c>
      <c r="L2574" s="7">
        <v>39966.049884259257</v>
      </c>
      <c r="M2574" s="12" t="s">
        <v>247</v>
      </c>
      <c r="N2574" s="12" t="s">
        <v>248</v>
      </c>
      <c r="O2574" s="10" t="str">
        <f>HYPERLINK("https://pbs.twimg.com/profile_images/685327213/Apandia_normal.gif","View")</f>
        <v>View</v>
      </c>
      <c r="P2574" s="11"/>
    </row>
    <row r="2575" spans="1:16" ht="12.75" x14ac:dyDescent="0.35">
      <c r="A2575" s="7">
        <v>42482.590092592596</v>
      </c>
      <c r="B2575" s="8" t="str">
        <f>HYPERLINK("https://twitter.com/BakerMcGER","@BakerMcGER")</f>
        <v>@BakerMcGER</v>
      </c>
      <c r="C2575" s="9" t="s">
        <v>935</v>
      </c>
      <c r="D2575" s="9" t="s">
        <v>3657</v>
      </c>
      <c r="E2575" s="10" t="str">
        <f>HYPERLINK("https://twitter.com/BakerMcGER/status/723431077361029121","723431077361029121")</f>
        <v>723431077361029121</v>
      </c>
      <c r="F2575" s="11" t="s">
        <v>25</v>
      </c>
      <c r="G2575" s="11">
        <v>457</v>
      </c>
      <c r="H2575" s="11">
        <v>215</v>
      </c>
      <c r="I2575" s="11">
        <v>10</v>
      </c>
      <c r="J2575" s="11">
        <v>0</v>
      </c>
      <c r="K2575" s="11" t="s">
        <v>21</v>
      </c>
      <c r="L2575" s="7">
        <v>41578.702696759261</v>
      </c>
      <c r="M2575" s="12" t="s">
        <v>936</v>
      </c>
      <c r="N2575" s="12" t="s">
        <v>937</v>
      </c>
      <c r="O2575" s="10" t="str">
        <f>HYPERLINK("https://pbs.twimg.com/profile_images/707877685721231360/0WBLwHQ-_normal.jpg","View")</f>
        <v>View</v>
      </c>
      <c r="P2575" s="11"/>
    </row>
    <row r="2576" spans="1:16" ht="12.75" x14ac:dyDescent="0.35">
      <c r="A2576" s="7">
        <v>42482.592291666668</v>
      </c>
      <c r="B2576" s="8" t="str">
        <f>HYPERLINK("https://twitter.com/GustavoPonce67","@GustavoPonce67")</f>
        <v>@GustavoPonce67</v>
      </c>
      <c r="C2576" s="9" t="s">
        <v>4469</v>
      </c>
      <c r="D2576" s="9" t="s">
        <v>4345</v>
      </c>
      <c r="E2576" s="10" t="str">
        <f>HYPERLINK("https://twitter.com/GustavoPonce67/status/723431875490906112","723431875490906112")</f>
        <v>723431875490906112</v>
      </c>
      <c r="F2576" s="11" t="s">
        <v>31</v>
      </c>
      <c r="G2576" s="11">
        <v>52</v>
      </c>
      <c r="H2576" s="11">
        <v>88</v>
      </c>
      <c r="I2576" s="11">
        <v>5</v>
      </c>
      <c r="J2576" s="11">
        <v>0</v>
      </c>
      <c r="K2576" s="11" t="s">
        <v>21</v>
      </c>
      <c r="L2576" s="7">
        <v>41628.128530092596</v>
      </c>
      <c r="M2576" s="12" t="s">
        <v>4470</v>
      </c>
      <c r="N2576" s="12"/>
      <c r="O2576" s="10" t="str">
        <f>HYPERLINK("https://pbs.twimg.com/profile_images/513178592994676737/EyKPi6g7_normal.jpeg","View")</f>
        <v>View</v>
      </c>
      <c r="P2576" s="11"/>
    </row>
    <row r="2577" spans="1:16" ht="12.75" x14ac:dyDescent="0.35">
      <c r="A2577" s="7">
        <v>42482.592812499999</v>
      </c>
      <c r="B2577" s="8" t="str">
        <f>HYPERLINK("https://twitter.com/Apandia","@Apandia")</f>
        <v>@Apandia</v>
      </c>
      <c r="C2577" s="9" t="s">
        <v>245</v>
      </c>
      <c r="D2577" s="9" t="s">
        <v>4471</v>
      </c>
      <c r="E2577" s="10" t="str">
        <f>HYPERLINK("https://twitter.com/Apandia/status/723432065429983232","723432065429983232")</f>
        <v>723432065429983232</v>
      </c>
      <c r="F2577" s="11" t="s">
        <v>20</v>
      </c>
      <c r="G2577" s="11">
        <v>196</v>
      </c>
      <c r="H2577" s="11">
        <v>384</v>
      </c>
      <c r="I2577" s="11">
        <v>1</v>
      </c>
      <c r="J2577" s="11">
        <v>0</v>
      </c>
      <c r="K2577" s="11" t="s">
        <v>21</v>
      </c>
      <c r="L2577" s="7">
        <v>39966.049884259257</v>
      </c>
      <c r="M2577" s="12" t="s">
        <v>247</v>
      </c>
      <c r="N2577" s="12" t="s">
        <v>248</v>
      </c>
      <c r="O2577" s="10" t="str">
        <f>HYPERLINK("https://pbs.twimg.com/profile_images/685327213/Apandia_normal.gif","View")</f>
        <v>View</v>
      </c>
      <c r="P2577" s="11"/>
    </row>
    <row r="2578" spans="1:16" ht="12.75" x14ac:dyDescent="0.35">
      <c r="A2578" s="7">
        <v>42482.594328703708</v>
      </c>
      <c r="B2578" s="8" t="str">
        <f>HYPERLINK("https://twitter.com/Samarelli75","@Samarelli75")</f>
        <v>@Samarelli75</v>
      </c>
      <c r="C2578" s="9" t="s">
        <v>4428</v>
      </c>
      <c r="D2578" s="9" t="s">
        <v>4472</v>
      </c>
      <c r="E2578" s="10" t="str">
        <f>HYPERLINK("https://twitter.com/Samarelli75/status/723432614590214144","723432614590214144")</f>
        <v>723432614590214144</v>
      </c>
      <c r="F2578" s="11" t="s">
        <v>25</v>
      </c>
      <c r="G2578" s="11">
        <v>128</v>
      </c>
      <c r="H2578" s="11">
        <v>1001</v>
      </c>
      <c r="I2578" s="11">
        <v>2</v>
      </c>
      <c r="J2578" s="11">
        <v>0</v>
      </c>
      <c r="K2578" s="11" t="s">
        <v>21</v>
      </c>
      <c r="L2578" s="7">
        <v>42430.688796296294</v>
      </c>
      <c r="M2578" s="12"/>
      <c r="N2578" s="12"/>
      <c r="O2578" s="10" t="str">
        <f>HYPERLINK("https://abs.twimg.com/sticky/default_profile_images/default_profile_3_normal.png","View")</f>
        <v>View</v>
      </c>
      <c r="P2578" s="11"/>
    </row>
    <row r="2579" spans="1:16" ht="12.75" x14ac:dyDescent="0.35">
      <c r="A2579" s="7">
        <v>42482.595659722225</v>
      </c>
      <c r="B2579" s="8" t="str">
        <f>HYPERLINK("https://twitter.com/tcerisier_johan","@tcerisier_johan")</f>
        <v>@tcerisier_johan</v>
      </c>
      <c r="C2579" s="9" t="s">
        <v>1292</v>
      </c>
      <c r="D2579" s="9" t="s">
        <v>4472</v>
      </c>
      <c r="E2579" s="10" t="str">
        <f>HYPERLINK("https://twitter.com/tcerisier_johan/status/723433095836258304","723433095836258304")</f>
        <v>723433095836258304</v>
      </c>
      <c r="F2579" s="11" t="s">
        <v>31</v>
      </c>
      <c r="G2579" s="11">
        <v>239</v>
      </c>
      <c r="H2579" s="11">
        <v>1872</v>
      </c>
      <c r="I2579" s="11">
        <v>2</v>
      </c>
      <c r="J2579" s="11">
        <v>0</v>
      </c>
      <c r="K2579" s="11" t="s">
        <v>21</v>
      </c>
      <c r="L2579" s="7">
        <v>42448.238032407404</v>
      </c>
      <c r="M2579" s="12"/>
      <c r="N2579" s="12"/>
      <c r="O2579" s="10" t="str">
        <f>HYPERLINK("https://pbs.twimg.com/profile_images/710982607606038528/t8IYX_cK_normal.jpg","View")</f>
        <v>View</v>
      </c>
      <c r="P2579" s="11"/>
    </row>
    <row r="2580" spans="1:16" ht="12.75" x14ac:dyDescent="0.35">
      <c r="A2580" s="7">
        <v>42482.599317129629</v>
      </c>
      <c r="B2580" s="8" t="str">
        <f>HYPERLINK("https://twitter.com/akquinet_Ind40","@akquinet_Ind40")</f>
        <v>@akquinet_Ind40</v>
      </c>
      <c r="C2580" s="9" t="s">
        <v>4473</v>
      </c>
      <c r="D2580" s="9" t="s">
        <v>4474</v>
      </c>
      <c r="E2580" s="10" t="str">
        <f>HYPERLINK("https://twitter.com/akquinet_Ind40/status/723434421106307072","723434421106307072")</f>
        <v>723434421106307072</v>
      </c>
      <c r="F2580" s="11" t="s">
        <v>25</v>
      </c>
      <c r="G2580" s="11">
        <v>0</v>
      </c>
      <c r="H2580" s="11">
        <v>0</v>
      </c>
      <c r="I2580" s="11">
        <v>0</v>
      </c>
      <c r="J2580" s="11">
        <v>0</v>
      </c>
      <c r="K2580" s="11" t="s">
        <v>21</v>
      </c>
      <c r="L2580" s="7">
        <v>42482.537766203706</v>
      </c>
      <c r="M2580" s="12" t="s">
        <v>116</v>
      </c>
      <c r="N2580" s="12" t="s">
        <v>4475</v>
      </c>
      <c r="O2580" s="10" t="str">
        <f>HYPERLINK("https://pbs.twimg.com/profile_images/723412380474957825/5UsyKqto_normal.jpg","View")</f>
        <v>View</v>
      </c>
      <c r="P2580" s="11"/>
    </row>
    <row r="2581" spans="1:16" ht="12.75" x14ac:dyDescent="0.35">
      <c r="A2581" s="7">
        <v>42482.600439814814</v>
      </c>
      <c r="B2581" s="8" t="str">
        <f>HYPERLINK("https://twitter.com/3Dgrenzenlos","@3Dgrenzenlos")</f>
        <v>@3Dgrenzenlos</v>
      </c>
      <c r="C2581" s="8" t="s">
        <v>4476</v>
      </c>
      <c r="D2581" s="9" t="s">
        <v>4477</v>
      </c>
      <c r="E2581" s="10" t="str">
        <f>HYPERLINK("https://twitter.com/3Dgrenzenlos/status/723434827085537280","723434827085537280")</f>
        <v>723434827085537280</v>
      </c>
      <c r="F2581" s="11" t="s">
        <v>25</v>
      </c>
      <c r="G2581" s="11">
        <v>446</v>
      </c>
      <c r="H2581" s="11">
        <v>281</v>
      </c>
      <c r="I2581" s="11">
        <v>0</v>
      </c>
      <c r="J2581" s="11">
        <v>0</v>
      </c>
      <c r="K2581" s="11" t="s">
        <v>21</v>
      </c>
      <c r="L2581" s="7">
        <v>41555.694247685184</v>
      </c>
      <c r="M2581" s="12"/>
      <c r="N2581" s="12" t="s">
        <v>4478</v>
      </c>
      <c r="O2581" s="10" t="str">
        <f>HYPERLINK("https://pbs.twimg.com/profile_images/487146678911135745/YAXVrlm-_normal.png","View")</f>
        <v>View</v>
      </c>
      <c r="P2581" s="11"/>
    </row>
    <row r="2582" spans="1:16" ht="12.75" x14ac:dyDescent="0.35">
      <c r="A2582" s="7">
        <v>42482.601087962961</v>
      </c>
      <c r="B2582" s="8" t="str">
        <f>HYPERLINK("https://twitter.com/akquinet_Ind40","@akquinet_Ind40")</f>
        <v>@akquinet_Ind40</v>
      </c>
      <c r="C2582" s="9" t="s">
        <v>4473</v>
      </c>
      <c r="D2582" s="9" t="s">
        <v>4479</v>
      </c>
      <c r="E2582" s="10" t="str">
        <f>HYPERLINK("https://twitter.com/akquinet_Ind40/status/723435063547830272","723435063547830272")</f>
        <v>723435063547830272</v>
      </c>
      <c r="F2582" s="11" t="s">
        <v>25</v>
      </c>
      <c r="G2582" s="11">
        <v>0</v>
      </c>
      <c r="H2582" s="11">
        <v>0</v>
      </c>
      <c r="I2582" s="11">
        <v>0</v>
      </c>
      <c r="J2582" s="11">
        <v>1</v>
      </c>
      <c r="K2582" s="11" t="s">
        <v>21</v>
      </c>
      <c r="L2582" s="7">
        <v>42482.537766203706</v>
      </c>
      <c r="M2582" s="12" t="s">
        <v>116</v>
      </c>
      <c r="N2582" s="12" t="s">
        <v>4475</v>
      </c>
      <c r="O2582" s="10" t="str">
        <f>HYPERLINK("https://pbs.twimg.com/profile_images/723412380474957825/5UsyKqto_normal.jpg","View")</f>
        <v>View</v>
      </c>
      <c r="P2582" s="11"/>
    </row>
    <row r="2583" spans="1:16" ht="12.75" x14ac:dyDescent="0.35">
      <c r="A2583" s="7">
        <v>42482.602442129632</v>
      </c>
      <c r="B2583" s="8" t="str">
        <f>HYPERLINK("https://twitter.com/FM_Elektro","@FM_Elektro")</f>
        <v>@FM_Elektro</v>
      </c>
      <c r="C2583" s="9" t="s">
        <v>2360</v>
      </c>
      <c r="D2583" s="9" t="s">
        <v>4480</v>
      </c>
      <c r="E2583" s="10" t="str">
        <f>HYPERLINK("https://twitter.com/FM_Elektro/status/723435555166416896","723435555166416896")</f>
        <v>723435555166416896</v>
      </c>
      <c r="F2583" s="11" t="s">
        <v>39</v>
      </c>
      <c r="G2583" s="11">
        <v>185</v>
      </c>
      <c r="H2583" s="11">
        <v>231</v>
      </c>
      <c r="I2583" s="11">
        <v>0</v>
      </c>
      <c r="J2583" s="11">
        <v>0</v>
      </c>
      <c r="K2583" s="11" t="s">
        <v>21</v>
      </c>
      <c r="L2583" s="7">
        <v>41464.652106481481</v>
      </c>
      <c r="M2583" s="12" t="s">
        <v>2362</v>
      </c>
      <c r="N2583" s="12" t="s">
        <v>2363</v>
      </c>
      <c r="O2583" s="10" t="str">
        <f>HYPERLINK("https://pbs.twimg.com/profile_images/699912588302426112/2kZQzAuA_normal.jpg","View")</f>
        <v>View</v>
      </c>
      <c r="P2583" s="11"/>
    </row>
    <row r="2584" spans="1:16" ht="12.75" x14ac:dyDescent="0.35">
      <c r="A2584" s="7">
        <v>42482.60434027778</v>
      </c>
      <c r="B2584" s="8" t="str">
        <f>HYPERLINK("https://twitter.com/kommoptimierer","@kommoptimierer")</f>
        <v>@kommoptimierer</v>
      </c>
      <c r="C2584" s="9" t="s">
        <v>270</v>
      </c>
      <c r="D2584" s="9" t="s">
        <v>1687</v>
      </c>
      <c r="E2584" s="10" t="str">
        <f>HYPERLINK("https://twitter.com/kommoptimierer/status/723436241589403649","723436241589403649")</f>
        <v>723436241589403649</v>
      </c>
      <c r="F2584" s="11" t="s">
        <v>272</v>
      </c>
      <c r="G2584" s="11">
        <v>1347</v>
      </c>
      <c r="H2584" s="11">
        <v>1753</v>
      </c>
      <c r="I2584" s="11">
        <v>0</v>
      </c>
      <c r="J2584" s="11">
        <v>0</v>
      </c>
      <c r="K2584" s="11" t="s">
        <v>21</v>
      </c>
      <c r="L2584" s="7">
        <v>39986.860358796301</v>
      </c>
      <c r="M2584" s="12" t="s">
        <v>273</v>
      </c>
      <c r="N2584" s="12" t="s">
        <v>274</v>
      </c>
      <c r="O2584" s="10" t="str">
        <f>HYPERLINK("https://pbs.twimg.com/profile_images/541146126158536704/IYardufS_normal.jpeg","View")</f>
        <v>View</v>
      </c>
      <c r="P2584" s="11"/>
    </row>
    <row r="2585" spans="1:16" ht="12.75" x14ac:dyDescent="0.35">
      <c r="A2585" s="7">
        <v>42482.604351851856</v>
      </c>
      <c r="B2585" s="8" t="str">
        <f>HYPERLINK("https://twitter.com/verlinked","@verlinked")</f>
        <v>@verlinked</v>
      </c>
      <c r="C2585" s="9" t="s">
        <v>263</v>
      </c>
      <c r="D2585" s="9" t="s">
        <v>4481</v>
      </c>
      <c r="E2585" s="10" t="str">
        <f>HYPERLINK("https://twitter.com/verlinked/status/723436246928740353","723436246928740353")</f>
        <v>723436246928740353</v>
      </c>
      <c r="F2585" s="11" t="s">
        <v>115</v>
      </c>
      <c r="G2585" s="11">
        <v>600</v>
      </c>
      <c r="H2585" s="11">
        <v>1201</v>
      </c>
      <c r="I2585" s="11">
        <v>0</v>
      </c>
      <c r="J2585" s="11">
        <v>0</v>
      </c>
      <c r="K2585" s="11" t="s">
        <v>21</v>
      </c>
      <c r="L2585" s="7">
        <v>41463.077627314815</v>
      </c>
      <c r="M2585" s="12" t="s">
        <v>265</v>
      </c>
      <c r="N2585" s="12" t="s">
        <v>266</v>
      </c>
      <c r="O2585" s="10" t="str">
        <f>HYPERLINK("https://pbs.twimg.com/profile_images/722385992343285760/ww8YLZ2q_normal.jpg","View")</f>
        <v>View</v>
      </c>
      <c r="P2585" s="11"/>
    </row>
    <row r="2586" spans="1:16" ht="12.75" x14ac:dyDescent="0.35">
      <c r="A2586" s="7">
        <v>42482.605231481481</v>
      </c>
      <c r="B2586" s="8" t="str">
        <f>HYPERLINK("https://twitter.com/itsOWL_Cluster","@itsOWL_Cluster")</f>
        <v>@itsOWL_Cluster</v>
      </c>
      <c r="C2586" s="9" t="s">
        <v>2440</v>
      </c>
      <c r="D2586" s="9" t="s">
        <v>4482</v>
      </c>
      <c r="E2586" s="10" t="str">
        <f>HYPERLINK("https://twitter.com/itsOWL_Cluster/status/723436566534725634","723436566534725634")</f>
        <v>723436566534725634</v>
      </c>
      <c r="F2586" s="11" t="s">
        <v>25</v>
      </c>
      <c r="G2586" s="11">
        <v>375</v>
      </c>
      <c r="H2586" s="11">
        <v>359</v>
      </c>
      <c r="I2586" s="11">
        <v>0</v>
      </c>
      <c r="J2586" s="11">
        <v>0</v>
      </c>
      <c r="K2586" s="11" t="s">
        <v>21</v>
      </c>
      <c r="L2586" s="7">
        <v>41289.849050925928</v>
      </c>
      <c r="M2586" s="12" t="s">
        <v>2442</v>
      </c>
      <c r="N2586" s="12" t="s">
        <v>2443</v>
      </c>
      <c r="O2586" s="10" t="str">
        <f>HYPERLINK("https://pbs.twimg.com/profile_images/3542998130/5e65449daa56d18e9aab7f6535dc25fc_normal.jpeg","View")</f>
        <v>View</v>
      </c>
      <c r="P2586" s="11"/>
    </row>
    <row r="2587" spans="1:16" ht="12.75" x14ac:dyDescent="0.35">
      <c r="A2587" s="7">
        <v>42482.611226851848</v>
      </c>
      <c r="B2587" s="8" t="str">
        <f>HYPERLINK("https://twitter.com/Hardt_am_Limit","@Hardt_am_Limit")</f>
        <v>@Hardt_am_Limit</v>
      </c>
      <c r="C2587" s="9" t="s">
        <v>4483</v>
      </c>
      <c r="D2587" s="9" t="s">
        <v>4484</v>
      </c>
      <c r="E2587" s="10" t="str">
        <f>HYPERLINK("https://twitter.com/Hardt_am_Limit/status/723438735707148290","723438735707148290")</f>
        <v>723438735707148290</v>
      </c>
      <c r="F2587" s="11" t="s">
        <v>39</v>
      </c>
      <c r="G2587" s="11">
        <v>221</v>
      </c>
      <c r="H2587" s="11">
        <v>457</v>
      </c>
      <c r="I2587" s="11">
        <v>0</v>
      </c>
      <c r="J2587" s="11">
        <v>0</v>
      </c>
      <c r="K2587" s="11" t="s">
        <v>21</v>
      </c>
      <c r="L2587" s="7">
        <v>40519.885717592595</v>
      </c>
      <c r="M2587" s="12" t="s">
        <v>4485</v>
      </c>
      <c r="N2587" s="12" t="s">
        <v>4486</v>
      </c>
      <c r="O2587" s="10" t="str">
        <f>HYPERLINK("https://pbs.twimg.com/profile_images/1244176961/2011-02-14_160904_normal.jpg","View")</f>
        <v>View</v>
      </c>
      <c r="P2587" s="11"/>
    </row>
    <row r="2588" spans="1:16" ht="12.75" x14ac:dyDescent="0.35">
      <c r="A2588" s="7">
        <v>42482.612210648149</v>
      </c>
      <c r="B2588" s="8" t="str">
        <f>HYPERLINK("https://twitter.com/ITK_OWL","@ITK_OWL")</f>
        <v>@ITK_OWL</v>
      </c>
      <c r="C2588" s="9" t="s">
        <v>220</v>
      </c>
      <c r="D2588" s="9" t="s">
        <v>4487</v>
      </c>
      <c r="E2588" s="10" t="str">
        <f>HYPERLINK("https://twitter.com/ITK_OWL/status/723439092269223936","723439092269223936")</f>
        <v>723439092269223936</v>
      </c>
      <c r="F2588" s="11" t="s">
        <v>222</v>
      </c>
      <c r="G2588" s="11">
        <v>199</v>
      </c>
      <c r="H2588" s="11">
        <v>389</v>
      </c>
      <c r="I2588" s="11">
        <v>0</v>
      </c>
      <c r="J2588" s="11">
        <v>0</v>
      </c>
      <c r="K2588" s="11" t="s">
        <v>21</v>
      </c>
      <c r="L2588" s="7">
        <v>42146.57880787037</v>
      </c>
      <c r="M2588" s="12" t="s">
        <v>223</v>
      </c>
      <c r="N2588" s="12" t="s">
        <v>224</v>
      </c>
      <c r="O2588" s="10" t="str">
        <f>HYPERLINK("https://pbs.twimg.com/profile_images/601673968551075840/MnulnKkj_normal.png","View")</f>
        <v>View</v>
      </c>
      <c r="P2588" s="11"/>
    </row>
    <row r="2589" spans="1:16" ht="12.75" x14ac:dyDescent="0.35">
      <c r="A2589" s="7">
        <v>42482.613796296297</v>
      </c>
      <c r="B2589" s="8" t="str">
        <f>HYPERLINK("https://twitter.com/akquinet","@akquinet")</f>
        <v>@akquinet</v>
      </c>
      <c r="C2589" s="9" t="s">
        <v>510</v>
      </c>
      <c r="D2589" s="9" t="s">
        <v>4488</v>
      </c>
      <c r="E2589" s="10" t="str">
        <f>HYPERLINK("https://twitter.com/akquinet/status/723439668302241793","723439668302241793")</f>
        <v>723439668302241793</v>
      </c>
      <c r="F2589" s="11" t="s">
        <v>25</v>
      </c>
      <c r="G2589" s="11">
        <v>220</v>
      </c>
      <c r="H2589" s="11">
        <v>130</v>
      </c>
      <c r="I2589" s="11">
        <v>1</v>
      </c>
      <c r="J2589" s="11">
        <v>0</v>
      </c>
      <c r="K2589" s="11" t="s">
        <v>21</v>
      </c>
      <c r="L2589" s="7">
        <v>40057.550069444442</v>
      </c>
      <c r="M2589" s="12" t="s">
        <v>512</v>
      </c>
      <c r="N2589" s="12" t="s">
        <v>513</v>
      </c>
      <c r="O2589" s="10" t="str">
        <f>HYPERLINK("https://pbs.twimg.com/profile_images/509252372774653952/cl1TCi-g_normal.png","View")</f>
        <v>View</v>
      </c>
      <c r="P2589" s="11"/>
    </row>
    <row r="2590" spans="1:16" ht="12.75" x14ac:dyDescent="0.35">
      <c r="A2590" s="7">
        <v>42482.614722222221</v>
      </c>
      <c r="B2590" s="8" t="str">
        <f>HYPERLINK("https://twitter.com/viermac","@viermac")</f>
        <v>@viermac</v>
      </c>
      <c r="C2590" s="9" t="s">
        <v>3529</v>
      </c>
      <c r="D2590" s="9" t="s">
        <v>4489</v>
      </c>
      <c r="E2590" s="10" t="str">
        <f>HYPERLINK("https://twitter.com/viermac/status/723440002827329536","723440002827329536")</f>
        <v>723440002827329536</v>
      </c>
      <c r="F2590" s="11" t="s">
        <v>39</v>
      </c>
      <c r="G2590" s="11">
        <v>307</v>
      </c>
      <c r="H2590" s="11">
        <v>327</v>
      </c>
      <c r="I2590" s="11">
        <v>0</v>
      </c>
      <c r="J2590" s="11">
        <v>0</v>
      </c>
      <c r="K2590" s="11" t="s">
        <v>21</v>
      </c>
      <c r="L2590" s="7">
        <v>40982.861087962963</v>
      </c>
      <c r="M2590" s="12"/>
      <c r="N2590" s="12" t="s">
        <v>3531</v>
      </c>
      <c r="O2590" s="10" t="str">
        <f>HYPERLINK("https://pbs.twimg.com/profile_images/445540366637223937/HX8VPgJH_normal.jpeg","View")</f>
        <v>View</v>
      </c>
      <c r="P2590" s="11"/>
    </row>
    <row r="2591" spans="1:16" ht="12.75" x14ac:dyDescent="0.35">
      <c r="A2591" s="7">
        <v>42482.617430555554</v>
      </c>
      <c r="B2591" s="8" t="str">
        <f>HYPERLINK("https://twitter.com/iObeya","@iObeya")</f>
        <v>@iObeya</v>
      </c>
      <c r="C2591" s="9" t="s">
        <v>4490</v>
      </c>
      <c r="D2591" s="9" t="s">
        <v>4491</v>
      </c>
      <c r="E2591" s="10" t="str">
        <f>HYPERLINK("https://twitter.com/iObeya/status/723440983703056384","723440983703056384")</f>
        <v>723440983703056384</v>
      </c>
      <c r="F2591" s="11" t="s">
        <v>25</v>
      </c>
      <c r="G2591" s="11">
        <v>479</v>
      </c>
      <c r="H2591" s="11">
        <v>826</v>
      </c>
      <c r="I2591" s="11">
        <v>0</v>
      </c>
      <c r="J2591" s="11">
        <v>0</v>
      </c>
      <c r="K2591" s="11" t="s">
        <v>21</v>
      </c>
      <c r="L2591" s="7">
        <v>40956.205243055556</v>
      </c>
      <c r="M2591" s="12" t="s">
        <v>4492</v>
      </c>
      <c r="N2591" s="12" t="s">
        <v>4493</v>
      </c>
      <c r="O2591" s="10" t="str">
        <f>HYPERLINK("https://pbs.twimg.com/profile_images/580407919025512448/m1volCav_normal.png","View")</f>
        <v>View</v>
      </c>
      <c r="P2591" s="11"/>
    </row>
    <row r="2592" spans="1:16" ht="12.75" x14ac:dyDescent="0.35">
      <c r="A2592" s="7">
        <v>42482.617650462962</v>
      </c>
      <c r="B2592" s="8" t="str">
        <f>HYPERLINK("https://twitter.com/markherten","@markherten")</f>
        <v>@markherten</v>
      </c>
      <c r="C2592" s="9" t="s">
        <v>37</v>
      </c>
      <c r="D2592" s="9" t="s">
        <v>4494</v>
      </c>
      <c r="E2592" s="10" t="str">
        <f>HYPERLINK("https://twitter.com/markherten/status/723441064078499840","723441064078499840")</f>
        <v>723441064078499840</v>
      </c>
      <c r="F2592" s="11" t="s">
        <v>39</v>
      </c>
      <c r="G2592" s="11">
        <v>96</v>
      </c>
      <c r="H2592" s="11">
        <v>176</v>
      </c>
      <c r="I2592" s="11">
        <v>0</v>
      </c>
      <c r="J2592" s="11">
        <v>0</v>
      </c>
      <c r="K2592" s="11" t="s">
        <v>21</v>
      </c>
      <c r="L2592" s="7">
        <v>40249.947696759264</v>
      </c>
      <c r="M2592" s="12" t="s">
        <v>40</v>
      </c>
      <c r="N2592" s="12" t="s">
        <v>41</v>
      </c>
      <c r="O2592" s="10" t="str">
        <f>HYPERLINK("https://pbs.twimg.com/profile_images/718175389890310145/GX8DLe_h_normal.jpg","View")</f>
        <v>View</v>
      </c>
      <c r="P2592" s="11"/>
    </row>
    <row r="2593" spans="1:16" ht="12.75" x14ac:dyDescent="0.35">
      <c r="A2593" s="7">
        <v>42482.620347222226</v>
      </c>
      <c r="B2593" s="8" t="str">
        <f>HYPERLINK("https://twitter.com/KUKA_RoboticsDE","@KUKA_RoboticsDE")</f>
        <v>@KUKA_RoboticsDE</v>
      </c>
      <c r="C2593" s="9" t="s">
        <v>4495</v>
      </c>
      <c r="D2593" s="9" t="s">
        <v>4496</v>
      </c>
      <c r="E2593" s="10" t="str">
        <f>HYPERLINK("https://twitter.com/KUKA_RoboticsDE/status/723442043079380992","723442043079380992")</f>
        <v>723442043079380992</v>
      </c>
      <c r="F2593" s="11" t="s">
        <v>25</v>
      </c>
      <c r="G2593" s="11">
        <v>4558</v>
      </c>
      <c r="H2593" s="11">
        <v>283</v>
      </c>
      <c r="I2593" s="11">
        <v>0</v>
      </c>
      <c r="J2593" s="11">
        <v>1</v>
      </c>
      <c r="K2593" s="11" t="s">
        <v>21</v>
      </c>
      <c r="L2593" s="7">
        <v>40114.864803240736</v>
      </c>
      <c r="M2593" s="12" t="s">
        <v>102</v>
      </c>
      <c r="N2593" s="12" t="s">
        <v>4497</v>
      </c>
      <c r="O2593" s="10" t="str">
        <f>HYPERLINK("https://pbs.twimg.com/profile_images/704767814406643712/VcnCdfke_normal.jpg","View")</f>
        <v>View</v>
      </c>
      <c r="P2593" s="11"/>
    </row>
    <row r="2594" spans="1:16" ht="12.75" x14ac:dyDescent="0.35">
      <c r="A2594" s="7">
        <v>42482.622418981482</v>
      </c>
      <c r="B2594" s="8" t="str">
        <f>HYPERLINK("https://twitter.com/thyssenkrupp","@thyssenkrupp")</f>
        <v>@thyssenkrupp</v>
      </c>
      <c r="C2594" s="9" t="s">
        <v>4498</v>
      </c>
      <c r="D2594" s="9" t="s">
        <v>3925</v>
      </c>
      <c r="E2594" s="10" t="str">
        <f>HYPERLINK("https://twitter.com/thyssenkrupp/status/723442795139072000","723442795139072000")</f>
        <v>723442795139072000</v>
      </c>
      <c r="F2594" s="11" t="s">
        <v>25</v>
      </c>
      <c r="G2594" s="11">
        <v>9059</v>
      </c>
      <c r="H2594" s="11">
        <v>90</v>
      </c>
      <c r="I2594" s="11">
        <v>2</v>
      </c>
      <c r="J2594" s="11">
        <v>0</v>
      </c>
      <c r="K2594" s="11" t="s">
        <v>21</v>
      </c>
      <c r="L2594" s="7">
        <v>40056.864629629628</v>
      </c>
      <c r="M2594" s="12" t="s">
        <v>92</v>
      </c>
      <c r="N2594" s="12" t="s">
        <v>4499</v>
      </c>
      <c r="O2594" s="10" t="str">
        <f>HYPERLINK("https://pbs.twimg.com/profile_images/667280858798100481/FrPnpui4_normal.png","View")</f>
        <v>View</v>
      </c>
      <c r="P2594" s="11"/>
    </row>
    <row r="2595" spans="1:16" ht="12.75" x14ac:dyDescent="0.35">
      <c r="A2595" s="7">
        <v>42482.624131944445</v>
      </c>
      <c r="B2595" s="8" t="str">
        <f>HYPERLINK("https://twitter.com/MaTi_WOO","@MaTi_WOO")</f>
        <v>@MaTi_WOO</v>
      </c>
      <c r="C2595" s="9" t="s">
        <v>4500</v>
      </c>
      <c r="D2595" s="9" t="s">
        <v>4501</v>
      </c>
      <c r="E2595" s="10" t="str">
        <f>HYPERLINK("https://twitter.com/MaTi_WOO/status/723443414281256961","723443414281256961")</f>
        <v>723443414281256961</v>
      </c>
      <c r="F2595" s="11" t="s">
        <v>31</v>
      </c>
      <c r="G2595" s="11">
        <v>667</v>
      </c>
      <c r="H2595" s="11">
        <v>2371</v>
      </c>
      <c r="I2595" s="11">
        <v>1</v>
      </c>
      <c r="J2595" s="11">
        <v>0</v>
      </c>
      <c r="K2595" s="11" t="s">
        <v>21</v>
      </c>
      <c r="L2595" s="7">
        <v>40470.580289351856</v>
      </c>
      <c r="M2595" s="12" t="s">
        <v>218</v>
      </c>
      <c r="N2595" s="12" t="s">
        <v>4502</v>
      </c>
      <c r="O2595" s="10" t="str">
        <f>HYPERLINK("https://pbs.twimg.com/profile_images/562601523750776832/JbD5LIbz_normal.jpeg","View")</f>
        <v>View</v>
      </c>
      <c r="P2595" s="11"/>
    </row>
    <row r="2596" spans="1:16" ht="12.75" x14ac:dyDescent="0.35">
      <c r="A2596" s="7">
        <v>42482.627129629633</v>
      </c>
      <c r="B2596" s="8" t="str">
        <f>HYPERLINK("https://twitter.com/ManutelligH2020","@ManutelligH2020")</f>
        <v>@ManutelligH2020</v>
      </c>
      <c r="C2596" s="9" t="s">
        <v>4503</v>
      </c>
      <c r="D2596" s="9" t="s">
        <v>4504</v>
      </c>
      <c r="E2596" s="10" t="str">
        <f>HYPERLINK("https://twitter.com/ManutelligH2020/status/723444502015270913","723444502015270913")</f>
        <v>723444502015270913</v>
      </c>
      <c r="F2596" s="11" t="s">
        <v>25</v>
      </c>
      <c r="G2596" s="11">
        <v>164</v>
      </c>
      <c r="H2596" s="11">
        <v>269</v>
      </c>
      <c r="I2596" s="11">
        <v>1</v>
      </c>
      <c r="J2596" s="11">
        <v>0</v>
      </c>
      <c r="K2596" s="11" t="s">
        <v>21</v>
      </c>
      <c r="L2596" s="7">
        <v>42341.776180555556</v>
      </c>
      <c r="M2596" s="12"/>
      <c r="N2596" s="12" t="s">
        <v>4505</v>
      </c>
      <c r="O2596" s="10" t="str">
        <f>HYPERLINK("https://pbs.twimg.com/profile_images/717330814950903808/rwZ3obhE_normal.jpg","View")</f>
        <v>View</v>
      </c>
      <c r="P2596" s="11"/>
    </row>
    <row r="2597" spans="1:16" ht="12.75" x14ac:dyDescent="0.35">
      <c r="A2597" s="7">
        <v>42482.630972222221</v>
      </c>
      <c r="B2597" s="8" t="str">
        <f>HYPERLINK("https://twitter.com/SGE","@SGE")</f>
        <v>@SGE</v>
      </c>
      <c r="C2597" s="9" t="s">
        <v>3633</v>
      </c>
      <c r="D2597" s="9" t="s">
        <v>4506</v>
      </c>
      <c r="E2597" s="10" t="str">
        <f>HYPERLINK("https://twitter.com/SGE/status/723445894813736960","723445894813736960")</f>
        <v>723445894813736960</v>
      </c>
      <c r="F2597" s="11" t="s">
        <v>39</v>
      </c>
      <c r="G2597" s="11">
        <v>1902</v>
      </c>
      <c r="H2597" s="11">
        <v>231</v>
      </c>
      <c r="I2597" s="11">
        <v>0</v>
      </c>
      <c r="J2597" s="11">
        <v>0</v>
      </c>
      <c r="K2597" s="11" t="s">
        <v>21</v>
      </c>
      <c r="L2597" s="7">
        <v>39937.802928240737</v>
      </c>
      <c r="M2597" s="12" t="s">
        <v>3635</v>
      </c>
      <c r="N2597" s="12" t="s">
        <v>3636</v>
      </c>
      <c r="O2597" s="10" t="str">
        <f>HYPERLINK("https://pbs.twimg.com/profile_images/471312276767535104/TIanhngf_normal.jpeg","View")</f>
        <v>View</v>
      </c>
      <c r="P2597" s="11"/>
    </row>
    <row r="2598" spans="1:16" ht="12.75" x14ac:dyDescent="0.35">
      <c r="A2598" s="7">
        <v>42482.631238425922</v>
      </c>
      <c r="B2598" s="8" t="str">
        <f>HYPERLINK("https://twitter.com/manutencaopt","@manutencaopt")</f>
        <v>@manutencaopt</v>
      </c>
      <c r="C2598" s="9" t="s">
        <v>4507</v>
      </c>
      <c r="D2598" s="9" t="s">
        <v>4321</v>
      </c>
      <c r="E2598" s="10" t="str">
        <f>HYPERLINK("https://twitter.com/manutencaopt/status/723445990431191041","723445990431191041")</f>
        <v>723445990431191041</v>
      </c>
      <c r="F2598" s="11" t="s">
        <v>25</v>
      </c>
      <c r="G2598" s="11">
        <v>138</v>
      </c>
      <c r="H2598" s="11">
        <v>334</v>
      </c>
      <c r="I2598" s="11">
        <v>2</v>
      </c>
      <c r="J2598" s="11">
        <v>0</v>
      </c>
      <c r="K2598" s="11" t="s">
        <v>21</v>
      </c>
      <c r="L2598" s="7">
        <v>41782.69027777778</v>
      </c>
      <c r="M2598" s="12" t="s">
        <v>4508</v>
      </c>
      <c r="N2598" s="12" t="s">
        <v>4509</v>
      </c>
      <c r="O2598" s="10" t="str">
        <f>HYPERLINK("https://pbs.twimg.com/profile_images/469799966714503168/TwcWfA2e_normal.png","View")</f>
        <v>View</v>
      </c>
      <c r="P2598" s="11"/>
    </row>
    <row r="2599" spans="1:16" ht="12.75" x14ac:dyDescent="0.35">
      <c r="A2599" s="7">
        <v>42482.632245370369</v>
      </c>
      <c r="B2599" s="8" t="str">
        <f>HYPERLINK("https://twitter.com/H_IT_D","@H_IT_D")</f>
        <v>@H_IT_D</v>
      </c>
      <c r="C2599" s="9" t="s">
        <v>159</v>
      </c>
      <c r="D2599" s="9" t="s">
        <v>4510</v>
      </c>
      <c r="E2599" s="10" t="str">
        <f>HYPERLINK("https://twitter.com/H_IT_D/status/723446352462499840","723446352462499840")</f>
        <v>723446352462499840</v>
      </c>
      <c r="F2599" s="11" t="s">
        <v>161</v>
      </c>
      <c r="G2599" s="11">
        <v>463</v>
      </c>
      <c r="H2599" s="11">
        <v>467</v>
      </c>
      <c r="I2599" s="11">
        <v>1</v>
      </c>
      <c r="J2599" s="11">
        <v>0</v>
      </c>
      <c r="K2599" s="11" t="s">
        <v>21</v>
      </c>
      <c r="L2599" s="7">
        <v>40723.867673611108</v>
      </c>
      <c r="M2599" s="12" t="s">
        <v>162</v>
      </c>
      <c r="N2599" s="12" t="s">
        <v>163</v>
      </c>
      <c r="O2599" s="10" t="str">
        <f>HYPERLINK("https://pbs.twimg.com/profile_images/662723326096224256/5V4KH9_O_normal.jpg","View")</f>
        <v>View</v>
      </c>
      <c r="P2599" s="11"/>
    </row>
    <row r="2600" spans="1:16" ht="12.75" x14ac:dyDescent="0.35">
      <c r="A2600" s="7">
        <v>42482.632754629631</v>
      </c>
      <c r="B2600" s="8" t="str">
        <f>HYPERLINK("https://twitter.com/INDIZbot","@INDIZbot")</f>
        <v>@INDIZbot</v>
      </c>
      <c r="C2600" s="9" t="s">
        <v>61</v>
      </c>
      <c r="D2600" s="9" t="s">
        <v>4511</v>
      </c>
      <c r="E2600" s="10" t="str">
        <f>HYPERLINK("https://twitter.com/INDIZbot/status/723446537829908480","723446537829908480")</f>
        <v>723446537829908480</v>
      </c>
      <c r="F2600" s="11" t="s">
        <v>62</v>
      </c>
      <c r="G2600" s="11">
        <v>1764</v>
      </c>
      <c r="H2600" s="11">
        <v>481</v>
      </c>
      <c r="I2600" s="11">
        <v>1</v>
      </c>
      <c r="J2600" s="11">
        <v>0</v>
      </c>
      <c r="K2600" s="11" t="s">
        <v>21</v>
      </c>
      <c r="L2600" s="7">
        <v>42267.011921296296</v>
      </c>
      <c r="M2600" s="12"/>
      <c r="N2600" s="12" t="s">
        <v>63</v>
      </c>
      <c r="O2600" s="10" t="str">
        <f>HYPERLINK("https://pbs.twimg.com/profile_images/645716711723925506/t5G0qOS6_normal.jpg","View")</f>
        <v>View</v>
      </c>
      <c r="P2600" s="11"/>
    </row>
    <row r="2601" spans="1:16" ht="12.75" x14ac:dyDescent="0.35">
      <c r="A2601" s="7">
        <v>42482.635335648149</v>
      </c>
      <c r="B2601" s="8" t="str">
        <f>HYPERLINK("https://twitter.com/LReehten","@LReehten")</f>
        <v>@LReehten</v>
      </c>
      <c r="C2601" s="9" t="s">
        <v>1998</v>
      </c>
      <c r="D2601" s="9" t="s">
        <v>4512</v>
      </c>
      <c r="E2601" s="10" t="str">
        <f>HYPERLINK("https://twitter.com/LReehten/status/723447474233331712","723447474233331712")</f>
        <v>723447474233331712</v>
      </c>
      <c r="F2601" s="11" t="s">
        <v>25</v>
      </c>
      <c r="G2601" s="11">
        <v>2333</v>
      </c>
      <c r="H2601" s="11">
        <v>2836</v>
      </c>
      <c r="I2601" s="11">
        <v>0</v>
      </c>
      <c r="J2601" s="11">
        <v>0</v>
      </c>
      <c r="K2601" s="11" t="s">
        <v>21</v>
      </c>
      <c r="L2601" s="7">
        <v>41618.817071759258</v>
      </c>
      <c r="M2601" s="12"/>
      <c r="N2601" s="12" t="s">
        <v>2000</v>
      </c>
      <c r="O2601" s="10" t="str">
        <f>HYPERLINK("https://pbs.twimg.com/profile_images/623849156159868928/BetFDR_i_normal.jpg","View")</f>
        <v>View</v>
      </c>
      <c r="P2601" s="11"/>
    </row>
    <row r="2602" spans="1:16" ht="12.75" x14ac:dyDescent="0.35">
      <c r="A2602" s="7">
        <v>42482.63553240741</v>
      </c>
      <c r="B2602" s="8" t="str">
        <f>HYPERLINK("https://twitter.com/packagingJ","@packagingJ")</f>
        <v>@packagingJ</v>
      </c>
      <c r="C2602" s="9" t="s">
        <v>3192</v>
      </c>
      <c r="D2602" s="9" t="s">
        <v>4513</v>
      </c>
      <c r="E2602" s="10" t="str">
        <f>HYPERLINK("https://twitter.com/packagingJ/status/723447546551668736","723447546551668736")</f>
        <v>723447546551668736</v>
      </c>
      <c r="F2602" s="11" t="s">
        <v>39</v>
      </c>
      <c r="G2602" s="11">
        <v>313</v>
      </c>
      <c r="H2602" s="11">
        <v>231</v>
      </c>
      <c r="I2602" s="11">
        <v>0</v>
      </c>
      <c r="J2602" s="11">
        <v>0</v>
      </c>
      <c r="K2602" s="11" t="s">
        <v>21</v>
      </c>
      <c r="L2602" s="7">
        <v>41051.756550925929</v>
      </c>
      <c r="M2602" s="12" t="s">
        <v>895</v>
      </c>
      <c r="N2602" s="12"/>
      <c r="O2602" s="10" t="str">
        <f>HYPERLINK("https://pbs.twimg.com/profile_images/2240680734/pj-logo1_normal.png","View")</f>
        <v>View</v>
      </c>
      <c r="P2602" s="11"/>
    </row>
    <row r="2603" spans="1:16" ht="12.75" x14ac:dyDescent="0.35">
      <c r="A2603" s="7">
        <v>42482.639745370368</v>
      </c>
      <c r="B2603" s="8" t="str">
        <f>HYPERLINK("https://twitter.com/ReboredoPedro","@ReboredoPedro")</f>
        <v>@ReboredoPedro</v>
      </c>
      <c r="C2603" s="9" t="s">
        <v>4514</v>
      </c>
      <c r="D2603" s="9" t="s">
        <v>4515</v>
      </c>
      <c r="E2603" s="10" t="str">
        <f>HYPERLINK("https://twitter.com/ReboredoPedro/status/723449072544174081","723449072544174081")</f>
        <v>723449072544174081</v>
      </c>
      <c r="F2603" s="11" t="s">
        <v>25</v>
      </c>
      <c r="G2603" s="11">
        <v>22</v>
      </c>
      <c r="H2603" s="11">
        <v>64</v>
      </c>
      <c r="I2603" s="11">
        <v>0</v>
      </c>
      <c r="J2603" s="11">
        <v>0</v>
      </c>
      <c r="K2603" s="11" t="s">
        <v>21</v>
      </c>
      <c r="L2603" s="7">
        <v>41247.880439814813</v>
      </c>
      <c r="M2603" s="12"/>
      <c r="N2603" s="12"/>
      <c r="O2603" s="10" t="str">
        <f>HYPERLINK("https://pbs.twimg.com/profile_images/473392648988790784/r8NTdRz0_normal.jpeg","View")</f>
        <v>View</v>
      </c>
      <c r="P2603" s="11"/>
    </row>
    <row r="2604" spans="1:16" ht="12.75" x14ac:dyDescent="0.35">
      <c r="A2604" s="7">
        <v>42482.641562500001</v>
      </c>
      <c r="B2604" s="8" t="str">
        <f>HYPERLINK("https://twitter.com/aboutschuldt","@aboutschuldt")</f>
        <v>@aboutschuldt</v>
      </c>
      <c r="C2604" s="9" t="s">
        <v>4516</v>
      </c>
      <c r="D2604" s="9" t="s">
        <v>4517</v>
      </c>
      <c r="E2604" s="10" t="str">
        <f>HYPERLINK("https://twitter.com/aboutschuldt/status/723449728780783616","723449728780783616")</f>
        <v>723449728780783616</v>
      </c>
      <c r="F2604" s="11" t="s">
        <v>866</v>
      </c>
      <c r="G2604" s="11">
        <v>17</v>
      </c>
      <c r="H2604" s="11">
        <v>78</v>
      </c>
      <c r="I2604" s="11">
        <v>0</v>
      </c>
      <c r="J2604" s="11">
        <v>0</v>
      </c>
      <c r="K2604" s="11" t="s">
        <v>21</v>
      </c>
      <c r="L2604" s="7">
        <v>41023.871550925927</v>
      </c>
      <c r="M2604" s="12" t="s">
        <v>3893</v>
      </c>
      <c r="N2604" s="12" t="s">
        <v>4518</v>
      </c>
      <c r="O2604" s="10" t="str">
        <f>HYPERLINK("https://pbs.twimg.com/profile_images/513745979585990656/CUU36phe_normal.png","View")</f>
        <v>View</v>
      </c>
      <c r="P2604" s="11"/>
    </row>
    <row r="2605" spans="1:16" ht="12.75" x14ac:dyDescent="0.35">
      <c r="A2605" s="7">
        <v>42482.642430555556</v>
      </c>
      <c r="B2605" s="8" t="str">
        <f>HYPERLINK("https://twitter.com/FelixGerg","@FelixGerg")</f>
        <v>@FelixGerg</v>
      </c>
      <c r="C2605" s="9" t="s">
        <v>4519</v>
      </c>
      <c r="D2605" s="9" t="s">
        <v>4520</v>
      </c>
      <c r="E2605" s="10" t="str">
        <f>HYPERLINK("https://twitter.com/FelixGerg/status/723450046012751875","723450046012751875")</f>
        <v>723450046012751875</v>
      </c>
      <c r="F2605" s="11" t="s">
        <v>25</v>
      </c>
      <c r="G2605" s="11">
        <v>575</v>
      </c>
      <c r="H2605" s="11">
        <v>558</v>
      </c>
      <c r="I2605" s="11">
        <v>0</v>
      </c>
      <c r="J2605" s="11">
        <v>1</v>
      </c>
      <c r="K2605" s="11" t="s">
        <v>21</v>
      </c>
      <c r="L2605" s="7">
        <v>42159.712870370371</v>
      </c>
      <c r="M2605" s="12" t="s">
        <v>440</v>
      </c>
      <c r="N2605" s="12" t="s">
        <v>4521</v>
      </c>
      <c r="O2605" s="10" t="str">
        <f>HYPERLINK("https://pbs.twimg.com/profile_images/662594293601861632/mDG9DdcZ_normal.jpg","View")</f>
        <v>View</v>
      </c>
      <c r="P2605" s="11"/>
    </row>
    <row r="2606" spans="1:16" ht="12.75" x14ac:dyDescent="0.35">
      <c r="A2606" s="7">
        <v>42482.642523148148</v>
      </c>
      <c r="B2606" s="8" t="str">
        <f>HYPERLINK("https://twitter.com/kion_group","@kion_group")</f>
        <v>@kion_group</v>
      </c>
      <c r="C2606" s="9" t="s">
        <v>1789</v>
      </c>
      <c r="D2606" s="9" t="s">
        <v>4522</v>
      </c>
      <c r="E2606" s="10" t="str">
        <f>HYPERLINK("https://twitter.com/kion_group/status/723450078824943616","723450078824943616")</f>
        <v>723450078824943616</v>
      </c>
      <c r="F2606" s="11" t="s">
        <v>39</v>
      </c>
      <c r="G2606" s="11">
        <v>454</v>
      </c>
      <c r="H2606" s="11">
        <v>283</v>
      </c>
      <c r="I2606" s="11">
        <v>0</v>
      </c>
      <c r="J2606" s="11">
        <v>0</v>
      </c>
      <c r="K2606" s="11" t="s">
        <v>21</v>
      </c>
      <c r="L2606" s="7">
        <v>41835.045775462961</v>
      </c>
      <c r="M2606" s="12" t="s">
        <v>1791</v>
      </c>
      <c r="N2606" s="12" t="s">
        <v>1792</v>
      </c>
      <c r="O2606" s="10" t="str">
        <f>HYPERLINK("https://pbs.twimg.com/profile_images/502066779590385665/YElxw-eg_normal.jpeg","View")</f>
        <v>View</v>
      </c>
      <c r="P2606" s="11"/>
    </row>
    <row r="2607" spans="1:16" ht="12.75" x14ac:dyDescent="0.35">
      <c r="A2607" s="7">
        <v>42482.643819444449</v>
      </c>
      <c r="B2607" s="8" t="str">
        <f>HYPERLINK("https://twitter.com/Pilz_INT","@Pilz_INT")</f>
        <v>@Pilz_INT</v>
      </c>
      <c r="C2607" s="9" t="s">
        <v>4523</v>
      </c>
      <c r="D2607" s="9" t="s">
        <v>4524</v>
      </c>
      <c r="E2607" s="10" t="str">
        <f>HYPERLINK("https://twitter.com/Pilz_INT/status/723450548884643840","723450548884643840")</f>
        <v>723450548884643840</v>
      </c>
      <c r="F2607" s="11" t="s">
        <v>25</v>
      </c>
      <c r="G2607" s="11">
        <v>2050</v>
      </c>
      <c r="H2607" s="11">
        <v>581</v>
      </c>
      <c r="I2607" s="11">
        <v>0</v>
      </c>
      <c r="J2607" s="11">
        <v>0</v>
      </c>
      <c r="K2607" s="11" t="s">
        <v>21</v>
      </c>
      <c r="L2607" s="7">
        <v>40326.574953703705</v>
      </c>
      <c r="M2607" s="12" t="s">
        <v>4525</v>
      </c>
      <c r="N2607" s="12" t="s">
        <v>4526</v>
      </c>
      <c r="O2607" s="10" t="str">
        <f>HYPERLINK("https://pbs.twimg.com/profile_images/587507241588281344/FBLZh8Iv_normal.jpg","View")</f>
        <v>View</v>
      </c>
      <c r="P2607" s="11"/>
    </row>
    <row r="2608" spans="1:16" ht="12.75" x14ac:dyDescent="0.35">
      <c r="A2608" s="7">
        <v>42482.644236111111</v>
      </c>
      <c r="B2608" s="8" t="str">
        <f>HYPERLINK("https://twitter.com/kpohnke","@kpohnke")</f>
        <v>@kpohnke</v>
      </c>
      <c r="C2608" s="9" t="s">
        <v>4527</v>
      </c>
      <c r="D2608" s="9" t="s">
        <v>3964</v>
      </c>
      <c r="E2608" s="10" t="str">
        <f>HYPERLINK("https://twitter.com/kpohnke/status/723450699871211524","723450699871211524")</f>
        <v>723450699871211524</v>
      </c>
      <c r="F2608" s="11" t="s">
        <v>1491</v>
      </c>
      <c r="G2608" s="11">
        <v>346</v>
      </c>
      <c r="H2608" s="11">
        <v>274</v>
      </c>
      <c r="I2608" s="11">
        <v>4</v>
      </c>
      <c r="J2608" s="11">
        <v>0</v>
      </c>
      <c r="K2608" s="11" t="s">
        <v>21</v>
      </c>
      <c r="L2608" s="7">
        <v>39759.162835648152</v>
      </c>
      <c r="M2608" s="12" t="s">
        <v>4528</v>
      </c>
      <c r="N2608" s="12" t="s">
        <v>4529</v>
      </c>
      <c r="O2608" s="10" t="str">
        <f>HYPERLINK("https://pbs.twimg.com/profile_images/436791099462402048/-2yEKEc5_normal.jpeg","View")</f>
        <v>View</v>
      </c>
      <c r="P2608" s="11"/>
    </row>
    <row r="2609" spans="1:16" ht="12.75" x14ac:dyDescent="0.35">
      <c r="A2609" s="7">
        <v>42482.645462962959</v>
      </c>
      <c r="B2609" s="8" t="str">
        <f>HYPERLINK("https://twitter.com/automotive_IT","@automotive_IT")</f>
        <v>@automotive_IT</v>
      </c>
      <c r="C2609" s="9" t="s">
        <v>297</v>
      </c>
      <c r="D2609" s="9" t="s">
        <v>4530</v>
      </c>
      <c r="E2609" s="10" t="str">
        <f>HYPERLINK("https://twitter.com/automotive_IT/status/723451144031227905","723451144031227905")</f>
        <v>723451144031227905</v>
      </c>
      <c r="F2609" s="11" t="s">
        <v>115</v>
      </c>
      <c r="G2609" s="11">
        <v>1502</v>
      </c>
      <c r="H2609" s="11">
        <v>385</v>
      </c>
      <c r="I2609" s="11">
        <v>0</v>
      </c>
      <c r="J2609" s="11">
        <v>1</v>
      </c>
      <c r="K2609" s="11" t="s">
        <v>21</v>
      </c>
      <c r="L2609" s="7">
        <v>39919.805219907408</v>
      </c>
      <c r="M2609" s="12" t="s">
        <v>299</v>
      </c>
      <c r="N2609" s="12" t="s">
        <v>300</v>
      </c>
      <c r="O2609" s="10" t="str">
        <f>HYPERLINK("https://pbs.twimg.com/profile_images/616871511236997121/YFo9usbN_normal.png","View")</f>
        <v>View</v>
      </c>
      <c r="P2609" s="11"/>
    </row>
    <row r="2610" spans="1:16" ht="12.75" x14ac:dyDescent="0.35">
      <c r="A2610" s="7">
        <v>42482.64644675926</v>
      </c>
      <c r="B2610" s="8" t="str">
        <f>HYPERLINK("https://twitter.com/ahk_frankreich","@ahk_frankreich")</f>
        <v>@ahk_frankreich</v>
      </c>
      <c r="C2610" s="9" t="s">
        <v>918</v>
      </c>
      <c r="D2610" s="9" t="s">
        <v>4531</v>
      </c>
      <c r="E2610" s="10" t="str">
        <f>HYPERLINK("https://twitter.com/ahk_frankreich/status/723451502090588160","723451502090588160")</f>
        <v>723451502090588160</v>
      </c>
      <c r="F2610" s="11" t="s">
        <v>25</v>
      </c>
      <c r="G2610" s="11">
        <v>520</v>
      </c>
      <c r="H2610" s="11">
        <v>350</v>
      </c>
      <c r="I2610" s="11">
        <v>0</v>
      </c>
      <c r="J2610" s="11">
        <v>0</v>
      </c>
      <c r="K2610" s="11" t="s">
        <v>21</v>
      </c>
      <c r="L2610" s="7">
        <v>41203.377638888887</v>
      </c>
      <c r="M2610" s="12" t="s">
        <v>920</v>
      </c>
      <c r="N2610" s="12" t="s">
        <v>921</v>
      </c>
      <c r="O2610" s="10" t="str">
        <f>HYPERLINK("https://pbs.twimg.com/profile_images/672343322632024064/4z8q3pp4_normal.jpg","View")</f>
        <v>View</v>
      </c>
      <c r="P2610" s="11"/>
    </row>
    <row r="2611" spans="1:16" ht="12.75" x14ac:dyDescent="0.35">
      <c r="A2611" s="7">
        <v>42482.646527777775</v>
      </c>
      <c r="B2611" s="8" t="str">
        <f>HYPERLINK("https://twitter.com/wisskonzept","@wisskonzept")</f>
        <v>@wisskonzept</v>
      </c>
      <c r="C2611" s="9" t="s">
        <v>4085</v>
      </c>
      <c r="D2611" s="9" t="s">
        <v>4532</v>
      </c>
      <c r="E2611" s="10" t="str">
        <f>HYPERLINK("https://twitter.com/wisskonzept/status/723451528821018624","723451528821018624")</f>
        <v>723451528821018624</v>
      </c>
      <c r="F2611" s="11" t="s">
        <v>39</v>
      </c>
      <c r="G2611" s="11">
        <v>121</v>
      </c>
      <c r="H2611" s="11">
        <v>280</v>
      </c>
      <c r="I2611" s="11">
        <v>0</v>
      </c>
      <c r="J2611" s="11">
        <v>0</v>
      </c>
      <c r="K2611" s="11" t="s">
        <v>21</v>
      </c>
      <c r="L2611" s="7">
        <v>40633.675428240742</v>
      </c>
      <c r="M2611" s="12" t="s">
        <v>689</v>
      </c>
      <c r="N2611" s="12" t="s">
        <v>4087</v>
      </c>
      <c r="O2611" s="10" t="str">
        <f>HYPERLINK("https://pbs.twimg.com/profile_images/607924894756667392/Q-rChkyI_normal.png","View")</f>
        <v>View</v>
      </c>
      <c r="P2611" s="11"/>
    </row>
    <row r="2612" spans="1:16" ht="12.75" x14ac:dyDescent="0.35">
      <c r="A2612" s="7">
        <v>42482.647523148145</v>
      </c>
      <c r="B2612" s="8" t="str">
        <f>HYPERLINK("https://twitter.com/FullSpeedSystem","@FullSpeedSystem")</f>
        <v>@FullSpeedSystem</v>
      </c>
      <c r="C2612" s="9" t="s">
        <v>4533</v>
      </c>
      <c r="D2612" s="9" t="s">
        <v>4534</v>
      </c>
      <c r="E2612" s="10" t="str">
        <f>HYPERLINK("https://twitter.com/FullSpeedSystem/status/723451891175284736","723451891175284736")</f>
        <v>723451891175284736</v>
      </c>
      <c r="F2612" s="11" t="s">
        <v>25</v>
      </c>
      <c r="G2612" s="11">
        <v>21</v>
      </c>
      <c r="H2612" s="11">
        <v>107</v>
      </c>
      <c r="I2612" s="11">
        <v>0</v>
      </c>
      <c r="J2612" s="11">
        <v>0</v>
      </c>
      <c r="K2612" s="11" t="s">
        <v>21</v>
      </c>
      <c r="L2612" s="7">
        <v>42432.787303240737</v>
      </c>
      <c r="M2612" s="12" t="s">
        <v>4535</v>
      </c>
      <c r="N2612" s="12"/>
      <c r="O2612" s="10" t="str">
        <f>HYPERLINK("https://pbs.twimg.com/profile_images/705699220699877377/SxIhCs53_normal.jpg","View")</f>
        <v>View</v>
      </c>
      <c r="P2612" s="11"/>
    </row>
    <row r="2613" spans="1:16" ht="12.75" x14ac:dyDescent="0.35">
      <c r="A2613" s="7">
        <v>42482.649583333332</v>
      </c>
      <c r="B2613" s="8" t="str">
        <f>HYPERLINK("https://twitter.com/JoeMenninger","@JoeMenninger")</f>
        <v>@JoeMenninger</v>
      </c>
      <c r="C2613" s="9" t="s">
        <v>4536</v>
      </c>
      <c r="D2613" s="9" t="s">
        <v>4537</v>
      </c>
      <c r="E2613" s="10" t="str">
        <f>HYPERLINK("https://twitter.com/JoeMenninger/status/723452639216832517","723452639216832517")</f>
        <v>723452639216832517</v>
      </c>
      <c r="F2613" s="11" t="s">
        <v>39</v>
      </c>
      <c r="G2613" s="11">
        <v>1131</v>
      </c>
      <c r="H2613" s="11">
        <v>1250</v>
      </c>
      <c r="I2613" s="11">
        <v>0</v>
      </c>
      <c r="J2613" s="11">
        <v>0</v>
      </c>
      <c r="K2613" s="11" t="s">
        <v>21</v>
      </c>
      <c r="L2613" s="7">
        <v>40719.789537037039</v>
      </c>
      <c r="M2613" s="12" t="s">
        <v>2217</v>
      </c>
      <c r="N2613" s="12" t="s">
        <v>4538</v>
      </c>
      <c r="O2613" s="10" t="str">
        <f>HYPERLINK("https://pbs.twimg.com/profile_images/1607450424/1105_JME_Low_Res_short_normal.jpg","View")</f>
        <v>View</v>
      </c>
      <c r="P2613" s="11"/>
    </row>
    <row r="2614" spans="1:16" ht="12.75" x14ac:dyDescent="0.35">
      <c r="A2614" s="7">
        <v>42482.656284722223</v>
      </c>
      <c r="B2614" s="8" t="str">
        <f>HYPERLINK("https://twitter.com/stephanie_reitz","@stephanie_reitz")</f>
        <v>@stephanie_reitz</v>
      </c>
      <c r="C2614" s="9" t="s">
        <v>4539</v>
      </c>
      <c r="D2614" s="9" t="s">
        <v>4540</v>
      </c>
      <c r="E2614" s="10" t="str">
        <f>HYPERLINK("https://twitter.com/stephanie_reitz/status/723455067563630592","723455067563630592")</f>
        <v>723455067563630592</v>
      </c>
      <c r="F2614" s="11" t="s">
        <v>25</v>
      </c>
      <c r="G2614" s="11">
        <v>25</v>
      </c>
      <c r="H2614" s="11">
        <v>54</v>
      </c>
      <c r="I2614" s="11">
        <v>0</v>
      </c>
      <c r="J2614" s="11">
        <v>0</v>
      </c>
      <c r="K2614" s="11" t="s">
        <v>21</v>
      </c>
      <c r="L2614" s="7">
        <v>42145.751064814816</v>
      </c>
      <c r="M2614" s="12" t="s">
        <v>116</v>
      </c>
      <c r="N2614" s="12" t="s">
        <v>4541</v>
      </c>
      <c r="O2614" s="10" t="str">
        <f>HYPERLINK("https://pbs.twimg.com/profile_images/601365244687024128/LZW9ami0_normal.jpg","View")</f>
        <v>View</v>
      </c>
      <c r="P2614" s="11"/>
    </row>
    <row r="2615" spans="1:16" ht="12.75" x14ac:dyDescent="0.35">
      <c r="A2615" s="7">
        <v>42482.656643518523</v>
      </c>
      <c r="B2615" s="8" t="str">
        <f>HYPERLINK("https://twitter.com/sarakarnthi","@sarakarnthi")</f>
        <v>@sarakarnthi</v>
      </c>
      <c r="C2615" s="9" t="s">
        <v>4542</v>
      </c>
      <c r="D2615" s="9" t="s">
        <v>4543</v>
      </c>
      <c r="E2615" s="10" t="str">
        <f>HYPERLINK("https://twitter.com/sarakarnthi/status/723455195418517504","723455195418517504")</f>
        <v>723455195418517504</v>
      </c>
      <c r="F2615" s="11" t="s">
        <v>20</v>
      </c>
      <c r="G2615" s="11">
        <v>4197</v>
      </c>
      <c r="H2615" s="11">
        <v>4905</v>
      </c>
      <c r="I2615" s="11">
        <v>11</v>
      </c>
      <c r="J2615" s="11">
        <v>0</v>
      </c>
      <c r="K2615" s="11" t="s">
        <v>21</v>
      </c>
      <c r="L2615" s="7">
        <v>42146.7496412037</v>
      </c>
      <c r="M2615" s="12" t="s">
        <v>4544</v>
      </c>
      <c r="N2615" s="12" t="s">
        <v>4545</v>
      </c>
      <c r="O2615" s="10" t="str">
        <f>HYPERLINK("https://pbs.twimg.com/profile_images/675371332708655104/co6Rnvbj_normal.jpg","View")</f>
        <v>View</v>
      </c>
      <c r="P2615" s="11"/>
    </row>
    <row r="2616" spans="1:16" ht="12.75" x14ac:dyDescent="0.35">
      <c r="A2616" s="7">
        <v>42482.667256944449</v>
      </c>
      <c r="B2616" s="8" t="str">
        <f>HYPERLINK("https://twitter.com/CapgeminiDE","@CapgeminiDE")</f>
        <v>@CapgeminiDE</v>
      </c>
      <c r="C2616" s="9" t="s">
        <v>280</v>
      </c>
      <c r="D2616" s="9" t="s">
        <v>4546</v>
      </c>
      <c r="E2616" s="10" t="str">
        <f>HYPERLINK("https://twitter.com/CapgeminiDE/status/723459042434244609","723459042434244609")</f>
        <v>723459042434244609</v>
      </c>
      <c r="F2616" s="11" t="s">
        <v>39</v>
      </c>
      <c r="G2616" s="11">
        <v>1640</v>
      </c>
      <c r="H2616" s="11">
        <v>509</v>
      </c>
      <c r="I2616" s="11">
        <v>0</v>
      </c>
      <c r="J2616" s="11">
        <v>0</v>
      </c>
      <c r="K2616" s="11" t="s">
        <v>21</v>
      </c>
      <c r="L2616" s="7">
        <v>40424.022048611107</v>
      </c>
      <c r="M2616" s="12" t="s">
        <v>218</v>
      </c>
      <c r="N2616" s="12" t="s">
        <v>282</v>
      </c>
      <c r="O2616" s="10" t="str">
        <f>HYPERLINK("https://pbs.twimg.com/profile_images/666911961599315968/aP7ID_qm_normal.png","View")</f>
        <v>View</v>
      </c>
      <c r="P2616" s="11"/>
    </row>
    <row r="2617" spans="1:16" ht="12.75" x14ac:dyDescent="0.35">
      <c r="A2617" s="7">
        <v>42482.668009259258</v>
      </c>
      <c r="B2617" s="8" t="str">
        <f>HYPERLINK("https://twitter.com/KBraeckle","@KBraeckle")</f>
        <v>@KBraeckle</v>
      </c>
      <c r="C2617" s="9" t="s">
        <v>4547</v>
      </c>
      <c r="D2617" s="9" t="s">
        <v>3646</v>
      </c>
      <c r="E2617" s="10" t="str">
        <f>HYPERLINK("https://twitter.com/KBraeckle/status/723459314854289408","723459314854289408")</f>
        <v>723459314854289408</v>
      </c>
      <c r="F2617" s="11" t="s">
        <v>31</v>
      </c>
      <c r="G2617" s="11">
        <v>56</v>
      </c>
      <c r="H2617" s="11">
        <v>148</v>
      </c>
      <c r="I2617" s="11">
        <v>12</v>
      </c>
      <c r="J2617" s="11">
        <v>0</v>
      </c>
      <c r="K2617" s="11" t="s">
        <v>21</v>
      </c>
      <c r="L2617" s="7">
        <v>41467.778483796297</v>
      </c>
      <c r="M2617" s="12" t="s">
        <v>440</v>
      </c>
      <c r="N2617" s="12" t="s">
        <v>4548</v>
      </c>
      <c r="O2617" s="10" t="str">
        <f>HYPERLINK("https://pbs.twimg.com/profile_images/646231223623385088/PZtVaztS_normal.jpg","View")</f>
        <v>View</v>
      </c>
      <c r="P2617" s="11"/>
    </row>
    <row r="2618" spans="1:16" ht="12.75" x14ac:dyDescent="0.35">
      <c r="A2618" s="7">
        <v>42482.669108796297</v>
      </c>
      <c r="B2618" s="8" t="str">
        <f>HYPERLINK("https://twitter.com/SoftwareAG_D","@SoftwareAG_D")</f>
        <v>@SoftwareAG_D</v>
      </c>
      <c r="C2618" s="9" t="s">
        <v>4549</v>
      </c>
      <c r="D2618" s="9" t="s">
        <v>4550</v>
      </c>
      <c r="E2618" s="10" t="str">
        <f>HYPERLINK("https://twitter.com/SoftwareAG_D/status/723459712881164288","723459712881164288")</f>
        <v>723459712881164288</v>
      </c>
      <c r="F2618" s="11" t="s">
        <v>25</v>
      </c>
      <c r="G2618" s="11">
        <v>1644</v>
      </c>
      <c r="H2618" s="11">
        <v>465</v>
      </c>
      <c r="I2618" s="11">
        <v>1</v>
      </c>
      <c r="J2618" s="11">
        <v>0</v>
      </c>
      <c r="K2618" s="11" t="s">
        <v>21</v>
      </c>
      <c r="L2618" s="7">
        <v>40295.962187500001</v>
      </c>
      <c r="M2618" s="12" t="s">
        <v>4551</v>
      </c>
      <c r="N2618" s="12" t="s">
        <v>4552</v>
      </c>
      <c r="O2618" s="10" t="str">
        <f>HYPERLINK("https://pbs.twimg.com/profile_images/654171854748393472/7k-e_3oC_normal.png","View")</f>
        <v>View</v>
      </c>
      <c r="P2618" s="11"/>
    </row>
    <row r="2619" spans="1:16" ht="12.75" x14ac:dyDescent="0.35">
      <c r="A2619" s="7">
        <v>42482.669618055559</v>
      </c>
      <c r="B2619" s="8" t="str">
        <f>HYPERLINK("https://twitter.com/Ronald_Heinze","@Ronald_Heinze")</f>
        <v>@Ronald_Heinze</v>
      </c>
      <c r="C2619" s="9" t="s">
        <v>3243</v>
      </c>
      <c r="D2619" s="9" t="s">
        <v>4553</v>
      </c>
      <c r="E2619" s="10" t="str">
        <f>HYPERLINK("https://twitter.com/Ronald_Heinze/status/723459897283739649","723459897283739649")</f>
        <v>723459897283739649</v>
      </c>
      <c r="F2619" s="11" t="s">
        <v>25</v>
      </c>
      <c r="G2619" s="11">
        <v>77</v>
      </c>
      <c r="H2619" s="11">
        <v>48</v>
      </c>
      <c r="I2619" s="11">
        <v>2</v>
      </c>
      <c r="J2619" s="11">
        <v>0</v>
      </c>
      <c r="K2619" s="11" t="s">
        <v>21</v>
      </c>
      <c r="L2619" s="7">
        <v>42131.71166666667</v>
      </c>
      <c r="M2619" s="12"/>
      <c r="N2619" s="12" t="s">
        <v>3245</v>
      </c>
      <c r="O2619" s="10" t="str">
        <f>HYPERLINK("https://pbs.twimg.com/profile_images/596283853507010560/rOqlbvhj_normal.jpg","View")</f>
        <v>View</v>
      </c>
      <c r="P2619" s="11"/>
    </row>
    <row r="2620" spans="1:16" ht="12.75" x14ac:dyDescent="0.35">
      <c r="A2620" s="7">
        <v>42482.674259259264</v>
      </c>
      <c r="B2620" s="8" t="str">
        <f>HYPERLINK("https://twitter.com/SvenMul","@SvenMul")</f>
        <v>@SvenMul</v>
      </c>
      <c r="C2620" s="9" t="s">
        <v>840</v>
      </c>
      <c r="D2620" s="9" t="s">
        <v>4543</v>
      </c>
      <c r="E2620" s="10" t="str">
        <f>HYPERLINK("https://twitter.com/SvenMul/status/723461579845603329","723461579845603329")</f>
        <v>723461579845603329</v>
      </c>
      <c r="F2620" s="11" t="s">
        <v>39</v>
      </c>
      <c r="G2620" s="11">
        <v>399</v>
      </c>
      <c r="H2620" s="11">
        <v>496</v>
      </c>
      <c r="I2620" s="11">
        <v>12</v>
      </c>
      <c r="J2620" s="11">
        <v>0</v>
      </c>
      <c r="K2620" s="11" t="s">
        <v>21</v>
      </c>
      <c r="L2620" s="7">
        <v>42181.658159722225</v>
      </c>
      <c r="M2620" s="12" t="s">
        <v>841</v>
      </c>
      <c r="N2620" s="12" t="s">
        <v>842</v>
      </c>
      <c r="O2620" s="10" t="str">
        <f>HYPERLINK("https://pbs.twimg.com/profile_images/614378514989629440/hsR4Wlja_normal.jpg","View")</f>
        <v>View</v>
      </c>
      <c r="P2620" s="11"/>
    </row>
    <row r="2621" spans="1:16" ht="12.75" x14ac:dyDescent="0.35">
      <c r="A2621" s="7">
        <v>42482.674756944441</v>
      </c>
      <c r="B2621" s="8" t="str">
        <f t="shared" ref="B2621:B2622" si="324">HYPERLINK("https://twitter.com/INDIZbot","@INDIZbot")</f>
        <v>@INDIZbot</v>
      </c>
      <c r="C2621" s="9" t="s">
        <v>61</v>
      </c>
      <c r="D2621" s="9" t="s">
        <v>4554</v>
      </c>
      <c r="E2621" s="10" t="str">
        <f>HYPERLINK("https://twitter.com/INDIZbot/status/723461761899343872","723461761899343872")</f>
        <v>723461761899343872</v>
      </c>
      <c r="F2621" s="11" t="s">
        <v>62</v>
      </c>
      <c r="G2621" s="11">
        <v>1765</v>
      </c>
      <c r="H2621" s="11">
        <v>481</v>
      </c>
      <c r="I2621" s="11">
        <v>2</v>
      </c>
      <c r="J2621" s="11">
        <v>0</v>
      </c>
      <c r="K2621" s="11" t="s">
        <v>21</v>
      </c>
      <c r="L2621" s="7">
        <v>42267.011921296296</v>
      </c>
      <c r="M2621" s="12"/>
      <c r="N2621" s="12" t="s">
        <v>63</v>
      </c>
      <c r="O2621" s="10" t="str">
        <f t="shared" ref="O2621:O2622" si="325">HYPERLINK("https://pbs.twimg.com/profile_images/645716711723925506/t5G0qOS6_normal.jpg","View")</f>
        <v>View</v>
      </c>
      <c r="P2621" s="11"/>
    </row>
    <row r="2622" spans="1:16" ht="12.75" x14ac:dyDescent="0.35">
      <c r="A2622" s="7">
        <v>42482.675023148149</v>
      </c>
      <c r="B2622" s="8" t="str">
        <f t="shared" si="324"/>
        <v>@INDIZbot</v>
      </c>
      <c r="C2622" s="9" t="s">
        <v>61</v>
      </c>
      <c r="D2622" s="9" t="s">
        <v>4555</v>
      </c>
      <c r="E2622" s="10" t="str">
        <f>HYPERLINK("https://twitter.com/INDIZbot/status/723461856359231488","723461856359231488")</f>
        <v>723461856359231488</v>
      </c>
      <c r="F2622" s="11" t="s">
        <v>62</v>
      </c>
      <c r="G2622" s="11">
        <v>1765</v>
      </c>
      <c r="H2622" s="11">
        <v>481</v>
      </c>
      <c r="I2622" s="11">
        <v>1</v>
      </c>
      <c r="J2622" s="11">
        <v>0</v>
      </c>
      <c r="K2622" s="11" t="s">
        <v>21</v>
      </c>
      <c r="L2622" s="7">
        <v>42267.011921296296</v>
      </c>
      <c r="M2622" s="12"/>
      <c r="N2622" s="12" t="s">
        <v>63</v>
      </c>
      <c r="O2622" s="10" t="str">
        <f t="shared" si="325"/>
        <v>View</v>
      </c>
      <c r="P2622" s="11"/>
    </row>
    <row r="2623" spans="1:16" ht="12.75" x14ac:dyDescent="0.35">
      <c r="A2623" s="7">
        <v>42482.675439814819</v>
      </c>
      <c r="B2623" s="8" t="str">
        <f>HYPERLINK("https://twitter.com/LNI40","@LNI40")</f>
        <v>@LNI40</v>
      </c>
      <c r="C2623" s="9" t="s">
        <v>1888</v>
      </c>
      <c r="D2623" s="9" t="s">
        <v>4554</v>
      </c>
      <c r="E2623" s="10" t="str">
        <f>HYPERLINK("https://twitter.com/LNI40/status/723462007018631168","723462007018631168")</f>
        <v>723462007018631168</v>
      </c>
      <c r="F2623" s="11" t="s">
        <v>31</v>
      </c>
      <c r="G2623" s="11">
        <v>36</v>
      </c>
      <c r="H2623" s="11">
        <v>229</v>
      </c>
      <c r="I2623" s="11">
        <v>2</v>
      </c>
      <c r="J2623" s="11">
        <v>0</v>
      </c>
      <c r="K2623" s="11" t="s">
        <v>21</v>
      </c>
      <c r="L2623" s="7">
        <v>42477.465578703705</v>
      </c>
      <c r="M2623" s="12" t="s">
        <v>227</v>
      </c>
      <c r="N2623" s="12" t="s">
        <v>1889</v>
      </c>
      <c r="O2623" s="10" t="str">
        <f>HYPERLINK("https://pbs.twimg.com/profile_images/722098538604281856/CcBxk1_M_normal.jpg","View")</f>
        <v>View</v>
      </c>
      <c r="P2623" s="11"/>
    </row>
    <row r="2624" spans="1:16" ht="12.75" x14ac:dyDescent="0.35">
      <c r="A2624" s="7">
        <v>42482.676215277781</v>
      </c>
      <c r="B2624" s="8" t="str">
        <f>HYPERLINK("https://twitter.com/fabioteixs","@fabioteixs")</f>
        <v>@fabioteixs</v>
      </c>
      <c r="C2624" s="9" t="s">
        <v>4556</v>
      </c>
      <c r="D2624" s="9" t="s">
        <v>4105</v>
      </c>
      <c r="E2624" s="10" t="str">
        <f>HYPERLINK("https://twitter.com/fabioteixs/status/723462289198866432","723462289198866432")</f>
        <v>723462289198866432</v>
      </c>
      <c r="F2624" s="11" t="s">
        <v>31</v>
      </c>
      <c r="G2624" s="11">
        <v>147</v>
      </c>
      <c r="H2624" s="11">
        <v>847</v>
      </c>
      <c r="I2624" s="11">
        <v>29</v>
      </c>
      <c r="J2624" s="11">
        <v>0</v>
      </c>
      <c r="K2624" s="11" t="s">
        <v>21</v>
      </c>
      <c r="L2624" s="7">
        <v>41056.843738425923</v>
      </c>
      <c r="M2624" s="12"/>
      <c r="N2624" s="12"/>
      <c r="O2624" s="10" t="str">
        <f>HYPERLINK("https://abs.twimg.com/sticky/default_profile_images/default_profile_3_normal.png","View")</f>
        <v>View</v>
      </c>
      <c r="P2624" s="11"/>
    </row>
    <row r="2625" spans="1:16" ht="12.75" x14ac:dyDescent="0.35">
      <c r="A2625" s="7">
        <v>42482.676898148144</v>
      </c>
      <c r="B2625" s="8" t="str">
        <f>HYPERLINK("https://twitter.com/osanten","@osanten")</f>
        <v>@osanten</v>
      </c>
      <c r="C2625" s="9" t="s">
        <v>4229</v>
      </c>
      <c r="D2625" s="9" t="s">
        <v>4557</v>
      </c>
      <c r="E2625" s="10" t="str">
        <f>HYPERLINK("https://twitter.com/osanten/status/723462535656144896","723462535656144896")</f>
        <v>723462535656144896</v>
      </c>
      <c r="F2625" s="11" t="s">
        <v>31</v>
      </c>
      <c r="G2625" s="11">
        <v>435</v>
      </c>
      <c r="H2625" s="11">
        <v>226</v>
      </c>
      <c r="I2625" s="11">
        <v>0</v>
      </c>
      <c r="J2625" s="11">
        <v>1</v>
      </c>
      <c r="K2625" s="11" t="s">
        <v>21</v>
      </c>
      <c r="L2625" s="7">
        <v>40968.820092592592</v>
      </c>
      <c r="M2625" s="12" t="s">
        <v>4231</v>
      </c>
      <c r="N2625" s="12" t="s">
        <v>4232</v>
      </c>
      <c r="O2625" s="10" t="str">
        <f>HYPERLINK("https://pbs.twimg.com/profile_images/589392862422441984/1HFN6ZwF_normal.jpg","View")</f>
        <v>View</v>
      </c>
      <c r="P2625" s="11"/>
    </row>
    <row r="2626" spans="1:16" ht="12.75" x14ac:dyDescent="0.35">
      <c r="A2626" s="7">
        <v>42482.677673611106</v>
      </c>
      <c r="B2626" s="8" t="str">
        <f>HYPERLINK("https://twitter.com/H_IT_D","@H_IT_D")</f>
        <v>@H_IT_D</v>
      </c>
      <c r="C2626" s="9" t="s">
        <v>159</v>
      </c>
      <c r="D2626" s="9" t="s">
        <v>4558</v>
      </c>
      <c r="E2626" s="10" t="str">
        <f>HYPERLINK("https://twitter.com/H_IT_D/status/723462818784124928","723462818784124928")</f>
        <v>723462818784124928</v>
      </c>
      <c r="F2626" s="11" t="s">
        <v>161</v>
      </c>
      <c r="G2626" s="11">
        <v>463</v>
      </c>
      <c r="H2626" s="11">
        <v>467</v>
      </c>
      <c r="I2626" s="11">
        <v>1</v>
      </c>
      <c r="J2626" s="11">
        <v>0</v>
      </c>
      <c r="K2626" s="11" t="s">
        <v>21</v>
      </c>
      <c r="L2626" s="7">
        <v>40723.867673611108</v>
      </c>
      <c r="M2626" s="12" t="s">
        <v>162</v>
      </c>
      <c r="N2626" s="12" t="s">
        <v>163</v>
      </c>
      <c r="O2626" s="10" t="str">
        <f>HYPERLINK("https://pbs.twimg.com/profile_images/662723326096224256/5V4KH9_O_normal.jpg","View")</f>
        <v>View</v>
      </c>
      <c r="P2626" s="11"/>
    </row>
    <row r="2627" spans="1:16" ht="12.75" x14ac:dyDescent="0.35">
      <c r="A2627" s="7">
        <v>42482.678472222222</v>
      </c>
      <c r="B2627" s="8" t="str">
        <f>HYPERLINK("https://twitter.com/centigradegmbh","@centigradegmbh")</f>
        <v>@centigradegmbh</v>
      </c>
      <c r="C2627" s="9" t="s">
        <v>4559</v>
      </c>
      <c r="D2627" s="9" t="s">
        <v>4245</v>
      </c>
      <c r="E2627" s="10" t="str">
        <f>HYPERLINK("https://twitter.com/centigradegmbh/status/723463106014384128","723463106014384128")</f>
        <v>723463106014384128</v>
      </c>
      <c r="F2627" s="11" t="s">
        <v>20</v>
      </c>
      <c r="G2627" s="11">
        <v>327</v>
      </c>
      <c r="H2627" s="11">
        <v>356</v>
      </c>
      <c r="I2627" s="11">
        <v>5</v>
      </c>
      <c r="J2627" s="11">
        <v>0</v>
      </c>
      <c r="K2627" s="11" t="s">
        <v>21</v>
      </c>
      <c r="L2627" s="7">
        <v>40556.727939814817</v>
      </c>
      <c r="M2627" s="12" t="s">
        <v>2451</v>
      </c>
      <c r="N2627" s="12" t="s">
        <v>4560</v>
      </c>
      <c r="O2627" s="10" t="str">
        <f>HYPERLINK("https://pbs.twimg.com/profile_images/481333142238679040/ErykRvBG_normal.png","View")</f>
        <v>View</v>
      </c>
      <c r="P2627" s="11"/>
    </row>
    <row r="2628" spans="1:16" ht="12.75" x14ac:dyDescent="0.35">
      <c r="A2628" s="7">
        <v>42482.681898148148</v>
      </c>
      <c r="B2628" s="8" t="str">
        <f>HYPERLINK("https://twitter.com/INDIZbot","@INDIZbot")</f>
        <v>@INDIZbot</v>
      </c>
      <c r="C2628" s="9" t="s">
        <v>61</v>
      </c>
      <c r="D2628" s="9" t="s">
        <v>4561</v>
      </c>
      <c r="E2628" s="10" t="str">
        <f>HYPERLINK("https://twitter.com/INDIZbot/status/723464348874739712","723464348874739712")</f>
        <v>723464348874739712</v>
      </c>
      <c r="F2628" s="11" t="s">
        <v>62</v>
      </c>
      <c r="G2628" s="11">
        <v>1766</v>
      </c>
      <c r="H2628" s="11">
        <v>482</v>
      </c>
      <c r="I2628" s="11">
        <v>1</v>
      </c>
      <c r="J2628" s="11">
        <v>0</v>
      </c>
      <c r="K2628" s="11" t="s">
        <v>21</v>
      </c>
      <c r="L2628" s="7">
        <v>42267.011921296296</v>
      </c>
      <c r="M2628" s="12"/>
      <c r="N2628" s="12" t="s">
        <v>63</v>
      </c>
      <c r="O2628" s="10" t="str">
        <f>HYPERLINK("https://pbs.twimg.com/profile_images/645716711723925506/t5G0qOS6_normal.jpg","View")</f>
        <v>View</v>
      </c>
      <c r="P2628" s="11"/>
    </row>
    <row r="2629" spans="1:16" ht="12.75" x14ac:dyDescent="0.35">
      <c r="A2629" s="7">
        <v>42482.687662037039</v>
      </c>
      <c r="B2629" s="8" t="str">
        <f>HYPERLINK("https://twitter.com/verlinked","@verlinked")</f>
        <v>@verlinked</v>
      </c>
      <c r="C2629" s="9" t="s">
        <v>263</v>
      </c>
      <c r="D2629" s="9" t="s">
        <v>4562</v>
      </c>
      <c r="E2629" s="10" t="str">
        <f>HYPERLINK("https://twitter.com/verlinked/status/723466437054988288","723466437054988288")</f>
        <v>723466437054988288</v>
      </c>
      <c r="F2629" s="11" t="s">
        <v>115</v>
      </c>
      <c r="G2629" s="11">
        <v>601</v>
      </c>
      <c r="H2629" s="11">
        <v>1201</v>
      </c>
      <c r="I2629" s="11">
        <v>0</v>
      </c>
      <c r="J2629" s="11">
        <v>0</v>
      </c>
      <c r="K2629" s="11" t="s">
        <v>21</v>
      </c>
      <c r="L2629" s="7">
        <v>41463.077627314815</v>
      </c>
      <c r="M2629" s="12" t="s">
        <v>265</v>
      </c>
      <c r="N2629" s="12" t="s">
        <v>266</v>
      </c>
      <c r="O2629" s="10" t="str">
        <f>HYPERLINK("https://pbs.twimg.com/profile_images/722385992343285760/ww8YLZ2q_normal.jpg","View")</f>
        <v>View</v>
      </c>
      <c r="P2629" s="11"/>
    </row>
    <row r="2630" spans="1:16" ht="12.75" x14ac:dyDescent="0.35">
      <c r="A2630" s="7">
        <v>42482.690995370373</v>
      </c>
      <c r="B2630" s="8" t="str">
        <f>HYPERLINK("https://twitter.com/kommoptimierer","@kommoptimierer")</f>
        <v>@kommoptimierer</v>
      </c>
      <c r="C2630" s="9" t="s">
        <v>270</v>
      </c>
      <c r="D2630" s="9" t="s">
        <v>373</v>
      </c>
      <c r="E2630" s="10" t="str">
        <f>HYPERLINK("https://twitter.com/kommoptimierer/status/723467642741358592","723467642741358592")</f>
        <v>723467642741358592</v>
      </c>
      <c r="F2630" s="11" t="s">
        <v>272</v>
      </c>
      <c r="G2630" s="11">
        <v>1346</v>
      </c>
      <c r="H2630" s="11">
        <v>1753</v>
      </c>
      <c r="I2630" s="11">
        <v>1</v>
      </c>
      <c r="J2630" s="11">
        <v>0</v>
      </c>
      <c r="K2630" s="11" t="s">
        <v>21</v>
      </c>
      <c r="L2630" s="7">
        <v>39986.860358796301</v>
      </c>
      <c r="M2630" s="12" t="s">
        <v>273</v>
      </c>
      <c r="N2630" s="12" t="s">
        <v>274</v>
      </c>
      <c r="O2630" s="10" t="str">
        <f>HYPERLINK("https://pbs.twimg.com/profile_images/541146126158536704/IYardufS_normal.jpeg","View")</f>
        <v>View</v>
      </c>
      <c r="P2630" s="11"/>
    </row>
    <row r="2631" spans="1:16" ht="12.75" x14ac:dyDescent="0.35">
      <c r="A2631" s="7">
        <v>42482.695601851854</v>
      </c>
      <c r="B2631" s="8" t="str">
        <f>HYPERLINK("https://twitter.com/INDIZbot","@INDIZbot")</f>
        <v>@INDIZbot</v>
      </c>
      <c r="C2631" s="9" t="s">
        <v>61</v>
      </c>
      <c r="D2631" s="9" t="s">
        <v>1055</v>
      </c>
      <c r="E2631" s="10" t="str">
        <f>HYPERLINK("https://twitter.com/INDIZbot/status/723469315723386881","723469315723386881")</f>
        <v>723469315723386881</v>
      </c>
      <c r="F2631" s="11" t="s">
        <v>62</v>
      </c>
      <c r="G2631" s="11">
        <v>1766</v>
      </c>
      <c r="H2631" s="11">
        <v>482</v>
      </c>
      <c r="I2631" s="11">
        <v>1</v>
      </c>
      <c r="J2631" s="11">
        <v>0</v>
      </c>
      <c r="K2631" s="11" t="s">
        <v>21</v>
      </c>
      <c r="L2631" s="7">
        <v>42267.011921296296</v>
      </c>
      <c r="M2631" s="12"/>
      <c r="N2631" s="12" t="s">
        <v>63</v>
      </c>
      <c r="O2631" s="10" t="str">
        <f>HYPERLINK("https://pbs.twimg.com/profile_images/645716711723925506/t5G0qOS6_normal.jpg","View")</f>
        <v>View</v>
      </c>
      <c r="P2631" s="11"/>
    </row>
    <row r="2632" spans="1:16" ht="12.75" x14ac:dyDescent="0.35">
      <c r="A2632" s="7">
        <v>42482.698449074072</v>
      </c>
      <c r="B2632" s="8" t="str">
        <f>HYPERLINK("https://twitter.com/Nirak71","@Nirak71")</f>
        <v>@Nirak71</v>
      </c>
      <c r="C2632" s="9" t="s">
        <v>4563</v>
      </c>
      <c r="D2632" s="9" t="s">
        <v>3670</v>
      </c>
      <c r="E2632" s="10" t="str">
        <f>HYPERLINK("https://twitter.com/Nirak71/status/723470345622159360","723470345622159360")</f>
        <v>723470345622159360</v>
      </c>
      <c r="F2632" s="11" t="s">
        <v>25</v>
      </c>
      <c r="G2632" s="11">
        <v>17</v>
      </c>
      <c r="H2632" s="11">
        <v>114</v>
      </c>
      <c r="I2632" s="11">
        <v>8</v>
      </c>
      <c r="J2632" s="11">
        <v>0</v>
      </c>
      <c r="K2632" s="11" t="s">
        <v>21</v>
      </c>
      <c r="L2632" s="7">
        <v>40683.716874999998</v>
      </c>
      <c r="M2632" s="12" t="s">
        <v>4564</v>
      </c>
      <c r="N2632" s="12" t="s">
        <v>4565</v>
      </c>
      <c r="O2632" s="10" t="str">
        <f>HYPERLINK("https://pbs.twimg.com/profile_images/2077646775/image_normal.jpg","View")</f>
        <v>View</v>
      </c>
      <c r="P2632" s="11"/>
    </row>
    <row r="2633" spans="1:16" ht="12.75" x14ac:dyDescent="0.35">
      <c r="A2633" s="7">
        <v>42482.698935185181</v>
      </c>
      <c r="B2633" s="8" t="str">
        <f>HYPERLINK("https://twitter.com/MetalEcoCity","@MetalEcoCity")</f>
        <v>@MetalEcoCity</v>
      </c>
      <c r="C2633" s="9" t="s">
        <v>3840</v>
      </c>
      <c r="D2633" s="9" t="s">
        <v>4566</v>
      </c>
      <c r="E2633" s="10" t="str">
        <f>HYPERLINK("https://twitter.com/MetalEcoCity/status/723470520902148096","723470520902148096")</f>
        <v>723470520902148096</v>
      </c>
      <c r="F2633" s="11" t="s">
        <v>25</v>
      </c>
      <c r="G2633" s="11">
        <v>14</v>
      </c>
      <c r="H2633" s="11">
        <v>7</v>
      </c>
      <c r="I2633" s="11">
        <v>0</v>
      </c>
      <c r="J2633" s="11">
        <v>0</v>
      </c>
      <c r="K2633" s="11" t="s">
        <v>21</v>
      </c>
      <c r="L2633" s="7">
        <v>42282.600127314814</v>
      </c>
      <c r="M2633" s="12" t="s">
        <v>985</v>
      </c>
      <c r="N2633" s="12" t="s">
        <v>3842</v>
      </c>
      <c r="O2633" s="10" t="str">
        <f>HYPERLINK("https://pbs.twimg.com/profile_images/664442346432540672/42-gzHf9_normal.jpg","View")</f>
        <v>View</v>
      </c>
      <c r="P2633" s="11"/>
    </row>
    <row r="2634" spans="1:16" ht="12.75" x14ac:dyDescent="0.35">
      <c r="A2634" s="7">
        <v>42482.700219907405</v>
      </c>
      <c r="B2634" s="8" t="str">
        <f>HYPERLINK("https://twitter.com/aeaktuell","@aeaktuell")</f>
        <v>@aeaktuell</v>
      </c>
      <c r="C2634" s="8" t="s">
        <v>4567</v>
      </c>
      <c r="D2634" s="9" t="s">
        <v>4568</v>
      </c>
      <c r="E2634" s="10" t="str">
        <f>HYPERLINK("https://twitter.com/aeaktuell/status/723470985932996608","723470985932996608")</f>
        <v>723470985932996608</v>
      </c>
      <c r="F2634" s="11" t="s">
        <v>25</v>
      </c>
      <c r="G2634" s="11">
        <v>1032</v>
      </c>
      <c r="H2634" s="11">
        <v>477</v>
      </c>
      <c r="I2634" s="11">
        <v>1</v>
      </c>
      <c r="J2634" s="11">
        <v>0</v>
      </c>
      <c r="K2634" s="11" t="s">
        <v>21</v>
      </c>
      <c r="L2634" s="7">
        <v>40578.858182870368</v>
      </c>
      <c r="M2634" s="12" t="s">
        <v>4569</v>
      </c>
      <c r="N2634" s="12" t="s">
        <v>4570</v>
      </c>
      <c r="O2634" s="10" t="str">
        <f>HYPERLINK("https://pbs.twimg.com/profile_images/1310051384/all-e_punkte_normal.jpg","View")</f>
        <v>View</v>
      </c>
      <c r="P2634" s="11"/>
    </row>
    <row r="2635" spans="1:16" ht="12.75" x14ac:dyDescent="0.35">
      <c r="A2635" s="7">
        <v>42482.705983796295</v>
      </c>
      <c r="B2635" s="8" t="str">
        <f t="shared" ref="B2635:B2636" si="326">HYPERLINK("https://twitter.com/itsOWL_Cluster","@itsOWL_Cluster")</f>
        <v>@itsOWL_Cluster</v>
      </c>
      <c r="C2635" s="9" t="s">
        <v>2440</v>
      </c>
      <c r="D2635" s="9" t="s">
        <v>4571</v>
      </c>
      <c r="E2635" s="10" t="str">
        <f>HYPERLINK("https://twitter.com/itsOWL_Cluster/status/723473075086450688","723473075086450688")</f>
        <v>723473075086450688</v>
      </c>
      <c r="F2635" s="11" t="s">
        <v>25</v>
      </c>
      <c r="G2635" s="11">
        <v>375</v>
      </c>
      <c r="H2635" s="11">
        <v>359</v>
      </c>
      <c r="I2635" s="11">
        <v>1</v>
      </c>
      <c r="J2635" s="11">
        <v>0</v>
      </c>
      <c r="K2635" s="11" t="s">
        <v>21</v>
      </c>
      <c r="L2635" s="7">
        <v>41289.849050925928</v>
      </c>
      <c r="M2635" s="12" t="s">
        <v>2442</v>
      </c>
      <c r="N2635" s="12" t="s">
        <v>2443</v>
      </c>
      <c r="O2635" s="10" t="str">
        <f t="shared" ref="O2635:O2636" si="327">HYPERLINK("https://pbs.twimg.com/profile_images/3542998130/5e65449daa56d18e9aab7f6535dc25fc_normal.jpeg","View")</f>
        <v>View</v>
      </c>
      <c r="P2635" s="11"/>
    </row>
    <row r="2636" spans="1:16" ht="12.75" x14ac:dyDescent="0.35">
      <c r="A2636" s="7">
        <v>42482.706145833334</v>
      </c>
      <c r="B2636" s="8" t="str">
        <f t="shared" si="326"/>
        <v>@itsOWL_Cluster</v>
      </c>
      <c r="C2636" s="9" t="s">
        <v>2440</v>
      </c>
      <c r="D2636" s="9" t="s">
        <v>4572</v>
      </c>
      <c r="E2636" s="10" t="str">
        <f>HYPERLINK("https://twitter.com/itsOWL_Cluster/status/723473136444936192","723473136444936192")</f>
        <v>723473136444936192</v>
      </c>
      <c r="F2636" s="11" t="s">
        <v>25</v>
      </c>
      <c r="G2636" s="11">
        <v>375</v>
      </c>
      <c r="H2636" s="11">
        <v>359</v>
      </c>
      <c r="I2636" s="11">
        <v>1</v>
      </c>
      <c r="J2636" s="11">
        <v>0</v>
      </c>
      <c r="K2636" s="11" t="s">
        <v>21</v>
      </c>
      <c r="L2636" s="7">
        <v>41289.849050925928</v>
      </c>
      <c r="M2636" s="12" t="s">
        <v>2442</v>
      </c>
      <c r="N2636" s="12" t="s">
        <v>2443</v>
      </c>
      <c r="O2636" s="10" t="str">
        <f t="shared" si="327"/>
        <v>View</v>
      </c>
      <c r="P2636" s="11"/>
    </row>
    <row r="2637" spans="1:16" ht="12.75" x14ac:dyDescent="0.35">
      <c r="A2637" s="7">
        <v>42482.706747685181</v>
      </c>
      <c r="B2637" s="8" t="str">
        <f>HYPERLINK("https://twitter.com/IoTMinded","@IoTMinded")</f>
        <v>@IoTMinded</v>
      </c>
      <c r="C2637" s="9" t="s">
        <v>435</v>
      </c>
      <c r="D2637" s="9" t="s">
        <v>4573</v>
      </c>
      <c r="E2637" s="10" t="str">
        <f>HYPERLINK("https://twitter.com/IoTMinded/status/723473354234179584","723473354234179584")</f>
        <v>723473354234179584</v>
      </c>
      <c r="F2637" s="11" t="s">
        <v>437</v>
      </c>
      <c r="G2637" s="11">
        <v>1103</v>
      </c>
      <c r="H2637" s="11">
        <v>656</v>
      </c>
      <c r="I2637" s="11">
        <v>1</v>
      </c>
      <c r="J2637" s="11">
        <v>0</v>
      </c>
      <c r="K2637" s="11" t="s">
        <v>21</v>
      </c>
      <c r="L2637" s="7">
        <v>40085.127789351856</v>
      </c>
      <c r="M2637" s="12"/>
      <c r="N2637" s="12" t="s">
        <v>438</v>
      </c>
      <c r="O2637" s="10" t="str">
        <f>HYPERLINK("https://pbs.twimg.com/profile_images/603699032804859904/lb5IMG5x_normal.jpg","View")</f>
        <v>View</v>
      </c>
      <c r="P2637" s="11"/>
    </row>
    <row r="2638" spans="1:16" ht="12.75" x14ac:dyDescent="0.35">
      <c r="A2638" s="7">
        <v>42482.706932870366</v>
      </c>
      <c r="B2638" s="8" t="str">
        <f>HYPERLINK("https://twitter.com/GTAI_de","@GTAI_de")</f>
        <v>@GTAI_de</v>
      </c>
      <c r="C2638" s="9" t="s">
        <v>3393</v>
      </c>
      <c r="D2638" s="9" t="s">
        <v>4574</v>
      </c>
      <c r="E2638" s="10" t="str">
        <f>HYPERLINK("https://twitter.com/GTAI_de/status/723473421808619520","723473421808619520")</f>
        <v>723473421808619520</v>
      </c>
      <c r="F2638" s="11" t="s">
        <v>25</v>
      </c>
      <c r="G2638" s="11">
        <v>3820</v>
      </c>
      <c r="H2638" s="11">
        <v>745</v>
      </c>
      <c r="I2638" s="11">
        <v>1</v>
      </c>
      <c r="J2638" s="11">
        <v>1</v>
      </c>
      <c r="K2638" s="11" t="s">
        <v>21</v>
      </c>
      <c r="L2638" s="7">
        <v>40855.827268518522</v>
      </c>
      <c r="M2638" s="12" t="s">
        <v>4575</v>
      </c>
      <c r="N2638" s="12" t="s">
        <v>4576</v>
      </c>
      <c r="O2638" s="10" t="str">
        <f>HYPERLINK("https://pbs.twimg.com/profile_images/717256648868372480/OVfKmogV_normal.jpg","View")</f>
        <v>View</v>
      </c>
      <c r="P2638" s="11"/>
    </row>
    <row r="2639" spans="1:16" ht="12.75" x14ac:dyDescent="0.35">
      <c r="A2639" s="7">
        <v>42482.707002314812</v>
      </c>
      <c r="B2639" s="8" t="str">
        <f>HYPERLINK("https://twitter.com/Robert_Weber_","@Robert_Weber_")</f>
        <v>@Robert_Weber_</v>
      </c>
      <c r="C2639" s="9" t="s">
        <v>4577</v>
      </c>
      <c r="D2639" s="9" t="s">
        <v>4578</v>
      </c>
      <c r="E2639" s="10" t="str">
        <f>HYPERLINK("https://twitter.com/Robert_Weber_/status/723473446898925568","723473446898925568")</f>
        <v>723473446898925568</v>
      </c>
      <c r="F2639" s="11" t="s">
        <v>31</v>
      </c>
      <c r="G2639" s="11">
        <v>1276</v>
      </c>
      <c r="H2639" s="11">
        <v>1694</v>
      </c>
      <c r="I2639" s="11">
        <v>0</v>
      </c>
      <c r="J2639" s="11">
        <v>0</v>
      </c>
      <c r="K2639" s="11" t="s">
        <v>21</v>
      </c>
      <c r="L2639" s="7">
        <v>40644.009317129632</v>
      </c>
      <c r="M2639" s="12" t="s">
        <v>4579</v>
      </c>
      <c r="N2639" s="12" t="s">
        <v>4580</v>
      </c>
      <c r="O2639" s="10" t="str">
        <f>HYPERLINK("https://pbs.twimg.com/profile_images/619439854275952640/NO5busxw_normal.jpg","View")</f>
        <v>View</v>
      </c>
      <c r="P2639" s="11"/>
    </row>
    <row r="2640" spans="1:16" ht="12.75" x14ac:dyDescent="0.35">
      <c r="A2640" s="7">
        <v>42482.707881944443</v>
      </c>
      <c r="B2640" s="8" t="str">
        <f>HYPERLINK("https://twitter.com/MoritzKlaemt","@MoritzKlaemt")</f>
        <v>@MoritzKlaemt</v>
      </c>
      <c r="C2640" s="9" t="s">
        <v>4581</v>
      </c>
      <c r="D2640" s="9" t="s">
        <v>4582</v>
      </c>
      <c r="E2640" s="10" t="str">
        <f>HYPERLINK("https://twitter.com/MoritzKlaemt/status/723473762604204032","723473762604204032")</f>
        <v>723473762604204032</v>
      </c>
      <c r="F2640" s="11" t="s">
        <v>4583</v>
      </c>
      <c r="G2640" s="11">
        <v>651</v>
      </c>
      <c r="H2640" s="11">
        <v>680</v>
      </c>
      <c r="I2640" s="11">
        <v>1</v>
      </c>
      <c r="J2640" s="11">
        <v>0</v>
      </c>
      <c r="K2640" s="11" t="s">
        <v>21</v>
      </c>
      <c r="L2640" s="7">
        <v>41651.721886574072</v>
      </c>
      <c r="M2640" s="12" t="s">
        <v>512</v>
      </c>
      <c r="N2640" s="12" t="s">
        <v>4584</v>
      </c>
      <c r="O2640" s="10" t="str">
        <f>HYPERLINK("https://pbs.twimg.com/profile_images/565965732568371202/h0MKjbWA_normal.jpeg","View")</f>
        <v>View</v>
      </c>
      <c r="P2640" s="11"/>
    </row>
    <row r="2641" spans="1:16" ht="12.75" x14ac:dyDescent="0.35">
      <c r="A2641" s="7">
        <v>42482.70884259259</v>
      </c>
      <c r="B2641" s="8" t="str">
        <f>HYPERLINK("https://twitter.com/Robert_Weber_","@Robert_Weber_")</f>
        <v>@Robert_Weber_</v>
      </c>
      <c r="C2641" s="9" t="s">
        <v>4577</v>
      </c>
      <c r="D2641" s="9" t="s">
        <v>4585</v>
      </c>
      <c r="E2641" s="10" t="str">
        <f>HYPERLINK("https://twitter.com/Robert_Weber_/status/723474111293448193","723474111293448193")</f>
        <v>723474111293448193</v>
      </c>
      <c r="F2641" s="11" t="s">
        <v>31</v>
      </c>
      <c r="G2641" s="11">
        <v>1276</v>
      </c>
      <c r="H2641" s="11">
        <v>1694</v>
      </c>
      <c r="I2641" s="11">
        <v>1</v>
      </c>
      <c r="J2641" s="11">
        <v>1</v>
      </c>
      <c r="K2641" s="11" t="s">
        <v>21</v>
      </c>
      <c r="L2641" s="7">
        <v>40644.009317129632</v>
      </c>
      <c r="M2641" s="12" t="s">
        <v>4579</v>
      </c>
      <c r="N2641" s="12" t="s">
        <v>4580</v>
      </c>
      <c r="O2641" s="10" t="str">
        <f>HYPERLINK("https://pbs.twimg.com/profile_images/619439854275952640/NO5busxw_normal.jpg","View")</f>
        <v>View</v>
      </c>
      <c r="P2641" s="11"/>
    </row>
    <row r="2642" spans="1:16" ht="12.75" x14ac:dyDescent="0.35">
      <c r="A2642" s="7">
        <v>42482.709039351852</v>
      </c>
      <c r="B2642" s="8" t="str">
        <f>HYPERLINK("https://twitter.com/SHC_GmbH","@SHC_GmbH")</f>
        <v>@SHC_GmbH</v>
      </c>
      <c r="C2642" s="9" t="s">
        <v>105</v>
      </c>
      <c r="D2642" s="9" t="s">
        <v>4586</v>
      </c>
      <c r="E2642" s="10" t="str">
        <f>HYPERLINK("https://twitter.com/SHC_GmbH/status/723474182181408768","723474182181408768")</f>
        <v>723474182181408768</v>
      </c>
      <c r="F2642" s="11" t="s">
        <v>39</v>
      </c>
      <c r="G2642" s="11">
        <v>428</v>
      </c>
      <c r="H2642" s="11">
        <v>598</v>
      </c>
      <c r="I2642" s="11">
        <v>0</v>
      </c>
      <c r="J2642" s="11">
        <v>0</v>
      </c>
      <c r="K2642" s="11" t="s">
        <v>21</v>
      </c>
      <c r="L2642" s="7">
        <v>41423.549513888887</v>
      </c>
      <c r="M2642" s="12" t="s">
        <v>107</v>
      </c>
      <c r="N2642" s="12" t="s">
        <v>108</v>
      </c>
      <c r="O2642" s="10" t="str">
        <f>HYPERLINK("https://pbs.twimg.com/profile_images/3726440228/9ba49ccb938cf571b195e3e83a4e1327_normal.jpeg","View")</f>
        <v>View</v>
      </c>
      <c r="P2642" s="11"/>
    </row>
    <row r="2643" spans="1:16" ht="12.75" x14ac:dyDescent="0.35">
      <c r="A2643" s="7">
        <v>42482.709143518514</v>
      </c>
      <c r="B2643" s="8" t="str">
        <f>HYPERLINK("https://twitter.com/INDIZbot","@INDIZbot")</f>
        <v>@INDIZbot</v>
      </c>
      <c r="C2643" s="9" t="s">
        <v>61</v>
      </c>
      <c r="D2643" s="9" t="s">
        <v>4587</v>
      </c>
      <c r="E2643" s="10" t="str">
        <f>HYPERLINK("https://twitter.com/INDIZbot/status/723474221150703616","723474221150703616")</f>
        <v>723474221150703616</v>
      </c>
      <c r="F2643" s="11" t="s">
        <v>62</v>
      </c>
      <c r="G2643" s="11">
        <v>1767</v>
      </c>
      <c r="H2643" s="11">
        <v>482</v>
      </c>
      <c r="I2643" s="11">
        <v>1</v>
      </c>
      <c r="J2643" s="11">
        <v>0</v>
      </c>
      <c r="K2643" s="11" t="s">
        <v>21</v>
      </c>
      <c r="L2643" s="7">
        <v>42267.011921296296</v>
      </c>
      <c r="M2643" s="12"/>
      <c r="N2643" s="12" t="s">
        <v>63</v>
      </c>
      <c r="O2643" s="10" t="str">
        <f>HYPERLINK("https://pbs.twimg.com/profile_images/645716711723925506/t5G0qOS6_normal.jpg","View")</f>
        <v>View</v>
      </c>
      <c r="P2643" s="11"/>
    </row>
    <row r="2644" spans="1:16" ht="12.75" x14ac:dyDescent="0.35">
      <c r="A2644" s="7">
        <v>42482.711631944447</v>
      </c>
      <c r="B2644" s="8" t="str">
        <f>HYPERLINK("https://twitter.com/WinfriedFelser","@WinfriedFelser")</f>
        <v>@WinfriedFelser</v>
      </c>
      <c r="C2644" s="9" t="s">
        <v>1334</v>
      </c>
      <c r="D2644" s="9" t="s">
        <v>4588</v>
      </c>
      <c r="E2644" s="10" t="str">
        <f>HYPERLINK("https://twitter.com/WinfriedFelser/status/723475123198636032","723475123198636032")</f>
        <v>723475123198636032</v>
      </c>
      <c r="F2644" s="11" t="s">
        <v>1712</v>
      </c>
      <c r="G2644" s="11">
        <v>1138</v>
      </c>
      <c r="H2644" s="11">
        <v>1206</v>
      </c>
      <c r="I2644" s="11">
        <v>0</v>
      </c>
      <c r="J2644" s="11">
        <v>0</v>
      </c>
      <c r="K2644" s="11" t="s">
        <v>21</v>
      </c>
      <c r="L2644" s="7">
        <v>40263.993356481486</v>
      </c>
      <c r="M2644" s="12" t="s">
        <v>895</v>
      </c>
      <c r="N2644" s="12" t="s">
        <v>1336</v>
      </c>
      <c r="O2644" s="10" t="str">
        <f>HYPERLINK("https://pbs.twimg.com/profile_images/562193841587896321/nfd18Y4g_normal.jpeg","View")</f>
        <v>View</v>
      </c>
      <c r="P2644" s="11"/>
    </row>
    <row r="2645" spans="1:16" ht="12.75" x14ac:dyDescent="0.35">
      <c r="A2645" s="7">
        <v>42482.712523148148</v>
      </c>
      <c r="B2645" s="8" t="str">
        <f>HYPERLINK("https://twitter.com/QuickFindsIn","@QuickFindsIn")</f>
        <v>@QuickFindsIn</v>
      </c>
      <c r="C2645" s="9" t="s">
        <v>208</v>
      </c>
      <c r="D2645" s="9" t="s">
        <v>452</v>
      </c>
      <c r="E2645" s="10" t="str">
        <f>HYPERLINK("https://twitter.com/QuickFindsIn/status/723475446222843904","723475446222843904")</f>
        <v>723475446222843904</v>
      </c>
      <c r="F2645" s="11" t="s">
        <v>210</v>
      </c>
      <c r="G2645" s="11">
        <v>1897</v>
      </c>
      <c r="H2645" s="11">
        <v>2771</v>
      </c>
      <c r="I2645" s="11">
        <v>0</v>
      </c>
      <c r="J2645" s="11">
        <v>0</v>
      </c>
      <c r="K2645" s="11" t="s">
        <v>21</v>
      </c>
      <c r="L2645" s="7">
        <v>42069.582048611112</v>
      </c>
      <c r="M2645" s="12" t="s">
        <v>211</v>
      </c>
      <c r="N2645" s="12" t="s">
        <v>212</v>
      </c>
      <c r="O2645" s="10" t="str">
        <f>HYPERLINK("https://pbs.twimg.com/profile_images/591951396217327616/HbcCX2zX_normal.png","View")</f>
        <v>View</v>
      </c>
      <c r="P2645" s="11"/>
    </row>
    <row r="2646" spans="1:16" ht="12.75" x14ac:dyDescent="0.35">
      <c r="A2646" s="7">
        <v>42482.713993055557</v>
      </c>
      <c r="B2646" s="8" t="str">
        <f>HYPERLINK("https://twitter.com/prxagentur","@prxagentur")</f>
        <v>@prxagentur</v>
      </c>
      <c r="C2646" s="9" t="s">
        <v>1753</v>
      </c>
      <c r="D2646" s="9" t="s">
        <v>4589</v>
      </c>
      <c r="E2646" s="10" t="str">
        <f>HYPERLINK("https://twitter.com/prxagentur/status/723475977419018240","723475977419018240")</f>
        <v>723475977419018240</v>
      </c>
      <c r="F2646" s="11" t="s">
        <v>25</v>
      </c>
      <c r="G2646" s="11">
        <v>196</v>
      </c>
      <c r="H2646" s="11">
        <v>374</v>
      </c>
      <c r="I2646" s="11">
        <v>1</v>
      </c>
      <c r="J2646" s="11">
        <v>0</v>
      </c>
      <c r="K2646" s="11" t="s">
        <v>21</v>
      </c>
      <c r="L2646" s="7">
        <v>42128.001620370371</v>
      </c>
      <c r="M2646" s="12"/>
      <c r="N2646" s="12"/>
      <c r="O2646" s="10" t="str">
        <f>HYPERLINK("https://pbs.twimg.com/profile_images/594934750122536960/nG4kmfDF_normal.jpg","View")</f>
        <v>View</v>
      </c>
      <c r="P2646" s="11"/>
    </row>
    <row r="2647" spans="1:16" ht="12.75" x14ac:dyDescent="0.35">
      <c r="A2647" s="7">
        <v>42482.714675925927</v>
      </c>
      <c r="B2647" s="8" t="str">
        <f>HYPERLINK("https://twitter.com/CapgeminiDE","@CapgeminiDE")</f>
        <v>@CapgeminiDE</v>
      </c>
      <c r="C2647" s="9" t="s">
        <v>280</v>
      </c>
      <c r="D2647" s="9" t="s">
        <v>4590</v>
      </c>
      <c r="E2647" s="10" t="str">
        <f>HYPERLINK("https://twitter.com/CapgeminiDE/status/723476224090230784","723476224090230784")</f>
        <v>723476224090230784</v>
      </c>
      <c r="F2647" s="11" t="s">
        <v>39</v>
      </c>
      <c r="G2647" s="11">
        <v>1640</v>
      </c>
      <c r="H2647" s="11">
        <v>509</v>
      </c>
      <c r="I2647" s="11">
        <v>1</v>
      </c>
      <c r="J2647" s="11">
        <v>0</v>
      </c>
      <c r="K2647" s="11" t="s">
        <v>21</v>
      </c>
      <c r="L2647" s="7">
        <v>40424.022048611107</v>
      </c>
      <c r="M2647" s="12" t="s">
        <v>218</v>
      </c>
      <c r="N2647" s="12" t="s">
        <v>282</v>
      </c>
      <c r="O2647" s="10" t="str">
        <f>HYPERLINK("https://pbs.twimg.com/profile_images/666911961599315968/aP7ID_qm_normal.png","View")</f>
        <v>View</v>
      </c>
      <c r="P2647" s="11"/>
    </row>
    <row r="2648" spans="1:16" ht="12.75" x14ac:dyDescent="0.35">
      <c r="A2648" s="7">
        <v>42482.715370370366</v>
      </c>
      <c r="B2648" s="8" t="str">
        <f>HYPERLINK("https://twitter.com/POLYASVoting","@POLYASVoting")</f>
        <v>@POLYASVoting</v>
      </c>
      <c r="C2648" s="9" t="s">
        <v>2498</v>
      </c>
      <c r="D2648" s="9" t="s">
        <v>4591</v>
      </c>
      <c r="E2648" s="10" t="str">
        <f>HYPERLINK("https://twitter.com/POLYASVoting/status/723476477489111040","723476477489111040")</f>
        <v>723476477489111040</v>
      </c>
      <c r="F2648" s="11" t="s">
        <v>25</v>
      </c>
      <c r="G2648" s="11">
        <v>478</v>
      </c>
      <c r="H2648" s="11">
        <v>965</v>
      </c>
      <c r="I2648" s="11">
        <v>1</v>
      </c>
      <c r="J2648" s="11">
        <v>0</v>
      </c>
      <c r="K2648" s="11" t="s">
        <v>21</v>
      </c>
      <c r="L2648" s="7">
        <v>42020.83871527778</v>
      </c>
      <c r="M2648" s="12" t="s">
        <v>2500</v>
      </c>
      <c r="N2648" s="12" t="s">
        <v>2501</v>
      </c>
      <c r="O2648" s="10" t="str">
        <f>HYPERLINK("https://pbs.twimg.com/profile_images/672007271753338880/vC18hLkb_normal.jpg","View")</f>
        <v>View</v>
      </c>
      <c r="P2648" s="11"/>
    </row>
    <row r="2649" spans="1:16" ht="12.75" x14ac:dyDescent="0.35">
      <c r="A2649" s="7">
        <v>42482.716423611113</v>
      </c>
      <c r="B2649" s="8" t="str">
        <f>HYPERLINK("https://twitter.com/ITK_OWL","@ITK_OWL")</f>
        <v>@ITK_OWL</v>
      </c>
      <c r="C2649" s="9" t="s">
        <v>220</v>
      </c>
      <c r="D2649" s="9" t="s">
        <v>4592</v>
      </c>
      <c r="E2649" s="10" t="str">
        <f>HYPERLINK("https://twitter.com/ITK_OWL/status/723476858101215232","723476858101215232")</f>
        <v>723476858101215232</v>
      </c>
      <c r="F2649" s="11" t="s">
        <v>222</v>
      </c>
      <c r="G2649" s="11">
        <v>199</v>
      </c>
      <c r="H2649" s="11">
        <v>389</v>
      </c>
      <c r="I2649" s="11">
        <v>0</v>
      </c>
      <c r="J2649" s="11">
        <v>0</v>
      </c>
      <c r="K2649" s="11" t="s">
        <v>21</v>
      </c>
      <c r="L2649" s="7">
        <v>42146.57880787037</v>
      </c>
      <c r="M2649" s="12" t="s">
        <v>223</v>
      </c>
      <c r="N2649" s="12" t="s">
        <v>224</v>
      </c>
      <c r="O2649" s="10" t="str">
        <f>HYPERLINK("https://pbs.twimg.com/profile_images/601673968551075840/MnulnKkj_normal.png","View")</f>
        <v>View</v>
      </c>
      <c r="P2649" s="11"/>
    </row>
    <row r="2650" spans="1:16" ht="12.75" x14ac:dyDescent="0.35">
      <c r="A2650" s="7">
        <v>42482.716458333336</v>
      </c>
      <c r="B2650" s="8" t="str">
        <f>HYPERLINK("https://twitter.com/INDIZbot","@INDIZbot")</f>
        <v>@INDIZbot</v>
      </c>
      <c r="C2650" s="9" t="s">
        <v>61</v>
      </c>
      <c r="D2650" s="9" t="s">
        <v>4593</v>
      </c>
      <c r="E2650" s="10" t="str">
        <f>HYPERLINK("https://twitter.com/INDIZbot/status/723476874047950848","723476874047950848")</f>
        <v>723476874047950848</v>
      </c>
      <c r="F2650" s="11" t="s">
        <v>62</v>
      </c>
      <c r="G2650" s="11">
        <v>1767</v>
      </c>
      <c r="H2650" s="11">
        <v>482</v>
      </c>
      <c r="I2650" s="11">
        <v>1</v>
      </c>
      <c r="J2650" s="11">
        <v>0</v>
      </c>
      <c r="K2650" s="11" t="s">
        <v>21</v>
      </c>
      <c r="L2650" s="7">
        <v>42267.011921296296</v>
      </c>
      <c r="M2650" s="12"/>
      <c r="N2650" s="12" t="s">
        <v>63</v>
      </c>
      <c r="O2650" s="10" t="str">
        <f>HYPERLINK("https://pbs.twimg.com/profile_images/645716711723925506/t5G0qOS6_normal.jpg","View")</f>
        <v>View</v>
      </c>
      <c r="P2650" s="11"/>
    </row>
    <row r="2651" spans="1:16" ht="12.75" x14ac:dyDescent="0.35">
      <c r="A2651" s="7">
        <v>42482.716898148152</v>
      </c>
      <c r="B2651" s="8" t="str">
        <f>HYPERLINK("https://twitter.com/davidphotiade","@davidphotiade")</f>
        <v>@davidphotiade</v>
      </c>
      <c r="C2651" s="9" t="s">
        <v>4594</v>
      </c>
      <c r="D2651" s="9" t="s">
        <v>4415</v>
      </c>
      <c r="E2651" s="10" t="str">
        <f>HYPERLINK("https://twitter.com/davidphotiade/status/723477031279824903","723477031279824903")</f>
        <v>723477031279824903</v>
      </c>
      <c r="F2651" s="11" t="s">
        <v>20</v>
      </c>
      <c r="G2651" s="11">
        <v>476</v>
      </c>
      <c r="H2651" s="11">
        <v>1955</v>
      </c>
      <c r="I2651" s="11">
        <v>7</v>
      </c>
      <c r="J2651" s="11">
        <v>0</v>
      </c>
      <c r="K2651" s="11" t="s">
        <v>21</v>
      </c>
      <c r="L2651" s="7">
        <v>40538.683703703704</v>
      </c>
      <c r="M2651" s="12" t="s">
        <v>4595</v>
      </c>
      <c r="N2651" s="12" t="s">
        <v>4596</v>
      </c>
      <c r="O2651" s="10" t="str">
        <f>HYPERLINK("https://pbs.twimg.com/profile_images/669633347249942530/PT0C-2n5_normal.jpg","View")</f>
        <v>View</v>
      </c>
      <c r="P2651" s="11"/>
    </row>
    <row r="2652" spans="1:16" ht="12.75" x14ac:dyDescent="0.35">
      <c r="A2652" s="7">
        <v>42482.716921296298</v>
      </c>
      <c r="B2652" s="8" t="str">
        <f>HYPERLINK("https://twitter.com/INDIZbot","@INDIZbot")</f>
        <v>@INDIZbot</v>
      </c>
      <c r="C2652" s="9" t="s">
        <v>61</v>
      </c>
      <c r="D2652" s="9" t="s">
        <v>4597</v>
      </c>
      <c r="E2652" s="10" t="str">
        <f>HYPERLINK("https://twitter.com/INDIZbot/status/723477040385634304","723477040385634304")</f>
        <v>723477040385634304</v>
      </c>
      <c r="F2652" s="11" t="s">
        <v>62</v>
      </c>
      <c r="G2652" s="11">
        <v>1767</v>
      </c>
      <c r="H2652" s="11">
        <v>482</v>
      </c>
      <c r="I2652" s="11">
        <v>1</v>
      </c>
      <c r="J2652" s="11">
        <v>0</v>
      </c>
      <c r="K2652" s="11" t="s">
        <v>21</v>
      </c>
      <c r="L2652" s="7">
        <v>42267.011921296296</v>
      </c>
      <c r="M2652" s="12"/>
      <c r="N2652" s="12" t="s">
        <v>63</v>
      </c>
      <c r="O2652" s="10" t="str">
        <f>HYPERLINK("https://pbs.twimg.com/profile_images/645716711723925506/t5G0qOS6_normal.jpg","View")</f>
        <v>View</v>
      </c>
      <c r="P2652" s="11"/>
    </row>
    <row r="2653" spans="1:16" ht="12.75" x14ac:dyDescent="0.35">
      <c r="A2653" s="7">
        <v>42482.71702546296</v>
      </c>
      <c r="B2653" s="8" t="str">
        <f>HYPERLINK("https://twitter.com/davidphotiade","@davidphotiade")</f>
        <v>@davidphotiade</v>
      </c>
      <c r="C2653" s="9" t="s">
        <v>4594</v>
      </c>
      <c r="D2653" s="9" t="s">
        <v>4472</v>
      </c>
      <c r="E2653" s="10" t="str">
        <f>HYPERLINK("https://twitter.com/davidphotiade/status/723477077345873923","723477077345873923")</f>
        <v>723477077345873923</v>
      </c>
      <c r="F2653" s="11" t="s">
        <v>20</v>
      </c>
      <c r="G2653" s="11">
        <v>476</v>
      </c>
      <c r="H2653" s="11">
        <v>1955</v>
      </c>
      <c r="I2653" s="11">
        <v>3</v>
      </c>
      <c r="J2653" s="11">
        <v>0</v>
      </c>
      <c r="K2653" s="11" t="s">
        <v>21</v>
      </c>
      <c r="L2653" s="7">
        <v>40538.683703703704</v>
      </c>
      <c r="M2653" s="12" t="s">
        <v>4595</v>
      </c>
      <c r="N2653" s="12" t="s">
        <v>4596</v>
      </c>
      <c r="O2653" s="10" t="str">
        <f>HYPERLINK("https://pbs.twimg.com/profile_images/669633347249942530/PT0C-2n5_normal.jpg","View")</f>
        <v>View</v>
      </c>
      <c r="P2653" s="11"/>
    </row>
    <row r="2654" spans="1:16" ht="12.75" x14ac:dyDescent="0.35">
      <c r="A2654" s="7">
        <v>42482.71707175926</v>
      </c>
      <c r="B2654" s="8" t="str">
        <f>HYPERLINK("https://twitter.com/INDIZbot","@INDIZbot")</f>
        <v>@INDIZbot</v>
      </c>
      <c r="C2654" s="9" t="s">
        <v>61</v>
      </c>
      <c r="D2654" s="9" t="s">
        <v>4598</v>
      </c>
      <c r="E2654" s="10" t="str">
        <f>HYPERLINK("https://twitter.com/INDIZbot/status/723477093141635072","723477093141635072")</f>
        <v>723477093141635072</v>
      </c>
      <c r="F2654" s="11" t="s">
        <v>62</v>
      </c>
      <c r="G2654" s="11">
        <v>1767</v>
      </c>
      <c r="H2654" s="11">
        <v>482</v>
      </c>
      <c r="I2654" s="11">
        <v>1</v>
      </c>
      <c r="J2654" s="11">
        <v>0</v>
      </c>
      <c r="K2654" s="11" t="s">
        <v>21</v>
      </c>
      <c r="L2654" s="7">
        <v>42267.011921296296</v>
      </c>
      <c r="M2654" s="12"/>
      <c r="N2654" s="12" t="s">
        <v>63</v>
      </c>
      <c r="O2654" s="10" t="str">
        <f>HYPERLINK("https://pbs.twimg.com/profile_images/645716711723925506/t5G0qOS6_normal.jpg","View")</f>
        <v>View</v>
      </c>
      <c r="P2654" s="11"/>
    </row>
    <row r="2655" spans="1:16" ht="12.75" x14ac:dyDescent="0.35">
      <c r="A2655" s="7">
        <v>42482.718900462962</v>
      </c>
      <c r="B2655" s="8" t="str">
        <f>HYPERLINK("https://twitter.com/MoellerHorcher","@MoellerHorcher")</f>
        <v>@MoellerHorcher</v>
      </c>
      <c r="C2655" s="9" t="s">
        <v>3685</v>
      </c>
      <c r="D2655" s="9" t="s">
        <v>4599</v>
      </c>
      <c r="E2655" s="10" t="str">
        <f>HYPERLINK("https://twitter.com/MoellerHorcher/status/723477755271217152","723477755271217152")</f>
        <v>723477755271217152</v>
      </c>
      <c r="F2655" s="11" t="s">
        <v>39</v>
      </c>
      <c r="G2655" s="11">
        <v>330</v>
      </c>
      <c r="H2655" s="11">
        <v>478</v>
      </c>
      <c r="I2655" s="11">
        <v>0</v>
      </c>
      <c r="J2655" s="11">
        <v>0</v>
      </c>
      <c r="K2655" s="11" t="s">
        <v>21</v>
      </c>
      <c r="L2655" s="7">
        <v>40956.667511574073</v>
      </c>
      <c r="M2655" s="12" t="s">
        <v>3687</v>
      </c>
      <c r="N2655" s="12" t="s">
        <v>3688</v>
      </c>
      <c r="O2655" s="10" t="str">
        <f>HYPERLINK("https://pbs.twimg.com/profile_images/593771436461977601/JLe43OHw_normal.png","View")</f>
        <v>View</v>
      </c>
      <c r="P2655" s="11"/>
    </row>
    <row r="2656" spans="1:16" ht="12.75" x14ac:dyDescent="0.35">
      <c r="A2656" s="7">
        <v>42482.72074074074</v>
      </c>
      <c r="B2656" s="8" t="str">
        <f t="shared" ref="B2656:B2657" si="328">HYPERLINK("https://twitter.com/LReehten","@LReehten")</f>
        <v>@LReehten</v>
      </c>
      <c r="C2656" s="9" t="s">
        <v>1998</v>
      </c>
      <c r="D2656" s="9" t="s">
        <v>4600</v>
      </c>
      <c r="E2656" s="10" t="str">
        <f>HYPERLINK("https://twitter.com/LReehten/status/723478425231589376","723478425231589376")</f>
        <v>723478425231589376</v>
      </c>
      <c r="F2656" s="11" t="s">
        <v>25</v>
      </c>
      <c r="G2656" s="11">
        <v>2335</v>
      </c>
      <c r="H2656" s="11">
        <v>2853</v>
      </c>
      <c r="I2656" s="11">
        <v>2</v>
      </c>
      <c r="J2656" s="11">
        <v>0</v>
      </c>
      <c r="K2656" s="11" t="s">
        <v>21</v>
      </c>
      <c r="L2656" s="7">
        <v>41618.817071759258</v>
      </c>
      <c r="M2656" s="12"/>
      <c r="N2656" s="12" t="s">
        <v>2000</v>
      </c>
      <c r="O2656" s="10" t="str">
        <f t="shared" ref="O2656:O2657" si="329">HYPERLINK("https://pbs.twimg.com/profile_images/623849156159868928/BetFDR_i_normal.jpg","View")</f>
        <v>View</v>
      </c>
      <c r="P2656" s="11"/>
    </row>
    <row r="2657" spans="1:16" ht="12.75" x14ac:dyDescent="0.35">
      <c r="A2657" s="7">
        <v>42482.72084490741</v>
      </c>
      <c r="B2657" s="8" t="str">
        <f t="shared" si="328"/>
        <v>@LReehten</v>
      </c>
      <c r="C2657" s="9" t="s">
        <v>1998</v>
      </c>
      <c r="D2657" s="9" t="s">
        <v>4572</v>
      </c>
      <c r="E2657" s="10" t="str">
        <f>HYPERLINK("https://twitter.com/LReehten/status/723478460996456452","723478460996456452")</f>
        <v>723478460996456452</v>
      </c>
      <c r="F2657" s="11" t="s">
        <v>25</v>
      </c>
      <c r="G2657" s="11">
        <v>2335</v>
      </c>
      <c r="H2657" s="11">
        <v>2853</v>
      </c>
      <c r="I2657" s="11">
        <v>2</v>
      </c>
      <c r="J2657" s="11">
        <v>0</v>
      </c>
      <c r="K2657" s="11" t="s">
        <v>21</v>
      </c>
      <c r="L2657" s="7">
        <v>41618.817071759258</v>
      </c>
      <c r="M2657" s="12"/>
      <c r="N2657" s="12" t="s">
        <v>2000</v>
      </c>
      <c r="O2657" s="10" t="str">
        <f t="shared" si="329"/>
        <v>View</v>
      </c>
      <c r="P2657" s="11"/>
    </row>
    <row r="2658" spans="1:16" ht="12.75" x14ac:dyDescent="0.35">
      <c r="A2658" s="7">
        <v>42482.721261574072</v>
      </c>
      <c r="B2658" s="8" t="str">
        <f>HYPERLINK("https://twitter.com/H_IT_D","@H_IT_D")</f>
        <v>@H_IT_D</v>
      </c>
      <c r="C2658" s="9" t="s">
        <v>159</v>
      </c>
      <c r="D2658" s="9" t="s">
        <v>4601</v>
      </c>
      <c r="E2658" s="10" t="str">
        <f>HYPERLINK("https://twitter.com/H_IT_D/status/723478613069197312","723478613069197312")</f>
        <v>723478613069197312</v>
      </c>
      <c r="F2658" s="11" t="s">
        <v>161</v>
      </c>
      <c r="G2658" s="11">
        <v>463</v>
      </c>
      <c r="H2658" s="11">
        <v>467</v>
      </c>
      <c r="I2658" s="11">
        <v>0</v>
      </c>
      <c r="J2658" s="11">
        <v>0</v>
      </c>
      <c r="K2658" s="11" t="s">
        <v>21</v>
      </c>
      <c r="L2658" s="7">
        <v>40723.867673611108</v>
      </c>
      <c r="M2658" s="12" t="s">
        <v>162</v>
      </c>
      <c r="N2658" s="12" t="s">
        <v>163</v>
      </c>
      <c r="O2658" s="10" t="str">
        <f>HYPERLINK("https://pbs.twimg.com/profile_images/662723326096224256/5V4KH9_O_normal.jpg","View")</f>
        <v>View</v>
      </c>
      <c r="P2658" s="11"/>
    </row>
    <row r="2659" spans="1:16" ht="12.75" x14ac:dyDescent="0.35">
      <c r="A2659" s="7">
        <v>42482.722418981481</v>
      </c>
      <c r="B2659" s="8" t="str">
        <f>HYPERLINK("https://twitter.com/IT_Connection","@IT_Connection")</f>
        <v>@IT_Connection</v>
      </c>
      <c r="C2659" s="9" t="s">
        <v>368</v>
      </c>
      <c r="D2659" s="9" t="s">
        <v>4602</v>
      </c>
      <c r="E2659" s="10" t="str">
        <f>HYPERLINK("https://twitter.com/IT_Connection/status/723479032990453760","723479032990453760")</f>
        <v>723479032990453760</v>
      </c>
      <c r="F2659" s="11" t="s">
        <v>39</v>
      </c>
      <c r="G2659" s="11">
        <v>10901</v>
      </c>
      <c r="H2659" s="11">
        <v>10875</v>
      </c>
      <c r="I2659" s="11">
        <v>0</v>
      </c>
      <c r="J2659" s="11">
        <v>0</v>
      </c>
      <c r="K2659" s="11" t="s">
        <v>21</v>
      </c>
      <c r="L2659" s="7">
        <v>40411.751539351855</v>
      </c>
      <c r="M2659" s="12" t="s">
        <v>369</v>
      </c>
      <c r="N2659" s="12" t="s">
        <v>370</v>
      </c>
      <c r="O2659" s="10" t="str">
        <f>HYPERLINK("https://pbs.twimg.com/profile_images/566986293888835584/_uYTcau__normal.png","View")</f>
        <v>View</v>
      </c>
      <c r="P2659" s="11"/>
    </row>
    <row r="2660" spans="1:16" ht="12.75" x14ac:dyDescent="0.35">
      <c r="A2660" s="7">
        <v>42482.726388888885</v>
      </c>
      <c r="B2660" s="8" t="str">
        <f>HYPERLINK("https://twitter.com/proALPHA","@proALPHA")</f>
        <v>@proALPHA</v>
      </c>
      <c r="C2660" s="9" t="s">
        <v>589</v>
      </c>
      <c r="D2660" s="9" t="s">
        <v>4603</v>
      </c>
      <c r="E2660" s="10" t="str">
        <f>HYPERLINK("https://twitter.com/proALPHA/status/723480471376662528","723480471376662528")</f>
        <v>723480471376662528</v>
      </c>
      <c r="F2660" s="11" t="s">
        <v>25</v>
      </c>
      <c r="G2660" s="11">
        <v>179</v>
      </c>
      <c r="H2660" s="11">
        <v>46</v>
      </c>
      <c r="I2660" s="11">
        <v>0</v>
      </c>
      <c r="J2660" s="11">
        <v>0</v>
      </c>
      <c r="K2660" s="11" t="s">
        <v>21</v>
      </c>
      <c r="L2660" s="7">
        <v>41416.626250000001</v>
      </c>
      <c r="M2660" s="12"/>
      <c r="N2660" s="12" t="s">
        <v>591</v>
      </c>
      <c r="O2660" s="10" t="str">
        <f>HYPERLINK("https://pbs.twimg.com/profile_images/469026236916715520/DY-tlJ0c_normal.jpeg","View")</f>
        <v>View</v>
      </c>
      <c r="P2660" s="11"/>
    </row>
    <row r="2661" spans="1:16" ht="12.75" x14ac:dyDescent="0.35">
      <c r="A2661" s="7">
        <v>42482.730844907404</v>
      </c>
      <c r="B2661" s="8" t="str">
        <f>HYPERLINK("https://twitter.com/INDIZbot","@INDIZbot")</f>
        <v>@INDIZbot</v>
      </c>
      <c r="C2661" s="9" t="s">
        <v>61</v>
      </c>
      <c r="D2661" s="9" t="s">
        <v>4604</v>
      </c>
      <c r="E2661" s="10" t="str">
        <f>HYPERLINK("https://twitter.com/INDIZbot/status/723482087500722179","723482087500722179")</f>
        <v>723482087500722179</v>
      </c>
      <c r="F2661" s="11" t="s">
        <v>62</v>
      </c>
      <c r="G2661" s="11">
        <v>1769</v>
      </c>
      <c r="H2661" s="11">
        <v>482</v>
      </c>
      <c r="I2661" s="11">
        <v>1</v>
      </c>
      <c r="J2661" s="11">
        <v>0</v>
      </c>
      <c r="K2661" s="11" t="s">
        <v>21</v>
      </c>
      <c r="L2661" s="7">
        <v>42267.011921296296</v>
      </c>
      <c r="M2661" s="12"/>
      <c r="N2661" s="12" t="s">
        <v>63</v>
      </c>
      <c r="O2661" s="10" t="str">
        <f>HYPERLINK("https://pbs.twimg.com/profile_images/645716711723925506/t5G0qOS6_normal.jpg","View")</f>
        <v>View</v>
      </c>
      <c r="P2661" s="11"/>
    </row>
    <row r="2662" spans="1:16" ht="12.75" x14ac:dyDescent="0.35">
      <c r="A2662" s="7">
        <v>42482.732175925921</v>
      </c>
      <c r="B2662" s="8" t="str">
        <f>HYPERLINK("https://twitter.com/ATNplus","@ATNplus")</f>
        <v>@ATNplus</v>
      </c>
      <c r="C2662" s="9" t="s">
        <v>4605</v>
      </c>
      <c r="D2662" s="9" t="s">
        <v>4606</v>
      </c>
      <c r="E2662" s="10" t="str">
        <f>HYPERLINK("https://twitter.com/ATNplus/status/723482569564631040","723482569564631040")</f>
        <v>723482569564631040</v>
      </c>
      <c r="F2662" s="11" t="s">
        <v>25</v>
      </c>
      <c r="G2662" s="11">
        <v>2050</v>
      </c>
      <c r="H2662" s="11">
        <v>927</v>
      </c>
      <c r="I2662" s="11">
        <v>0</v>
      </c>
      <c r="J2662" s="11">
        <v>1</v>
      </c>
      <c r="K2662" s="11" t="s">
        <v>21</v>
      </c>
      <c r="L2662" s="7">
        <v>41281.68885416667</v>
      </c>
      <c r="M2662" s="12" t="s">
        <v>4607</v>
      </c>
      <c r="N2662" s="12" t="s">
        <v>4608</v>
      </c>
      <c r="O2662" s="10" t="str">
        <f>HYPERLINK("https://pbs.twimg.com/profile_images/669469688653565953/fKiQOv5w_normal.png","View")</f>
        <v>View</v>
      </c>
      <c r="P2662" s="11"/>
    </row>
    <row r="2663" spans="1:16" ht="12.75" x14ac:dyDescent="0.35">
      <c r="A2663" s="7">
        <v>42482.736481481479</v>
      </c>
      <c r="B2663" s="8" t="str">
        <f>HYPERLINK("https://twitter.com/cybus_io","@cybus_io")</f>
        <v>@cybus_io</v>
      </c>
      <c r="C2663" s="9" t="s">
        <v>4609</v>
      </c>
      <c r="D2663" s="9" t="s">
        <v>4610</v>
      </c>
      <c r="E2663" s="10" t="str">
        <f>HYPERLINK("https://twitter.com/cybus_io/status/723484129455566848","723484129455566848")</f>
        <v>723484129455566848</v>
      </c>
      <c r="F2663" s="11" t="s">
        <v>1697</v>
      </c>
      <c r="G2663" s="11">
        <v>172</v>
      </c>
      <c r="H2663" s="11">
        <v>108</v>
      </c>
      <c r="I2663" s="11">
        <v>1</v>
      </c>
      <c r="J2663" s="11">
        <v>0</v>
      </c>
      <c r="K2663" s="11" t="s">
        <v>21</v>
      </c>
      <c r="L2663" s="7">
        <v>41892.725914351853</v>
      </c>
      <c r="M2663" s="12" t="s">
        <v>549</v>
      </c>
      <c r="N2663" s="12" t="s">
        <v>4611</v>
      </c>
      <c r="O2663" s="10" t="str">
        <f>HYPERLINK("https://pbs.twimg.com/profile_images/673122571731251200/Rcblg7bz_normal.png","View")</f>
        <v>View</v>
      </c>
      <c r="P2663" s="11"/>
    </row>
    <row r="2664" spans="1:16" ht="12.75" x14ac:dyDescent="0.35">
      <c r="A2664" s="7">
        <v>42482.736793981487</v>
      </c>
      <c r="B2664" s="8" t="str">
        <f>HYPERLINK("https://twitter.com/psorowka","@psorowka")</f>
        <v>@psorowka</v>
      </c>
      <c r="C2664" s="9" t="s">
        <v>4612</v>
      </c>
      <c r="D2664" s="9" t="s">
        <v>4613</v>
      </c>
      <c r="E2664" s="10" t="str">
        <f>HYPERLINK("https://twitter.com/psorowka/status/723484242076917760","723484242076917760")</f>
        <v>723484242076917760</v>
      </c>
      <c r="F2664" s="11" t="s">
        <v>1697</v>
      </c>
      <c r="G2664" s="11">
        <v>80</v>
      </c>
      <c r="H2664" s="11">
        <v>112</v>
      </c>
      <c r="I2664" s="11">
        <v>1</v>
      </c>
      <c r="J2664" s="11">
        <v>0</v>
      </c>
      <c r="K2664" s="11" t="s">
        <v>21</v>
      </c>
      <c r="L2664" s="7">
        <v>39960.48914351852</v>
      </c>
      <c r="M2664" s="12" t="s">
        <v>549</v>
      </c>
      <c r="N2664" s="12" t="s">
        <v>4614</v>
      </c>
      <c r="O2664" s="10" t="str">
        <f>HYPERLINK("https://pbs.twimg.com/profile_images/539210265472925697/HbDVwVlm_normal.jpeg","View")</f>
        <v>View</v>
      </c>
      <c r="P2664" s="11"/>
    </row>
    <row r="2665" spans="1:16" ht="12.75" x14ac:dyDescent="0.35">
      <c r="A2665" s="7">
        <v>42482.737442129626</v>
      </c>
      <c r="B2665" s="8" t="str">
        <f>HYPERLINK("https://twitter.com/observaitress","@observaitress")</f>
        <v>@observaitress</v>
      </c>
      <c r="C2665" s="9" t="s">
        <v>1957</v>
      </c>
      <c r="D2665" s="9" t="s">
        <v>4615</v>
      </c>
      <c r="E2665" s="10" t="str">
        <f>HYPERLINK("https://twitter.com/observaitress/status/723484476198797312","723484476198797312")</f>
        <v>723484476198797312</v>
      </c>
      <c r="F2665" s="11" t="s">
        <v>25</v>
      </c>
      <c r="G2665" s="11">
        <v>661</v>
      </c>
      <c r="H2665" s="11">
        <v>1017</v>
      </c>
      <c r="I2665" s="11">
        <v>0</v>
      </c>
      <c r="J2665" s="11">
        <v>0</v>
      </c>
      <c r="K2665" s="11" t="s">
        <v>21</v>
      </c>
      <c r="L2665" s="7">
        <v>40491.941157407404</v>
      </c>
      <c r="M2665" s="12"/>
      <c r="N2665" s="12" t="s">
        <v>1959</v>
      </c>
      <c r="O2665" s="10" t="str">
        <f>HYPERLINK("https://pbs.twimg.com/profile_images/1173146264/Portrait-Vera-dkl-201010_DSC0132-Webklein_normal.jpg","View")</f>
        <v>View</v>
      </c>
      <c r="P2665" s="11"/>
    </row>
    <row r="2666" spans="1:16" ht="12.75" x14ac:dyDescent="0.35">
      <c r="A2666" s="7">
        <v>42482.74013888889</v>
      </c>
      <c r="B2666" s="8" t="str">
        <f>HYPERLINK("https://twitter.com/Ralf_Kuder","@Ralf_Kuder")</f>
        <v>@Ralf_Kuder</v>
      </c>
      <c r="C2666" s="9" t="s">
        <v>400</v>
      </c>
      <c r="D2666" s="9" t="s">
        <v>4616</v>
      </c>
      <c r="E2666" s="10" t="str">
        <f>HYPERLINK("https://twitter.com/Ralf_Kuder/status/723485454973153280","723485454973153280")</f>
        <v>723485454973153280</v>
      </c>
      <c r="F2666" s="11" t="s">
        <v>25</v>
      </c>
      <c r="G2666" s="11">
        <v>58</v>
      </c>
      <c r="H2666" s="11">
        <v>76</v>
      </c>
      <c r="I2666" s="11">
        <v>0</v>
      </c>
      <c r="J2666" s="11">
        <v>1</v>
      </c>
      <c r="K2666" s="11" t="s">
        <v>21</v>
      </c>
      <c r="L2666" s="7">
        <v>41753.717210648145</v>
      </c>
      <c r="M2666" s="12" t="s">
        <v>402</v>
      </c>
      <c r="N2666" s="12" t="s">
        <v>403</v>
      </c>
      <c r="O2666" s="10" t="str">
        <f>HYPERLINK("https://pbs.twimg.com/profile_images/721292749069291520/oMrDhdql_normal.jpg","View")</f>
        <v>View</v>
      </c>
      <c r="P2666" s="11"/>
    </row>
    <row r="2667" spans="1:16" ht="12.75" x14ac:dyDescent="0.35">
      <c r="A2667" s="7">
        <v>42482.740983796291</v>
      </c>
      <c r="B2667" s="8" t="str">
        <f>HYPERLINK("https://twitter.com/Bitkom_Service","@Bitkom_Service")</f>
        <v>@Bitkom_Service</v>
      </c>
      <c r="C2667" s="9" t="s">
        <v>1117</v>
      </c>
      <c r="D2667" s="9" t="s">
        <v>4613</v>
      </c>
      <c r="E2667" s="10" t="str">
        <f>HYPERLINK("https://twitter.com/Bitkom_Service/status/723485760784097280","723485760784097280")</f>
        <v>723485760784097280</v>
      </c>
      <c r="F2667" s="11" t="s">
        <v>25</v>
      </c>
      <c r="G2667" s="11">
        <v>1204</v>
      </c>
      <c r="H2667" s="11">
        <v>145</v>
      </c>
      <c r="I2667" s="11">
        <v>2</v>
      </c>
      <c r="J2667" s="11">
        <v>0</v>
      </c>
      <c r="K2667" s="11" t="s">
        <v>21</v>
      </c>
      <c r="L2667" s="7">
        <v>40375.078171296293</v>
      </c>
      <c r="M2667" s="12" t="s">
        <v>218</v>
      </c>
      <c r="N2667" s="12" t="s">
        <v>1119</v>
      </c>
      <c r="O2667" s="10" t="str">
        <f>HYPERLINK("https://pbs.twimg.com/profile_images/616176072204382208/UYYnn7XY_normal.jpg","View")</f>
        <v>View</v>
      </c>
      <c r="P2667" s="11"/>
    </row>
    <row r="2668" spans="1:16" ht="12.75" x14ac:dyDescent="0.35">
      <c r="A2668" s="7">
        <v>42482.743715277778</v>
      </c>
      <c r="B2668" s="8" t="str">
        <f>HYPERLINK("https://twitter.com/KMWEprecision","@KMWEprecision")</f>
        <v>@KMWEprecision</v>
      </c>
      <c r="C2668" s="9" t="s">
        <v>4617</v>
      </c>
      <c r="D2668" s="9" t="s">
        <v>4618</v>
      </c>
      <c r="E2668" s="10" t="str">
        <f>HYPERLINK("https://twitter.com/KMWEprecision/status/723486750740471808","723486750740471808")</f>
        <v>723486750740471808</v>
      </c>
      <c r="F2668" s="11" t="s">
        <v>25</v>
      </c>
      <c r="G2668" s="11">
        <v>735</v>
      </c>
      <c r="H2668" s="11">
        <v>220</v>
      </c>
      <c r="I2668" s="11">
        <v>0</v>
      </c>
      <c r="J2668" s="11">
        <v>0</v>
      </c>
      <c r="K2668" s="11" t="s">
        <v>21</v>
      </c>
      <c r="L2668" s="7">
        <v>41053.826006944444</v>
      </c>
      <c r="M2668" s="12" t="s">
        <v>1361</v>
      </c>
      <c r="N2668" s="12" t="s">
        <v>4619</v>
      </c>
      <c r="O2668" s="10" t="str">
        <f>HYPERLINK("https://pbs.twimg.com/profile_images/643396829510545409/-aJv6A05_normal.jpg","View")</f>
        <v>View</v>
      </c>
      <c r="P2668" s="11"/>
    </row>
    <row r="2669" spans="1:16" ht="12.75" x14ac:dyDescent="0.35">
      <c r="A2669" s="7">
        <v>42482.744062500002</v>
      </c>
      <c r="B2669" s="8" t="str">
        <f>HYPERLINK("https://twitter.com/hartingindia","@hartingindia")</f>
        <v>@hartingindia</v>
      </c>
      <c r="C2669" s="9" t="s">
        <v>4620</v>
      </c>
      <c r="D2669" s="9" t="s">
        <v>4621</v>
      </c>
      <c r="E2669" s="10" t="str">
        <f>HYPERLINK("https://twitter.com/hartingindia/status/723486874820468737","723486874820468737")</f>
        <v>723486874820468737</v>
      </c>
      <c r="F2669" s="11" t="s">
        <v>25</v>
      </c>
      <c r="G2669" s="11">
        <v>117</v>
      </c>
      <c r="H2669" s="11">
        <v>226</v>
      </c>
      <c r="I2669" s="11">
        <v>0</v>
      </c>
      <c r="J2669" s="11">
        <v>0</v>
      </c>
      <c r="K2669" s="11" t="s">
        <v>21</v>
      </c>
      <c r="L2669" s="7">
        <v>41976.601747685185</v>
      </c>
      <c r="M2669" s="12" t="s">
        <v>4622</v>
      </c>
      <c r="N2669" s="12" t="s">
        <v>4623</v>
      </c>
      <c r="O2669" s="10" t="str">
        <f>HYPERLINK("https://pbs.twimg.com/profile_images/540072077500223488/cMcNEi5S_normal.jpeg","View")</f>
        <v>View</v>
      </c>
      <c r="P2669" s="11"/>
    </row>
    <row r="2670" spans="1:16" ht="12.75" x14ac:dyDescent="0.35">
      <c r="A2670" s="7">
        <v>42482.745150462964</v>
      </c>
      <c r="B2670" s="8" t="str">
        <f>HYPERLINK("https://twitter.com/siemensindustry","@siemensindustry")</f>
        <v>@siemensindustry</v>
      </c>
      <c r="C2670" s="9" t="s">
        <v>4624</v>
      </c>
      <c r="D2670" s="9" t="s">
        <v>4345</v>
      </c>
      <c r="E2670" s="10" t="str">
        <f>HYPERLINK("https://twitter.com/siemensindustry/status/723487267680083970","723487267680083970")</f>
        <v>723487267680083970</v>
      </c>
      <c r="F2670" s="11" t="s">
        <v>25</v>
      </c>
      <c r="G2670" s="11">
        <v>48319</v>
      </c>
      <c r="H2670" s="11">
        <v>3762</v>
      </c>
      <c r="I2670" s="11">
        <v>8</v>
      </c>
      <c r="J2670" s="11">
        <v>0</v>
      </c>
      <c r="K2670" s="11" t="s">
        <v>21</v>
      </c>
      <c r="L2670" s="7">
        <v>39995.707395833335</v>
      </c>
      <c r="M2670" s="12"/>
      <c r="N2670" s="12" t="s">
        <v>4625</v>
      </c>
      <c r="O2670" s="10" t="str">
        <f>HYPERLINK("https://pbs.twimg.com/profile_images/491604376192958465/Ir18BAvZ_normal.png","View")</f>
        <v>View</v>
      </c>
      <c r="P2670" s="11"/>
    </row>
    <row r="2671" spans="1:16" ht="12.75" x14ac:dyDescent="0.35">
      <c r="A2671" s="7">
        <v>42482.745983796296</v>
      </c>
      <c r="B2671" s="8" t="str">
        <f t="shared" ref="B2671:B2672" si="330">HYPERLINK("https://twitter.com/LReehten","@LReehten")</f>
        <v>@LReehten</v>
      </c>
      <c r="C2671" s="9" t="s">
        <v>1998</v>
      </c>
      <c r="D2671" s="9" t="s">
        <v>4554</v>
      </c>
      <c r="E2671" s="10" t="str">
        <f>HYPERLINK("https://twitter.com/LReehten/status/723487571884552192","723487571884552192")</f>
        <v>723487571884552192</v>
      </c>
      <c r="F2671" s="11" t="s">
        <v>25</v>
      </c>
      <c r="G2671" s="11">
        <v>2337</v>
      </c>
      <c r="H2671" s="11">
        <v>2856</v>
      </c>
      <c r="I2671" s="11">
        <v>3</v>
      </c>
      <c r="J2671" s="11">
        <v>0</v>
      </c>
      <c r="K2671" s="11" t="s">
        <v>21</v>
      </c>
      <c r="L2671" s="7">
        <v>41618.817071759258</v>
      </c>
      <c r="M2671" s="12"/>
      <c r="N2671" s="12" t="s">
        <v>2000</v>
      </c>
      <c r="O2671" s="10" t="str">
        <f t="shared" ref="O2671:O2672" si="331">HYPERLINK("https://pbs.twimg.com/profile_images/623849156159868928/BetFDR_i_normal.jpg","View")</f>
        <v>View</v>
      </c>
      <c r="P2671" s="11"/>
    </row>
    <row r="2672" spans="1:16" ht="12.75" x14ac:dyDescent="0.35">
      <c r="A2672" s="7">
        <v>42482.746099537035</v>
      </c>
      <c r="B2672" s="8" t="str">
        <f t="shared" si="330"/>
        <v>@LReehten</v>
      </c>
      <c r="C2672" s="9" t="s">
        <v>1998</v>
      </c>
      <c r="D2672" s="9" t="s">
        <v>4626</v>
      </c>
      <c r="E2672" s="10" t="str">
        <f>HYPERLINK("https://twitter.com/LReehten/status/723487612057620480","723487612057620480")</f>
        <v>723487612057620480</v>
      </c>
      <c r="F2672" s="11" t="s">
        <v>25</v>
      </c>
      <c r="G2672" s="11">
        <v>2337</v>
      </c>
      <c r="H2672" s="11">
        <v>2856</v>
      </c>
      <c r="I2672" s="11">
        <v>1</v>
      </c>
      <c r="J2672" s="11">
        <v>0</v>
      </c>
      <c r="K2672" s="11" t="s">
        <v>21</v>
      </c>
      <c r="L2672" s="7">
        <v>41618.817071759258</v>
      </c>
      <c r="M2672" s="12"/>
      <c r="N2672" s="12" t="s">
        <v>2000</v>
      </c>
      <c r="O2672" s="10" t="str">
        <f t="shared" si="331"/>
        <v>View</v>
      </c>
      <c r="P2672" s="11"/>
    </row>
    <row r="2673" spans="1:16" ht="12.75" x14ac:dyDescent="0.35">
      <c r="A2673" s="7">
        <v>42482.746296296296</v>
      </c>
      <c r="B2673" s="8" t="str">
        <f t="shared" ref="B2673:B2674" si="332">HYPERLINK("https://twitter.com/AliceTimm1","@AliceTimm1")</f>
        <v>@AliceTimm1</v>
      </c>
      <c r="C2673" s="9" t="s">
        <v>3362</v>
      </c>
      <c r="D2673" s="9" t="s">
        <v>4240</v>
      </c>
      <c r="E2673" s="10" t="str">
        <f>HYPERLINK("https://twitter.com/AliceTimm1/status/723487684396761089","723487684396761089")</f>
        <v>723487684396761089</v>
      </c>
      <c r="F2673" s="11" t="s">
        <v>31</v>
      </c>
      <c r="G2673" s="11">
        <v>14</v>
      </c>
      <c r="H2673" s="11">
        <v>63</v>
      </c>
      <c r="I2673" s="11">
        <v>6</v>
      </c>
      <c r="J2673" s="11">
        <v>0</v>
      </c>
      <c r="K2673" s="11" t="s">
        <v>21</v>
      </c>
      <c r="L2673" s="7">
        <v>42451.121898148151</v>
      </c>
      <c r="M2673" s="12" t="s">
        <v>116</v>
      </c>
      <c r="N2673" s="12" t="s">
        <v>3364</v>
      </c>
      <c r="O2673" s="10" t="str">
        <f t="shared" ref="O2673:O2674" si="333">HYPERLINK("https://pbs.twimg.com/profile_images/712401306082795521/Y0gvhjUD_normal.jpg","View")</f>
        <v>View</v>
      </c>
      <c r="P2673" s="11"/>
    </row>
    <row r="2674" spans="1:16" ht="12.75" x14ac:dyDescent="0.35">
      <c r="A2674" s="7">
        <v>42482.746874999997</v>
      </c>
      <c r="B2674" s="8" t="str">
        <f t="shared" si="332"/>
        <v>@AliceTimm1</v>
      </c>
      <c r="C2674" s="9" t="s">
        <v>3362</v>
      </c>
      <c r="D2674" s="9" t="s">
        <v>4345</v>
      </c>
      <c r="E2674" s="10" t="str">
        <f>HYPERLINK("https://twitter.com/AliceTimm1/status/723487896557203456","723487896557203456")</f>
        <v>723487896557203456</v>
      </c>
      <c r="F2674" s="11" t="s">
        <v>31</v>
      </c>
      <c r="G2674" s="11">
        <v>14</v>
      </c>
      <c r="H2674" s="11">
        <v>63</v>
      </c>
      <c r="I2674" s="11">
        <v>8</v>
      </c>
      <c r="J2674" s="11">
        <v>0</v>
      </c>
      <c r="K2674" s="11" t="s">
        <v>21</v>
      </c>
      <c r="L2674" s="7">
        <v>42451.121898148151</v>
      </c>
      <c r="M2674" s="12" t="s">
        <v>116</v>
      </c>
      <c r="N2674" s="12" t="s">
        <v>3364</v>
      </c>
      <c r="O2674" s="10" t="str">
        <f t="shared" si="333"/>
        <v>View</v>
      </c>
      <c r="P2674" s="11"/>
    </row>
    <row r="2675" spans="1:16" ht="12.75" x14ac:dyDescent="0.35">
      <c r="A2675" s="7">
        <v>42482.749814814815</v>
      </c>
      <c r="B2675" s="8" t="str">
        <f>HYPERLINK("https://twitter.com/AnalytikaByCim","@AnalytikaByCim")</f>
        <v>@AnalytikaByCim</v>
      </c>
      <c r="C2675" s="9" t="s">
        <v>4627</v>
      </c>
      <c r="D2675" s="9" t="s">
        <v>4345</v>
      </c>
      <c r="E2675" s="10" t="str">
        <f>HYPERLINK("https://twitter.com/AnalytikaByCim/status/723488960211783681","723488960211783681")</f>
        <v>723488960211783681</v>
      </c>
      <c r="F2675" s="11" t="s">
        <v>31</v>
      </c>
      <c r="G2675" s="11">
        <v>584</v>
      </c>
      <c r="H2675" s="11">
        <v>1137</v>
      </c>
      <c r="I2675" s="11">
        <v>8</v>
      </c>
      <c r="J2675" s="11">
        <v>0</v>
      </c>
      <c r="K2675" s="11" t="s">
        <v>21</v>
      </c>
      <c r="L2675" s="7">
        <v>41710.91810185185</v>
      </c>
      <c r="M2675" s="12" t="s">
        <v>471</v>
      </c>
      <c r="N2675" s="12" t="s">
        <v>4628</v>
      </c>
      <c r="O2675" s="10" t="str">
        <f>HYPERLINK("https://pbs.twimg.com/profile_images/702585949616648192/dr-rnVyA_normal.png","View")</f>
        <v>View</v>
      </c>
      <c r="P2675" s="11"/>
    </row>
    <row r="2676" spans="1:16" ht="12.75" x14ac:dyDescent="0.35">
      <c r="A2676" s="7">
        <v>42482.750416666662</v>
      </c>
      <c r="B2676" s="8" t="str">
        <f>HYPERLINK("https://twitter.com/LReehten","@LReehten")</f>
        <v>@LReehten</v>
      </c>
      <c r="C2676" s="9" t="s">
        <v>1998</v>
      </c>
      <c r="D2676" s="9" t="s">
        <v>4629</v>
      </c>
      <c r="E2676" s="10" t="str">
        <f>HYPERLINK("https://twitter.com/LReehten/status/723489178974060544","723489178974060544")</f>
        <v>723489178974060544</v>
      </c>
      <c r="F2676" s="11" t="s">
        <v>25</v>
      </c>
      <c r="G2676" s="11">
        <v>2338</v>
      </c>
      <c r="H2676" s="11">
        <v>2856</v>
      </c>
      <c r="I2676" s="11">
        <v>1</v>
      </c>
      <c r="J2676" s="11">
        <v>0</v>
      </c>
      <c r="K2676" s="11" t="s">
        <v>21</v>
      </c>
      <c r="L2676" s="7">
        <v>41618.817071759258</v>
      </c>
      <c r="M2676" s="12"/>
      <c r="N2676" s="12" t="s">
        <v>2000</v>
      </c>
      <c r="O2676" s="10" t="str">
        <f>HYPERLINK("https://pbs.twimg.com/profile_images/623849156159868928/BetFDR_i_normal.jpg","View")</f>
        <v>View</v>
      </c>
      <c r="P2676" s="11"/>
    </row>
    <row r="2677" spans="1:16" ht="12.75" x14ac:dyDescent="0.35">
      <c r="A2677" s="7">
        <v>42482.751481481479</v>
      </c>
      <c r="B2677" s="8" t="str">
        <f>HYPERLINK("https://twitter.com/acatech_de","@acatech_de")</f>
        <v>@acatech_de</v>
      </c>
      <c r="C2677" s="9" t="s">
        <v>1667</v>
      </c>
      <c r="D2677" s="9" t="s">
        <v>4630</v>
      </c>
      <c r="E2677" s="10" t="str">
        <f>HYPERLINK("https://twitter.com/acatech_de/status/723489562194890752","723489562194890752")</f>
        <v>723489562194890752</v>
      </c>
      <c r="F2677" s="11" t="s">
        <v>115</v>
      </c>
      <c r="G2677" s="11">
        <v>202</v>
      </c>
      <c r="H2677" s="11">
        <v>205</v>
      </c>
      <c r="I2677" s="11">
        <v>0</v>
      </c>
      <c r="J2677" s="11">
        <v>0</v>
      </c>
      <c r="K2677" s="11" t="s">
        <v>21</v>
      </c>
      <c r="L2677" s="7">
        <v>42101.61513888889</v>
      </c>
      <c r="M2677" s="12" t="s">
        <v>1669</v>
      </c>
      <c r="N2677" s="12" t="s">
        <v>1670</v>
      </c>
      <c r="O2677" s="10" t="str">
        <f>HYPERLINK("https://pbs.twimg.com/profile_images/600969802908356609/3JqGMg38_normal.png","View")</f>
        <v>View</v>
      </c>
      <c r="P2677" s="11"/>
    </row>
    <row r="2678" spans="1:16" ht="12.75" x14ac:dyDescent="0.35">
      <c r="A2678" s="7">
        <v>42482.753657407404</v>
      </c>
      <c r="B2678" s="8" t="str">
        <f>HYPERLINK("https://twitter.com/SHC_GmbH","@SHC_GmbH")</f>
        <v>@SHC_GmbH</v>
      </c>
      <c r="C2678" s="9" t="s">
        <v>105</v>
      </c>
      <c r="D2678" s="9" t="s">
        <v>4631</v>
      </c>
      <c r="E2678" s="10" t="str">
        <f>HYPERLINK("https://twitter.com/SHC_GmbH/status/723490350673879040","723490350673879040")</f>
        <v>723490350673879040</v>
      </c>
      <c r="F2678" s="11" t="s">
        <v>39</v>
      </c>
      <c r="G2678" s="11">
        <v>428</v>
      </c>
      <c r="H2678" s="11">
        <v>598</v>
      </c>
      <c r="I2678" s="11">
        <v>0</v>
      </c>
      <c r="J2678" s="11">
        <v>0</v>
      </c>
      <c r="K2678" s="11" t="s">
        <v>21</v>
      </c>
      <c r="L2678" s="7">
        <v>41423.549513888887</v>
      </c>
      <c r="M2678" s="12" t="s">
        <v>107</v>
      </c>
      <c r="N2678" s="12" t="s">
        <v>108</v>
      </c>
      <c r="O2678" s="10" t="str">
        <f>HYPERLINK("https://pbs.twimg.com/profile_images/3726440228/9ba49ccb938cf571b195e3e83a4e1327_normal.jpeg","View")</f>
        <v>View</v>
      </c>
      <c r="P2678" s="11"/>
    </row>
    <row r="2679" spans="1:16" ht="12.75" x14ac:dyDescent="0.35">
      <c r="A2679" s="7">
        <v>42482.757210648153</v>
      </c>
      <c r="B2679" s="8" t="str">
        <f>HYPERLINK("https://twitter.com/CKotschy","@CKotschy")</f>
        <v>@CKotschy</v>
      </c>
      <c r="C2679" s="9" t="s">
        <v>4632</v>
      </c>
      <c r="D2679" s="9" t="s">
        <v>4633</v>
      </c>
      <c r="E2679" s="10" t="str">
        <f>HYPERLINK("https://twitter.com/CKotschy/status/723491640950841345","723491640950841345")</f>
        <v>723491640950841345</v>
      </c>
      <c r="F2679" s="11" t="s">
        <v>25</v>
      </c>
      <c r="G2679" s="11">
        <v>67</v>
      </c>
      <c r="H2679" s="11">
        <v>159</v>
      </c>
      <c r="I2679" s="11">
        <v>0</v>
      </c>
      <c r="J2679" s="11">
        <v>0</v>
      </c>
      <c r="K2679" s="11" t="s">
        <v>21</v>
      </c>
      <c r="L2679" s="7">
        <v>39457.587592592594</v>
      </c>
      <c r="M2679" s="12" t="s">
        <v>4634</v>
      </c>
      <c r="N2679" s="12" t="s">
        <v>4635</v>
      </c>
      <c r="O2679" s="10" t="str">
        <f>HYPERLINK("https://pbs.twimg.com/profile_images/3498242825/e6d8e9f0a9af191ed520a843245b8b58_normal.jpeg","View")</f>
        <v>View</v>
      </c>
      <c r="P2679" s="11"/>
    </row>
    <row r="2680" spans="1:16" ht="12.75" x14ac:dyDescent="0.35">
      <c r="A2680" s="7">
        <v>42482.760208333333</v>
      </c>
      <c r="B2680" s="8" t="str">
        <f>HYPERLINK("https://twitter.com/dictaJet","@dictaJet")</f>
        <v>@dictaJet</v>
      </c>
      <c r="C2680" s="9" t="s">
        <v>2511</v>
      </c>
      <c r="D2680" s="9" t="s">
        <v>4636</v>
      </c>
      <c r="E2680" s="10" t="str">
        <f>HYPERLINK("https://twitter.com/dictaJet/status/723492727904722945","723492727904722945")</f>
        <v>723492727904722945</v>
      </c>
      <c r="F2680" s="11" t="s">
        <v>25</v>
      </c>
      <c r="G2680" s="11">
        <v>32</v>
      </c>
      <c r="H2680" s="11">
        <v>58</v>
      </c>
      <c r="I2680" s="11">
        <v>0</v>
      </c>
      <c r="J2680" s="11">
        <v>0</v>
      </c>
      <c r="K2680" s="11" t="s">
        <v>21</v>
      </c>
      <c r="L2680" s="7">
        <v>40521.771608796298</v>
      </c>
      <c r="M2680" s="12" t="s">
        <v>2513</v>
      </c>
      <c r="N2680" s="12" t="s">
        <v>2514</v>
      </c>
      <c r="O2680" s="10" t="str">
        <f>HYPERLINK("https://pbs.twimg.com/profile_images/3151814681/889304b58206053d6f22bd0b52344369_normal.jpeg","View")</f>
        <v>View</v>
      </c>
      <c r="P2680" s="11"/>
    </row>
    <row r="2681" spans="1:16" ht="12.75" x14ac:dyDescent="0.35">
      <c r="A2681" s="7">
        <v>42482.760497685187</v>
      </c>
      <c r="B2681" s="8" t="str">
        <f>HYPERLINK("https://twitter.com/TM20_de","@TM20_de")</f>
        <v>@TM20_de</v>
      </c>
      <c r="C2681" s="9" t="s">
        <v>4637</v>
      </c>
      <c r="D2681" s="9" t="s">
        <v>4638</v>
      </c>
      <c r="E2681" s="10" t="str">
        <f>HYPERLINK("https://twitter.com/TM20_de/status/723492830711308288","723492830711308288")</f>
        <v>723492830711308288</v>
      </c>
      <c r="F2681" s="11" t="s">
        <v>25</v>
      </c>
      <c r="G2681" s="11">
        <v>648</v>
      </c>
      <c r="H2681" s="11">
        <v>278</v>
      </c>
      <c r="I2681" s="11">
        <v>0</v>
      </c>
      <c r="J2681" s="11">
        <v>0</v>
      </c>
      <c r="K2681" s="11" t="s">
        <v>21</v>
      </c>
      <c r="L2681" s="7">
        <v>40324.693298611113</v>
      </c>
      <c r="M2681" s="12" t="s">
        <v>4639</v>
      </c>
      <c r="N2681" s="12" t="s">
        <v>4640</v>
      </c>
      <c r="O2681" s="10" t="str">
        <f>HYPERLINK("https://pbs.twimg.com/profile_images/474479144718176257/aarI9NP8_normal.jpeg","View")</f>
        <v>View</v>
      </c>
      <c r="P2681" s="11"/>
    </row>
    <row r="2682" spans="1:16" ht="12.75" x14ac:dyDescent="0.35">
      <c r="A2682" s="7">
        <v>42482.76053240741</v>
      </c>
      <c r="B2682" s="8" t="str">
        <f>HYPERLINK("https://twitter.com/BoschPresse","@BoschPresse")</f>
        <v>@BoschPresse</v>
      </c>
      <c r="C2682" s="9" t="s">
        <v>1782</v>
      </c>
      <c r="D2682" s="9" t="s">
        <v>4641</v>
      </c>
      <c r="E2682" s="10" t="str">
        <f>HYPERLINK("https://twitter.com/BoschPresse/status/723492844154019840","723492844154019840")</f>
        <v>723492844154019840</v>
      </c>
      <c r="F2682" s="11" t="s">
        <v>39</v>
      </c>
      <c r="G2682" s="11">
        <v>7567</v>
      </c>
      <c r="H2682" s="11">
        <v>389</v>
      </c>
      <c r="I2682" s="11">
        <v>0</v>
      </c>
      <c r="J2682" s="11">
        <v>0</v>
      </c>
      <c r="K2682" s="11" t="s">
        <v>21</v>
      </c>
      <c r="L2682" s="7">
        <v>40991.629687499997</v>
      </c>
      <c r="M2682" s="12" t="s">
        <v>162</v>
      </c>
      <c r="N2682" s="12" t="s">
        <v>1784</v>
      </c>
      <c r="O2682" s="10" t="str">
        <f>HYPERLINK("https://pbs.twimg.com/profile_images/2619086509/ld3z97zhhdbs2essw7s9_normal.jpeg","View")</f>
        <v>View</v>
      </c>
      <c r="P2682" s="11"/>
    </row>
    <row r="2683" spans="1:16" ht="12.75" x14ac:dyDescent="0.35">
      <c r="A2683" s="7">
        <v>42482.760555555556</v>
      </c>
      <c r="B2683" s="8" t="str">
        <f>HYPERLINK("https://twitter.com/CapgeminiDE","@CapgeminiDE")</f>
        <v>@CapgeminiDE</v>
      </c>
      <c r="C2683" s="9" t="s">
        <v>280</v>
      </c>
      <c r="D2683" s="9" t="s">
        <v>4642</v>
      </c>
      <c r="E2683" s="10" t="str">
        <f>HYPERLINK("https://twitter.com/CapgeminiDE/status/723492850969763840","723492850969763840")</f>
        <v>723492850969763840</v>
      </c>
      <c r="F2683" s="11" t="s">
        <v>39</v>
      </c>
      <c r="G2683" s="11">
        <v>1641</v>
      </c>
      <c r="H2683" s="11">
        <v>509</v>
      </c>
      <c r="I2683" s="11">
        <v>0</v>
      </c>
      <c r="J2683" s="11">
        <v>0</v>
      </c>
      <c r="K2683" s="11" t="s">
        <v>21</v>
      </c>
      <c r="L2683" s="7">
        <v>40424.022048611107</v>
      </c>
      <c r="M2683" s="12" t="s">
        <v>218</v>
      </c>
      <c r="N2683" s="12" t="s">
        <v>282</v>
      </c>
      <c r="O2683" s="10" t="str">
        <f>HYPERLINK("https://pbs.twimg.com/profile_images/666911961599315968/aP7ID_qm_normal.png","View")</f>
        <v>View</v>
      </c>
      <c r="P2683" s="11"/>
    </row>
    <row r="2684" spans="1:16" ht="12.75" x14ac:dyDescent="0.35">
      <c r="A2684" s="7">
        <v>42482.763715277775</v>
      </c>
      <c r="B2684" s="8" t="str">
        <f>HYPERLINK("https://twitter.com/LeanKnowledge","@LeanKnowledge")</f>
        <v>@LeanKnowledge</v>
      </c>
      <c r="C2684" s="9" t="s">
        <v>699</v>
      </c>
      <c r="D2684" s="9" t="s">
        <v>4643</v>
      </c>
      <c r="E2684" s="10" t="str">
        <f>HYPERLINK("https://twitter.com/LeanKnowledge/status/723493998892081152","723493998892081152")</f>
        <v>723493998892081152</v>
      </c>
      <c r="F2684" s="11" t="s">
        <v>25</v>
      </c>
      <c r="G2684" s="11">
        <v>89</v>
      </c>
      <c r="H2684" s="11">
        <v>36</v>
      </c>
      <c r="I2684" s="11">
        <v>0</v>
      </c>
      <c r="J2684" s="11">
        <v>0</v>
      </c>
      <c r="K2684" s="11" t="s">
        <v>21</v>
      </c>
      <c r="L2684" s="7">
        <v>42328.584224537037</v>
      </c>
      <c r="M2684" s="12" t="s">
        <v>92</v>
      </c>
      <c r="N2684" s="12" t="s">
        <v>701</v>
      </c>
      <c r="O2684" s="10" t="str">
        <f>HYPERLINK("https://pbs.twimg.com/profile_images/667622351345950720/HAHOiaMn_normal.jpg","View")</f>
        <v>View</v>
      </c>
      <c r="P2684" s="11"/>
    </row>
    <row r="2685" spans="1:16" ht="12.75" x14ac:dyDescent="0.35">
      <c r="A2685" s="7">
        <v>42482.764664351853</v>
      </c>
      <c r="B2685" s="8" t="str">
        <f>HYPERLINK("https://twitter.com/Databanque","@Databanque")</f>
        <v>@Databanque</v>
      </c>
      <c r="C2685" s="9" t="s">
        <v>1180</v>
      </c>
      <c r="D2685" s="9" t="s">
        <v>4644</v>
      </c>
      <c r="E2685" s="10" t="str">
        <f>HYPERLINK("https://twitter.com/Databanque/status/723494342292197376","723494342292197376")</f>
        <v>723494342292197376</v>
      </c>
      <c r="F2685" s="11" t="s">
        <v>25</v>
      </c>
      <c r="G2685" s="11">
        <v>266</v>
      </c>
      <c r="H2685" s="11">
        <v>610</v>
      </c>
      <c r="I2685" s="11">
        <v>0</v>
      </c>
      <c r="J2685" s="11">
        <v>0</v>
      </c>
      <c r="K2685" s="11" t="s">
        <v>21</v>
      </c>
      <c r="L2685" s="7">
        <v>39984.0387962963</v>
      </c>
      <c r="M2685" s="12" t="s">
        <v>1182</v>
      </c>
      <c r="N2685" s="12" t="s">
        <v>1183</v>
      </c>
      <c r="O2685" s="10" t="str">
        <f>HYPERLINK("https://pbs.twimg.com/profile_images/552211771360940032/CmEYO0l3_normal.png","View")</f>
        <v>View</v>
      </c>
      <c r="P2685" s="11"/>
    </row>
    <row r="2686" spans="1:16" ht="12.75" x14ac:dyDescent="0.35">
      <c r="A2686" s="7">
        <v>42482.765416666662</v>
      </c>
      <c r="B2686" s="8" t="str">
        <f>HYPERLINK("https://twitter.com/H_IT_D","@H_IT_D")</f>
        <v>@H_IT_D</v>
      </c>
      <c r="C2686" s="9" t="s">
        <v>159</v>
      </c>
      <c r="D2686" s="9" t="s">
        <v>4645</v>
      </c>
      <c r="E2686" s="10" t="str">
        <f>HYPERLINK("https://twitter.com/H_IT_D/status/723494613164515329","723494613164515329")</f>
        <v>723494613164515329</v>
      </c>
      <c r="F2686" s="11" t="s">
        <v>161</v>
      </c>
      <c r="G2686" s="11">
        <v>463</v>
      </c>
      <c r="H2686" s="11">
        <v>467</v>
      </c>
      <c r="I2686" s="11">
        <v>0</v>
      </c>
      <c r="J2686" s="11">
        <v>0</v>
      </c>
      <c r="K2686" s="11" t="s">
        <v>21</v>
      </c>
      <c r="L2686" s="7">
        <v>40723.867673611108</v>
      </c>
      <c r="M2686" s="12" t="s">
        <v>162</v>
      </c>
      <c r="N2686" s="12" t="s">
        <v>163</v>
      </c>
      <c r="O2686" s="10" t="str">
        <f>HYPERLINK("https://pbs.twimg.com/profile_images/662723326096224256/5V4KH9_O_normal.jpg","View")</f>
        <v>View</v>
      </c>
      <c r="P2686" s="11"/>
    </row>
    <row r="2687" spans="1:16" ht="12.75" x14ac:dyDescent="0.35">
      <c r="A2687" s="7">
        <v>42482.769259259258</v>
      </c>
      <c r="B2687" s="8" t="str">
        <f>HYPERLINK("https://twitter.com/Lean_john","@Lean_john")</f>
        <v>@Lean_john</v>
      </c>
      <c r="C2687" s="9" t="s">
        <v>705</v>
      </c>
      <c r="D2687" s="9" t="s">
        <v>4646</v>
      </c>
      <c r="E2687" s="10" t="str">
        <f>HYPERLINK("https://twitter.com/Lean_john/status/723496008156585984","723496008156585984")</f>
        <v>723496008156585984</v>
      </c>
      <c r="F2687" s="11" t="s">
        <v>222</v>
      </c>
      <c r="G2687" s="11">
        <v>725</v>
      </c>
      <c r="H2687" s="11">
        <v>398</v>
      </c>
      <c r="I2687" s="11">
        <v>0</v>
      </c>
      <c r="J2687" s="11">
        <v>0</v>
      </c>
      <c r="K2687" s="11" t="s">
        <v>21</v>
      </c>
      <c r="L2687" s="7">
        <v>40703.67690972222</v>
      </c>
      <c r="M2687" s="12" t="s">
        <v>162</v>
      </c>
      <c r="N2687" s="12" t="s">
        <v>707</v>
      </c>
      <c r="O2687" s="10" t="str">
        <f>HYPERLINK("https://pbs.twimg.com/profile_images/2181612837/Johann_normal.jpg","View")</f>
        <v>View</v>
      </c>
      <c r="P2687" s="11"/>
    </row>
    <row r="2688" spans="1:16" ht="12.75" x14ac:dyDescent="0.35">
      <c r="A2688" s="7">
        <v>42482.770277777774</v>
      </c>
      <c r="B2688" s="8" t="str">
        <f>HYPERLINK("https://twitter.com/Omni_ID","@Omni_ID")</f>
        <v>@Omni_ID</v>
      </c>
      <c r="C2688" s="9" t="s">
        <v>4647</v>
      </c>
      <c r="D2688" s="9" t="s">
        <v>4648</v>
      </c>
      <c r="E2688" s="10" t="str">
        <f>HYPERLINK("https://twitter.com/Omni_ID/status/723496377578184704","723496377578184704")</f>
        <v>723496377578184704</v>
      </c>
      <c r="F2688" s="11" t="s">
        <v>25</v>
      </c>
      <c r="G2688" s="11">
        <v>563</v>
      </c>
      <c r="H2688" s="11">
        <v>80</v>
      </c>
      <c r="I2688" s="11">
        <v>1</v>
      </c>
      <c r="J2688" s="11">
        <v>0</v>
      </c>
      <c r="K2688" s="11" t="s">
        <v>21</v>
      </c>
      <c r="L2688" s="7">
        <v>39878.202951388885</v>
      </c>
      <c r="M2688" s="12" t="s">
        <v>4649</v>
      </c>
      <c r="N2688" s="12" t="s">
        <v>4650</v>
      </c>
      <c r="O2688" s="10" t="str">
        <f>HYPERLINK("https://pbs.twimg.com/profile_images/594236137876525057/MDbVEVr-_normal.jpg","View")</f>
        <v>View</v>
      </c>
      <c r="P2688" s="11"/>
    </row>
    <row r="2689" spans="1:16" ht="12.75" x14ac:dyDescent="0.35">
      <c r="A2689" s="7">
        <v>42482.771053240736</v>
      </c>
      <c r="B2689" s="8" t="str">
        <f>HYPERLINK("https://twitter.com/verlinked","@verlinked")</f>
        <v>@verlinked</v>
      </c>
      <c r="C2689" s="9" t="s">
        <v>263</v>
      </c>
      <c r="D2689" s="9" t="s">
        <v>4651</v>
      </c>
      <c r="E2689" s="10" t="str">
        <f>HYPERLINK("https://twitter.com/verlinked/status/723496654955929601","723496654955929601")</f>
        <v>723496654955929601</v>
      </c>
      <c r="F2689" s="11" t="s">
        <v>115</v>
      </c>
      <c r="G2689" s="11">
        <v>600</v>
      </c>
      <c r="H2689" s="11">
        <v>1202</v>
      </c>
      <c r="I2689" s="11">
        <v>0</v>
      </c>
      <c r="J2689" s="11">
        <v>0</v>
      </c>
      <c r="K2689" s="11" t="s">
        <v>21</v>
      </c>
      <c r="L2689" s="7">
        <v>41463.077627314815</v>
      </c>
      <c r="M2689" s="12" t="s">
        <v>265</v>
      </c>
      <c r="N2689" s="12" t="s">
        <v>266</v>
      </c>
      <c r="O2689" s="10" t="str">
        <f>HYPERLINK("https://pbs.twimg.com/profile_images/722385992343285760/ww8YLZ2q_normal.jpg","View")</f>
        <v>View</v>
      </c>
      <c r="P2689" s="11"/>
    </row>
    <row r="2690" spans="1:16" ht="12.75" x14ac:dyDescent="0.35">
      <c r="A2690" s="7">
        <v>42482.771643518514</v>
      </c>
      <c r="B2690" s="8" t="str">
        <f t="shared" ref="B2690:B2691" si="334">HYPERLINK("https://twitter.com/INDIZbot","@INDIZbot")</f>
        <v>@INDIZbot</v>
      </c>
      <c r="C2690" s="9" t="s">
        <v>61</v>
      </c>
      <c r="D2690" s="9" t="s">
        <v>4652</v>
      </c>
      <c r="E2690" s="10" t="str">
        <f>HYPERLINK("https://twitter.com/INDIZbot/status/723496869448540160","723496869448540160")</f>
        <v>723496869448540160</v>
      </c>
      <c r="F2690" s="11" t="s">
        <v>62</v>
      </c>
      <c r="G2690" s="11">
        <v>1770</v>
      </c>
      <c r="H2690" s="11">
        <v>482</v>
      </c>
      <c r="I2690" s="11">
        <v>1</v>
      </c>
      <c r="J2690" s="11">
        <v>0</v>
      </c>
      <c r="K2690" s="11" t="s">
        <v>21</v>
      </c>
      <c r="L2690" s="7">
        <v>42267.011921296296</v>
      </c>
      <c r="M2690" s="12"/>
      <c r="N2690" s="12" t="s">
        <v>63</v>
      </c>
      <c r="O2690" s="10" t="str">
        <f t="shared" ref="O2690:O2691" si="335">HYPERLINK("https://pbs.twimg.com/profile_images/645716711723925506/t5G0qOS6_normal.jpg","View")</f>
        <v>View</v>
      </c>
      <c r="P2690" s="11"/>
    </row>
    <row r="2691" spans="1:16" ht="12.75" x14ac:dyDescent="0.35">
      <c r="A2691" s="7">
        <v>42482.772187499999</v>
      </c>
      <c r="B2691" s="8" t="str">
        <f t="shared" si="334"/>
        <v>@INDIZbot</v>
      </c>
      <c r="C2691" s="9" t="s">
        <v>61</v>
      </c>
      <c r="D2691" s="9" t="s">
        <v>4653</v>
      </c>
      <c r="E2691" s="10" t="str">
        <f>HYPERLINK("https://twitter.com/INDIZbot/status/723497067516145664","723497067516145664")</f>
        <v>723497067516145664</v>
      </c>
      <c r="F2691" s="11" t="s">
        <v>62</v>
      </c>
      <c r="G2691" s="11">
        <v>1770</v>
      </c>
      <c r="H2691" s="11">
        <v>482</v>
      </c>
      <c r="I2691" s="11">
        <v>2</v>
      </c>
      <c r="J2691" s="11">
        <v>0</v>
      </c>
      <c r="K2691" s="11" t="s">
        <v>21</v>
      </c>
      <c r="L2691" s="7">
        <v>42267.011921296296</v>
      </c>
      <c r="M2691" s="12"/>
      <c r="N2691" s="12" t="s">
        <v>63</v>
      </c>
      <c r="O2691" s="10" t="str">
        <f t="shared" si="335"/>
        <v>View</v>
      </c>
      <c r="P2691" s="11"/>
    </row>
    <row r="2692" spans="1:16" ht="12.75" x14ac:dyDescent="0.35">
      <c r="A2692" s="7">
        <v>42482.773113425923</v>
      </c>
      <c r="B2692" s="8" t="str">
        <f>HYPERLINK("https://twitter.com/Women_Digital","@Women_Digital")</f>
        <v>@Women_Digital</v>
      </c>
      <c r="C2692" s="9" t="s">
        <v>4654</v>
      </c>
      <c r="D2692" s="9" t="s">
        <v>4655</v>
      </c>
      <c r="E2692" s="10" t="str">
        <f>HYPERLINK("https://twitter.com/Women_Digital/status/723497402561388544","723497402561388544")</f>
        <v>723497402561388544</v>
      </c>
      <c r="F2692" s="11" t="s">
        <v>25</v>
      </c>
      <c r="G2692" s="11">
        <v>394</v>
      </c>
      <c r="H2692" s="11">
        <v>435</v>
      </c>
      <c r="I2692" s="11">
        <v>0</v>
      </c>
      <c r="J2692" s="11">
        <v>1</v>
      </c>
      <c r="K2692" s="11" t="s">
        <v>21</v>
      </c>
      <c r="L2692" s="7">
        <v>42394.068055555559</v>
      </c>
      <c r="M2692" s="12" t="s">
        <v>116</v>
      </c>
      <c r="N2692" s="12" t="s">
        <v>4656</v>
      </c>
      <c r="O2692" s="10" t="str">
        <f>HYPERLINK("https://pbs.twimg.com/profile_images/691353676179443712/kXg2h6SR_normal.jpg","View")</f>
        <v>View</v>
      </c>
      <c r="P2692" s="11"/>
    </row>
    <row r="2693" spans="1:16" ht="12.75" x14ac:dyDescent="0.35">
      <c r="A2693" s="7">
        <v>42482.776608796295</v>
      </c>
      <c r="B2693" s="8" t="str">
        <f>HYPERLINK("https://twitter.com/AdrianWeiler","@AdrianWeiler")</f>
        <v>@AdrianWeiler</v>
      </c>
      <c r="C2693" s="9" t="s">
        <v>1657</v>
      </c>
      <c r="D2693" s="9" t="s">
        <v>4657</v>
      </c>
      <c r="E2693" s="10" t="str">
        <f>HYPERLINK("https://twitter.com/AdrianWeiler/status/723498670524628992","723498670524628992")</f>
        <v>723498670524628992</v>
      </c>
      <c r="F2693" s="11" t="s">
        <v>25</v>
      </c>
      <c r="G2693" s="11">
        <v>186</v>
      </c>
      <c r="H2693" s="11">
        <v>163</v>
      </c>
      <c r="I2693" s="11">
        <v>0</v>
      </c>
      <c r="J2693" s="11">
        <v>0</v>
      </c>
      <c r="K2693" s="11" t="s">
        <v>21</v>
      </c>
      <c r="L2693" s="7">
        <v>42296.747245370367</v>
      </c>
      <c r="M2693" s="12" t="s">
        <v>127</v>
      </c>
      <c r="N2693" s="12" t="s">
        <v>1659</v>
      </c>
      <c r="O2693" s="10" t="str">
        <f>HYPERLINK("https://pbs.twimg.com/profile_images/656084414661840897/KVbUEpYC_normal.jpg","View")</f>
        <v>View</v>
      </c>
      <c r="P2693" s="11"/>
    </row>
    <row r="2694" spans="1:16" ht="12.75" x14ac:dyDescent="0.35">
      <c r="A2694" s="7">
        <v>42482.776863425926</v>
      </c>
      <c r="B2694" s="8" t="str">
        <f>HYPERLINK("https://twitter.com/centigradegmbh","@centigradegmbh")</f>
        <v>@centigradegmbh</v>
      </c>
      <c r="C2694" s="9" t="s">
        <v>4559</v>
      </c>
      <c r="D2694" s="9" t="s">
        <v>4658</v>
      </c>
      <c r="E2694" s="10" t="str">
        <f>HYPERLINK("https://twitter.com/centigradegmbh/status/723498762677706752","723498762677706752")</f>
        <v>723498762677706752</v>
      </c>
      <c r="F2694" s="11" t="s">
        <v>25</v>
      </c>
      <c r="G2694" s="11">
        <v>327</v>
      </c>
      <c r="H2694" s="11">
        <v>356</v>
      </c>
      <c r="I2694" s="11">
        <v>1</v>
      </c>
      <c r="J2694" s="11">
        <v>0</v>
      </c>
      <c r="K2694" s="11" t="s">
        <v>21</v>
      </c>
      <c r="L2694" s="7">
        <v>40556.727939814817</v>
      </c>
      <c r="M2694" s="12" t="s">
        <v>2451</v>
      </c>
      <c r="N2694" s="12" t="s">
        <v>4560</v>
      </c>
      <c r="O2694" s="10" t="str">
        <f>HYPERLINK("https://pbs.twimg.com/profile_images/481333142238679040/ErykRvBG_normal.png","View")</f>
        <v>View</v>
      </c>
      <c r="P2694" s="11"/>
    </row>
    <row r="2695" spans="1:16" ht="12.75" x14ac:dyDescent="0.35">
      <c r="A2695" s="7">
        <v>42482.777511574073</v>
      </c>
      <c r="B2695" s="8" t="str">
        <f>HYPERLINK("https://twitter.com/AutotaskGmbH","@AutotaskGmbH")</f>
        <v>@AutotaskGmbH</v>
      </c>
      <c r="C2695" s="9" t="s">
        <v>574</v>
      </c>
      <c r="D2695" s="9" t="s">
        <v>3588</v>
      </c>
      <c r="E2695" s="10" t="str">
        <f>HYPERLINK("https://twitter.com/AutotaskGmbH/status/723498995079909377","723498995079909377")</f>
        <v>723498995079909377</v>
      </c>
      <c r="F2695" s="11" t="s">
        <v>25</v>
      </c>
      <c r="G2695" s="11">
        <v>798</v>
      </c>
      <c r="H2695" s="11">
        <v>533</v>
      </c>
      <c r="I2695" s="11">
        <v>25</v>
      </c>
      <c r="J2695" s="11">
        <v>0</v>
      </c>
      <c r="K2695" s="11" t="s">
        <v>21</v>
      </c>
      <c r="L2695" s="7">
        <v>41439.735335648147</v>
      </c>
      <c r="M2695" s="12" t="s">
        <v>575</v>
      </c>
      <c r="N2695" s="12" t="s">
        <v>576</v>
      </c>
      <c r="O2695" s="10" t="str">
        <f>HYPERLINK("https://pbs.twimg.com/profile_images/469841276188098560/7H13R02s_normal.jpeg","View")</f>
        <v>View</v>
      </c>
      <c r="P2695" s="11"/>
    </row>
    <row r="2696" spans="1:16" ht="12.75" x14ac:dyDescent="0.35">
      <c r="A2696" s="7">
        <v>42482.777870370366</v>
      </c>
      <c r="B2696" s="8" t="str">
        <f>HYPERLINK("https://twitter.com/dutchhts","@dutchhts")</f>
        <v>@dutchhts</v>
      </c>
      <c r="C2696" s="9" t="s">
        <v>692</v>
      </c>
      <c r="D2696" s="9" t="s">
        <v>4659</v>
      </c>
      <c r="E2696" s="10" t="str">
        <f>HYPERLINK("https://twitter.com/dutchhts/status/723499125048762368","723499125048762368")</f>
        <v>723499125048762368</v>
      </c>
      <c r="F2696" s="11" t="s">
        <v>39</v>
      </c>
      <c r="G2696" s="11">
        <v>2848</v>
      </c>
      <c r="H2696" s="11">
        <v>2469</v>
      </c>
      <c r="I2696" s="11">
        <v>1</v>
      </c>
      <c r="J2696" s="11">
        <v>0</v>
      </c>
      <c r="K2696" s="11" t="s">
        <v>21</v>
      </c>
      <c r="L2696" s="7">
        <v>40523.812465277777</v>
      </c>
      <c r="M2696" s="12" t="s">
        <v>694</v>
      </c>
      <c r="N2696" s="12" t="s">
        <v>695</v>
      </c>
      <c r="O2696" s="10" t="str">
        <f>HYPERLINK("https://pbs.twimg.com/profile_images/523906834000650242/-PpDUEnV_normal.jpeg","View")</f>
        <v>View</v>
      </c>
      <c r="P2696" s="11"/>
    </row>
    <row r="2697" spans="1:16" ht="12.75" x14ac:dyDescent="0.35">
      <c r="A2697" s="7">
        <v>42482.777928240743</v>
      </c>
      <c r="B2697" s="8" t="str">
        <f>HYPERLINK("https://twitter.com/BoschPresse","@BoschPresse")</f>
        <v>@BoschPresse</v>
      </c>
      <c r="C2697" s="9" t="s">
        <v>1782</v>
      </c>
      <c r="D2697" s="9" t="s">
        <v>4660</v>
      </c>
      <c r="E2697" s="10" t="str">
        <f>HYPERLINK("https://twitter.com/BoschPresse/status/723499149010804737","723499149010804737")</f>
        <v>723499149010804737</v>
      </c>
      <c r="F2697" s="11" t="s">
        <v>39</v>
      </c>
      <c r="G2697" s="11">
        <v>7567</v>
      </c>
      <c r="H2697" s="11">
        <v>389</v>
      </c>
      <c r="I2697" s="11">
        <v>1</v>
      </c>
      <c r="J2697" s="11">
        <v>0</v>
      </c>
      <c r="K2697" s="11" t="s">
        <v>21</v>
      </c>
      <c r="L2697" s="7">
        <v>40991.629687499997</v>
      </c>
      <c r="M2697" s="12" t="s">
        <v>162</v>
      </c>
      <c r="N2697" s="12" t="s">
        <v>1784</v>
      </c>
      <c r="O2697" s="10" t="str">
        <f>HYPERLINK("https://pbs.twimg.com/profile_images/2619086509/ld3z97zhhdbs2essw7s9_normal.jpeg","View")</f>
        <v>View</v>
      </c>
      <c r="P2697" s="11"/>
    </row>
    <row r="2698" spans="1:16" ht="12.75" x14ac:dyDescent="0.35">
      <c r="A2698" s="7">
        <v>42482.778287037036</v>
      </c>
      <c r="B2698" s="8" t="str">
        <f t="shared" ref="B2698:B2699" si="336">HYPERLINK("https://twitter.com/CapgeminiDE","@CapgeminiDE")</f>
        <v>@CapgeminiDE</v>
      </c>
      <c r="C2698" s="9" t="s">
        <v>280</v>
      </c>
      <c r="D2698" s="9" t="s">
        <v>4661</v>
      </c>
      <c r="E2698" s="10" t="str">
        <f>HYPERLINK("https://twitter.com/CapgeminiDE/status/723499277113282560","723499277113282560")</f>
        <v>723499277113282560</v>
      </c>
      <c r="F2698" s="11" t="s">
        <v>39</v>
      </c>
      <c r="G2698" s="11">
        <v>1641</v>
      </c>
      <c r="H2698" s="11">
        <v>509</v>
      </c>
      <c r="I2698" s="11">
        <v>1</v>
      </c>
      <c r="J2698" s="11">
        <v>0</v>
      </c>
      <c r="K2698" s="11" t="s">
        <v>21</v>
      </c>
      <c r="L2698" s="7">
        <v>40424.022048611107</v>
      </c>
      <c r="M2698" s="12" t="s">
        <v>218</v>
      </c>
      <c r="N2698" s="12" t="s">
        <v>282</v>
      </c>
      <c r="O2698" s="10" t="str">
        <f t="shared" ref="O2698:O2699" si="337">HYPERLINK("https://pbs.twimg.com/profile_images/666911961599315968/aP7ID_qm_normal.png","View")</f>
        <v>View</v>
      </c>
      <c r="P2698" s="11"/>
    </row>
    <row r="2699" spans="1:16" ht="12.75" x14ac:dyDescent="0.35">
      <c r="A2699" s="7">
        <v>42482.77853009259</v>
      </c>
      <c r="B2699" s="8" t="str">
        <f t="shared" si="336"/>
        <v>@CapgeminiDE</v>
      </c>
      <c r="C2699" s="9" t="s">
        <v>280</v>
      </c>
      <c r="D2699" s="9" t="s">
        <v>4662</v>
      </c>
      <c r="E2699" s="10" t="str">
        <f>HYPERLINK("https://twitter.com/CapgeminiDE/status/723499367160754176","723499367160754176")</f>
        <v>723499367160754176</v>
      </c>
      <c r="F2699" s="11" t="s">
        <v>39</v>
      </c>
      <c r="G2699" s="11">
        <v>1641</v>
      </c>
      <c r="H2699" s="11">
        <v>509</v>
      </c>
      <c r="I2699" s="11">
        <v>0</v>
      </c>
      <c r="J2699" s="11">
        <v>0</v>
      </c>
      <c r="K2699" s="11" t="s">
        <v>21</v>
      </c>
      <c r="L2699" s="7">
        <v>40424.022048611107</v>
      </c>
      <c r="M2699" s="12" t="s">
        <v>218</v>
      </c>
      <c r="N2699" s="12" t="s">
        <v>282</v>
      </c>
      <c r="O2699" s="10" t="str">
        <f t="shared" si="337"/>
        <v>View</v>
      </c>
      <c r="P2699" s="11"/>
    </row>
    <row r="2700" spans="1:16" ht="12.75" x14ac:dyDescent="0.35">
      <c r="A2700" s="7">
        <v>42482.778587962966</v>
      </c>
      <c r="B2700" s="8" t="str">
        <f>HYPERLINK("https://twitter.com/INDIZbot","@INDIZbot")</f>
        <v>@INDIZbot</v>
      </c>
      <c r="C2700" s="9" t="s">
        <v>61</v>
      </c>
      <c r="D2700" s="9" t="s">
        <v>4663</v>
      </c>
      <c r="E2700" s="10" t="str">
        <f>HYPERLINK("https://twitter.com/INDIZbot/status/723499388434284544","723499388434284544")</f>
        <v>723499388434284544</v>
      </c>
      <c r="F2700" s="11" t="s">
        <v>62</v>
      </c>
      <c r="G2700" s="11">
        <v>1770</v>
      </c>
      <c r="H2700" s="11">
        <v>482</v>
      </c>
      <c r="I2700" s="11">
        <v>1</v>
      </c>
      <c r="J2700" s="11">
        <v>0</v>
      </c>
      <c r="K2700" s="11" t="s">
        <v>21</v>
      </c>
      <c r="L2700" s="7">
        <v>42267.011921296296</v>
      </c>
      <c r="M2700" s="12"/>
      <c r="N2700" s="12" t="s">
        <v>63</v>
      </c>
      <c r="O2700" s="10" t="str">
        <f>HYPERLINK("https://pbs.twimg.com/profile_images/645716711723925506/t5G0qOS6_normal.jpg","View")</f>
        <v>View</v>
      </c>
      <c r="P2700" s="11"/>
    </row>
    <row r="2701" spans="1:16" ht="12.75" x14ac:dyDescent="0.35">
      <c r="A2701" s="7">
        <v>42482.778599537036</v>
      </c>
      <c r="B2701" s="8" t="str">
        <f>HYPERLINK("https://twitter.com/Dr_RobertFreund","@Dr_RobertFreund")</f>
        <v>@Dr_RobertFreund</v>
      </c>
      <c r="C2701" s="9" t="s">
        <v>1209</v>
      </c>
      <c r="D2701" s="9" t="s">
        <v>4653</v>
      </c>
      <c r="E2701" s="10" t="str">
        <f>HYPERLINK("https://twitter.com/Dr_RobertFreund/status/723499390892126209","723499390892126209")</f>
        <v>723499390892126209</v>
      </c>
      <c r="F2701" s="11" t="s">
        <v>25</v>
      </c>
      <c r="G2701" s="11">
        <v>443</v>
      </c>
      <c r="H2701" s="11">
        <v>1003</v>
      </c>
      <c r="I2701" s="11">
        <v>2</v>
      </c>
      <c r="J2701" s="11">
        <v>0</v>
      </c>
      <c r="K2701" s="11" t="s">
        <v>21</v>
      </c>
      <c r="L2701" s="7">
        <v>41933.632627314815</v>
      </c>
      <c r="M2701" s="12"/>
      <c r="N2701" s="12" t="s">
        <v>1211</v>
      </c>
      <c r="O2701" s="10" t="str">
        <f>HYPERLINK("https://pbs.twimg.com/profile_images/524497009311354882/cGr5KIAg_normal.jpeg","View")</f>
        <v>View</v>
      </c>
      <c r="P2701" s="11"/>
    </row>
    <row r="2702" spans="1:16" ht="12.75" x14ac:dyDescent="0.35">
      <c r="A2702" s="7">
        <v>42482.778912037036</v>
      </c>
      <c r="B2702" s="8" t="str">
        <f>HYPERLINK("https://twitter.com/INDIZbot","@INDIZbot")</f>
        <v>@INDIZbot</v>
      </c>
      <c r="C2702" s="9" t="s">
        <v>61</v>
      </c>
      <c r="D2702" s="9" t="s">
        <v>4664</v>
      </c>
      <c r="E2702" s="10" t="str">
        <f>HYPERLINK("https://twitter.com/INDIZbot/status/723499506432630784","723499506432630784")</f>
        <v>723499506432630784</v>
      </c>
      <c r="F2702" s="11" t="s">
        <v>62</v>
      </c>
      <c r="G2702" s="11">
        <v>1770</v>
      </c>
      <c r="H2702" s="11">
        <v>482</v>
      </c>
      <c r="I2702" s="11">
        <v>1</v>
      </c>
      <c r="J2702" s="11">
        <v>0</v>
      </c>
      <c r="K2702" s="11" t="s">
        <v>21</v>
      </c>
      <c r="L2702" s="7">
        <v>42267.011921296296</v>
      </c>
      <c r="M2702" s="12"/>
      <c r="N2702" s="12" t="s">
        <v>63</v>
      </c>
      <c r="O2702" s="10" t="str">
        <f>HYPERLINK("https://pbs.twimg.com/profile_images/645716711723925506/t5G0qOS6_normal.jpg","View")</f>
        <v>View</v>
      </c>
      <c r="P2702" s="11"/>
    </row>
    <row r="2703" spans="1:16" ht="12.75" x14ac:dyDescent="0.35">
      <c r="A2703" s="7">
        <v>42482.779606481483</v>
      </c>
      <c r="B2703" s="8" t="str">
        <f>HYPERLINK("https://twitter.com/IEMS_UniFR","@IEMS_UniFR")</f>
        <v>@IEMS_UniFR</v>
      </c>
      <c r="C2703" s="9" t="s">
        <v>4665</v>
      </c>
      <c r="D2703" s="9" t="s">
        <v>4666</v>
      </c>
      <c r="E2703" s="10" t="str">
        <f>HYPERLINK("https://twitter.com/IEMS_UniFR/status/723499758220894208","723499758220894208")</f>
        <v>723499758220894208</v>
      </c>
      <c r="F2703" s="11" t="s">
        <v>59</v>
      </c>
      <c r="G2703" s="11">
        <v>92</v>
      </c>
      <c r="H2703" s="11">
        <v>123</v>
      </c>
      <c r="I2703" s="11">
        <v>0</v>
      </c>
      <c r="J2703" s="11">
        <v>0</v>
      </c>
      <c r="K2703" s="11" t="s">
        <v>21</v>
      </c>
      <c r="L2703" s="7">
        <v>40344.582881944443</v>
      </c>
      <c r="M2703" s="12" t="s">
        <v>1207</v>
      </c>
      <c r="N2703" s="12" t="s">
        <v>4667</v>
      </c>
      <c r="O2703" s="10" t="str">
        <f>HYPERLINK("https://pbs.twimg.com/profile_images/477019775843852288/kSR5GfEE_normal.png","View")</f>
        <v>View</v>
      </c>
      <c r="P2703" s="11"/>
    </row>
    <row r="2704" spans="1:16" ht="12.75" x14ac:dyDescent="0.35">
      <c r="A2704" s="7">
        <v>42482.782326388886</v>
      </c>
      <c r="B2704" s="8" t="str">
        <f>HYPERLINK("https://twitter.com/TanjCar","@TanjCar")</f>
        <v>@TanjCar</v>
      </c>
      <c r="C2704" s="9" t="s">
        <v>4668</v>
      </c>
      <c r="D2704" s="9" t="s">
        <v>4323</v>
      </c>
      <c r="E2704" s="10" t="str">
        <f>HYPERLINK("https://twitter.com/TanjCar/status/723500742401757185","723500742401757185")</f>
        <v>723500742401757185</v>
      </c>
      <c r="F2704" s="11" t="s">
        <v>25</v>
      </c>
      <c r="G2704" s="11">
        <v>302</v>
      </c>
      <c r="H2704" s="11">
        <v>332</v>
      </c>
      <c r="I2704" s="11">
        <v>4</v>
      </c>
      <c r="J2704" s="11">
        <v>0</v>
      </c>
      <c r="K2704" s="11" t="s">
        <v>21</v>
      </c>
      <c r="L2704" s="7">
        <v>40003.862546296295</v>
      </c>
      <c r="M2704" s="12" t="s">
        <v>549</v>
      </c>
      <c r="N2704" s="12" t="s">
        <v>4669</v>
      </c>
      <c r="O2704" s="10" t="str">
        <f>HYPERLINK("https://pbs.twimg.com/profile_images/1014679263/tc_normal.png","View")</f>
        <v>View</v>
      </c>
      <c r="P2704" s="11"/>
    </row>
    <row r="2705" spans="1:16" ht="12.75" x14ac:dyDescent="0.35">
      <c r="A2705" s="7">
        <v>42482.784108796295</v>
      </c>
      <c r="B2705" s="8" t="str">
        <f>HYPERLINK("https://twitter.com/SilkeSt","@SilkeSt")</f>
        <v>@SilkeSt</v>
      </c>
      <c r="C2705" s="9" t="s">
        <v>4670</v>
      </c>
      <c r="D2705" s="9" t="s">
        <v>4543</v>
      </c>
      <c r="E2705" s="10" t="str">
        <f>HYPERLINK("https://twitter.com/SilkeSt/status/723501386969833472","723501386969833472")</f>
        <v>723501386969833472</v>
      </c>
      <c r="F2705" s="11" t="s">
        <v>31</v>
      </c>
      <c r="G2705" s="11">
        <v>1999</v>
      </c>
      <c r="H2705" s="11">
        <v>2383</v>
      </c>
      <c r="I2705" s="11">
        <v>14</v>
      </c>
      <c r="J2705" s="11">
        <v>0</v>
      </c>
      <c r="K2705" s="11" t="s">
        <v>21</v>
      </c>
      <c r="L2705" s="7">
        <v>40340.573125000003</v>
      </c>
      <c r="M2705" s="12" t="s">
        <v>443</v>
      </c>
      <c r="N2705" s="12" t="s">
        <v>4671</v>
      </c>
      <c r="O2705" s="10" t="str">
        <f>HYPERLINK("https://pbs.twimg.com/profile_images/413592922592792576/9Dg2RiEm_normal.jpeg","View")</f>
        <v>View</v>
      </c>
      <c r="P2705" s="11"/>
    </row>
    <row r="2706" spans="1:16" ht="12.75" x14ac:dyDescent="0.35">
      <c r="A2706" s="7">
        <v>42482.785543981481</v>
      </c>
      <c r="B2706" s="8" t="str">
        <f t="shared" ref="B2706:B2707" si="338">HYPERLINK("https://twitter.com/INDIZbot","@INDIZbot")</f>
        <v>@INDIZbot</v>
      </c>
      <c r="C2706" s="9" t="s">
        <v>61</v>
      </c>
      <c r="D2706" s="9" t="s">
        <v>4543</v>
      </c>
      <c r="E2706" s="10" t="str">
        <f>HYPERLINK("https://twitter.com/INDIZbot/status/723501905863925760","723501905863925760")</f>
        <v>723501905863925760</v>
      </c>
      <c r="F2706" s="11" t="s">
        <v>62</v>
      </c>
      <c r="G2706" s="11">
        <v>1770</v>
      </c>
      <c r="H2706" s="11">
        <v>482</v>
      </c>
      <c r="I2706" s="11">
        <v>14</v>
      </c>
      <c r="J2706" s="11">
        <v>0</v>
      </c>
      <c r="K2706" s="11" t="s">
        <v>21</v>
      </c>
      <c r="L2706" s="7">
        <v>42267.011921296296</v>
      </c>
      <c r="M2706" s="12"/>
      <c r="N2706" s="12" t="s">
        <v>63</v>
      </c>
      <c r="O2706" s="10" t="str">
        <f t="shared" ref="O2706:O2707" si="339">HYPERLINK("https://pbs.twimg.com/profile_images/645716711723925506/t5G0qOS6_normal.jpg","View")</f>
        <v>View</v>
      </c>
      <c r="P2706" s="11"/>
    </row>
    <row r="2707" spans="1:16" ht="12.75" x14ac:dyDescent="0.35">
      <c r="A2707" s="7">
        <v>42482.785844907412</v>
      </c>
      <c r="B2707" s="8" t="str">
        <f t="shared" si="338"/>
        <v>@INDIZbot</v>
      </c>
      <c r="C2707" s="9" t="s">
        <v>61</v>
      </c>
      <c r="D2707" s="9" t="s">
        <v>4323</v>
      </c>
      <c r="E2707" s="10" t="str">
        <f>HYPERLINK("https://twitter.com/INDIZbot/status/723502018531364864","723502018531364864")</f>
        <v>723502018531364864</v>
      </c>
      <c r="F2707" s="11" t="s">
        <v>62</v>
      </c>
      <c r="G2707" s="11">
        <v>1770</v>
      </c>
      <c r="H2707" s="11">
        <v>482</v>
      </c>
      <c r="I2707" s="11">
        <v>4</v>
      </c>
      <c r="J2707" s="11">
        <v>0</v>
      </c>
      <c r="K2707" s="11" t="s">
        <v>21</v>
      </c>
      <c r="L2707" s="7">
        <v>42267.011921296296</v>
      </c>
      <c r="M2707" s="12"/>
      <c r="N2707" s="12" t="s">
        <v>63</v>
      </c>
      <c r="O2707" s="10" t="str">
        <f t="shared" si="339"/>
        <v>View</v>
      </c>
      <c r="P2707" s="11"/>
    </row>
    <row r="2708" spans="1:16" ht="12.75" x14ac:dyDescent="0.35">
      <c r="A2708" s="7">
        <v>42482.793993055559</v>
      </c>
      <c r="B2708" s="8" t="str">
        <f>HYPERLINK("https://twitter.com/aconext","@aconext")</f>
        <v>@aconext</v>
      </c>
      <c r="C2708" s="9" t="s">
        <v>4672</v>
      </c>
      <c r="D2708" s="9" t="s">
        <v>4411</v>
      </c>
      <c r="E2708" s="10" t="str">
        <f>HYPERLINK("https://twitter.com/aconext/status/723504970260197377","723504970260197377")</f>
        <v>723504970260197377</v>
      </c>
      <c r="F2708" s="11" t="s">
        <v>39</v>
      </c>
      <c r="G2708" s="11">
        <v>67</v>
      </c>
      <c r="H2708" s="11">
        <v>218</v>
      </c>
      <c r="I2708" s="11">
        <v>4</v>
      </c>
      <c r="J2708" s="11">
        <v>0</v>
      </c>
      <c r="K2708" s="11" t="s">
        <v>21</v>
      </c>
      <c r="L2708" s="7">
        <v>41925.954409722224</v>
      </c>
      <c r="M2708" s="12" t="s">
        <v>121</v>
      </c>
      <c r="N2708" s="12" t="s">
        <v>4673</v>
      </c>
      <c r="O2708" s="10" t="str">
        <f>HYPERLINK("https://pbs.twimg.com/profile_images/588277189575049216/xVVXgnJQ_normal.jpg","View")</f>
        <v>View</v>
      </c>
      <c r="P2708" s="11"/>
    </row>
    <row r="2709" spans="1:16" ht="12.75" x14ac:dyDescent="0.35">
      <c r="A2709" s="7">
        <v>42482.79886574074</v>
      </c>
      <c r="B2709" s="8" t="str">
        <f>HYPERLINK("https://twitter.com/DeviceInsight_","@DeviceInsight_")</f>
        <v>@DeviceInsight_</v>
      </c>
      <c r="C2709" s="9" t="s">
        <v>4674</v>
      </c>
      <c r="D2709" s="9" t="s">
        <v>3588</v>
      </c>
      <c r="E2709" s="10" t="str">
        <f>HYPERLINK("https://twitter.com/DeviceInsight_/status/723506735768580096","723506735768580096")</f>
        <v>723506735768580096</v>
      </c>
      <c r="F2709" s="11" t="s">
        <v>25</v>
      </c>
      <c r="G2709" s="11">
        <v>52</v>
      </c>
      <c r="H2709" s="11">
        <v>126</v>
      </c>
      <c r="I2709" s="11">
        <v>26</v>
      </c>
      <c r="J2709" s="11">
        <v>0</v>
      </c>
      <c r="K2709" s="11" t="s">
        <v>21</v>
      </c>
      <c r="L2709" s="7">
        <v>42398.631863425922</v>
      </c>
      <c r="M2709" s="12" t="s">
        <v>440</v>
      </c>
      <c r="N2709" s="12" t="s">
        <v>4675</v>
      </c>
      <c r="O2709" s="10" t="str">
        <f>HYPERLINK("https://pbs.twimg.com/profile_images/693009707628244992/jiyXFGci_normal.jpg","View")</f>
        <v>View</v>
      </c>
      <c r="P2709" s="11"/>
    </row>
    <row r="2710" spans="1:16" ht="12.75" x14ac:dyDescent="0.35">
      <c r="A2710" s="7">
        <v>42482.80064814815</v>
      </c>
      <c r="B2710" s="8" t="str">
        <f>HYPERLINK("https://twitter.com/Bitkom","@Bitkom")</f>
        <v>@Bitkom</v>
      </c>
      <c r="C2710" s="9" t="s">
        <v>216</v>
      </c>
      <c r="D2710" s="9" t="s">
        <v>4676</v>
      </c>
      <c r="E2710" s="10" t="str">
        <f>HYPERLINK("https://twitter.com/Bitkom/status/723507381552951296","723507381552951296")</f>
        <v>723507381552951296</v>
      </c>
      <c r="F2710" s="11" t="s">
        <v>25</v>
      </c>
      <c r="G2710" s="11">
        <v>21106</v>
      </c>
      <c r="H2710" s="11">
        <v>3344</v>
      </c>
      <c r="I2710" s="11">
        <v>0</v>
      </c>
      <c r="J2710" s="11">
        <v>0</v>
      </c>
      <c r="K2710" s="11" t="s">
        <v>21</v>
      </c>
      <c r="L2710" s="7">
        <v>39757.913229166668</v>
      </c>
      <c r="M2710" s="12" t="s">
        <v>218</v>
      </c>
      <c r="N2710" s="12" t="s">
        <v>219</v>
      </c>
      <c r="O2710" s="10" t="str">
        <f>HYPERLINK("https://pbs.twimg.com/profile_images/615797525040136192/CKF9-v_o_normal.jpg","View")</f>
        <v>View</v>
      </c>
      <c r="P2710" s="11"/>
    </row>
    <row r="2711" spans="1:16" ht="12.75" x14ac:dyDescent="0.35">
      <c r="A2711" s="7">
        <v>42482.805219907408</v>
      </c>
      <c r="B2711" s="8" t="str">
        <f>HYPERLINK("https://twitter.com/betarepublik","@betarepublik")</f>
        <v>@betarepublik</v>
      </c>
      <c r="C2711" s="9" t="s">
        <v>4677</v>
      </c>
      <c r="D2711" s="9" t="s">
        <v>4678</v>
      </c>
      <c r="E2711" s="10" t="str">
        <f>HYPERLINK("https://twitter.com/betarepublik/status/723509039909470208","723509039909470208")</f>
        <v>723509039909470208</v>
      </c>
      <c r="F2711" s="11" t="s">
        <v>39</v>
      </c>
      <c r="G2711" s="11">
        <v>171</v>
      </c>
      <c r="H2711" s="11">
        <v>89</v>
      </c>
      <c r="I2711" s="11">
        <v>2</v>
      </c>
      <c r="J2711" s="11">
        <v>0</v>
      </c>
      <c r="K2711" s="11" t="s">
        <v>21</v>
      </c>
      <c r="L2711" s="7">
        <v>42459.766597222224</v>
      </c>
      <c r="M2711" s="12" t="s">
        <v>92</v>
      </c>
      <c r="N2711" s="12" t="s">
        <v>4679</v>
      </c>
      <c r="O2711" s="10" t="str">
        <f>HYPERLINK("https://pbs.twimg.com/profile_images/721268538196013056/mz3VcLa4_normal.jpg","View")</f>
        <v>View</v>
      </c>
      <c r="P2711" s="11"/>
    </row>
    <row r="2712" spans="1:16" ht="12.75" x14ac:dyDescent="0.35">
      <c r="A2712" s="7">
        <v>42482.805509259255</v>
      </c>
      <c r="B2712" s="8" t="str">
        <f>HYPERLINK("https://twitter.com/BubalPresidente","@BubalPresidente")</f>
        <v>@BubalPresidente</v>
      </c>
      <c r="C2712" s="9" t="s">
        <v>4680</v>
      </c>
      <c r="D2712" s="9" t="s">
        <v>4681</v>
      </c>
      <c r="E2712" s="10" t="str">
        <f>HYPERLINK("https://twitter.com/BubalPresidente/status/723509142665744384","723509142665744384")</f>
        <v>723509142665744384</v>
      </c>
      <c r="F2712" s="11" t="s">
        <v>4682</v>
      </c>
      <c r="G2712" s="11">
        <v>81</v>
      </c>
      <c r="H2712" s="11">
        <v>150</v>
      </c>
      <c r="I2712" s="11">
        <v>2</v>
      </c>
      <c r="J2712" s="11">
        <v>0</v>
      </c>
      <c r="K2712" s="11" t="s">
        <v>21</v>
      </c>
      <c r="L2712" s="7">
        <v>40957.035196759258</v>
      </c>
      <c r="M2712" s="12" t="s">
        <v>4683</v>
      </c>
      <c r="N2712" s="12" t="s">
        <v>4684</v>
      </c>
      <c r="O2712" s="10" t="str">
        <f>HYPERLINK("https://pbs.twimg.com/profile_images/707638570073374720/FcG2ig2h_normal.jpg","View")</f>
        <v>View</v>
      </c>
      <c r="P2712" s="11"/>
    </row>
    <row r="2713" spans="1:16" ht="12.75" x14ac:dyDescent="0.35">
      <c r="A2713" s="7">
        <v>42482.806261574078</v>
      </c>
      <c r="B2713" s="8" t="str">
        <f>HYPERLINK("https://twitter.com/TijenOnaran","@TijenOnaran")</f>
        <v>@TijenOnaran</v>
      </c>
      <c r="C2713" s="9" t="s">
        <v>4685</v>
      </c>
      <c r="D2713" s="9" t="s">
        <v>4686</v>
      </c>
      <c r="E2713" s="10" t="str">
        <f>HYPERLINK("https://twitter.com/TijenOnaran/status/723509415949799424","723509415949799424")</f>
        <v>723509415949799424</v>
      </c>
      <c r="F2713" s="11" t="s">
        <v>1491</v>
      </c>
      <c r="G2713" s="11">
        <v>905</v>
      </c>
      <c r="H2713" s="11">
        <v>1167</v>
      </c>
      <c r="I2713" s="11">
        <v>1</v>
      </c>
      <c r="J2713" s="11">
        <v>0</v>
      </c>
      <c r="K2713" s="11" t="s">
        <v>21</v>
      </c>
      <c r="L2713" s="7">
        <v>41933.001192129632</v>
      </c>
      <c r="M2713" s="12" t="s">
        <v>218</v>
      </c>
      <c r="N2713" s="12" t="s">
        <v>4687</v>
      </c>
      <c r="O2713" s="10" t="str">
        <f>HYPERLINK("https://pbs.twimg.com/profile_images/524268834442989568/3ERK2Ubo_normal.jpeg","View")</f>
        <v>View</v>
      </c>
      <c r="P2713" s="11"/>
    </row>
    <row r="2714" spans="1:16" ht="12.75" x14ac:dyDescent="0.35">
      <c r="A2714" s="7">
        <v>42482.806354166663</v>
      </c>
      <c r="B2714" s="8" t="str">
        <f>HYPERLINK("https://twitter.com/INDIZbot","@INDIZbot")</f>
        <v>@INDIZbot</v>
      </c>
      <c r="C2714" s="9" t="s">
        <v>61</v>
      </c>
      <c r="D2714" s="9" t="s">
        <v>4681</v>
      </c>
      <c r="E2714" s="10" t="str">
        <f>HYPERLINK("https://twitter.com/INDIZbot/status/723509450775093251","723509450775093251")</f>
        <v>723509450775093251</v>
      </c>
      <c r="F2714" s="11" t="s">
        <v>62</v>
      </c>
      <c r="G2714" s="11">
        <v>1769</v>
      </c>
      <c r="H2714" s="11">
        <v>482</v>
      </c>
      <c r="I2714" s="11">
        <v>2</v>
      </c>
      <c r="J2714" s="11">
        <v>0</v>
      </c>
      <c r="K2714" s="11" t="s">
        <v>21</v>
      </c>
      <c r="L2714" s="7">
        <v>42267.011921296296</v>
      </c>
      <c r="M2714" s="12"/>
      <c r="N2714" s="12" t="s">
        <v>63</v>
      </c>
      <c r="O2714" s="10" t="str">
        <f>HYPERLINK("https://pbs.twimg.com/profile_images/645716711723925506/t5G0qOS6_normal.jpg","View")</f>
        <v>View</v>
      </c>
      <c r="P2714" s="11"/>
    </row>
    <row r="2715" spans="1:16" ht="12.75" x14ac:dyDescent="0.35">
      <c r="A2715" s="7">
        <v>42482.806400462963</v>
      </c>
      <c r="B2715" s="8" t="str">
        <f>HYPERLINK("https://twitter.com/Leader_LR","@Leader_LR")</f>
        <v>@Leader_LR</v>
      </c>
      <c r="C2715" s="9" t="s">
        <v>1636</v>
      </c>
      <c r="D2715" s="9" t="s">
        <v>4688</v>
      </c>
      <c r="E2715" s="10" t="str">
        <f>HYPERLINK("https://twitter.com/Leader_LR/status/723509467548160001","723509467548160001")</f>
        <v>723509467548160001</v>
      </c>
      <c r="F2715" s="10" t="s">
        <v>1820</v>
      </c>
      <c r="G2715" s="11">
        <v>884</v>
      </c>
      <c r="H2715" s="11">
        <v>457</v>
      </c>
      <c r="I2715" s="11">
        <v>0</v>
      </c>
      <c r="J2715" s="11">
        <v>0</v>
      </c>
      <c r="K2715" s="11" t="s">
        <v>21</v>
      </c>
      <c r="L2715" s="7">
        <v>41565.77784722222</v>
      </c>
      <c r="M2715" s="12" t="s">
        <v>1638</v>
      </c>
      <c r="N2715" s="12" t="s">
        <v>1639</v>
      </c>
      <c r="O2715" s="10" t="str">
        <f>HYPERLINK("https://pbs.twimg.com/profile_images/708593414833623041/je9d1EJc_normal.jpg","View")</f>
        <v>View</v>
      </c>
      <c r="P2715" s="11"/>
    </row>
    <row r="2716" spans="1:16" ht="12.75" x14ac:dyDescent="0.35">
      <c r="A2716" s="7">
        <v>42482.807511574079</v>
      </c>
      <c r="B2716" s="8" t="str">
        <f>HYPERLINK("https://twitter.com/INDIZbot","@INDIZbot")</f>
        <v>@INDIZbot</v>
      </c>
      <c r="C2716" s="9" t="s">
        <v>61</v>
      </c>
      <c r="D2716" s="9" t="s">
        <v>4689</v>
      </c>
      <c r="E2716" s="10" t="str">
        <f>HYPERLINK("https://twitter.com/INDIZbot/status/723509870708690945","723509870708690945")</f>
        <v>723509870708690945</v>
      </c>
      <c r="F2716" s="11" t="s">
        <v>62</v>
      </c>
      <c r="G2716" s="11">
        <v>1769</v>
      </c>
      <c r="H2716" s="11">
        <v>482</v>
      </c>
      <c r="I2716" s="11">
        <v>1</v>
      </c>
      <c r="J2716" s="11">
        <v>0</v>
      </c>
      <c r="K2716" s="11" t="s">
        <v>21</v>
      </c>
      <c r="L2716" s="7">
        <v>42267.011921296296</v>
      </c>
      <c r="M2716" s="12"/>
      <c r="N2716" s="12" t="s">
        <v>63</v>
      </c>
      <c r="O2716" s="10" t="str">
        <f>HYPERLINK("https://pbs.twimg.com/profile_images/645716711723925506/t5G0qOS6_normal.jpg","View")</f>
        <v>View</v>
      </c>
      <c r="P2716" s="11"/>
    </row>
    <row r="2717" spans="1:16" ht="12.75" x14ac:dyDescent="0.35">
      <c r="A2717" s="7">
        <v>42482.808032407411</v>
      </c>
      <c r="B2717" s="8" t="str">
        <f>HYPERLINK("https://twitter.com/croXXing_IBD","@croXXing_IBD")</f>
        <v>@croXXing_IBD</v>
      </c>
      <c r="C2717" s="9" t="s">
        <v>252</v>
      </c>
      <c r="D2717" s="9" t="s">
        <v>4690</v>
      </c>
      <c r="E2717" s="10" t="str">
        <f>HYPERLINK("https://twitter.com/croXXing_IBD/status/723510059007881216","723510059007881216")</f>
        <v>723510059007881216</v>
      </c>
      <c r="F2717" s="11" t="s">
        <v>222</v>
      </c>
      <c r="G2717" s="11">
        <v>40</v>
      </c>
      <c r="H2717" s="11">
        <v>137</v>
      </c>
      <c r="I2717" s="11">
        <v>0</v>
      </c>
      <c r="J2717" s="11">
        <v>0</v>
      </c>
      <c r="K2717" s="11" t="s">
        <v>21</v>
      </c>
      <c r="L2717" s="7">
        <v>42140.148263888885</v>
      </c>
      <c r="M2717" s="12" t="s">
        <v>223</v>
      </c>
      <c r="N2717" s="12" t="s">
        <v>254</v>
      </c>
      <c r="O2717" s="10" t="str">
        <f>HYPERLINK("https://pbs.twimg.com/profile_images/600279861282869249/IpIJ3MKX_normal.png","View")</f>
        <v>View</v>
      </c>
      <c r="P2717" s="11"/>
    </row>
    <row r="2718" spans="1:16" ht="12.75" x14ac:dyDescent="0.35">
      <c r="A2718" s="7">
        <v>42482.808749999997</v>
      </c>
      <c r="B2718" s="8" t="str">
        <f>HYPERLINK("https://twitter.com/Nihonpk_ef","@Nihonpk_ef")</f>
        <v>@Nihonpk_ef</v>
      </c>
      <c r="C2718" s="9" t="s">
        <v>4691</v>
      </c>
      <c r="D2718" s="9" t="s">
        <v>4692</v>
      </c>
      <c r="E2718" s="10" t="str">
        <f>HYPERLINK("https://twitter.com/Nihonpk_ef/status/723510318341722112","723510318341722112")</f>
        <v>723510318341722112</v>
      </c>
      <c r="F2718" s="11" t="s">
        <v>20</v>
      </c>
      <c r="G2718" s="11">
        <v>34</v>
      </c>
      <c r="H2718" s="11">
        <v>59</v>
      </c>
      <c r="I2718" s="11">
        <v>1</v>
      </c>
      <c r="J2718" s="11">
        <v>0</v>
      </c>
      <c r="K2718" s="11" t="s">
        <v>21</v>
      </c>
      <c r="L2718" s="7">
        <v>42439.030821759261</v>
      </c>
      <c r="M2718" s="12" t="s">
        <v>4693</v>
      </c>
      <c r="N2718" s="12" t="s">
        <v>4694</v>
      </c>
      <c r="O2718" s="10" t="str">
        <f>HYPERLINK("https://abs.twimg.com/sticky/default_profile_images/default_profile_5_normal.png","View")</f>
        <v>View</v>
      </c>
      <c r="P2718" s="11"/>
    </row>
    <row r="2719" spans="1:16" ht="12.75" x14ac:dyDescent="0.35">
      <c r="A2719" s="7">
        <v>42482.810474537036</v>
      </c>
      <c r="B2719" s="8" t="str">
        <f>HYPERLINK("https://twitter.com/H_IT_D","@H_IT_D")</f>
        <v>@H_IT_D</v>
      </c>
      <c r="C2719" s="9" t="s">
        <v>159</v>
      </c>
      <c r="D2719" s="9" t="s">
        <v>4695</v>
      </c>
      <c r="E2719" s="10" t="str">
        <f>HYPERLINK("https://twitter.com/H_IT_D/status/723510941984268288","723510941984268288")</f>
        <v>723510941984268288</v>
      </c>
      <c r="F2719" s="11" t="s">
        <v>161</v>
      </c>
      <c r="G2719" s="11">
        <v>463</v>
      </c>
      <c r="H2719" s="11">
        <v>467</v>
      </c>
      <c r="I2719" s="11">
        <v>0</v>
      </c>
      <c r="J2719" s="11">
        <v>0</v>
      </c>
      <c r="K2719" s="11" t="s">
        <v>21</v>
      </c>
      <c r="L2719" s="7">
        <v>40723.867673611108</v>
      </c>
      <c r="M2719" s="12" t="s">
        <v>162</v>
      </c>
      <c r="N2719" s="12" t="s">
        <v>163</v>
      </c>
      <c r="O2719" s="10" t="str">
        <f>HYPERLINK("https://pbs.twimg.com/profile_images/662723326096224256/5V4KH9_O_normal.jpg","View")</f>
        <v>View</v>
      </c>
      <c r="P2719" s="11"/>
    </row>
    <row r="2720" spans="1:16" ht="12.75" x14ac:dyDescent="0.35">
      <c r="A2720" s="7">
        <v>42482.81082175926</v>
      </c>
      <c r="B2720" s="8" t="str">
        <f>HYPERLINK("https://twitter.com/ITK_OWL","@ITK_OWL")</f>
        <v>@ITK_OWL</v>
      </c>
      <c r="C2720" s="9" t="s">
        <v>220</v>
      </c>
      <c r="D2720" s="9" t="s">
        <v>4696</v>
      </c>
      <c r="E2720" s="10" t="str">
        <f>HYPERLINK("https://twitter.com/ITK_OWL/status/723511066278375424","723511066278375424")</f>
        <v>723511066278375424</v>
      </c>
      <c r="F2720" s="11" t="s">
        <v>222</v>
      </c>
      <c r="G2720" s="11">
        <v>199</v>
      </c>
      <c r="H2720" s="11">
        <v>389</v>
      </c>
      <c r="I2720" s="11">
        <v>0</v>
      </c>
      <c r="J2720" s="11">
        <v>0</v>
      </c>
      <c r="K2720" s="11" t="s">
        <v>21</v>
      </c>
      <c r="L2720" s="7">
        <v>42146.57880787037</v>
      </c>
      <c r="M2720" s="12" t="s">
        <v>223</v>
      </c>
      <c r="N2720" s="12" t="s">
        <v>224</v>
      </c>
      <c r="O2720" s="10" t="str">
        <f>HYPERLINK("https://pbs.twimg.com/profile_images/601673968551075840/MnulnKkj_normal.png","View")</f>
        <v>View</v>
      </c>
      <c r="P2720" s="11"/>
    </row>
    <row r="2721" spans="1:16" ht="12.75" x14ac:dyDescent="0.35">
      <c r="A2721" s="7">
        <v>42482.811203703706</v>
      </c>
      <c r="B2721" s="8" t="str">
        <f>HYPERLINK("https://twitter.com/Bitkom_I40","@Bitkom_I40")</f>
        <v>@Bitkom_I40</v>
      </c>
      <c r="C2721" s="9" t="s">
        <v>1857</v>
      </c>
      <c r="D2721" s="9" t="s">
        <v>4697</v>
      </c>
      <c r="E2721" s="10" t="str">
        <f>HYPERLINK("https://twitter.com/Bitkom_I40/status/723511206938451969","723511206938451969")</f>
        <v>723511206938451969</v>
      </c>
      <c r="F2721" s="11" t="s">
        <v>115</v>
      </c>
      <c r="G2721" s="11">
        <v>759</v>
      </c>
      <c r="H2721" s="11">
        <v>44</v>
      </c>
      <c r="I2721" s="11">
        <v>0</v>
      </c>
      <c r="J2721" s="11">
        <v>0</v>
      </c>
      <c r="K2721" s="11" t="s">
        <v>21</v>
      </c>
      <c r="L2721" s="7">
        <v>41613.773194444446</v>
      </c>
      <c r="M2721" s="12" t="s">
        <v>218</v>
      </c>
      <c r="N2721" s="12" t="s">
        <v>1860</v>
      </c>
      <c r="O2721" s="10" t="str">
        <f>HYPERLINK("https://pbs.twimg.com/profile_images/723407487395713024/0hZv7R8S_normal.jpg","View")</f>
        <v>View</v>
      </c>
      <c r="P2721" s="11"/>
    </row>
    <row r="2722" spans="1:16" ht="12.75" x14ac:dyDescent="0.35">
      <c r="A2722" s="7">
        <v>42482.812696759254</v>
      </c>
      <c r="B2722" s="8" t="str">
        <f>HYPERLINK("https://twitter.com/bgebot","@bgebot")</f>
        <v>@bgebot</v>
      </c>
      <c r="C2722" s="9" t="s">
        <v>670</v>
      </c>
      <c r="D2722" s="9" t="s">
        <v>4698</v>
      </c>
      <c r="E2722" s="10" t="str">
        <f>HYPERLINK("https://twitter.com/bgebot/status/723511745646612480","723511745646612480")</f>
        <v>723511745646612480</v>
      </c>
      <c r="F2722" s="11" t="s">
        <v>671</v>
      </c>
      <c r="G2722" s="11">
        <v>1092</v>
      </c>
      <c r="H2722" s="11">
        <v>11</v>
      </c>
      <c r="I2722" s="11">
        <v>1</v>
      </c>
      <c r="J2722" s="11">
        <v>0</v>
      </c>
      <c r="K2722" s="11" t="s">
        <v>21</v>
      </c>
      <c r="L2722" s="7">
        <v>40489.74255787037</v>
      </c>
      <c r="M2722" s="12"/>
      <c r="N2722" s="12" t="s">
        <v>672</v>
      </c>
      <c r="O2722" s="10" t="str">
        <f>HYPERLINK("https://pbs.twimg.com/profile_images/1161922354/bge-bot-big-twitterversion2_normal.png","View")</f>
        <v>View</v>
      </c>
      <c r="P2722" s="11"/>
    </row>
    <row r="2723" spans="1:16" ht="12.75" x14ac:dyDescent="0.35">
      <c r="A2723" s="7">
        <v>42482.815138888887</v>
      </c>
      <c r="B2723" s="8" t="str">
        <f>HYPERLINK("https://twitter.com/startupaffairs","@startupaffairs")</f>
        <v>@startupaffairs</v>
      </c>
      <c r="C2723" s="9" t="s">
        <v>4699</v>
      </c>
      <c r="D2723" s="9" t="s">
        <v>4686</v>
      </c>
      <c r="E2723" s="10" t="str">
        <f>HYPERLINK("https://twitter.com/startupaffairs/status/723512632238551040","723512632238551040")</f>
        <v>723512632238551040</v>
      </c>
      <c r="F2723" s="11" t="s">
        <v>1491</v>
      </c>
      <c r="G2723" s="11">
        <v>211</v>
      </c>
      <c r="H2723" s="11">
        <v>327</v>
      </c>
      <c r="I2723" s="11">
        <v>2</v>
      </c>
      <c r="J2723" s="11">
        <v>0</v>
      </c>
      <c r="K2723" s="11" t="s">
        <v>21</v>
      </c>
      <c r="L2723" s="7">
        <v>42280.532581018517</v>
      </c>
      <c r="M2723" s="12" t="s">
        <v>116</v>
      </c>
      <c r="N2723" s="12" t="s">
        <v>4700</v>
      </c>
      <c r="O2723" s="10" t="str">
        <f>HYPERLINK("https://pbs.twimg.com/profile_images/693906469004169216/gsA8ZTTm_normal.png","View")</f>
        <v>View</v>
      </c>
      <c r="P2723" s="11"/>
    </row>
    <row r="2724" spans="1:16" ht="12.75" x14ac:dyDescent="0.35">
      <c r="A2724" s="7">
        <v>42482.815983796296</v>
      </c>
      <c r="B2724" s="8" t="str">
        <f>HYPERLINK("https://twitter.com/kommoptimierer","@kommoptimierer")</f>
        <v>@kommoptimierer</v>
      </c>
      <c r="C2724" s="9" t="s">
        <v>270</v>
      </c>
      <c r="D2724" s="9" t="s">
        <v>505</v>
      </c>
      <c r="E2724" s="10" t="str">
        <f>HYPERLINK("https://twitter.com/kommoptimierer/status/723512940847091712","723512940847091712")</f>
        <v>723512940847091712</v>
      </c>
      <c r="F2724" s="11" t="s">
        <v>272</v>
      </c>
      <c r="G2724" s="11">
        <v>1347</v>
      </c>
      <c r="H2724" s="11">
        <v>1753</v>
      </c>
      <c r="I2724" s="11">
        <v>0</v>
      </c>
      <c r="J2724" s="11">
        <v>0</v>
      </c>
      <c r="K2724" s="11" t="s">
        <v>21</v>
      </c>
      <c r="L2724" s="7">
        <v>39986.860358796301</v>
      </c>
      <c r="M2724" s="12" t="s">
        <v>273</v>
      </c>
      <c r="N2724" s="12" t="s">
        <v>274</v>
      </c>
      <c r="O2724" s="10" t="str">
        <f>HYPERLINK("https://pbs.twimg.com/profile_images/541146126158536704/IYardufS_normal.jpeg","View")</f>
        <v>View</v>
      </c>
      <c r="P2724" s="11"/>
    </row>
    <row r="2725" spans="1:16" ht="12.75" x14ac:dyDescent="0.35">
      <c r="A2725" s="7">
        <v>42482.816122685181</v>
      </c>
      <c r="B2725" s="8" t="str">
        <f>HYPERLINK("https://twitter.com/CapgeminiDE","@CapgeminiDE")</f>
        <v>@CapgeminiDE</v>
      </c>
      <c r="C2725" s="9" t="s">
        <v>280</v>
      </c>
      <c r="D2725" s="9" t="s">
        <v>4701</v>
      </c>
      <c r="E2725" s="10" t="str">
        <f>HYPERLINK("https://twitter.com/CapgeminiDE/status/723512988804734977","723512988804734977")</f>
        <v>723512988804734977</v>
      </c>
      <c r="F2725" s="11" t="s">
        <v>39</v>
      </c>
      <c r="G2725" s="11">
        <v>1641</v>
      </c>
      <c r="H2725" s="11">
        <v>509</v>
      </c>
      <c r="I2725" s="11">
        <v>0</v>
      </c>
      <c r="J2725" s="11">
        <v>0</v>
      </c>
      <c r="K2725" s="11" t="s">
        <v>21</v>
      </c>
      <c r="L2725" s="7">
        <v>40424.022048611107</v>
      </c>
      <c r="M2725" s="12" t="s">
        <v>218</v>
      </c>
      <c r="N2725" s="12" t="s">
        <v>282</v>
      </c>
      <c r="O2725" s="10" t="str">
        <f>HYPERLINK("https://pbs.twimg.com/profile_images/666911961599315968/aP7ID_qm_normal.png","View")</f>
        <v>View</v>
      </c>
      <c r="P2725" s="11"/>
    </row>
    <row r="2726" spans="1:16" ht="12.75" x14ac:dyDescent="0.35">
      <c r="A2726" s="7">
        <v>42482.816122685181</v>
      </c>
      <c r="B2726" s="8" t="str">
        <f>HYPERLINK("https://twitter.com/dictaJet","@dictaJet")</f>
        <v>@dictaJet</v>
      </c>
      <c r="C2726" s="9" t="s">
        <v>2511</v>
      </c>
      <c r="D2726" s="9" t="s">
        <v>4702</v>
      </c>
      <c r="E2726" s="10" t="str">
        <f>HYPERLINK("https://twitter.com/dictaJet/status/723512990436364288","723512990436364288")</f>
        <v>723512990436364288</v>
      </c>
      <c r="F2726" s="11" t="s">
        <v>39</v>
      </c>
      <c r="G2726" s="11">
        <v>32</v>
      </c>
      <c r="H2726" s="11">
        <v>58</v>
      </c>
      <c r="I2726" s="11">
        <v>0</v>
      </c>
      <c r="J2726" s="11">
        <v>0</v>
      </c>
      <c r="K2726" s="11" t="s">
        <v>21</v>
      </c>
      <c r="L2726" s="7">
        <v>40521.771608796298</v>
      </c>
      <c r="M2726" s="12" t="s">
        <v>2513</v>
      </c>
      <c r="N2726" s="12" t="s">
        <v>2514</v>
      </c>
      <c r="O2726" s="10" t="str">
        <f>HYPERLINK("https://pbs.twimg.com/profile_images/3151814681/889304b58206053d6f22bd0b52344369_normal.jpeg","View")</f>
        <v>View</v>
      </c>
      <c r="P2726" s="11"/>
    </row>
    <row r="2727" spans="1:16" ht="12.75" x14ac:dyDescent="0.35">
      <c r="A2727" s="7">
        <v>42482.817662037036</v>
      </c>
      <c r="B2727" s="8" t="str">
        <f>HYPERLINK("https://twitter.com/joworf","@joworf")</f>
        <v>@joworf</v>
      </c>
      <c r="C2727" s="9" t="s">
        <v>746</v>
      </c>
      <c r="D2727" s="9" t="s">
        <v>4703</v>
      </c>
      <c r="E2727" s="10" t="str">
        <f>HYPERLINK("https://twitter.com/joworf/status/723513545187557376","723513545187557376")</f>
        <v>723513545187557376</v>
      </c>
      <c r="F2727" s="11" t="s">
        <v>25</v>
      </c>
      <c r="G2727" s="11">
        <v>222</v>
      </c>
      <c r="H2727" s="11">
        <v>264</v>
      </c>
      <c r="I2727" s="11">
        <v>0</v>
      </c>
      <c r="J2727" s="11">
        <v>0</v>
      </c>
      <c r="K2727" s="11" t="s">
        <v>21</v>
      </c>
      <c r="L2727" s="7">
        <v>41445.874745370369</v>
      </c>
      <c r="M2727" s="12" t="s">
        <v>121</v>
      </c>
      <c r="N2727" s="12" t="s">
        <v>747</v>
      </c>
      <c r="O2727" s="10" t="str">
        <f>HYPERLINK("https://pbs.twimg.com/profile_images/378800000730237374/61248132aea1de8788bfabe0f46145e3_normal.jpeg","View")</f>
        <v>View</v>
      </c>
      <c r="P2727" s="11"/>
    </row>
    <row r="2728" spans="1:16" ht="12.75" x14ac:dyDescent="0.35">
      <c r="A2728" s="7">
        <v>42482.82099537037</v>
      </c>
      <c r="B2728" s="8" t="str">
        <f>HYPERLINK("https://twitter.com/OptimumGmbh","@OptimumGmbh")</f>
        <v>@OptimumGmbh</v>
      </c>
      <c r="C2728" s="9" t="s">
        <v>4704</v>
      </c>
      <c r="D2728" s="9" t="s">
        <v>4705</v>
      </c>
      <c r="E2728" s="10" t="str">
        <f>HYPERLINK("https://twitter.com/OptimumGmbh/status/723514756661927936","723514756661927936")</f>
        <v>723514756661927936</v>
      </c>
      <c r="F2728" s="11" t="s">
        <v>25</v>
      </c>
      <c r="G2728" s="11">
        <v>3</v>
      </c>
      <c r="H2728" s="11">
        <v>13</v>
      </c>
      <c r="I2728" s="11">
        <v>0</v>
      </c>
      <c r="J2728" s="11">
        <v>0</v>
      </c>
      <c r="K2728" s="11" t="s">
        <v>21</v>
      </c>
      <c r="L2728" s="7">
        <v>42423.607812499999</v>
      </c>
      <c r="M2728" s="12" t="s">
        <v>2273</v>
      </c>
      <c r="N2728" s="12"/>
      <c r="O2728" s="10" t="str">
        <f>HYPERLINK("https://pbs.twimg.com/profile_images/717612294386106368/XuG9D04T_normal.jpg","View")</f>
        <v>View</v>
      </c>
      <c r="P2728" s="11"/>
    </row>
    <row r="2729" spans="1:16" ht="12.75" x14ac:dyDescent="0.35">
      <c r="A2729" s="7">
        <v>42482.823993055557</v>
      </c>
      <c r="B2729" s="8" t="str">
        <f>HYPERLINK("https://twitter.com/LutzVA","@LutzVA")</f>
        <v>@LutzVA</v>
      </c>
      <c r="C2729" s="9" t="s">
        <v>383</v>
      </c>
      <c r="D2729" s="9" t="s">
        <v>4706</v>
      </c>
      <c r="E2729" s="10" t="str">
        <f>HYPERLINK("https://twitter.com/LutzVA/status/723515842831458305","723515842831458305")</f>
        <v>723515842831458305</v>
      </c>
      <c r="F2729" s="11" t="s">
        <v>31</v>
      </c>
      <c r="G2729" s="11">
        <v>917</v>
      </c>
      <c r="H2729" s="11">
        <v>139</v>
      </c>
      <c r="I2729" s="11">
        <v>0</v>
      </c>
      <c r="J2729" s="11">
        <v>0</v>
      </c>
      <c r="K2729" s="11" t="s">
        <v>21</v>
      </c>
      <c r="L2729" s="7">
        <v>39819.790127314816</v>
      </c>
      <c r="M2729" s="12" t="s">
        <v>385</v>
      </c>
      <c r="N2729" s="12" t="s">
        <v>386</v>
      </c>
      <c r="O2729" s="10" t="str">
        <f>HYPERLINK("https://pbs.twimg.com/profile_images/641558874294628356/0gpa7sTF_normal.jpg","View")</f>
        <v>View</v>
      </c>
      <c r="P2729" s="11"/>
    </row>
    <row r="2730" spans="1:16" ht="12.75" x14ac:dyDescent="0.35">
      <c r="A2730" s="7">
        <v>42482.82545138889</v>
      </c>
      <c r="B2730" s="8" t="str">
        <f>HYPERLINK("https://twitter.com/Frank_Reinelt","@Frank_Reinelt")</f>
        <v>@Frank_Reinelt</v>
      </c>
      <c r="C2730" s="9" t="s">
        <v>963</v>
      </c>
      <c r="D2730" s="9" t="s">
        <v>4707</v>
      </c>
      <c r="E2730" s="10" t="str">
        <f>HYPERLINK("https://twitter.com/Frank_Reinelt/status/723516370676264960","723516370676264960")</f>
        <v>723516370676264960</v>
      </c>
      <c r="F2730" s="11" t="s">
        <v>25</v>
      </c>
      <c r="G2730" s="11">
        <v>86</v>
      </c>
      <c r="H2730" s="11">
        <v>61</v>
      </c>
      <c r="I2730" s="11">
        <v>0</v>
      </c>
      <c r="J2730" s="11">
        <v>0</v>
      </c>
      <c r="K2730" s="11" t="s">
        <v>21</v>
      </c>
      <c r="L2730" s="7">
        <v>42272.607060185182</v>
      </c>
      <c r="M2730" s="12" t="s">
        <v>559</v>
      </c>
      <c r="N2730" s="12" t="s">
        <v>965</v>
      </c>
      <c r="O2730" s="10" t="str">
        <f>HYPERLINK("https://pbs.twimg.com/profile_images/669853588152283137/mqKB9aP__normal.jpg","View")</f>
        <v>View</v>
      </c>
      <c r="P2730" s="11"/>
    </row>
    <row r="2731" spans="1:16" ht="12.75" x14ac:dyDescent="0.35">
      <c r="A2731" s="7">
        <v>42482.831678240742</v>
      </c>
      <c r="B2731" s="8" t="str">
        <f>HYPERLINK("https://twitter.com/5min7","@5min7")</f>
        <v>@5min7</v>
      </c>
      <c r="C2731" s="9" t="s">
        <v>4708</v>
      </c>
      <c r="D2731" s="9" t="s">
        <v>4664</v>
      </c>
      <c r="E2731" s="10" t="str">
        <f>HYPERLINK("https://twitter.com/5min7/status/723518625370529793","723518625370529793")</f>
        <v>723518625370529793</v>
      </c>
      <c r="F2731" s="11" t="s">
        <v>31</v>
      </c>
      <c r="G2731" s="11">
        <v>37</v>
      </c>
      <c r="H2731" s="11">
        <v>33</v>
      </c>
      <c r="I2731" s="11">
        <v>2</v>
      </c>
      <c r="J2731" s="11">
        <v>0</v>
      </c>
      <c r="K2731" s="11" t="s">
        <v>21</v>
      </c>
      <c r="L2731" s="7">
        <v>41237.905439814815</v>
      </c>
      <c r="M2731" s="12" t="s">
        <v>157</v>
      </c>
      <c r="N2731" s="12"/>
      <c r="O2731" s="10" t="str">
        <f>HYPERLINK("https://pbs.twimg.com/profile_images/2958604689/0e3c99570c90174442403167dbf9b5c5_normal.jpeg","View")</f>
        <v>View</v>
      </c>
      <c r="P2731" s="11"/>
    </row>
    <row r="2732" spans="1:16" ht="12.75" x14ac:dyDescent="0.35">
      <c r="A2732" s="7">
        <v>42482.831979166665</v>
      </c>
      <c r="B2732" s="8" t="str">
        <f>HYPERLINK("https://twitter.com/hzl_fk","@hzl_fk")</f>
        <v>@hzl_fk</v>
      </c>
      <c r="C2732" s="9" t="s">
        <v>4709</v>
      </c>
      <c r="D2732" s="9" t="s">
        <v>4681</v>
      </c>
      <c r="E2732" s="10" t="str">
        <f>HYPERLINK("https://twitter.com/hzl_fk/status/723518733889712129","723518733889712129")</f>
        <v>723518733889712129</v>
      </c>
      <c r="F2732" s="11" t="s">
        <v>20</v>
      </c>
      <c r="G2732" s="11">
        <v>44</v>
      </c>
      <c r="H2732" s="11">
        <v>132</v>
      </c>
      <c r="I2732" s="11">
        <v>3</v>
      </c>
      <c r="J2732" s="11">
        <v>0</v>
      </c>
      <c r="K2732" s="11" t="s">
        <v>21</v>
      </c>
      <c r="L2732" s="7">
        <v>42425.007638888885</v>
      </c>
      <c r="M2732" s="12" t="s">
        <v>4710</v>
      </c>
      <c r="N2732" s="12" t="s">
        <v>4711</v>
      </c>
      <c r="O2732" s="10" t="str">
        <f>HYPERLINK("https://pbs.twimg.com/profile_images/706950007178584064/MRcGCkkS_normal.jpg","View")</f>
        <v>View</v>
      </c>
      <c r="P2732" s="11"/>
    </row>
    <row r="2733" spans="1:16" ht="12.75" x14ac:dyDescent="0.35">
      <c r="A2733" s="7">
        <v>42482.834826388891</v>
      </c>
      <c r="B2733" s="8" t="str">
        <f>HYPERLINK("https://twitter.com/Bitkom","@Bitkom")</f>
        <v>@Bitkom</v>
      </c>
      <c r="C2733" s="9" t="s">
        <v>216</v>
      </c>
      <c r="D2733" s="9" t="s">
        <v>4712</v>
      </c>
      <c r="E2733" s="10" t="str">
        <f>HYPERLINK("https://twitter.com/Bitkom/status/723519767911489536","723519767911489536")</f>
        <v>723519767911489536</v>
      </c>
      <c r="F2733" s="11" t="s">
        <v>25</v>
      </c>
      <c r="G2733" s="11">
        <v>21108</v>
      </c>
      <c r="H2733" s="11">
        <v>3343</v>
      </c>
      <c r="I2733" s="11">
        <v>0</v>
      </c>
      <c r="J2733" s="11">
        <v>1</v>
      </c>
      <c r="K2733" s="11" t="s">
        <v>21</v>
      </c>
      <c r="L2733" s="7">
        <v>39757.913229166668</v>
      </c>
      <c r="M2733" s="12" t="s">
        <v>218</v>
      </c>
      <c r="N2733" s="12" t="s">
        <v>219</v>
      </c>
      <c r="O2733" s="10" t="str">
        <f>HYPERLINK("https://pbs.twimg.com/profile_images/615797525040136192/CKF9-v_o_normal.jpg","View")</f>
        <v>View</v>
      </c>
      <c r="P2733" s="11"/>
    </row>
    <row r="2734" spans="1:16" ht="12.75" x14ac:dyDescent="0.35">
      <c r="A2734" s="7">
        <v>42482.83530092593</v>
      </c>
      <c r="B2734" s="8" t="str">
        <f>HYPERLINK("https://twitter.com/AguilarCharlott","@AguilarCharlott")</f>
        <v>@AguilarCharlott</v>
      </c>
      <c r="C2734" s="9" t="s">
        <v>4713</v>
      </c>
      <c r="D2734" s="9" t="s">
        <v>4714</v>
      </c>
      <c r="E2734" s="10" t="str">
        <f>HYPERLINK("https://twitter.com/AguilarCharlott/status/723519937336205313","723519937336205313")</f>
        <v>723519937336205313</v>
      </c>
      <c r="F2734" s="11" t="s">
        <v>31</v>
      </c>
      <c r="G2734" s="11">
        <v>400</v>
      </c>
      <c r="H2734" s="11">
        <v>814</v>
      </c>
      <c r="I2734" s="11">
        <v>1</v>
      </c>
      <c r="J2734" s="11">
        <v>0</v>
      </c>
      <c r="K2734" s="11" t="s">
        <v>21</v>
      </c>
      <c r="L2734" s="7">
        <v>40726.799872685187</v>
      </c>
      <c r="M2734" s="12" t="s">
        <v>4715</v>
      </c>
      <c r="N2734" s="12" t="s">
        <v>4716</v>
      </c>
      <c r="O2734" s="10" t="str">
        <f>HYPERLINK("https://pbs.twimg.com/profile_images/684349225598074880/c-Y1H7C-_normal.jpg","View")</f>
        <v>View</v>
      </c>
      <c r="P2734" s="11"/>
    </row>
    <row r="2735" spans="1:16" ht="12.75" x14ac:dyDescent="0.35">
      <c r="A2735" s="7">
        <v>42482.839502314819</v>
      </c>
      <c r="B2735" s="8" t="str">
        <f>HYPERLINK("https://twitter.com/croXXing_IBD","@croXXing_IBD")</f>
        <v>@croXXing_IBD</v>
      </c>
      <c r="C2735" s="9" t="s">
        <v>252</v>
      </c>
      <c r="D2735" s="9" t="s">
        <v>4717</v>
      </c>
      <c r="E2735" s="10" t="str">
        <f>HYPERLINK("https://twitter.com/croXXing_IBD/status/723521463450517504","723521463450517504")</f>
        <v>723521463450517504</v>
      </c>
      <c r="F2735" s="11" t="s">
        <v>222</v>
      </c>
      <c r="G2735" s="11">
        <v>40</v>
      </c>
      <c r="H2735" s="11">
        <v>137</v>
      </c>
      <c r="I2735" s="11">
        <v>0</v>
      </c>
      <c r="J2735" s="11">
        <v>0</v>
      </c>
      <c r="K2735" s="11" t="s">
        <v>21</v>
      </c>
      <c r="L2735" s="7">
        <v>42140.148263888885</v>
      </c>
      <c r="M2735" s="12" t="s">
        <v>223</v>
      </c>
      <c r="N2735" s="12" t="s">
        <v>254</v>
      </c>
      <c r="O2735" s="10" t="str">
        <f>HYPERLINK("https://pbs.twimg.com/profile_images/600279861282869249/IpIJ3MKX_normal.png","View")</f>
        <v>View</v>
      </c>
      <c r="P2735" s="11"/>
    </row>
    <row r="2736" spans="1:16" ht="12.75" x14ac:dyDescent="0.35">
      <c r="A2736" s="7">
        <v>42482.840775462959</v>
      </c>
      <c r="B2736" s="8" t="str">
        <f>HYPERLINK("https://twitter.com/dumslaff","@dumslaff")</f>
        <v>@dumslaff</v>
      </c>
      <c r="C2736" s="9" t="s">
        <v>1129</v>
      </c>
      <c r="D2736" s="9" t="s">
        <v>4718</v>
      </c>
      <c r="E2736" s="10" t="str">
        <f>HYPERLINK("https://twitter.com/dumslaff/status/723521921292312576","723521921292312576")</f>
        <v>723521921292312576</v>
      </c>
      <c r="F2736" s="11" t="s">
        <v>25</v>
      </c>
      <c r="G2736" s="11">
        <v>146</v>
      </c>
      <c r="H2736" s="11">
        <v>15</v>
      </c>
      <c r="I2736" s="11">
        <v>0</v>
      </c>
      <c r="J2736" s="11">
        <v>1</v>
      </c>
      <c r="K2736" s="11" t="s">
        <v>21</v>
      </c>
      <c r="L2736" s="7">
        <v>40607.835752314815</v>
      </c>
      <c r="M2736" s="12" t="s">
        <v>121</v>
      </c>
      <c r="N2736" s="12" t="s">
        <v>1131</v>
      </c>
      <c r="O2736" s="10" t="str">
        <f>HYPERLINK("https://pbs.twimg.com/profile_images/598047133485400064/sz5k5LB4_normal.jpg","View")</f>
        <v>View</v>
      </c>
      <c r="P2736" s="11"/>
    </row>
    <row r="2737" spans="1:16" ht="12.75" x14ac:dyDescent="0.35">
      <c r="A2737" s="7">
        <v>42482.841967592598</v>
      </c>
      <c r="B2737" s="8" t="str">
        <f>HYPERLINK("https://twitter.com/ITK_OWL","@ITK_OWL")</f>
        <v>@ITK_OWL</v>
      </c>
      <c r="C2737" s="9" t="s">
        <v>220</v>
      </c>
      <c r="D2737" s="9" t="s">
        <v>4719</v>
      </c>
      <c r="E2737" s="10" t="str">
        <f>HYPERLINK("https://twitter.com/ITK_OWL/status/723522354501038080","723522354501038080")</f>
        <v>723522354501038080</v>
      </c>
      <c r="F2737" s="11" t="s">
        <v>222</v>
      </c>
      <c r="G2737" s="11">
        <v>199</v>
      </c>
      <c r="H2737" s="11">
        <v>389</v>
      </c>
      <c r="I2737" s="11">
        <v>0</v>
      </c>
      <c r="J2737" s="11">
        <v>0</v>
      </c>
      <c r="K2737" s="11" t="s">
        <v>21</v>
      </c>
      <c r="L2737" s="7">
        <v>42146.57880787037</v>
      </c>
      <c r="M2737" s="12" t="s">
        <v>223</v>
      </c>
      <c r="N2737" s="12" t="s">
        <v>224</v>
      </c>
      <c r="O2737" s="10" t="str">
        <f>HYPERLINK("https://pbs.twimg.com/profile_images/601673968551075840/MnulnKkj_normal.png","View")</f>
        <v>View</v>
      </c>
      <c r="P2737" s="11"/>
    </row>
    <row r="2738" spans="1:16" ht="12.75" x14ac:dyDescent="0.35">
      <c r="A2738" s="7">
        <v>42482.843553240746</v>
      </c>
      <c r="B2738" s="8" t="str">
        <f>HYPERLINK("https://twitter.com/ProgressSW_DE","@ProgressSW_DE")</f>
        <v>@ProgressSW_DE</v>
      </c>
      <c r="C2738" s="9" t="s">
        <v>3994</v>
      </c>
      <c r="D2738" s="9" t="s">
        <v>4720</v>
      </c>
      <c r="E2738" s="10" t="str">
        <f>HYPERLINK("https://twitter.com/ProgressSW_DE/status/723522931620503556","723522931620503556")</f>
        <v>723522931620503556</v>
      </c>
      <c r="F2738" s="11" t="s">
        <v>25</v>
      </c>
      <c r="G2738" s="11">
        <v>344</v>
      </c>
      <c r="H2738" s="11">
        <v>292</v>
      </c>
      <c r="I2738" s="11">
        <v>0</v>
      </c>
      <c r="J2738" s="11">
        <v>0</v>
      </c>
      <c r="K2738" s="11" t="s">
        <v>21</v>
      </c>
      <c r="L2738" s="7">
        <v>41022.789953703701</v>
      </c>
      <c r="M2738" s="12" t="s">
        <v>92</v>
      </c>
      <c r="N2738" s="12" t="s">
        <v>3996</v>
      </c>
      <c r="O2738" s="10" t="str">
        <f>HYPERLINK("https://pbs.twimg.com/profile_images/378800000565965069/a98f364a74805cd42b34bb38197f51de_normal.png","View")</f>
        <v>View</v>
      </c>
      <c r="P2738" s="11"/>
    </row>
    <row r="2739" spans="1:16" ht="12.75" x14ac:dyDescent="0.35">
      <c r="A2739" s="7">
        <v>42482.844618055555</v>
      </c>
      <c r="B2739" s="8" t="str">
        <f>HYPERLINK("https://twitter.com/BF_Deutschland","@BF_Deutschland")</f>
        <v>@BF_Deutschland</v>
      </c>
      <c r="C2739" s="9" t="s">
        <v>4721</v>
      </c>
      <c r="D2739" s="9" t="s">
        <v>4722</v>
      </c>
      <c r="E2739" s="10" t="str">
        <f>HYPERLINK("https://twitter.com/BF_Deutschland/status/723523314778550273","723523314778550273")</f>
        <v>723523314778550273</v>
      </c>
      <c r="F2739" s="11" t="s">
        <v>25</v>
      </c>
      <c r="G2739" s="11">
        <v>729</v>
      </c>
      <c r="H2739" s="11">
        <v>571</v>
      </c>
      <c r="I2739" s="11">
        <v>1</v>
      </c>
      <c r="J2739" s="11">
        <v>0</v>
      </c>
      <c r="K2739" s="11" t="s">
        <v>21</v>
      </c>
      <c r="L2739" s="7">
        <v>40646.858032407406</v>
      </c>
      <c r="M2739" s="12" t="s">
        <v>581</v>
      </c>
      <c r="N2739" s="12" t="s">
        <v>4723</v>
      </c>
      <c r="O2739" s="10" t="str">
        <f>HYPERLINK("https://pbs.twimg.com/profile_images/560461983569305600/DFEfj2pV_normal.jpeg","View")</f>
        <v>View</v>
      </c>
      <c r="P2739" s="11"/>
    </row>
    <row r="2740" spans="1:16" ht="12.75" x14ac:dyDescent="0.35">
      <c r="A2740" s="7">
        <v>42482.845069444447</v>
      </c>
      <c r="B2740" s="8" t="str">
        <f>HYPERLINK("https://twitter.com/markherten","@markherten")</f>
        <v>@markherten</v>
      </c>
      <c r="C2740" s="9" t="s">
        <v>37</v>
      </c>
      <c r="D2740" s="9" t="s">
        <v>4681</v>
      </c>
      <c r="E2740" s="10" t="str">
        <f>HYPERLINK("https://twitter.com/markherten/status/723523477119090688","723523477119090688")</f>
        <v>723523477119090688</v>
      </c>
      <c r="F2740" s="11" t="s">
        <v>39</v>
      </c>
      <c r="G2740" s="11">
        <v>98</v>
      </c>
      <c r="H2740" s="11">
        <v>176</v>
      </c>
      <c r="I2740" s="11">
        <v>4</v>
      </c>
      <c r="J2740" s="11">
        <v>0</v>
      </c>
      <c r="K2740" s="11" t="s">
        <v>21</v>
      </c>
      <c r="L2740" s="7">
        <v>40249.947696759264</v>
      </c>
      <c r="M2740" s="12" t="s">
        <v>40</v>
      </c>
      <c r="N2740" s="12" t="s">
        <v>41</v>
      </c>
      <c r="O2740" s="10" t="str">
        <f>HYPERLINK("https://pbs.twimg.com/profile_images/718175389890310145/GX8DLe_h_normal.jpg","View")</f>
        <v>View</v>
      </c>
      <c r="P2740" s="11"/>
    </row>
    <row r="2741" spans="1:16" ht="12.75" x14ac:dyDescent="0.35">
      <c r="A2741" s="7">
        <v>42482.846712962964</v>
      </c>
      <c r="B2741" s="8" t="str">
        <f>HYPERLINK("https://twitter.com/Frank_Reinelt","@Frank_Reinelt")</f>
        <v>@Frank_Reinelt</v>
      </c>
      <c r="C2741" s="9" t="s">
        <v>963</v>
      </c>
      <c r="D2741" s="9" t="s">
        <v>4724</v>
      </c>
      <c r="E2741" s="10" t="str">
        <f>HYPERLINK("https://twitter.com/Frank_Reinelt/status/723524074895474689","723524074895474689")</f>
        <v>723524074895474689</v>
      </c>
      <c r="F2741" s="11" t="s">
        <v>25</v>
      </c>
      <c r="G2741" s="11">
        <v>86</v>
      </c>
      <c r="H2741" s="11">
        <v>61</v>
      </c>
      <c r="I2741" s="11">
        <v>0</v>
      </c>
      <c r="J2741" s="11">
        <v>2</v>
      </c>
      <c r="K2741" s="11" t="s">
        <v>21</v>
      </c>
      <c r="L2741" s="7">
        <v>42272.607060185182</v>
      </c>
      <c r="M2741" s="12" t="s">
        <v>559</v>
      </c>
      <c r="N2741" s="12" t="s">
        <v>965</v>
      </c>
      <c r="O2741" s="10" t="str">
        <f>HYPERLINK("https://pbs.twimg.com/profile_images/669853588152283137/mqKB9aP__normal.jpg","View")</f>
        <v>View</v>
      </c>
      <c r="P2741" s="11"/>
    </row>
    <row r="2742" spans="1:16" ht="12.75" x14ac:dyDescent="0.35">
      <c r="A2742" s="7">
        <v>42482.848310185189</v>
      </c>
      <c r="B2742" s="8" t="str">
        <f>HYPERLINK("https://twitter.com/Bitkom","@Bitkom")</f>
        <v>@Bitkom</v>
      </c>
      <c r="C2742" s="9" t="s">
        <v>216</v>
      </c>
      <c r="D2742" s="9" t="s">
        <v>4725</v>
      </c>
      <c r="E2742" s="10" t="str">
        <f>HYPERLINK("https://twitter.com/Bitkom/status/723524653633953793","723524653633953793")</f>
        <v>723524653633953793</v>
      </c>
      <c r="F2742" s="11" t="s">
        <v>25</v>
      </c>
      <c r="G2742" s="11">
        <v>21108</v>
      </c>
      <c r="H2742" s="11">
        <v>3343</v>
      </c>
      <c r="I2742" s="11">
        <v>1</v>
      </c>
      <c r="J2742" s="11">
        <v>0</v>
      </c>
      <c r="K2742" s="11" t="s">
        <v>21</v>
      </c>
      <c r="L2742" s="7">
        <v>39757.913229166668</v>
      </c>
      <c r="M2742" s="12" t="s">
        <v>218</v>
      </c>
      <c r="N2742" s="12" t="s">
        <v>219</v>
      </c>
      <c r="O2742" s="10" t="str">
        <f>HYPERLINK("https://pbs.twimg.com/profile_images/615797525040136192/CKF9-v_o_normal.jpg","View")</f>
        <v>View</v>
      </c>
      <c r="P2742" s="11"/>
    </row>
    <row r="2743" spans="1:16" ht="12.75" x14ac:dyDescent="0.35">
      <c r="A2743" s="7">
        <v>42482.849618055552</v>
      </c>
      <c r="B2743" s="8" t="str">
        <f>HYPERLINK("https://twitter.com/croXXing_IBD","@croXXing_IBD")</f>
        <v>@croXXing_IBD</v>
      </c>
      <c r="C2743" s="9" t="s">
        <v>252</v>
      </c>
      <c r="D2743" s="9" t="s">
        <v>4726</v>
      </c>
      <c r="E2743" s="10" t="str">
        <f>HYPERLINK("https://twitter.com/croXXing_IBD/status/723525126327812096","723525126327812096")</f>
        <v>723525126327812096</v>
      </c>
      <c r="F2743" s="11" t="s">
        <v>222</v>
      </c>
      <c r="G2743" s="11">
        <v>40</v>
      </c>
      <c r="H2743" s="11">
        <v>137</v>
      </c>
      <c r="I2743" s="11">
        <v>0</v>
      </c>
      <c r="J2743" s="11">
        <v>0</v>
      </c>
      <c r="K2743" s="11" t="s">
        <v>21</v>
      </c>
      <c r="L2743" s="7">
        <v>42140.148263888885</v>
      </c>
      <c r="M2743" s="12" t="s">
        <v>223</v>
      </c>
      <c r="N2743" s="12" t="s">
        <v>254</v>
      </c>
      <c r="O2743" s="10" t="str">
        <f>HYPERLINK("https://pbs.twimg.com/profile_images/600279861282869249/IpIJ3MKX_normal.png","View")</f>
        <v>View</v>
      </c>
      <c r="P2743" s="11"/>
    </row>
    <row r="2744" spans="1:16" ht="12.75" x14ac:dyDescent="0.35">
      <c r="A2744" s="7">
        <v>42482.849861111114</v>
      </c>
      <c r="B2744" s="8" t="str">
        <f>HYPERLINK("https://twitter.com/WSWMUC","@WSWMUC")</f>
        <v>@WSWMUC</v>
      </c>
      <c r="C2744" s="9" t="s">
        <v>164</v>
      </c>
      <c r="D2744" s="9" t="s">
        <v>4727</v>
      </c>
      <c r="E2744" s="10" t="str">
        <f>HYPERLINK("https://twitter.com/WSWMUC/status/723525215276376065","723525215276376065")</f>
        <v>723525215276376065</v>
      </c>
      <c r="F2744" s="11" t="s">
        <v>25</v>
      </c>
      <c r="G2744" s="11">
        <v>1603</v>
      </c>
      <c r="H2744" s="11">
        <v>2228</v>
      </c>
      <c r="I2744" s="11">
        <v>0</v>
      </c>
      <c r="J2744" s="11">
        <v>1</v>
      </c>
      <c r="K2744" s="11" t="s">
        <v>21</v>
      </c>
      <c r="L2744" s="7">
        <v>41446.59679398148</v>
      </c>
      <c r="M2744" s="12" t="s">
        <v>166</v>
      </c>
      <c r="N2744" s="12" t="s">
        <v>4728</v>
      </c>
      <c r="O2744" s="10" t="str">
        <f>HYPERLINK("https://pbs.twimg.com/profile_images/524295003107885059/1ADGv6Ps_normal.png","View")</f>
        <v>View</v>
      </c>
      <c r="P2744" s="11"/>
    </row>
    <row r="2745" spans="1:16" ht="12.75" x14ac:dyDescent="0.35">
      <c r="A2745" s="7">
        <v>42482.851851851854</v>
      </c>
      <c r="B2745" s="8" t="str">
        <f>HYPERLINK("https://twitter.com/NicoletteBarn","@NicoletteBarn")</f>
        <v>@NicoletteBarn</v>
      </c>
      <c r="C2745" s="9" t="s">
        <v>4729</v>
      </c>
      <c r="D2745" s="9" t="s">
        <v>4345</v>
      </c>
      <c r="E2745" s="10" t="str">
        <f>HYPERLINK("https://twitter.com/NicoletteBarn/status/723525938844033024","723525938844033024")</f>
        <v>723525938844033024</v>
      </c>
      <c r="F2745" s="11" t="s">
        <v>29</v>
      </c>
      <c r="G2745" s="11">
        <v>197</v>
      </c>
      <c r="H2745" s="11">
        <v>340</v>
      </c>
      <c r="I2745" s="11">
        <v>9</v>
      </c>
      <c r="J2745" s="11">
        <v>0</v>
      </c>
      <c r="K2745" s="11" t="s">
        <v>21</v>
      </c>
      <c r="L2745" s="7">
        <v>41773.365150462967</v>
      </c>
      <c r="M2745" s="12" t="s">
        <v>4730</v>
      </c>
      <c r="N2745" s="12" t="s">
        <v>4731</v>
      </c>
      <c r="O2745" s="10" t="str">
        <f>HYPERLINK("https://pbs.twimg.com/profile_images/705044001309794304/B3gEcfIM_normal.jpg","View")</f>
        <v>View</v>
      </c>
      <c r="P2745" s="11"/>
    </row>
    <row r="2746" spans="1:16" ht="12.75" x14ac:dyDescent="0.35">
      <c r="A2746" s="7">
        <v>42482.852256944447</v>
      </c>
      <c r="B2746" s="8" t="str">
        <f>HYPERLINK("https://twitter.com/acalregion","@acalregion")</f>
        <v>@acalregion</v>
      </c>
      <c r="C2746" s="9" t="s">
        <v>4732</v>
      </c>
      <c r="D2746" s="9" t="s">
        <v>4733</v>
      </c>
      <c r="E2746" s="10" t="str">
        <f>HYPERLINK("https://twitter.com/acalregion/status/723526083702861824","723526083702861824")</f>
        <v>723526083702861824</v>
      </c>
      <c r="F2746" s="11" t="s">
        <v>39</v>
      </c>
      <c r="G2746" s="11">
        <v>3660</v>
      </c>
      <c r="H2746" s="11">
        <v>655</v>
      </c>
      <c r="I2746" s="11">
        <v>1</v>
      </c>
      <c r="J2746" s="11">
        <v>0</v>
      </c>
      <c r="K2746" s="11" t="s">
        <v>21</v>
      </c>
      <c r="L2746" s="7">
        <v>42312.897141203706</v>
      </c>
      <c r="M2746" s="12"/>
      <c r="N2746" s="12" t="s">
        <v>4734</v>
      </c>
      <c r="O2746" s="10" t="str">
        <f>HYPERLINK("https://pbs.twimg.com/profile_images/690169797661835264/zQ3IJMKb_normal.png","View")</f>
        <v>View</v>
      </c>
      <c r="P2746" s="11"/>
    </row>
    <row r="2747" spans="1:16" ht="12.75" x14ac:dyDescent="0.35">
      <c r="A2747" s="7">
        <v>42482.852465277778</v>
      </c>
      <c r="B2747" s="8" t="str">
        <f>HYPERLINK("https://twitter.com/ITK_OWL","@ITK_OWL")</f>
        <v>@ITK_OWL</v>
      </c>
      <c r="C2747" s="9" t="s">
        <v>220</v>
      </c>
      <c r="D2747" s="9" t="s">
        <v>4735</v>
      </c>
      <c r="E2747" s="10" t="str">
        <f>HYPERLINK("https://twitter.com/ITK_OWL/status/723526157325484032","723526157325484032")</f>
        <v>723526157325484032</v>
      </c>
      <c r="F2747" s="11" t="s">
        <v>222</v>
      </c>
      <c r="G2747" s="11">
        <v>199</v>
      </c>
      <c r="H2747" s="11">
        <v>389</v>
      </c>
      <c r="I2747" s="11">
        <v>0</v>
      </c>
      <c r="J2747" s="11">
        <v>0</v>
      </c>
      <c r="K2747" s="11" t="s">
        <v>21</v>
      </c>
      <c r="L2747" s="7">
        <v>42146.57880787037</v>
      </c>
      <c r="M2747" s="12" t="s">
        <v>223</v>
      </c>
      <c r="N2747" s="12" t="s">
        <v>224</v>
      </c>
      <c r="O2747" s="10" t="str">
        <f>HYPERLINK("https://pbs.twimg.com/profile_images/601673968551075840/MnulnKkj_normal.png","View")</f>
        <v>View</v>
      </c>
      <c r="P2747" s="11"/>
    </row>
    <row r="2748" spans="1:16" ht="12.75" x14ac:dyDescent="0.35">
      <c r="A2748" s="7">
        <v>42482.854201388887</v>
      </c>
      <c r="B2748" s="8" t="str">
        <f>HYPERLINK("https://twitter.com/HPE_DE","@HPE_DE")</f>
        <v>@HPE_DE</v>
      </c>
      <c r="C2748" s="9" t="s">
        <v>4736</v>
      </c>
      <c r="D2748" s="9" t="s">
        <v>4737</v>
      </c>
      <c r="E2748" s="10" t="str">
        <f>HYPERLINK("https://twitter.com/HPE_DE/status/723526788786360322","723526788786360322")</f>
        <v>723526788786360322</v>
      </c>
      <c r="F2748" s="11" t="s">
        <v>1111</v>
      </c>
      <c r="G2748" s="11">
        <v>9533</v>
      </c>
      <c r="H2748" s="11">
        <v>527</v>
      </c>
      <c r="I2748" s="11">
        <v>0</v>
      </c>
      <c r="J2748" s="11">
        <v>0</v>
      </c>
      <c r="K2748" s="11" t="s">
        <v>21</v>
      </c>
      <c r="L2748" s="7">
        <v>40519.266782407409</v>
      </c>
      <c r="M2748" s="12"/>
      <c r="N2748" s="12" t="s">
        <v>4738</v>
      </c>
      <c r="O2748" s="10" t="str">
        <f>HYPERLINK("https://pbs.twimg.com/profile_images/659081933557661696/ws31ev-y_normal.png","View")</f>
        <v>View</v>
      </c>
      <c r="P2748" s="11"/>
    </row>
    <row r="2749" spans="1:16" ht="12.75" x14ac:dyDescent="0.35">
      <c r="A2749" s="7">
        <v>42482.854976851857</v>
      </c>
      <c r="B2749" s="8" t="str">
        <f t="shared" ref="B2749:B2750" si="340">HYPERLINK("https://twitter.com/INDIZbot","@INDIZbot")</f>
        <v>@INDIZbot</v>
      </c>
      <c r="C2749" s="9" t="s">
        <v>61</v>
      </c>
      <c r="D2749" s="9" t="s">
        <v>4739</v>
      </c>
      <c r="E2749" s="10" t="str">
        <f>HYPERLINK("https://twitter.com/INDIZbot/status/723527071272734721","723527071272734721")</f>
        <v>723527071272734721</v>
      </c>
      <c r="F2749" s="11" t="s">
        <v>62</v>
      </c>
      <c r="G2749" s="11">
        <v>1769</v>
      </c>
      <c r="H2749" s="11">
        <v>482</v>
      </c>
      <c r="I2749" s="11">
        <v>1</v>
      </c>
      <c r="J2749" s="11">
        <v>0</v>
      </c>
      <c r="K2749" s="11" t="s">
        <v>21</v>
      </c>
      <c r="L2749" s="7">
        <v>42267.011921296296</v>
      </c>
      <c r="M2749" s="12"/>
      <c r="N2749" s="12" t="s">
        <v>63</v>
      </c>
      <c r="O2749" s="10" t="str">
        <f t="shared" ref="O2749:O2750" si="341">HYPERLINK("https://pbs.twimg.com/profile_images/645716711723925506/t5G0qOS6_normal.jpg","View")</f>
        <v>View</v>
      </c>
      <c r="P2749" s="11"/>
    </row>
    <row r="2750" spans="1:16" ht="12.75" x14ac:dyDescent="0.35">
      <c r="A2750" s="7">
        <v>42482.855312500003</v>
      </c>
      <c r="B2750" s="8" t="str">
        <f t="shared" si="340"/>
        <v>@INDIZbot</v>
      </c>
      <c r="C2750" s="9" t="s">
        <v>61</v>
      </c>
      <c r="D2750" s="9" t="s">
        <v>4740</v>
      </c>
      <c r="E2750" s="10" t="str">
        <f>HYPERLINK("https://twitter.com/INDIZbot/status/723527191435313152","723527191435313152")</f>
        <v>723527191435313152</v>
      </c>
      <c r="F2750" s="11" t="s">
        <v>62</v>
      </c>
      <c r="G2750" s="11">
        <v>1769</v>
      </c>
      <c r="H2750" s="11">
        <v>482</v>
      </c>
      <c r="I2750" s="11">
        <v>1</v>
      </c>
      <c r="J2750" s="11">
        <v>0</v>
      </c>
      <c r="K2750" s="11" t="s">
        <v>21</v>
      </c>
      <c r="L2750" s="7">
        <v>42267.011921296296</v>
      </c>
      <c r="M2750" s="12"/>
      <c r="N2750" s="12" t="s">
        <v>63</v>
      </c>
      <c r="O2750" s="10" t="str">
        <f t="shared" si="341"/>
        <v>View</v>
      </c>
      <c r="P2750" s="11"/>
    </row>
    <row r="2751" spans="1:16" ht="12.75" x14ac:dyDescent="0.35">
      <c r="A2751" s="7">
        <v>42482.855462962965</v>
      </c>
      <c r="B2751" s="8" t="str">
        <f>HYPERLINK("https://twitter.com/H_IT_D","@H_IT_D")</f>
        <v>@H_IT_D</v>
      </c>
      <c r="C2751" s="9" t="s">
        <v>159</v>
      </c>
      <c r="D2751" s="9" t="s">
        <v>4741</v>
      </c>
      <c r="E2751" s="10" t="str">
        <f>HYPERLINK("https://twitter.com/H_IT_D/status/723527245508157440","723527245508157440")</f>
        <v>723527245508157440</v>
      </c>
      <c r="F2751" s="11" t="s">
        <v>161</v>
      </c>
      <c r="G2751" s="11">
        <v>462</v>
      </c>
      <c r="H2751" s="11">
        <v>466</v>
      </c>
      <c r="I2751" s="11">
        <v>0</v>
      </c>
      <c r="J2751" s="11">
        <v>0</v>
      </c>
      <c r="K2751" s="11" t="s">
        <v>21</v>
      </c>
      <c r="L2751" s="7">
        <v>40723.867673611108</v>
      </c>
      <c r="M2751" s="12" t="s">
        <v>162</v>
      </c>
      <c r="N2751" s="12" t="s">
        <v>163</v>
      </c>
      <c r="O2751" s="10" t="str">
        <f>HYPERLINK("https://pbs.twimg.com/profile_images/662723326096224256/5V4KH9_O_normal.jpg","View")</f>
        <v>View</v>
      </c>
      <c r="P2751" s="11"/>
    </row>
    <row r="2752" spans="1:16" ht="12.75" x14ac:dyDescent="0.35">
      <c r="A2752" s="7">
        <v>42482.855717592596</v>
      </c>
      <c r="B2752" s="8" t="str">
        <f t="shared" ref="B2752:B2753" si="342">HYPERLINK("https://twitter.com/INDIZbot","@INDIZbot")</f>
        <v>@INDIZbot</v>
      </c>
      <c r="C2752" s="9" t="s">
        <v>61</v>
      </c>
      <c r="D2752" s="9" t="s">
        <v>4733</v>
      </c>
      <c r="E2752" s="10" t="str">
        <f>HYPERLINK("https://twitter.com/INDIZbot/status/723527336184930304","723527336184930304")</f>
        <v>723527336184930304</v>
      </c>
      <c r="F2752" s="11" t="s">
        <v>62</v>
      </c>
      <c r="G2752" s="11">
        <v>1769</v>
      </c>
      <c r="H2752" s="11">
        <v>482</v>
      </c>
      <c r="I2752" s="11">
        <v>2</v>
      </c>
      <c r="J2752" s="11">
        <v>0</v>
      </c>
      <c r="K2752" s="11" t="s">
        <v>21</v>
      </c>
      <c r="L2752" s="7">
        <v>42267.011921296296</v>
      </c>
      <c r="M2752" s="12"/>
      <c r="N2752" s="12" t="s">
        <v>63</v>
      </c>
      <c r="O2752" s="10" t="str">
        <f t="shared" ref="O2752:O2753" si="343">HYPERLINK("https://pbs.twimg.com/profile_images/645716711723925506/t5G0qOS6_normal.jpg","View")</f>
        <v>View</v>
      </c>
      <c r="P2752" s="11"/>
    </row>
    <row r="2753" spans="1:16" ht="12.75" x14ac:dyDescent="0.35">
      <c r="A2753" s="7">
        <v>42482.85633101852</v>
      </c>
      <c r="B2753" s="8" t="str">
        <f t="shared" si="342"/>
        <v>@INDIZbot</v>
      </c>
      <c r="C2753" s="9" t="s">
        <v>61</v>
      </c>
      <c r="D2753" s="9" t="s">
        <v>4742</v>
      </c>
      <c r="E2753" s="10" t="str">
        <f>HYPERLINK("https://twitter.com/INDIZbot/status/723527560269824000","723527560269824000")</f>
        <v>723527560269824000</v>
      </c>
      <c r="F2753" s="11" t="s">
        <v>62</v>
      </c>
      <c r="G2753" s="11">
        <v>1769</v>
      </c>
      <c r="H2753" s="11">
        <v>482</v>
      </c>
      <c r="I2753" s="11">
        <v>1</v>
      </c>
      <c r="J2753" s="11">
        <v>0</v>
      </c>
      <c r="K2753" s="11" t="s">
        <v>21</v>
      </c>
      <c r="L2753" s="7">
        <v>42267.011921296296</v>
      </c>
      <c r="M2753" s="12"/>
      <c r="N2753" s="12" t="s">
        <v>63</v>
      </c>
      <c r="O2753" s="10" t="str">
        <f t="shared" si="343"/>
        <v>View</v>
      </c>
      <c r="P2753" s="11"/>
    </row>
    <row r="2754" spans="1:16" ht="12.75" x14ac:dyDescent="0.35">
      <c r="A2754" s="7">
        <v>42482.859780092593</v>
      </c>
      <c r="B2754" s="8" t="str">
        <f>HYPERLINK("https://twitter.com/WSWMUC","@WSWMUC")</f>
        <v>@WSWMUC</v>
      </c>
      <c r="C2754" s="9" t="s">
        <v>164</v>
      </c>
      <c r="D2754" s="9" t="s">
        <v>4743</v>
      </c>
      <c r="E2754" s="10" t="str">
        <f>HYPERLINK("https://twitter.com/WSWMUC/status/723528810587627520","723528810587627520")</f>
        <v>723528810587627520</v>
      </c>
      <c r="F2754" s="11" t="s">
        <v>25</v>
      </c>
      <c r="G2754" s="11">
        <v>1603</v>
      </c>
      <c r="H2754" s="11">
        <v>2228</v>
      </c>
      <c r="I2754" s="11">
        <v>1</v>
      </c>
      <c r="J2754" s="11">
        <v>1</v>
      </c>
      <c r="K2754" s="11" t="s">
        <v>21</v>
      </c>
      <c r="L2754" s="7">
        <v>41446.59679398148</v>
      </c>
      <c r="M2754" s="12" t="s">
        <v>166</v>
      </c>
      <c r="N2754" s="12" t="s">
        <v>4728</v>
      </c>
      <c r="O2754" s="10" t="str">
        <f>HYPERLINK("https://pbs.twimg.com/profile_images/524295003107885059/1ADGv6Ps_normal.png","View")</f>
        <v>View</v>
      </c>
      <c r="P2754" s="11"/>
    </row>
    <row r="2755" spans="1:16" ht="12.75" x14ac:dyDescent="0.35">
      <c r="A2755" s="7">
        <v>42482.860462962963</v>
      </c>
      <c r="B2755" s="8" t="str">
        <f>HYPERLINK("https://twitter.com/DullerMarco","@DullerMarco")</f>
        <v>@DullerMarco</v>
      </c>
      <c r="C2755" s="9" t="s">
        <v>4744</v>
      </c>
      <c r="D2755" s="9" t="s">
        <v>4686</v>
      </c>
      <c r="E2755" s="10" t="str">
        <f>HYPERLINK("https://twitter.com/DullerMarco/status/723529059632877568","723529059632877568")</f>
        <v>723529059632877568</v>
      </c>
      <c r="F2755" s="11" t="s">
        <v>1491</v>
      </c>
      <c r="G2755" s="11">
        <v>89</v>
      </c>
      <c r="H2755" s="11">
        <v>97</v>
      </c>
      <c r="I2755" s="11">
        <v>4</v>
      </c>
      <c r="J2755" s="11">
        <v>0</v>
      </c>
      <c r="K2755" s="11" t="s">
        <v>21</v>
      </c>
      <c r="L2755" s="7">
        <v>41960.01158564815</v>
      </c>
      <c r="M2755" s="12" t="s">
        <v>218</v>
      </c>
      <c r="N2755" s="12" t="s">
        <v>4745</v>
      </c>
      <c r="O2755" s="10" t="str">
        <f>HYPERLINK("https://pbs.twimg.com/profile_images/534063334208077824/EmJNThHZ_normal.jpeg","View")</f>
        <v>View</v>
      </c>
      <c r="P2755" s="11"/>
    </row>
    <row r="2756" spans="1:16" ht="12.75" x14ac:dyDescent="0.35">
      <c r="A2756" s="7">
        <v>42482.862291666665</v>
      </c>
      <c r="B2756" s="8" t="str">
        <f t="shared" ref="B2756:B2757" si="344">HYPERLINK("https://twitter.com/INDIZbot","@INDIZbot")</f>
        <v>@INDIZbot</v>
      </c>
      <c r="C2756" s="9" t="s">
        <v>61</v>
      </c>
      <c r="D2756" s="9" t="s">
        <v>4686</v>
      </c>
      <c r="E2756" s="10" t="str">
        <f>HYPERLINK("https://twitter.com/INDIZbot/status/723529721032638464","723529721032638464")</f>
        <v>723529721032638464</v>
      </c>
      <c r="F2756" s="11" t="s">
        <v>62</v>
      </c>
      <c r="G2756" s="11">
        <v>1769</v>
      </c>
      <c r="H2756" s="11">
        <v>482</v>
      </c>
      <c r="I2756" s="11">
        <v>4</v>
      </c>
      <c r="J2756" s="11">
        <v>0</v>
      </c>
      <c r="K2756" s="11" t="s">
        <v>21</v>
      </c>
      <c r="L2756" s="7">
        <v>42267.011921296296</v>
      </c>
      <c r="M2756" s="12"/>
      <c r="N2756" s="12" t="s">
        <v>63</v>
      </c>
      <c r="O2756" s="10" t="str">
        <f t="shared" ref="O2756:O2757" si="345">HYPERLINK("https://pbs.twimg.com/profile_images/645716711723925506/t5G0qOS6_normal.jpg","View")</f>
        <v>View</v>
      </c>
      <c r="P2756" s="11"/>
    </row>
    <row r="2757" spans="1:16" ht="12.75" x14ac:dyDescent="0.35">
      <c r="A2757" s="7">
        <v>42482.86241898148</v>
      </c>
      <c r="B2757" s="8" t="str">
        <f t="shared" si="344"/>
        <v>@INDIZbot</v>
      </c>
      <c r="C2757" s="9" t="s">
        <v>61</v>
      </c>
      <c r="D2757" s="9" t="s">
        <v>4746</v>
      </c>
      <c r="E2757" s="10" t="str">
        <f>HYPERLINK("https://twitter.com/INDIZbot/status/723529768176631808","723529768176631808")</f>
        <v>723529768176631808</v>
      </c>
      <c r="F2757" s="11" t="s">
        <v>62</v>
      </c>
      <c r="G2757" s="11">
        <v>1769</v>
      </c>
      <c r="H2757" s="11">
        <v>482</v>
      </c>
      <c r="I2757" s="11">
        <v>1</v>
      </c>
      <c r="J2757" s="11">
        <v>0</v>
      </c>
      <c r="K2757" s="11" t="s">
        <v>21</v>
      </c>
      <c r="L2757" s="7">
        <v>42267.011921296296</v>
      </c>
      <c r="M2757" s="12"/>
      <c r="N2757" s="12" t="s">
        <v>63</v>
      </c>
      <c r="O2757" s="10" t="str">
        <f t="shared" si="345"/>
        <v>View</v>
      </c>
      <c r="P2757" s="11"/>
    </row>
    <row r="2758" spans="1:16" ht="12.75" x14ac:dyDescent="0.35">
      <c r="A2758" s="7">
        <v>42482.865995370375</v>
      </c>
      <c r="B2758" s="8" t="str">
        <f>HYPERLINK("https://twitter.com/JeannetteSchol3","@JeannetteSchol3")</f>
        <v>@JeannetteSchol3</v>
      </c>
      <c r="C2758" s="9" t="s">
        <v>4747</v>
      </c>
      <c r="D2758" s="9" t="s">
        <v>3968</v>
      </c>
      <c r="E2758" s="10" t="str">
        <f>HYPERLINK("https://twitter.com/JeannetteSchol3/status/723531062190678017","723531062190678017")</f>
        <v>723531062190678017</v>
      </c>
      <c r="F2758" s="11" t="s">
        <v>20</v>
      </c>
      <c r="G2758" s="11">
        <v>251</v>
      </c>
      <c r="H2758" s="11">
        <v>389</v>
      </c>
      <c r="I2758" s="11">
        <v>15</v>
      </c>
      <c r="J2758" s="11">
        <v>0</v>
      </c>
      <c r="K2758" s="11" t="s">
        <v>21</v>
      </c>
      <c r="L2758" s="7">
        <v>42323.79278935185</v>
      </c>
      <c r="M2758" s="12" t="s">
        <v>92</v>
      </c>
      <c r="N2758" s="12"/>
      <c r="O2758" s="10" t="str">
        <f>HYPERLINK("https://pbs.twimg.com/profile_images/680763185599803392/bxdR1tub_normal.jpg","View")</f>
        <v>View</v>
      </c>
      <c r="P2758" s="11"/>
    </row>
    <row r="2759" spans="1:16" ht="12.75" x14ac:dyDescent="0.35">
      <c r="A2759" s="7">
        <v>42482.876550925925</v>
      </c>
      <c r="B2759" s="8" t="str">
        <f>HYPERLINK("https://twitter.com/swabr","@swabr")</f>
        <v>@swabr</v>
      </c>
      <c r="C2759" s="9" t="s">
        <v>4748</v>
      </c>
      <c r="D2759" s="9" t="s">
        <v>4749</v>
      </c>
      <c r="E2759" s="10" t="str">
        <f>HYPERLINK("https://twitter.com/swabr/status/723534889245659136","723534889245659136")</f>
        <v>723534889245659136</v>
      </c>
      <c r="F2759" s="11" t="s">
        <v>25</v>
      </c>
      <c r="G2759" s="11">
        <v>308</v>
      </c>
      <c r="H2759" s="11">
        <v>12</v>
      </c>
      <c r="I2759" s="11">
        <v>1</v>
      </c>
      <c r="J2759" s="11">
        <v>1</v>
      </c>
      <c r="K2759" s="11" t="s">
        <v>21</v>
      </c>
      <c r="L2759" s="7">
        <v>40337.741597222222</v>
      </c>
      <c r="M2759" s="12" t="s">
        <v>4750</v>
      </c>
      <c r="N2759" s="12" t="s">
        <v>4751</v>
      </c>
      <c r="O2759" s="10" t="str">
        <f>HYPERLINK("https://pbs.twimg.com/profile_images/713021686375952384/5usVgC3g_normal.jpg","View")</f>
        <v>View</v>
      </c>
      <c r="P2759" s="11"/>
    </row>
    <row r="2760" spans="1:16" ht="12.75" x14ac:dyDescent="0.35">
      <c r="A2760" s="7">
        <v>42482.877476851849</v>
      </c>
      <c r="B2760" s="8" t="str">
        <f>HYPERLINK("https://twitter.com/catkinEU","@catkinEU")</f>
        <v>@catkinEU</v>
      </c>
      <c r="C2760" s="9" t="s">
        <v>781</v>
      </c>
      <c r="D2760" s="9" t="s">
        <v>4725</v>
      </c>
      <c r="E2760" s="10" t="str">
        <f>HYPERLINK("https://twitter.com/catkinEU/status/723535223024160768","723535223024160768")</f>
        <v>723535223024160768</v>
      </c>
      <c r="F2760" s="11" t="s">
        <v>29</v>
      </c>
      <c r="G2760" s="11">
        <v>403</v>
      </c>
      <c r="H2760" s="11">
        <v>565</v>
      </c>
      <c r="I2760" s="11">
        <v>3</v>
      </c>
      <c r="J2760" s="11">
        <v>0</v>
      </c>
      <c r="K2760" s="11" t="s">
        <v>21</v>
      </c>
      <c r="L2760" s="7">
        <v>42153.955763888887</v>
      </c>
      <c r="M2760" s="12"/>
      <c r="N2760" s="12" t="s">
        <v>782</v>
      </c>
      <c r="O2760" s="10" t="str">
        <f>HYPERLINK("https://pbs.twimg.com/profile_images/604338428227010560/6jzSa8us_normal.png","View")</f>
        <v>View</v>
      </c>
      <c r="P2760" s="11"/>
    </row>
    <row r="2761" spans="1:16" ht="12.75" x14ac:dyDescent="0.35">
      <c r="A2761" s="7">
        <v>42482.879641203705</v>
      </c>
      <c r="B2761" s="8" t="str">
        <f>HYPERLINK("https://twitter.com/tracymgay","@tracymgay")</f>
        <v>@tracymgay</v>
      </c>
      <c r="C2761" s="9" t="s">
        <v>4752</v>
      </c>
      <c r="D2761" s="9" t="s">
        <v>4648</v>
      </c>
      <c r="E2761" s="10" t="str">
        <f>HYPERLINK("https://twitter.com/tracymgay/status/723536006457122816","723536006457122816")</f>
        <v>723536006457122816</v>
      </c>
      <c r="F2761" s="11" t="s">
        <v>25</v>
      </c>
      <c r="G2761" s="11">
        <v>55</v>
      </c>
      <c r="H2761" s="11">
        <v>109</v>
      </c>
      <c r="I2761" s="11">
        <v>2</v>
      </c>
      <c r="J2761" s="11">
        <v>0</v>
      </c>
      <c r="K2761" s="11" t="s">
        <v>21</v>
      </c>
      <c r="L2761" s="7">
        <v>40424.955000000002</v>
      </c>
      <c r="M2761" s="12"/>
      <c r="N2761" s="12"/>
      <c r="O2761" s="10" t="str">
        <f>HYPERLINK("https://pbs.twimg.com/profile_images/378800000266037039/8db8943681e1fb3279836e0db2e4b723_normal.jpeg","View")</f>
        <v>View</v>
      </c>
      <c r="P2761" s="11"/>
    </row>
    <row r="2762" spans="1:16" ht="12.75" x14ac:dyDescent="0.35">
      <c r="A2762" s="7">
        <v>42482.880057870367</v>
      </c>
      <c r="B2762" s="8" t="str">
        <f>HYPERLINK("https://twitter.com/DanielKueng","@DanielKueng")</f>
        <v>@DanielKueng</v>
      </c>
      <c r="C2762" s="9" t="s">
        <v>4162</v>
      </c>
      <c r="D2762" s="9" t="s">
        <v>4753</v>
      </c>
      <c r="E2762" s="10" t="str">
        <f>HYPERLINK("https://twitter.com/DanielKueng/status/723536156755943424","723536156755943424")</f>
        <v>723536156755943424</v>
      </c>
      <c r="F2762" s="11" t="s">
        <v>39</v>
      </c>
      <c r="G2762" s="11">
        <v>673</v>
      </c>
      <c r="H2762" s="11">
        <v>52</v>
      </c>
      <c r="I2762" s="11">
        <v>1</v>
      </c>
      <c r="J2762" s="11">
        <v>0</v>
      </c>
      <c r="K2762" s="11" t="s">
        <v>21</v>
      </c>
      <c r="L2762" s="7">
        <v>40231.525995370372</v>
      </c>
      <c r="M2762" s="12" t="s">
        <v>4164</v>
      </c>
      <c r="N2762" s="12" t="s">
        <v>4165</v>
      </c>
      <c r="O2762" s="10" t="str">
        <f>HYPERLINK("https://pbs.twimg.com/profile_images/709490937043492865/GYoQPOCZ_normal.jpg","View")</f>
        <v>View</v>
      </c>
      <c r="P2762" s="11"/>
    </row>
    <row r="2763" spans="1:16" ht="12.75" x14ac:dyDescent="0.35">
      <c r="A2763" s="7">
        <v>42482.882766203707</v>
      </c>
      <c r="B2763" s="8" t="str">
        <f>HYPERLINK("https://twitter.com/INDIZbot","@INDIZbot")</f>
        <v>@INDIZbot</v>
      </c>
      <c r="C2763" s="9" t="s">
        <v>61</v>
      </c>
      <c r="D2763" s="9" t="s">
        <v>4754</v>
      </c>
      <c r="E2763" s="10" t="str">
        <f>HYPERLINK("https://twitter.com/INDIZbot/status/723537138759782400","723537138759782400")</f>
        <v>723537138759782400</v>
      </c>
      <c r="F2763" s="11" t="s">
        <v>62</v>
      </c>
      <c r="G2763" s="11">
        <v>1770</v>
      </c>
      <c r="H2763" s="11">
        <v>482</v>
      </c>
      <c r="I2763" s="11">
        <v>1</v>
      </c>
      <c r="J2763" s="11">
        <v>0</v>
      </c>
      <c r="K2763" s="11" t="s">
        <v>21</v>
      </c>
      <c r="L2763" s="7">
        <v>42267.011921296296</v>
      </c>
      <c r="M2763" s="12"/>
      <c r="N2763" s="12" t="s">
        <v>63</v>
      </c>
      <c r="O2763" s="10" t="str">
        <f>HYPERLINK("https://pbs.twimg.com/profile_images/645716711723925506/t5G0qOS6_normal.jpg","View")</f>
        <v>View</v>
      </c>
      <c r="P2763" s="11"/>
    </row>
    <row r="2764" spans="1:16" ht="12.75" x14ac:dyDescent="0.35">
      <c r="A2764" s="7">
        <v>42482.882962962962</v>
      </c>
      <c r="B2764" s="8" t="str">
        <f>HYPERLINK("https://twitter.com/lukaspfeiffer","@lukaspfeiffer")</f>
        <v>@lukaspfeiffer</v>
      </c>
      <c r="C2764" s="9" t="s">
        <v>4755</v>
      </c>
      <c r="D2764" s="9" t="s">
        <v>4756</v>
      </c>
      <c r="E2764" s="10" t="str">
        <f>HYPERLINK("https://twitter.com/lukaspfeiffer/status/723537209740136448","723537209740136448")</f>
        <v>723537209740136448</v>
      </c>
      <c r="F2764" s="11" t="s">
        <v>25</v>
      </c>
      <c r="G2764" s="11">
        <v>536</v>
      </c>
      <c r="H2764" s="11">
        <v>83</v>
      </c>
      <c r="I2764" s="11">
        <v>0</v>
      </c>
      <c r="J2764" s="11">
        <v>0</v>
      </c>
      <c r="K2764" s="11" t="s">
        <v>21</v>
      </c>
      <c r="L2764" s="7">
        <v>39911.802777777775</v>
      </c>
      <c r="M2764" s="12" t="s">
        <v>4757</v>
      </c>
      <c r="N2764" s="12" t="s">
        <v>4758</v>
      </c>
      <c r="O2764" s="10" t="str">
        <f>HYPERLINK("https://pbs.twimg.com/profile_images/714471664457748481/WWI520Ho_normal.jpg","View")</f>
        <v>View</v>
      </c>
      <c r="P2764" s="11"/>
    </row>
    <row r="2765" spans="1:16" ht="12.75" x14ac:dyDescent="0.35">
      <c r="A2765" s="7">
        <v>42482.883506944447</v>
      </c>
      <c r="B2765" s="8" t="str">
        <f>HYPERLINK("https://twitter.com/Vontobel_FP_DE","@Vontobel_FP_DE")</f>
        <v>@Vontobel_FP_DE</v>
      </c>
      <c r="C2765" s="9" t="s">
        <v>4759</v>
      </c>
      <c r="D2765" s="9" t="s">
        <v>4760</v>
      </c>
      <c r="E2765" s="10" t="str">
        <f>HYPERLINK("https://twitter.com/Vontobel_FP_DE/status/723537407874883584","723537407874883584")</f>
        <v>723537407874883584</v>
      </c>
      <c r="F2765" s="11" t="s">
        <v>25</v>
      </c>
      <c r="G2765" s="11">
        <v>1258</v>
      </c>
      <c r="H2765" s="11">
        <v>58</v>
      </c>
      <c r="I2765" s="11">
        <v>0</v>
      </c>
      <c r="J2765" s="11">
        <v>1</v>
      </c>
      <c r="K2765" s="11" t="s">
        <v>21</v>
      </c>
      <c r="L2765" s="7">
        <v>40325.919247685189</v>
      </c>
      <c r="M2765" s="12" t="s">
        <v>1290</v>
      </c>
      <c r="N2765" s="12" t="s">
        <v>4761</v>
      </c>
      <c r="O2765" s="10" t="str">
        <f>HYPERLINK("https://pbs.twimg.com/profile_images/558172566636859393/uQWpWj98_normal.jpeg","View")</f>
        <v>View</v>
      </c>
      <c r="P2765" s="11"/>
    </row>
    <row r="2766" spans="1:16" ht="12.75" x14ac:dyDescent="0.35">
      <c r="A2766" s="7">
        <v>42482.883518518516</v>
      </c>
      <c r="B2766" s="8" t="str">
        <f t="shared" ref="B2766:B2767" si="346">HYPERLINK("https://twitter.com/INDIZbot","@INDIZbot")</f>
        <v>@INDIZbot</v>
      </c>
      <c r="C2766" s="9" t="s">
        <v>61</v>
      </c>
      <c r="D2766" s="9" t="s">
        <v>4725</v>
      </c>
      <c r="E2766" s="10" t="str">
        <f>HYPERLINK("https://twitter.com/INDIZbot/status/723537413314863104","723537413314863104")</f>
        <v>723537413314863104</v>
      </c>
      <c r="F2766" s="11" t="s">
        <v>62</v>
      </c>
      <c r="G2766" s="11">
        <v>1770</v>
      </c>
      <c r="H2766" s="11">
        <v>482</v>
      </c>
      <c r="I2766" s="11">
        <v>3</v>
      </c>
      <c r="J2766" s="11">
        <v>0</v>
      </c>
      <c r="K2766" s="11" t="s">
        <v>21</v>
      </c>
      <c r="L2766" s="7">
        <v>42267.011921296296</v>
      </c>
      <c r="M2766" s="12"/>
      <c r="N2766" s="12" t="s">
        <v>63</v>
      </c>
      <c r="O2766" s="10" t="str">
        <f t="shared" ref="O2766:O2767" si="347">HYPERLINK("https://pbs.twimg.com/profile_images/645716711723925506/t5G0qOS6_normal.jpg","View")</f>
        <v>View</v>
      </c>
      <c r="P2766" s="11"/>
    </row>
    <row r="2767" spans="1:16" ht="12.75" x14ac:dyDescent="0.35">
      <c r="A2767" s="7">
        <v>42482.883680555555</v>
      </c>
      <c r="B2767" s="8" t="str">
        <f t="shared" si="346"/>
        <v>@INDIZbot</v>
      </c>
      <c r="C2767" s="9" t="s">
        <v>61</v>
      </c>
      <c r="D2767" s="9" t="s">
        <v>4762</v>
      </c>
      <c r="E2767" s="10" t="str">
        <f>HYPERLINK("https://twitter.com/INDIZbot/status/723537470294491136","723537470294491136")</f>
        <v>723537470294491136</v>
      </c>
      <c r="F2767" s="11" t="s">
        <v>62</v>
      </c>
      <c r="G2767" s="11">
        <v>1770</v>
      </c>
      <c r="H2767" s="11">
        <v>482</v>
      </c>
      <c r="I2767" s="11">
        <v>1</v>
      </c>
      <c r="J2767" s="11">
        <v>0</v>
      </c>
      <c r="K2767" s="11" t="s">
        <v>21</v>
      </c>
      <c r="L2767" s="7">
        <v>42267.011921296296</v>
      </c>
      <c r="M2767" s="12"/>
      <c r="N2767" s="12" t="s">
        <v>63</v>
      </c>
      <c r="O2767" s="10" t="str">
        <f t="shared" si="347"/>
        <v>View</v>
      </c>
      <c r="P2767" s="11"/>
    </row>
    <row r="2768" spans="1:16" ht="12.75" x14ac:dyDescent="0.35">
      <c r="A2768" s="7">
        <v>42482.887962962966</v>
      </c>
      <c r="B2768" s="8" t="str">
        <f t="shared" ref="B2768:B2769" si="348">HYPERLINK("https://twitter.com/LReehten","@LReehten")</f>
        <v>@LReehten</v>
      </c>
      <c r="C2768" s="9" t="s">
        <v>1998</v>
      </c>
      <c r="D2768" s="9" t="s">
        <v>3646</v>
      </c>
      <c r="E2768" s="10" t="str">
        <f>HYPERLINK("https://twitter.com/LReehten/status/723539021377507330","723539021377507330")</f>
        <v>723539021377507330</v>
      </c>
      <c r="F2768" s="11" t="s">
        <v>25</v>
      </c>
      <c r="G2768" s="11">
        <v>2339</v>
      </c>
      <c r="H2768" s="11">
        <v>2859</v>
      </c>
      <c r="I2768" s="11">
        <v>13</v>
      </c>
      <c r="J2768" s="11">
        <v>0</v>
      </c>
      <c r="K2768" s="11" t="s">
        <v>21</v>
      </c>
      <c r="L2768" s="7">
        <v>41618.817071759258</v>
      </c>
      <c r="M2768" s="12"/>
      <c r="N2768" s="12" t="s">
        <v>2000</v>
      </c>
      <c r="O2768" s="10" t="str">
        <f t="shared" ref="O2768:O2769" si="349">HYPERLINK("https://pbs.twimg.com/profile_images/623849156159868928/BetFDR_i_normal.jpg","View")</f>
        <v>View</v>
      </c>
      <c r="P2768" s="11"/>
    </row>
    <row r="2769" spans="1:16" ht="12.75" x14ac:dyDescent="0.35">
      <c r="A2769" s="7">
        <v>42482.888101851851</v>
      </c>
      <c r="B2769" s="8" t="str">
        <f t="shared" si="348"/>
        <v>@LReehten</v>
      </c>
      <c r="C2769" s="9" t="s">
        <v>1998</v>
      </c>
      <c r="D2769" s="9" t="s">
        <v>2938</v>
      </c>
      <c r="E2769" s="10" t="str">
        <f>HYPERLINK("https://twitter.com/LReehten/status/723539073260986369","723539073260986369")</f>
        <v>723539073260986369</v>
      </c>
      <c r="F2769" s="11" t="s">
        <v>25</v>
      </c>
      <c r="G2769" s="11">
        <v>2339</v>
      </c>
      <c r="H2769" s="11">
        <v>2859</v>
      </c>
      <c r="I2769" s="11">
        <v>13</v>
      </c>
      <c r="J2769" s="11">
        <v>0</v>
      </c>
      <c r="K2769" s="11" t="s">
        <v>21</v>
      </c>
      <c r="L2769" s="7">
        <v>41618.817071759258</v>
      </c>
      <c r="M2769" s="12"/>
      <c r="N2769" s="12" t="s">
        <v>2000</v>
      </c>
      <c r="O2769" s="10" t="str">
        <f t="shared" si="349"/>
        <v>View</v>
      </c>
      <c r="P2769" s="11"/>
    </row>
    <row r="2770" spans="1:16" ht="12.75" x14ac:dyDescent="0.35">
      <c r="A2770" s="7">
        <v>42482.889282407406</v>
      </c>
      <c r="B2770" s="8" t="str">
        <f>HYPERLINK("https://twitter.com/INDIZbot","@INDIZbot")</f>
        <v>@INDIZbot</v>
      </c>
      <c r="C2770" s="9" t="s">
        <v>61</v>
      </c>
      <c r="D2770" s="9" t="s">
        <v>467</v>
      </c>
      <c r="E2770" s="10" t="str">
        <f>HYPERLINK("https://twitter.com/INDIZbot/status/723539503189757952","723539503189757952")</f>
        <v>723539503189757952</v>
      </c>
      <c r="F2770" s="11" t="s">
        <v>31</v>
      </c>
      <c r="G2770" s="11">
        <v>1769</v>
      </c>
      <c r="H2770" s="11">
        <v>482</v>
      </c>
      <c r="I2770" s="11">
        <v>66</v>
      </c>
      <c r="J2770" s="11">
        <v>0</v>
      </c>
      <c r="K2770" s="11" t="s">
        <v>21</v>
      </c>
      <c r="L2770" s="7">
        <v>42267.011921296296</v>
      </c>
      <c r="M2770" s="12"/>
      <c r="N2770" s="12" t="s">
        <v>63</v>
      </c>
      <c r="O2770" s="10" t="str">
        <f>HYPERLINK("https://pbs.twimg.com/profile_images/645716711723925506/t5G0qOS6_normal.jpg","View")</f>
        <v>View</v>
      </c>
      <c r="P2770" s="11"/>
    </row>
    <row r="2771" spans="1:16" ht="12.75" x14ac:dyDescent="0.35">
      <c r="A2771" s="7">
        <v>42482.896423611106</v>
      </c>
      <c r="B2771" s="8" t="str">
        <f>HYPERLINK("https://twitter.com/DukDaffe","@DukDaffe")</f>
        <v>@DukDaffe</v>
      </c>
      <c r="C2771" s="9" t="s">
        <v>4763</v>
      </c>
      <c r="D2771" s="9" t="s">
        <v>4739</v>
      </c>
      <c r="E2771" s="10" t="str">
        <f>HYPERLINK("https://twitter.com/DukDaffe/status/723542090060206080","723542090060206080")</f>
        <v>723542090060206080</v>
      </c>
      <c r="F2771" s="11" t="s">
        <v>31</v>
      </c>
      <c r="G2771" s="11">
        <v>6</v>
      </c>
      <c r="H2771" s="11">
        <v>53</v>
      </c>
      <c r="I2771" s="11">
        <v>2</v>
      </c>
      <c r="J2771" s="11">
        <v>0</v>
      </c>
      <c r="K2771" s="11" t="s">
        <v>21</v>
      </c>
      <c r="L2771" s="7">
        <v>42065.645821759259</v>
      </c>
      <c r="M2771" s="12"/>
      <c r="N2771" s="12"/>
      <c r="O2771" s="10" t="str">
        <f>HYPERLINK("https://abs.twimg.com/sticky/default_profile_images/default_profile_5_normal.png","View")</f>
        <v>View</v>
      </c>
      <c r="P2771" s="11"/>
    </row>
    <row r="2772" spans="1:16" ht="12.75" x14ac:dyDescent="0.35">
      <c r="A2772" s="7">
        <v>42482.897951388892</v>
      </c>
      <c r="B2772" s="8" t="str">
        <f>HYPERLINK("https://twitter.com/hall_idostories","@hall_idostories")</f>
        <v>@hall_idostories</v>
      </c>
      <c r="C2772" s="9" t="s">
        <v>4764</v>
      </c>
      <c r="D2772" s="9" t="s">
        <v>4543</v>
      </c>
      <c r="E2772" s="10" t="str">
        <f>HYPERLINK("https://twitter.com/hall_idostories/status/723542642714255360","723542642714255360")</f>
        <v>723542642714255360</v>
      </c>
      <c r="F2772" s="11" t="s">
        <v>25</v>
      </c>
      <c r="G2772" s="11">
        <v>3173</v>
      </c>
      <c r="H2772" s="11">
        <v>3135</v>
      </c>
      <c r="I2772" s="11">
        <v>15</v>
      </c>
      <c r="J2772" s="11">
        <v>0</v>
      </c>
      <c r="K2772" s="11" t="s">
        <v>21</v>
      </c>
      <c r="L2772" s="7">
        <v>41851.974039351851</v>
      </c>
      <c r="M2772" s="12" t="s">
        <v>4765</v>
      </c>
      <c r="N2772" s="12" t="s">
        <v>4766</v>
      </c>
      <c r="O2772" s="10" t="str">
        <f>HYPERLINK("https://pbs.twimg.com/profile_images/692785682461302784/MGw-4T6__normal.jpg","View")</f>
        <v>View</v>
      </c>
      <c r="P2772" s="11"/>
    </row>
    <row r="2773" spans="1:16" ht="12.75" x14ac:dyDescent="0.35">
      <c r="A2773" s="7">
        <v>42482.899560185186</v>
      </c>
      <c r="B2773" s="8" t="str">
        <f>HYPERLINK("https://twitter.com/H_IT_D","@H_IT_D")</f>
        <v>@H_IT_D</v>
      </c>
      <c r="C2773" s="9" t="s">
        <v>159</v>
      </c>
      <c r="D2773" s="9" t="s">
        <v>4767</v>
      </c>
      <c r="E2773" s="10" t="str">
        <f>HYPERLINK("https://twitter.com/H_IT_D/status/723543227467329536","723543227467329536")</f>
        <v>723543227467329536</v>
      </c>
      <c r="F2773" s="11" t="s">
        <v>161</v>
      </c>
      <c r="G2773" s="11">
        <v>463</v>
      </c>
      <c r="H2773" s="11">
        <v>466</v>
      </c>
      <c r="I2773" s="11">
        <v>1</v>
      </c>
      <c r="J2773" s="11">
        <v>0</v>
      </c>
      <c r="K2773" s="11" t="s">
        <v>21</v>
      </c>
      <c r="L2773" s="7">
        <v>40723.867673611108</v>
      </c>
      <c r="M2773" s="12" t="s">
        <v>162</v>
      </c>
      <c r="N2773" s="12" t="s">
        <v>163</v>
      </c>
      <c r="O2773" s="10" t="str">
        <f>HYPERLINK("https://pbs.twimg.com/profile_images/662723326096224256/5V4KH9_O_normal.jpg","View")</f>
        <v>View</v>
      </c>
      <c r="P2773" s="11"/>
    </row>
    <row r="2774" spans="1:16" ht="12.75" x14ac:dyDescent="0.35">
      <c r="A2774" s="7">
        <v>42482.904236111106</v>
      </c>
      <c r="B2774" s="8" t="str">
        <f>HYPERLINK("https://twitter.com/INDIZbot","@INDIZbot")</f>
        <v>@INDIZbot</v>
      </c>
      <c r="C2774" s="9" t="s">
        <v>61</v>
      </c>
      <c r="D2774" s="9" t="s">
        <v>4768</v>
      </c>
      <c r="E2774" s="10" t="str">
        <f>HYPERLINK("https://twitter.com/INDIZbot/status/723544919441285121","723544919441285121")</f>
        <v>723544919441285121</v>
      </c>
      <c r="F2774" s="11" t="s">
        <v>62</v>
      </c>
      <c r="G2774" s="11">
        <v>1770</v>
      </c>
      <c r="H2774" s="11">
        <v>482</v>
      </c>
      <c r="I2774" s="11">
        <v>1</v>
      </c>
      <c r="J2774" s="11">
        <v>0</v>
      </c>
      <c r="K2774" s="11" t="s">
        <v>21</v>
      </c>
      <c r="L2774" s="7">
        <v>42267.011921296296</v>
      </c>
      <c r="M2774" s="12"/>
      <c r="N2774" s="12" t="s">
        <v>63</v>
      </c>
      <c r="O2774" s="10" t="str">
        <f>HYPERLINK("https://pbs.twimg.com/profile_images/645716711723925506/t5G0qOS6_normal.jpg","View")</f>
        <v>View</v>
      </c>
      <c r="P2774" s="11"/>
    </row>
    <row r="2775" spans="1:16" ht="12.75" x14ac:dyDescent="0.35">
      <c r="A2775" s="7">
        <v>42482.905914351853</v>
      </c>
      <c r="B2775" s="8" t="str">
        <f>HYPERLINK("https://twitter.com/cybus_io","@cybus_io")</f>
        <v>@cybus_io</v>
      </c>
      <c r="C2775" s="9" t="s">
        <v>4609</v>
      </c>
      <c r="D2775" s="9" t="s">
        <v>4769</v>
      </c>
      <c r="E2775" s="10" t="str">
        <f>HYPERLINK("https://twitter.com/cybus_io/status/723545529586724865","723545529586724865")</f>
        <v>723545529586724865</v>
      </c>
      <c r="F2775" s="11" t="s">
        <v>1697</v>
      </c>
      <c r="G2775" s="11">
        <v>173</v>
      </c>
      <c r="H2775" s="11">
        <v>108</v>
      </c>
      <c r="I2775" s="11">
        <v>0</v>
      </c>
      <c r="J2775" s="11">
        <v>0</v>
      </c>
      <c r="K2775" s="11" t="s">
        <v>21</v>
      </c>
      <c r="L2775" s="7">
        <v>41892.725914351853</v>
      </c>
      <c r="M2775" s="12" t="s">
        <v>549</v>
      </c>
      <c r="N2775" s="12" t="s">
        <v>4611</v>
      </c>
      <c r="O2775" s="10" t="str">
        <f>HYPERLINK("https://pbs.twimg.com/profile_images/673122571731251200/Rcblg7bz_normal.png","View")</f>
        <v>View</v>
      </c>
      <c r="P2775" s="11"/>
    </row>
    <row r="2776" spans="1:16" ht="12.75" x14ac:dyDescent="0.35">
      <c r="A2776" s="7">
        <v>42482.910208333335</v>
      </c>
      <c r="B2776" s="8" t="str">
        <f>HYPERLINK("https://twitter.com/boerni_w","@boerni_w")</f>
        <v>@boerni_w</v>
      </c>
      <c r="C2776" s="9" t="s">
        <v>702</v>
      </c>
      <c r="D2776" s="9" t="s">
        <v>2938</v>
      </c>
      <c r="E2776" s="10" t="str">
        <f>HYPERLINK("https://twitter.com/boerni_w/status/723547084494897154","723547084494897154")</f>
        <v>723547084494897154</v>
      </c>
      <c r="F2776" s="11" t="s">
        <v>31</v>
      </c>
      <c r="G2776" s="11">
        <v>783</v>
      </c>
      <c r="H2776" s="11">
        <v>812</v>
      </c>
      <c r="I2776" s="11">
        <v>14</v>
      </c>
      <c r="J2776" s="11">
        <v>0</v>
      </c>
      <c r="K2776" s="11" t="s">
        <v>21</v>
      </c>
      <c r="L2776" s="7">
        <v>41612.819016203706</v>
      </c>
      <c r="M2776" s="12" t="s">
        <v>703</v>
      </c>
      <c r="N2776" s="12" t="s">
        <v>704</v>
      </c>
      <c r="O2776" s="10" t="str">
        <f>HYPERLINK("https://pbs.twimg.com/profile_images/378800000832540984/08f85f5a644d0edf1fc387140334494b_normal.jpeg","View")</f>
        <v>View</v>
      </c>
      <c r="P2776" s="11"/>
    </row>
    <row r="2777" spans="1:16" ht="12.75" x14ac:dyDescent="0.35">
      <c r="A2777" s="7">
        <v>42482.911296296297</v>
      </c>
      <c r="B2777" s="8" t="str">
        <f>HYPERLINK("https://twitter.com/HuelsmannT","@HuelsmannT")</f>
        <v>@HuelsmannT</v>
      </c>
      <c r="C2777" s="9" t="s">
        <v>4770</v>
      </c>
      <c r="D2777" s="9" t="s">
        <v>3803</v>
      </c>
      <c r="E2777" s="10" t="str">
        <f>HYPERLINK("https://twitter.com/HuelsmannT/status/723547480630136834","723547480630136834")</f>
        <v>723547480630136834</v>
      </c>
      <c r="F2777" s="11" t="s">
        <v>25</v>
      </c>
      <c r="G2777" s="11">
        <v>125</v>
      </c>
      <c r="H2777" s="11">
        <v>88</v>
      </c>
      <c r="I2777" s="11">
        <v>2</v>
      </c>
      <c r="J2777" s="11">
        <v>0</v>
      </c>
      <c r="K2777" s="11" t="s">
        <v>21</v>
      </c>
      <c r="L2777" s="7">
        <v>42165.605451388888</v>
      </c>
      <c r="M2777" s="12" t="s">
        <v>4771</v>
      </c>
      <c r="N2777" s="12" t="s">
        <v>4772</v>
      </c>
      <c r="O2777" s="10" t="str">
        <f>HYPERLINK("https://pbs.twimg.com/profile_images/609282657671843840/cSGuLspa_normal.jpg","View")</f>
        <v>View</v>
      </c>
      <c r="P2777" s="11"/>
    </row>
    <row r="2778" spans="1:16" ht="12.75" x14ac:dyDescent="0.35">
      <c r="A2778" s="7">
        <v>42482.912986111114</v>
      </c>
      <c r="B2778" s="8" t="str">
        <f>HYPERLINK("https://twitter.com/Dekuijp","@Dekuijp")</f>
        <v>@Dekuijp</v>
      </c>
      <c r="C2778" s="9" t="s">
        <v>4773</v>
      </c>
      <c r="D2778" s="9" t="s">
        <v>4659</v>
      </c>
      <c r="E2778" s="10" t="str">
        <f>HYPERLINK("https://twitter.com/Dekuijp/status/723548089240395776","723548089240395776")</f>
        <v>723548089240395776</v>
      </c>
      <c r="F2778" s="11" t="s">
        <v>20</v>
      </c>
      <c r="G2778" s="11">
        <v>32</v>
      </c>
      <c r="H2778" s="11">
        <v>36</v>
      </c>
      <c r="I2778" s="11">
        <v>2</v>
      </c>
      <c r="J2778" s="11">
        <v>0</v>
      </c>
      <c r="K2778" s="11" t="s">
        <v>21</v>
      </c>
      <c r="L2778" s="7">
        <v>40552.860312500001</v>
      </c>
      <c r="M2778" s="12" t="s">
        <v>4774</v>
      </c>
      <c r="N2778" s="12"/>
      <c r="O2778" s="10" t="str">
        <f>HYPERLINK("https://pbs.twimg.com/profile_images/3208294592/1ded0cc64d7f6ba75c4edd4278463235_normal.jpeg","View")</f>
        <v>View</v>
      </c>
      <c r="P2778" s="11"/>
    </row>
    <row r="2779" spans="1:16" ht="12.75" x14ac:dyDescent="0.35">
      <c r="A2779" s="7">
        <v>42482.921365740738</v>
      </c>
      <c r="B2779" s="8" t="str">
        <f>HYPERLINK("https://twitter.com/MindCommerce","@MindCommerce")</f>
        <v>@MindCommerce</v>
      </c>
      <c r="C2779" s="9" t="s">
        <v>1242</v>
      </c>
      <c r="D2779" s="9" t="s">
        <v>4775</v>
      </c>
      <c r="E2779" s="10" t="str">
        <f>HYPERLINK("https://twitter.com/MindCommerce/status/723551126793105408","723551126793105408")</f>
        <v>723551126793105408</v>
      </c>
      <c r="F2779" s="11" t="s">
        <v>25</v>
      </c>
      <c r="G2779" s="11">
        <v>1190</v>
      </c>
      <c r="H2779" s="11">
        <v>427</v>
      </c>
      <c r="I2779" s="11">
        <v>0</v>
      </c>
      <c r="J2779" s="11">
        <v>0</v>
      </c>
      <c r="K2779" s="11" t="s">
        <v>21</v>
      </c>
      <c r="L2779" s="7">
        <v>40577.150787037041</v>
      </c>
      <c r="M2779" s="12"/>
      <c r="N2779" s="12" t="s">
        <v>1244</v>
      </c>
      <c r="O2779" s="10" t="str">
        <f>HYPERLINK("https://pbs.twimg.com/profile_images/548030384030507008/utABqhj9_normal.png","View")</f>
        <v>View</v>
      </c>
      <c r="P2779" s="11"/>
    </row>
    <row r="2780" spans="1:16" ht="12.75" x14ac:dyDescent="0.35">
      <c r="A2780" s="7">
        <v>42482.923958333333</v>
      </c>
      <c r="B2780" s="8" t="str">
        <f t="shared" ref="B2780:B2782" si="350">HYPERLINK("https://twitter.com/PROJECTCONSULT_","@PROJECTCONSULT_")</f>
        <v>@PROJECTCONSULT_</v>
      </c>
      <c r="C2780" s="9" t="s">
        <v>4776</v>
      </c>
      <c r="D2780" s="9" t="s">
        <v>4119</v>
      </c>
      <c r="E2780" s="10" t="str">
        <f>HYPERLINK("https://twitter.com/PROJECTCONSULT_/status/723552066497556480","723552066497556480")</f>
        <v>723552066497556480</v>
      </c>
      <c r="F2780" s="11" t="s">
        <v>25</v>
      </c>
      <c r="G2780" s="11">
        <v>1406</v>
      </c>
      <c r="H2780" s="11">
        <v>2221</v>
      </c>
      <c r="I2780" s="11">
        <v>4</v>
      </c>
      <c r="J2780" s="11">
        <v>0</v>
      </c>
      <c r="K2780" s="11" t="s">
        <v>21</v>
      </c>
      <c r="L2780" s="7">
        <v>40574.724652777775</v>
      </c>
      <c r="M2780" s="12" t="s">
        <v>549</v>
      </c>
      <c r="N2780" s="12" t="s">
        <v>4777</v>
      </c>
      <c r="O2780" s="10" t="str">
        <f t="shared" ref="O2780:O2782" si="351">HYPERLINK("https://pbs.twimg.com/profile_images/1234499388/n367104918594_7014_normal.jpg","View")</f>
        <v>View</v>
      </c>
      <c r="P2780" s="11"/>
    </row>
    <row r="2781" spans="1:16" ht="12.75" x14ac:dyDescent="0.35">
      <c r="A2781" s="7">
        <v>42482.924004629633</v>
      </c>
      <c r="B2781" s="8" t="str">
        <f t="shared" si="350"/>
        <v>@PROJECTCONSULT_</v>
      </c>
      <c r="C2781" s="9" t="s">
        <v>4776</v>
      </c>
      <c r="D2781" s="9" t="s">
        <v>4778</v>
      </c>
      <c r="E2781" s="10" t="str">
        <f>HYPERLINK("https://twitter.com/PROJECTCONSULT_/status/723552085887881221","723552085887881221")</f>
        <v>723552085887881221</v>
      </c>
      <c r="F2781" s="11" t="s">
        <v>25</v>
      </c>
      <c r="G2781" s="11">
        <v>1406</v>
      </c>
      <c r="H2781" s="11">
        <v>2221</v>
      </c>
      <c r="I2781" s="11">
        <v>1</v>
      </c>
      <c r="J2781" s="11">
        <v>0</v>
      </c>
      <c r="K2781" s="11" t="s">
        <v>21</v>
      </c>
      <c r="L2781" s="7">
        <v>40574.724652777775</v>
      </c>
      <c r="M2781" s="12" t="s">
        <v>549</v>
      </c>
      <c r="N2781" s="12" t="s">
        <v>4777</v>
      </c>
      <c r="O2781" s="10" t="str">
        <f t="shared" si="351"/>
        <v>View</v>
      </c>
      <c r="P2781" s="11"/>
    </row>
    <row r="2782" spans="1:16" ht="12.75" x14ac:dyDescent="0.35">
      <c r="A2782" s="7">
        <v>42482.924108796295</v>
      </c>
      <c r="B2782" s="8" t="str">
        <f t="shared" si="350"/>
        <v>@PROJECTCONSULT_</v>
      </c>
      <c r="C2782" s="9" t="s">
        <v>4776</v>
      </c>
      <c r="D2782" s="9" t="s">
        <v>4779</v>
      </c>
      <c r="E2782" s="10" t="str">
        <f>HYPERLINK("https://twitter.com/PROJECTCONSULT_/status/723552123200376832","723552123200376832")</f>
        <v>723552123200376832</v>
      </c>
      <c r="F2782" s="11" t="s">
        <v>25</v>
      </c>
      <c r="G2782" s="11">
        <v>1406</v>
      </c>
      <c r="H2782" s="11">
        <v>2221</v>
      </c>
      <c r="I2782" s="11">
        <v>3</v>
      </c>
      <c r="J2782" s="11">
        <v>0</v>
      </c>
      <c r="K2782" s="11" t="s">
        <v>21</v>
      </c>
      <c r="L2782" s="7">
        <v>40574.724652777775</v>
      </c>
      <c r="M2782" s="12" t="s">
        <v>549</v>
      </c>
      <c r="N2782" s="12" t="s">
        <v>4777</v>
      </c>
      <c r="O2782" s="10" t="str">
        <f t="shared" si="351"/>
        <v>View</v>
      </c>
      <c r="P2782" s="11"/>
    </row>
    <row r="2783" spans="1:16" ht="12.75" x14ac:dyDescent="0.35">
      <c r="A2783" s="7">
        <v>42482.925810185188</v>
      </c>
      <c r="B2783" s="8" t="str">
        <f>HYPERLINK("https://twitter.com/deviceWISEM2M","@deviceWISEM2M")</f>
        <v>@deviceWISEM2M</v>
      </c>
      <c r="C2783" s="9" t="s">
        <v>1192</v>
      </c>
      <c r="D2783" s="9" t="s">
        <v>4780</v>
      </c>
      <c r="E2783" s="10" t="str">
        <f>HYPERLINK("https://twitter.com/deviceWISEM2M/status/723552737410031617","723552737410031617")</f>
        <v>723552737410031617</v>
      </c>
      <c r="F2783" s="11" t="s">
        <v>59</v>
      </c>
      <c r="G2783" s="11">
        <v>495</v>
      </c>
      <c r="H2783" s="11">
        <v>1036</v>
      </c>
      <c r="I2783" s="11">
        <v>0</v>
      </c>
      <c r="J2783" s="11">
        <v>0</v>
      </c>
      <c r="K2783" s="11" t="s">
        <v>21</v>
      </c>
      <c r="L2783" s="7">
        <v>41341.992407407408</v>
      </c>
      <c r="M2783" s="12" t="s">
        <v>1194</v>
      </c>
      <c r="N2783" s="12" t="s">
        <v>4781</v>
      </c>
      <c r="O2783" s="10" t="str">
        <f>HYPERLINK("https://pbs.twimg.com/profile_images/638707523160272896/YonVe2-H_normal.jpg","View")</f>
        <v>View</v>
      </c>
      <c r="P2783" s="11"/>
    </row>
    <row r="2784" spans="1:16" ht="12.75" x14ac:dyDescent="0.35">
      <c r="A2784" s="7">
        <v>42482.931354166663</v>
      </c>
      <c r="B2784" s="8" t="str">
        <f t="shared" ref="B2784:B2785" si="352">HYPERLINK("https://twitter.com/INDIZbot","@INDIZbot")</f>
        <v>@INDIZbot</v>
      </c>
      <c r="C2784" s="9" t="s">
        <v>61</v>
      </c>
      <c r="D2784" s="9" t="s">
        <v>4779</v>
      </c>
      <c r="E2784" s="10" t="str">
        <f>HYPERLINK("https://twitter.com/INDIZbot/status/723554746615889920","723554746615889920")</f>
        <v>723554746615889920</v>
      </c>
      <c r="F2784" s="11" t="s">
        <v>62</v>
      </c>
      <c r="G2784" s="11">
        <v>1770</v>
      </c>
      <c r="H2784" s="11">
        <v>482</v>
      </c>
      <c r="I2784" s="11">
        <v>4</v>
      </c>
      <c r="J2784" s="11">
        <v>0</v>
      </c>
      <c r="K2784" s="11" t="s">
        <v>21</v>
      </c>
      <c r="L2784" s="7">
        <v>42267.011921296296</v>
      </c>
      <c r="M2784" s="12"/>
      <c r="N2784" s="12" t="s">
        <v>63</v>
      </c>
      <c r="O2784" s="10" t="str">
        <f t="shared" ref="O2784:O2785" si="353">HYPERLINK("https://pbs.twimg.com/profile_images/645716711723925506/t5G0qOS6_normal.jpg","View")</f>
        <v>View</v>
      </c>
      <c r="P2784" s="11"/>
    </row>
    <row r="2785" spans="1:16" ht="12.75" x14ac:dyDescent="0.35">
      <c r="A2785" s="7">
        <v>42482.931724537033</v>
      </c>
      <c r="B2785" s="8" t="str">
        <f t="shared" si="352"/>
        <v>@INDIZbot</v>
      </c>
      <c r="C2785" s="9" t="s">
        <v>61</v>
      </c>
      <c r="D2785" s="9" t="s">
        <v>4778</v>
      </c>
      <c r="E2785" s="10" t="str">
        <f>HYPERLINK("https://twitter.com/INDIZbot/status/723554881097863168","723554881097863168")</f>
        <v>723554881097863168</v>
      </c>
      <c r="F2785" s="11" t="s">
        <v>62</v>
      </c>
      <c r="G2785" s="11">
        <v>1770</v>
      </c>
      <c r="H2785" s="11">
        <v>482</v>
      </c>
      <c r="I2785" s="11">
        <v>2</v>
      </c>
      <c r="J2785" s="11">
        <v>0</v>
      </c>
      <c r="K2785" s="11" t="s">
        <v>21</v>
      </c>
      <c r="L2785" s="7">
        <v>42267.011921296296</v>
      </c>
      <c r="M2785" s="12"/>
      <c r="N2785" s="12" t="s">
        <v>63</v>
      </c>
      <c r="O2785" s="10" t="str">
        <f t="shared" si="353"/>
        <v>View</v>
      </c>
      <c r="P2785" s="11"/>
    </row>
    <row r="2786" spans="1:16" ht="12.75" x14ac:dyDescent="0.35">
      <c r="A2786" s="7">
        <v>42482.938599537039</v>
      </c>
      <c r="B2786" s="8" t="str">
        <f>HYPERLINK("https://twitter.com/TelematikMarkt","@TelematikMarkt")</f>
        <v>@TelematikMarkt</v>
      </c>
      <c r="C2786" s="8" t="s">
        <v>4782</v>
      </c>
      <c r="D2786" s="9" t="s">
        <v>4783</v>
      </c>
      <c r="E2786" s="10" t="str">
        <f>HYPERLINK("https://twitter.com/TelematikMarkt/status/723557372183060480","723557372183060480")</f>
        <v>723557372183060480</v>
      </c>
      <c r="F2786" s="11" t="s">
        <v>25</v>
      </c>
      <c r="G2786" s="11">
        <v>404</v>
      </c>
      <c r="H2786" s="11">
        <v>155</v>
      </c>
      <c r="I2786" s="11">
        <v>0</v>
      </c>
      <c r="J2786" s="11">
        <v>0</v>
      </c>
      <c r="K2786" s="11" t="s">
        <v>21</v>
      </c>
      <c r="L2786" s="7">
        <v>40199.763599537036</v>
      </c>
      <c r="M2786" s="12" t="s">
        <v>92</v>
      </c>
      <c r="N2786" s="12" t="s">
        <v>4784</v>
      </c>
      <c r="O2786" s="10" t="str">
        <f>HYPERLINK("https://pbs.twimg.com/profile_images/658936531441336320/RJMP5tIr_normal.png","View")</f>
        <v>View</v>
      </c>
      <c r="P2786" s="11"/>
    </row>
    <row r="2787" spans="1:16" ht="12.75" x14ac:dyDescent="0.35">
      <c r="A2787" s="7">
        <v>42482.9453125</v>
      </c>
      <c r="B2787" s="8" t="str">
        <f>HYPERLINK("https://twitter.com/SarahHashish","@SarahHashish")</f>
        <v>@SarahHashish</v>
      </c>
      <c r="C2787" s="9" t="s">
        <v>4785</v>
      </c>
      <c r="D2787" s="9" t="s">
        <v>4786</v>
      </c>
      <c r="E2787" s="10" t="str">
        <f>HYPERLINK("https://twitter.com/SarahHashish/status/723559804556455936","723559804556455936")</f>
        <v>723559804556455936</v>
      </c>
      <c r="F2787" s="11" t="s">
        <v>31</v>
      </c>
      <c r="G2787" s="11">
        <v>423</v>
      </c>
      <c r="H2787" s="11">
        <v>505</v>
      </c>
      <c r="I2787" s="11">
        <v>1</v>
      </c>
      <c r="J2787" s="11">
        <v>0</v>
      </c>
      <c r="K2787" s="11" t="s">
        <v>21</v>
      </c>
      <c r="L2787" s="7">
        <v>39897.584849537037</v>
      </c>
      <c r="M2787" s="12" t="s">
        <v>443</v>
      </c>
      <c r="N2787" s="12" t="s">
        <v>4787</v>
      </c>
      <c r="O2787" s="10" t="str">
        <f>HYPERLINK("https://pbs.twimg.com/profile_images/711580890145619968/bhoJlnA7_normal.jpg","View")</f>
        <v>View</v>
      </c>
      <c r="P2787" s="11"/>
    </row>
    <row r="2788" spans="1:16" ht="12.75" x14ac:dyDescent="0.35">
      <c r="A2788" s="7">
        <v>42482.950810185182</v>
      </c>
      <c r="B2788" s="8" t="str">
        <f>HYPERLINK("https://twitter.com/msftmfg","@msftmfg")</f>
        <v>@msftmfg</v>
      </c>
      <c r="C2788" s="9" t="s">
        <v>4788</v>
      </c>
      <c r="D2788" s="9" t="s">
        <v>4789</v>
      </c>
      <c r="E2788" s="10" t="str">
        <f>HYPERLINK("https://twitter.com/msftmfg/status/723561796771164160","723561796771164160")</f>
        <v>723561796771164160</v>
      </c>
      <c r="F2788" s="11" t="s">
        <v>1111</v>
      </c>
      <c r="G2788" s="11">
        <v>3668</v>
      </c>
      <c r="H2788" s="11">
        <v>2751</v>
      </c>
      <c r="I2788" s="11">
        <v>0</v>
      </c>
      <c r="J2788" s="11">
        <v>0</v>
      </c>
      <c r="K2788" s="11" t="s">
        <v>21</v>
      </c>
      <c r="L2788" s="7">
        <v>41985.067094907412</v>
      </c>
      <c r="M2788" s="12" t="s">
        <v>4790</v>
      </c>
      <c r="N2788" s="12" t="s">
        <v>4791</v>
      </c>
      <c r="O2788" s="10" t="str">
        <f>HYPERLINK("https://pbs.twimg.com/profile_images/543161217645178880/JQuBT7KS_normal.png","View")</f>
        <v>View</v>
      </c>
      <c r="P2788" s="11"/>
    </row>
    <row r="2789" spans="1:16" ht="12.75" x14ac:dyDescent="0.35">
      <c r="A2789" s="7">
        <v>42482.951435185183</v>
      </c>
      <c r="B2789" s="8" t="str">
        <f>HYPERLINK("https://twitter.com/MarinerLLC","@MarinerLLC")</f>
        <v>@MarinerLLC</v>
      </c>
      <c r="C2789" s="9" t="s">
        <v>4792</v>
      </c>
      <c r="D2789" s="9" t="s">
        <v>4793</v>
      </c>
      <c r="E2789" s="10" t="str">
        <f>HYPERLINK("https://twitter.com/MarinerLLC/status/723562022999330818","723562022999330818")</f>
        <v>723562022999330818</v>
      </c>
      <c r="F2789" s="11" t="s">
        <v>222</v>
      </c>
      <c r="G2789" s="11">
        <v>278</v>
      </c>
      <c r="H2789" s="11">
        <v>263</v>
      </c>
      <c r="I2789" s="11">
        <v>0</v>
      </c>
      <c r="J2789" s="11">
        <v>0</v>
      </c>
      <c r="K2789" s="11" t="s">
        <v>21</v>
      </c>
      <c r="L2789" s="7">
        <v>40898.383460648147</v>
      </c>
      <c r="M2789" s="12" t="s">
        <v>4794</v>
      </c>
      <c r="N2789" s="12" t="s">
        <v>4795</v>
      </c>
      <c r="O2789" s="10" t="str">
        <f>HYPERLINK("https://pbs.twimg.com/profile_images/3502729434/95675e6f45ad2e1bbc6c5736995ec15c_normal.png","View")</f>
        <v>View</v>
      </c>
      <c r="P2789" s="11"/>
    </row>
    <row r="2790" spans="1:16" ht="12.75" x14ac:dyDescent="0.35">
      <c r="A2790" s="7">
        <v>42482.952476851853</v>
      </c>
      <c r="B2790" s="8" t="str">
        <f>HYPERLINK("https://twitter.com/Philip_W_Morris","@Philip_W_Morris")</f>
        <v>@Philip_W_Morris</v>
      </c>
      <c r="C2790" s="9" t="s">
        <v>4796</v>
      </c>
      <c r="D2790" s="9" t="s">
        <v>4797</v>
      </c>
      <c r="E2790" s="10" t="str">
        <f>HYPERLINK("https://twitter.com/Philip_W_Morris/status/723562402265063424","723562402265063424")</f>
        <v>723562402265063424</v>
      </c>
      <c r="F2790" s="11" t="s">
        <v>222</v>
      </c>
      <c r="G2790" s="11">
        <v>291</v>
      </c>
      <c r="H2790" s="11">
        <v>310</v>
      </c>
      <c r="I2790" s="11">
        <v>0</v>
      </c>
      <c r="J2790" s="11">
        <v>0</v>
      </c>
      <c r="K2790" s="11" t="s">
        <v>21</v>
      </c>
      <c r="L2790" s="7">
        <v>40372.030752314815</v>
      </c>
      <c r="M2790" s="12" t="s">
        <v>4798</v>
      </c>
      <c r="N2790" s="12" t="s">
        <v>4799</v>
      </c>
      <c r="O2790" s="10" t="str">
        <f>HYPERLINK("https://pbs.twimg.com/profile_images/688093545148723201/hCPglEEy_normal.jpg","View")</f>
        <v>View</v>
      </c>
      <c r="P2790" s="11"/>
    </row>
    <row r="2791" spans="1:16" ht="12.75" x14ac:dyDescent="0.35">
      <c r="A2791" s="7">
        <v>42482.952673611115</v>
      </c>
      <c r="B2791" s="8" t="str">
        <f>HYPERLINK("https://twitter.com/colbytylerford","@colbytylerford")</f>
        <v>@colbytylerford</v>
      </c>
      <c r="C2791" s="9" t="s">
        <v>4800</v>
      </c>
      <c r="D2791" s="9" t="s">
        <v>4801</v>
      </c>
      <c r="E2791" s="10" t="str">
        <f>HYPERLINK("https://twitter.com/colbytylerford/status/723562473098469377","723562473098469377")</f>
        <v>723562473098469377</v>
      </c>
      <c r="F2791" s="11" t="s">
        <v>222</v>
      </c>
      <c r="G2791" s="11">
        <v>305</v>
      </c>
      <c r="H2791" s="11">
        <v>399</v>
      </c>
      <c r="I2791" s="11">
        <v>0</v>
      </c>
      <c r="J2791" s="11">
        <v>1</v>
      </c>
      <c r="K2791" s="11" t="s">
        <v>21</v>
      </c>
      <c r="L2791" s="7">
        <v>39863.294120370367</v>
      </c>
      <c r="M2791" s="12" t="s">
        <v>4794</v>
      </c>
      <c r="N2791" s="12" t="s">
        <v>4802</v>
      </c>
      <c r="O2791" s="10" t="str">
        <f>HYPERLINK("https://pbs.twimg.com/profile_images/588196149665865728/jmm9bQ6G_normal.jpg","View")</f>
        <v>View</v>
      </c>
      <c r="P2791" s="11"/>
    </row>
    <row r="2792" spans="1:16" ht="12.75" x14ac:dyDescent="0.35">
      <c r="A2792" s="7">
        <v>42482.953252314815</v>
      </c>
      <c r="B2792" s="8" t="str">
        <f>HYPERLINK("https://twitter.com/INDIZbot","@INDIZbot")</f>
        <v>@INDIZbot</v>
      </c>
      <c r="C2792" s="9" t="s">
        <v>61</v>
      </c>
      <c r="D2792" s="9" t="s">
        <v>4803</v>
      </c>
      <c r="E2792" s="10" t="str">
        <f>HYPERLINK("https://twitter.com/INDIZbot/status/723562681706360832","723562681706360832")</f>
        <v>723562681706360832</v>
      </c>
      <c r="F2792" s="11" t="s">
        <v>62</v>
      </c>
      <c r="G2792" s="11">
        <v>1770</v>
      </c>
      <c r="H2792" s="11">
        <v>482</v>
      </c>
      <c r="I2792" s="11">
        <v>1</v>
      </c>
      <c r="J2792" s="11">
        <v>0</v>
      </c>
      <c r="K2792" s="11" t="s">
        <v>21</v>
      </c>
      <c r="L2792" s="7">
        <v>42267.011921296296</v>
      </c>
      <c r="M2792" s="12"/>
      <c r="N2792" s="12" t="s">
        <v>63</v>
      </c>
      <c r="O2792" s="10" t="str">
        <f>HYPERLINK("https://pbs.twimg.com/profile_images/645716711723925506/t5G0qOS6_normal.jpg","View")</f>
        <v>View</v>
      </c>
      <c r="P2792" s="11"/>
    </row>
    <row r="2793" spans="1:16" ht="12.75" x14ac:dyDescent="0.35">
      <c r="A2793" s="7">
        <v>42482.95380787037</v>
      </c>
      <c r="B2793" s="8" t="str">
        <f t="shared" ref="B2793:B2794" si="354">HYPERLINK("https://twitter.com/DohmeyerK","@DohmeyerK")</f>
        <v>@DohmeyerK</v>
      </c>
      <c r="C2793" s="9" t="s">
        <v>4804</v>
      </c>
      <c r="D2793" s="9" t="s">
        <v>4664</v>
      </c>
      <c r="E2793" s="10" t="str">
        <f>HYPERLINK("https://twitter.com/DohmeyerK/status/723562886233239552","723562886233239552")</f>
        <v>723562886233239552</v>
      </c>
      <c r="F2793" s="11" t="s">
        <v>31</v>
      </c>
      <c r="G2793" s="11">
        <v>33</v>
      </c>
      <c r="H2793" s="11">
        <v>77</v>
      </c>
      <c r="I2793" s="11">
        <v>3</v>
      </c>
      <c r="J2793" s="11">
        <v>0</v>
      </c>
      <c r="K2793" s="11" t="s">
        <v>21</v>
      </c>
      <c r="L2793" s="7">
        <v>41337.897997685184</v>
      </c>
      <c r="M2793" s="12" t="s">
        <v>985</v>
      </c>
      <c r="N2793" s="12" t="s">
        <v>4805</v>
      </c>
      <c r="O2793" s="10" t="str">
        <f t="shared" ref="O2793:O2794" si="355">HYPERLINK("https://pbs.twimg.com/profile_images/677499340886265856/Tv7B4r_x_normal.jpg","View")</f>
        <v>View</v>
      </c>
      <c r="P2793" s="11"/>
    </row>
    <row r="2794" spans="1:16" ht="12.75" x14ac:dyDescent="0.35">
      <c r="A2794" s="7">
        <v>42482.954409722224</v>
      </c>
      <c r="B2794" s="8" t="str">
        <f t="shared" si="354"/>
        <v>@DohmeyerK</v>
      </c>
      <c r="C2794" s="9" t="s">
        <v>4804</v>
      </c>
      <c r="D2794" s="9" t="s">
        <v>3905</v>
      </c>
      <c r="E2794" s="10" t="str">
        <f>HYPERLINK("https://twitter.com/DohmeyerK/status/723563102084698113","723563102084698113")</f>
        <v>723563102084698113</v>
      </c>
      <c r="F2794" s="11" t="s">
        <v>31</v>
      </c>
      <c r="G2794" s="11">
        <v>33</v>
      </c>
      <c r="H2794" s="11">
        <v>77</v>
      </c>
      <c r="I2794" s="11">
        <v>6</v>
      </c>
      <c r="J2794" s="11">
        <v>0</v>
      </c>
      <c r="K2794" s="11" t="s">
        <v>21</v>
      </c>
      <c r="L2794" s="7">
        <v>41337.897997685184</v>
      </c>
      <c r="M2794" s="12" t="s">
        <v>985</v>
      </c>
      <c r="N2794" s="12" t="s">
        <v>4805</v>
      </c>
      <c r="O2794" s="10" t="str">
        <f t="shared" si="355"/>
        <v>View</v>
      </c>
      <c r="P2794" s="11"/>
    </row>
    <row r="2795" spans="1:16" ht="12.75" x14ac:dyDescent="0.35">
      <c r="A2795" s="7">
        <v>42482.955254629633</v>
      </c>
      <c r="B2795" s="8" t="str">
        <f>HYPERLINK("https://twitter.com/RealJoeGuy","@RealJoeGuy")</f>
        <v>@RealJoeGuy</v>
      </c>
      <c r="C2795" s="9" t="s">
        <v>4806</v>
      </c>
      <c r="D2795" s="9" t="s">
        <v>4807</v>
      </c>
      <c r="E2795" s="10" t="str">
        <f>HYPERLINK("https://twitter.com/RealJoeGuy/status/723563410449899520","723563410449899520")</f>
        <v>723563410449899520</v>
      </c>
      <c r="F2795" s="11" t="s">
        <v>222</v>
      </c>
      <c r="G2795" s="11">
        <v>146</v>
      </c>
      <c r="H2795" s="11">
        <v>141</v>
      </c>
      <c r="I2795" s="11">
        <v>0</v>
      </c>
      <c r="J2795" s="11">
        <v>0</v>
      </c>
      <c r="K2795" s="11" t="s">
        <v>21</v>
      </c>
      <c r="L2795" s="7">
        <v>40887.393495370372</v>
      </c>
      <c r="M2795" s="12" t="s">
        <v>4808</v>
      </c>
      <c r="N2795" s="12" t="s">
        <v>4809</v>
      </c>
      <c r="O2795" s="10" t="str">
        <f>HYPERLINK("https://pbs.twimg.com/profile_images/1684373225/Joe_Guy_normal.jpg","View")</f>
        <v>View</v>
      </c>
      <c r="P2795" s="11"/>
    </row>
    <row r="2796" spans="1:16" ht="12.75" x14ac:dyDescent="0.35">
      <c r="A2796" s="7">
        <v>42482.958449074074</v>
      </c>
      <c r="B2796" s="8" t="str">
        <f>HYPERLINK("https://twitter.com/ROKAutomationUK","@ROKAutomationUK")</f>
        <v>@ROKAutomationUK</v>
      </c>
      <c r="C2796" s="9" t="s">
        <v>416</v>
      </c>
      <c r="D2796" s="9" t="s">
        <v>4810</v>
      </c>
      <c r="E2796" s="10" t="str">
        <f>HYPERLINK("https://twitter.com/ROKAutomationUK/status/723564564558675968","723564564558675968")</f>
        <v>723564564558675968</v>
      </c>
      <c r="F2796" s="11" t="s">
        <v>418</v>
      </c>
      <c r="G2796" s="11">
        <v>3186</v>
      </c>
      <c r="H2796" s="11">
        <v>847</v>
      </c>
      <c r="I2796" s="11">
        <v>0</v>
      </c>
      <c r="J2796" s="11">
        <v>0</v>
      </c>
      <c r="K2796" s="11" t="s">
        <v>21</v>
      </c>
      <c r="L2796" s="7">
        <v>40886.893634259257</v>
      </c>
      <c r="M2796" s="12" t="s">
        <v>419</v>
      </c>
      <c r="N2796" s="12" t="s">
        <v>420</v>
      </c>
      <c r="O2796" s="10" t="str">
        <f>HYPERLINK("https://pbs.twimg.com/profile_images/502402188295946240/rN3wbNyn_normal.jpeg","View")</f>
        <v>View</v>
      </c>
      <c r="P2796" s="11"/>
    </row>
    <row r="2797" spans="1:16" ht="12.75" x14ac:dyDescent="0.35">
      <c r="A2797" s="7">
        <v>42482.959722222222</v>
      </c>
      <c r="B2797" s="8" t="str">
        <f>HYPERLINK("https://twitter.com/sallyafrank","@sallyafrank")</f>
        <v>@sallyafrank</v>
      </c>
      <c r="C2797" s="9" t="s">
        <v>4811</v>
      </c>
      <c r="D2797" s="9" t="s">
        <v>4812</v>
      </c>
      <c r="E2797" s="10" t="str">
        <f>HYPERLINK("https://twitter.com/sallyafrank/status/723565026641063936","723565026641063936")</f>
        <v>723565026641063936</v>
      </c>
      <c r="F2797" s="11" t="s">
        <v>222</v>
      </c>
      <c r="G2797" s="11">
        <v>319</v>
      </c>
      <c r="H2797" s="11">
        <v>170</v>
      </c>
      <c r="I2797" s="11">
        <v>1</v>
      </c>
      <c r="J2797" s="11">
        <v>0</v>
      </c>
      <c r="K2797" s="11" t="s">
        <v>21</v>
      </c>
      <c r="L2797" s="7">
        <v>40399.807766203703</v>
      </c>
      <c r="M2797" s="12" t="s">
        <v>4794</v>
      </c>
      <c r="N2797" s="12" t="s">
        <v>4813</v>
      </c>
      <c r="O2797" s="10" t="str">
        <f>HYPERLINK("https://pbs.twimg.com/profile_images/602304216468738049/_0sb-3oB_normal.jpg","View")</f>
        <v>View</v>
      </c>
      <c r="P2797" s="11"/>
    </row>
    <row r="2798" spans="1:16" ht="12.75" x14ac:dyDescent="0.35">
      <c r="A2798" s="7">
        <v>42482.960555555561</v>
      </c>
      <c r="B2798" s="8" t="str">
        <f>HYPERLINK("https://twitter.com/h_scoshield","@h_scoshield")</f>
        <v>@h_scoshield</v>
      </c>
      <c r="C2798" s="9" t="s">
        <v>142</v>
      </c>
      <c r="D2798" s="9" t="s">
        <v>4814</v>
      </c>
      <c r="E2798" s="10" t="str">
        <f>HYPERLINK("https://twitter.com/h_scoshield/status/723565329327226880","723565329327226880")</f>
        <v>723565329327226880</v>
      </c>
      <c r="F2798" s="11" t="s">
        <v>144</v>
      </c>
      <c r="G2798" s="11">
        <v>1567</v>
      </c>
      <c r="H2798" s="11">
        <v>1359</v>
      </c>
      <c r="I2798" s="11">
        <v>1</v>
      </c>
      <c r="J2798" s="11">
        <v>0</v>
      </c>
      <c r="K2798" s="11" t="s">
        <v>21</v>
      </c>
      <c r="L2798" s="7">
        <v>41780.822847222225</v>
      </c>
      <c r="M2798" s="12" t="s">
        <v>145</v>
      </c>
      <c r="N2798" s="12" t="s">
        <v>146</v>
      </c>
      <c r="O2798" s="10" t="str">
        <f>HYPERLINK("https://pbs.twimg.com/profile_images/723056722634371072/L0JFDAVN_normal.jpg","View")</f>
        <v>View</v>
      </c>
      <c r="P2798" s="11"/>
    </row>
    <row r="2799" spans="1:16" ht="12.75" x14ac:dyDescent="0.35">
      <c r="A2799" s="7">
        <v>42482.972986111112</v>
      </c>
      <c r="B2799" s="8" t="str">
        <f>HYPERLINK("https://twitter.com/The_CIE","@The_CIE")</f>
        <v>@The_CIE</v>
      </c>
      <c r="C2799" s="9" t="s">
        <v>4815</v>
      </c>
      <c r="D2799" s="9" t="s">
        <v>4816</v>
      </c>
      <c r="E2799" s="10" t="str">
        <f>HYPERLINK("https://twitter.com/The_CIE/status/723569836144648193","723569836144648193")</f>
        <v>723569836144648193</v>
      </c>
      <c r="F2799" s="11" t="s">
        <v>31</v>
      </c>
      <c r="G2799" s="11">
        <v>877</v>
      </c>
      <c r="H2799" s="11">
        <v>2204</v>
      </c>
      <c r="I2799" s="11">
        <v>1</v>
      </c>
      <c r="J2799" s="11">
        <v>0</v>
      </c>
      <c r="K2799" s="11" t="s">
        <v>21</v>
      </c>
      <c r="L2799" s="7">
        <v>40957.123472222222</v>
      </c>
      <c r="M2799" s="12" t="s">
        <v>4817</v>
      </c>
      <c r="N2799" s="12" t="s">
        <v>4818</v>
      </c>
      <c r="O2799" s="10" t="str">
        <f>HYPERLINK("https://pbs.twimg.com/profile_images/694550286229069824/R7e0co4w_normal.jpg","View")</f>
        <v>View</v>
      </c>
      <c r="P2799" s="11"/>
    </row>
    <row r="2800" spans="1:16" ht="12.75" x14ac:dyDescent="0.35">
      <c r="A2800" s="7">
        <v>42482.994247685187</v>
      </c>
      <c r="B2800" s="8" t="str">
        <f>HYPERLINK("https://twitter.com/heikevangeel","@heikevangeel")</f>
        <v>@heikevangeel</v>
      </c>
      <c r="C2800" s="9" t="s">
        <v>708</v>
      </c>
      <c r="D2800" s="9" t="s">
        <v>4819</v>
      </c>
      <c r="E2800" s="10" t="str">
        <f>HYPERLINK("https://twitter.com/heikevangeel/status/723577540959457280","723577540959457280")</f>
        <v>723577540959457280</v>
      </c>
      <c r="F2800" s="11" t="s">
        <v>31</v>
      </c>
      <c r="G2800" s="11">
        <v>868</v>
      </c>
      <c r="H2800" s="11">
        <v>876</v>
      </c>
      <c r="I2800" s="11">
        <v>0</v>
      </c>
      <c r="J2800" s="11">
        <v>0</v>
      </c>
      <c r="K2800" s="11" t="s">
        <v>21</v>
      </c>
      <c r="L2800" s="7">
        <v>39631.327708333338</v>
      </c>
      <c r="M2800" s="12" t="s">
        <v>218</v>
      </c>
      <c r="N2800" s="12" t="s">
        <v>709</v>
      </c>
      <c r="O2800" s="10" t="str">
        <f>HYPERLINK("https://pbs.twimg.com/profile_images/491236810560114688/qHaoNgg2_normal.jpeg","View")</f>
        <v>View</v>
      </c>
      <c r="P2800" s="11"/>
    </row>
    <row r="2801" spans="1:16" ht="12.75" x14ac:dyDescent="0.35">
      <c r="A2801" s="7">
        <v>42483.012673611112</v>
      </c>
      <c r="B2801" s="8" t="str">
        <f>HYPERLINK("https://twitter.com/tomweisz","@tomweisz")</f>
        <v>@tomweisz</v>
      </c>
      <c r="C2801" s="9" t="s">
        <v>1229</v>
      </c>
      <c r="D2801" s="9" t="s">
        <v>4820</v>
      </c>
      <c r="E2801" s="10" t="str">
        <f>HYPERLINK("https://twitter.com/tomweisz/status/723584217934864384","723584217934864384")</f>
        <v>723584217934864384</v>
      </c>
      <c r="F2801" s="11" t="s">
        <v>31</v>
      </c>
      <c r="G2801" s="11">
        <v>87</v>
      </c>
      <c r="H2801" s="11">
        <v>126</v>
      </c>
      <c r="I2801" s="11">
        <v>1</v>
      </c>
      <c r="J2801" s="11">
        <v>0</v>
      </c>
      <c r="K2801" s="11" t="s">
        <v>21</v>
      </c>
      <c r="L2801" s="7">
        <v>40910.893321759257</v>
      </c>
      <c r="M2801" s="12" t="s">
        <v>1230</v>
      </c>
      <c r="N2801" s="12" t="s">
        <v>1231</v>
      </c>
      <c r="O2801" s="10" t="str">
        <f>HYPERLINK("https://pbs.twimg.com/profile_images/720669524786327552/lJEA-nOB_normal.jpg","View")</f>
        <v>View</v>
      </c>
      <c r="P2801" s="11"/>
    </row>
    <row r="2802" spans="1:16" ht="12.75" x14ac:dyDescent="0.35">
      <c r="A2802" s="7">
        <v>42483.014687499999</v>
      </c>
      <c r="B2802" s="8" t="str">
        <f>HYPERLINK("https://twitter.com/INDIZbot","@INDIZbot")</f>
        <v>@INDIZbot</v>
      </c>
      <c r="C2802" s="9" t="s">
        <v>61</v>
      </c>
      <c r="D2802" s="9" t="s">
        <v>4821</v>
      </c>
      <c r="E2802" s="10" t="str">
        <f>HYPERLINK("https://twitter.com/INDIZbot/status/723584948062543873","723584948062543873")</f>
        <v>723584948062543873</v>
      </c>
      <c r="F2802" s="11" t="s">
        <v>62</v>
      </c>
      <c r="G2802" s="11">
        <v>1770</v>
      </c>
      <c r="H2802" s="11">
        <v>482</v>
      </c>
      <c r="I2802" s="11">
        <v>1</v>
      </c>
      <c r="J2802" s="11">
        <v>0</v>
      </c>
      <c r="K2802" s="11" t="s">
        <v>21</v>
      </c>
      <c r="L2802" s="7">
        <v>42267.011921296296</v>
      </c>
      <c r="M2802" s="12"/>
      <c r="N2802" s="12" t="s">
        <v>63</v>
      </c>
      <c r="O2802" s="10" t="str">
        <f>HYPERLINK("https://pbs.twimg.com/profile_images/645716711723925506/t5G0qOS6_normal.jpg","View")</f>
        <v>View</v>
      </c>
      <c r="P2802" s="11"/>
    </row>
    <row r="2803" spans="1:16" ht="12.75" x14ac:dyDescent="0.35">
      <c r="A2803" s="7">
        <v>42483.017847222218</v>
      </c>
      <c r="B2803" s="8" t="str">
        <f>HYPERLINK("https://twitter.com/jforge","@jforge")</f>
        <v>@jforge</v>
      </c>
      <c r="C2803" s="9" t="s">
        <v>4822</v>
      </c>
      <c r="D2803" s="9" t="s">
        <v>4613</v>
      </c>
      <c r="E2803" s="10" t="str">
        <f>HYPERLINK("https://twitter.com/jforge/status/723586091220082688","723586091220082688")</f>
        <v>723586091220082688</v>
      </c>
      <c r="F2803" s="11" t="s">
        <v>25</v>
      </c>
      <c r="G2803" s="11">
        <v>135</v>
      </c>
      <c r="H2803" s="11">
        <v>336</v>
      </c>
      <c r="I2803" s="11">
        <v>3</v>
      </c>
      <c r="J2803" s="11">
        <v>0</v>
      </c>
      <c r="K2803" s="11" t="s">
        <v>21</v>
      </c>
      <c r="L2803" s="7">
        <v>39969.580196759256</v>
      </c>
      <c r="M2803" s="12" t="s">
        <v>4823</v>
      </c>
      <c r="N2803" s="12" t="s">
        <v>4824</v>
      </c>
      <c r="O2803" s="10" t="str">
        <f>HYPERLINK("https://pbs.twimg.com/profile_images/418806399347331072/4JQnPeBG_normal.jpeg","View")</f>
        <v>View</v>
      </c>
      <c r="P2803" s="11"/>
    </row>
    <row r="2804" spans="1:16" ht="12.75" x14ac:dyDescent="0.35">
      <c r="A2804" s="7">
        <v>42483.018148148149</v>
      </c>
      <c r="B2804" s="8" t="str">
        <f>HYPERLINK("https://twitter.com/BeierMichael71","@BeierMichael71")</f>
        <v>@BeierMichael71</v>
      </c>
      <c r="C2804" s="9" t="s">
        <v>1041</v>
      </c>
      <c r="D2804" s="9" t="s">
        <v>4825</v>
      </c>
      <c r="E2804" s="10" t="str">
        <f>HYPERLINK("https://twitter.com/BeierMichael71/status/723586201651937283","723586201651937283")</f>
        <v>723586201651937283</v>
      </c>
      <c r="F2804" s="11" t="s">
        <v>25</v>
      </c>
      <c r="G2804" s="11">
        <v>93</v>
      </c>
      <c r="H2804" s="11">
        <v>346</v>
      </c>
      <c r="I2804" s="11">
        <v>1</v>
      </c>
      <c r="J2804" s="11">
        <v>0</v>
      </c>
      <c r="K2804" s="11" t="s">
        <v>21</v>
      </c>
      <c r="L2804" s="7">
        <v>41990.142141203702</v>
      </c>
      <c r="M2804" s="12" t="s">
        <v>1043</v>
      </c>
      <c r="N2804" s="12" t="s">
        <v>1044</v>
      </c>
      <c r="O2804" s="10" t="str">
        <f>HYPERLINK("https://pbs.twimg.com/profile_images/704029343115300866/yUARofpi_normal.jpg","View")</f>
        <v>View</v>
      </c>
      <c r="P2804" s="11"/>
    </row>
    <row r="2805" spans="1:16" ht="12.75" x14ac:dyDescent="0.35">
      <c r="A2805" s="7">
        <v>42483.019976851851</v>
      </c>
      <c r="B2805" s="8" t="str">
        <f>HYPERLINK("https://twitter.com/PSchleinitz","@PSchleinitz")</f>
        <v>@PSchleinitz</v>
      </c>
      <c r="C2805" s="9" t="s">
        <v>4826</v>
      </c>
      <c r="D2805" s="9" t="s">
        <v>4827</v>
      </c>
      <c r="E2805" s="10" t="str">
        <f>HYPERLINK("https://twitter.com/PSchleinitz/status/723586863890608128","723586863890608128")</f>
        <v>723586863890608128</v>
      </c>
      <c r="F2805" s="11" t="s">
        <v>25</v>
      </c>
      <c r="G2805" s="11">
        <v>64</v>
      </c>
      <c r="H2805" s="11">
        <v>231</v>
      </c>
      <c r="I2805" s="11">
        <v>0</v>
      </c>
      <c r="J2805" s="11">
        <v>0</v>
      </c>
      <c r="K2805" s="11" t="s">
        <v>21</v>
      </c>
      <c r="L2805" s="7">
        <v>40212.789537037039</v>
      </c>
      <c r="M2805" s="12" t="s">
        <v>4828</v>
      </c>
      <c r="N2805" s="12" t="s">
        <v>4829</v>
      </c>
      <c r="O2805" s="10" t="str">
        <f>HYPERLINK("https://pbs.twimg.com/profile_images/1483136337/PB_Twitter_normal.JPG","View")</f>
        <v>View</v>
      </c>
      <c r="P2805" s="11"/>
    </row>
    <row r="2806" spans="1:16" ht="12.75" x14ac:dyDescent="0.35">
      <c r="A2806" s="7">
        <v>42483.032685185186</v>
      </c>
      <c r="B2806" s="8" t="str">
        <f>HYPERLINK("https://twitter.com/H_IT_D","@H_IT_D")</f>
        <v>@H_IT_D</v>
      </c>
      <c r="C2806" s="9" t="s">
        <v>159</v>
      </c>
      <c r="D2806" s="9" t="s">
        <v>4830</v>
      </c>
      <c r="E2806" s="10" t="str">
        <f>HYPERLINK("https://twitter.com/H_IT_D/status/723591466749071361","723591466749071361")</f>
        <v>723591466749071361</v>
      </c>
      <c r="F2806" s="11" t="s">
        <v>161</v>
      </c>
      <c r="G2806" s="11">
        <v>463</v>
      </c>
      <c r="H2806" s="11">
        <v>466</v>
      </c>
      <c r="I2806" s="11">
        <v>1</v>
      </c>
      <c r="J2806" s="11">
        <v>0</v>
      </c>
      <c r="K2806" s="11" t="s">
        <v>21</v>
      </c>
      <c r="L2806" s="7">
        <v>40723.867673611108</v>
      </c>
      <c r="M2806" s="12" t="s">
        <v>162</v>
      </c>
      <c r="N2806" s="12" t="s">
        <v>163</v>
      </c>
      <c r="O2806" s="10" t="str">
        <f>HYPERLINK("https://pbs.twimg.com/profile_images/662723326096224256/5V4KH9_O_normal.jpg","View")</f>
        <v>View</v>
      </c>
      <c r="P2806" s="11"/>
    </row>
    <row r="2807" spans="1:16" ht="12.75" x14ac:dyDescent="0.35">
      <c r="A2807" s="7">
        <v>42483.035532407404</v>
      </c>
      <c r="B2807" s="8" t="str">
        <f>HYPERLINK("https://twitter.com/INDIZbot","@INDIZbot")</f>
        <v>@INDIZbot</v>
      </c>
      <c r="C2807" s="9" t="s">
        <v>61</v>
      </c>
      <c r="D2807" s="9" t="s">
        <v>4831</v>
      </c>
      <c r="E2807" s="10" t="str">
        <f>HYPERLINK("https://twitter.com/INDIZbot/status/723592498728296448","723592498728296448")</f>
        <v>723592498728296448</v>
      </c>
      <c r="F2807" s="11" t="s">
        <v>62</v>
      </c>
      <c r="G2807" s="11">
        <v>1771</v>
      </c>
      <c r="H2807" s="11">
        <v>482</v>
      </c>
      <c r="I2807" s="11">
        <v>1</v>
      </c>
      <c r="J2807" s="11">
        <v>0</v>
      </c>
      <c r="K2807" s="11" t="s">
        <v>21</v>
      </c>
      <c r="L2807" s="7">
        <v>42267.011921296296</v>
      </c>
      <c r="M2807" s="12"/>
      <c r="N2807" s="12" t="s">
        <v>63</v>
      </c>
      <c r="O2807" s="10" t="str">
        <f>HYPERLINK("https://pbs.twimg.com/profile_images/645716711723925506/t5G0qOS6_normal.jpg","View")</f>
        <v>View</v>
      </c>
      <c r="P2807" s="11"/>
    </row>
    <row r="2808" spans="1:16" ht="12.75" x14ac:dyDescent="0.35">
      <c r="A2808" s="7">
        <v>42483.041689814811</v>
      </c>
      <c r="B2808" s="8" t="str">
        <f>HYPERLINK("https://twitter.com/kommoptimierer","@kommoptimierer")</f>
        <v>@kommoptimierer</v>
      </c>
      <c r="C2808" s="9" t="s">
        <v>270</v>
      </c>
      <c r="D2808" s="9" t="s">
        <v>684</v>
      </c>
      <c r="E2808" s="10" t="str">
        <f>HYPERLINK("https://twitter.com/kommoptimierer/status/723594730047705093","723594730047705093")</f>
        <v>723594730047705093</v>
      </c>
      <c r="F2808" s="11" t="s">
        <v>272</v>
      </c>
      <c r="G2808" s="11">
        <v>1349</v>
      </c>
      <c r="H2808" s="11">
        <v>1753</v>
      </c>
      <c r="I2808" s="11">
        <v>0</v>
      </c>
      <c r="J2808" s="11">
        <v>0</v>
      </c>
      <c r="K2808" s="11" t="s">
        <v>21</v>
      </c>
      <c r="L2808" s="7">
        <v>39986.860358796301</v>
      </c>
      <c r="M2808" s="12" t="s">
        <v>273</v>
      </c>
      <c r="N2808" s="12" t="s">
        <v>274</v>
      </c>
      <c r="O2808" s="10" t="str">
        <f>HYPERLINK("https://pbs.twimg.com/profile_images/541146126158536704/IYardufS_normal.jpeg","View")</f>
        <v>View</v>
      </c>
      <c r="P2808" s="11"/>
    </row>
    <row r="2809" spans="1:16" ht="12.75" x14ac:dyDescent="0.35">
      <c r="A2809" s="7">
        <v>42483.042199074072</v>
      </c>
      <c r="B2809" s="8" t="str">
        <f>HYPERLINK("https://twitter.com/CarstenDierig","@CarstenDierig")</f>
        <v>@CarstenDierig</v>
      </c>
      <c r="C2809" s="9" t="s">
        <v>4832</v>
      </c>
      <c r="D2809" s="9" t="s">
        <v>4833</v>
      </c>
      <c r="E2809" s="10" t="str">
        <f>HYPERLINK("https://twitter.com/CarstenDierig/status/723594914827788289","723594914827788289")</f>
        <v>723594914827788289</v>
      </c>
      <c r="F2809" s="11" t="s">
        <v>25</v>
      </c>
      <c r="G2809" s="11">
        <v>364</v>
      </c>
      <c r="H2809" s="11">
        <v>150</v>
      </c>
      <c r="I2809" s="11">
        <v>1</v>
      </c>
      <c r="J2809" s="11">
        <v>0</v>
      </c>
      <c r="K2809" s="11" t="s">
        <v>21</v>
      </c>
      <c r="L2809" s="7">
        <v>41824.744340277779</v>
      </c>
      <c r="M2809" s="12"/>
      <c r="N2809" s="12" t="s">
        <v>4834</v>
      </c>
      <c r="O2809" s="10" t="str">
        <f>HYPERLINK("https://pbs.twimg.com/profile_images/486066079261655040/uyhY_MQH_normal.jpeg","View")</f>
        <v>View</v>
      </c>
      <c r="P2809" s="11"/>
    </row>
    <row r="2810" spans="1:16" ht="12.75" x14ac:dyDescent="0.35">
      <c r="A2810" s="7">
        <v>42483.049432870372</v>
      </c>
      <c r="B2810" s="8" t="str">
        <f t="shared" ref="B2810:B2811" si="356">HYPERLINK("https://twitter.com/INDIZbot","@INDIZbot")</f>
        <v>@INDIZbot</v>
      </c>
      <c r="C2810" s="9" t="s">
        <v>61</v>
      </c>
      <c r="D2810" s="9" t="s">
        <v>4835</v>
      </c>
      <c r="E2810" s="10" t="str">
        <f>HYPERLINK("https://twitter.com/INDIZbot/status/723597536716566528","723597536716566528")</f>
        <v>723597536716566528</v>
      </c>
      <c r="F2810" s="11" t="s">
        <v>62</v>
      </c>
      <c r="G2810" s="11">
        <v>1771</v>
      </c>
      <c r="H2810" s="11">
        <v>482</v>
      </c>
      <c r="I2810" s="11">
        <v>1</v>
      </c>
      <c r="J2810" s="11">
        <v>0</v>
      </c>
      <c r="K2810" s="11" t="s">
        <v>21</v>
      </c>
      <c r="L2810" s="7">
        <v>42267.011921296296</v>
      </c>
      <c r="M2810" s="12"/>
      <c r="N2810" s="12" t="s">
        <v>63</v>
      </c>
      <c r="O2810" s="10" t="str">
        <f t="shared" ref="O2810:O2811" si="357">HYPERLINK("https://pbs.twimg.com/profile_images/645716711723925506/t5G0qOS6_normal.jpg","View")</f>
        <v>View</v>
      </c>
      <c r="P2810" s="11"/>
    </row>
    <row r="2811" spans="1:16" ht="12.75" x14ac:dyDescent="0.35">
      <c r="A2811" s="7">
        <v>42483.049780092595</v>
      </c>
      <c r="B2811" s="8" t="str">
        <f t="shared" si="356"/>
        <v>@INDIZbot</v>
      </c>
      <c r="C2811" s="9" t="s">
        <v>61</v>
      </c>
      <c r="D2811" s="9" t="s">
        <v>1448</v>
      </c>
      <c r="E2811" s="10" t="str">
        <f>HYPERLINK("https://twitter.com/INDIZbot/status/723597663699087360","723597663699087360")</f>
        <v>723597663699087360</v>
      </c>
      <c r="F2811" s="11" t="s">
        <v>62</v>
      </c>
      <c r="G2811" s="11">
        <v>1771</v>
      </c>
      <c r="H2811" s="11">
        <v>482</v>
      </c>
      <c r="I2811" s="11">
        <v>1</v>
      </c>
      <c r="J2811" s="11">
        <v>0</v>
      </c>
      <c r="K2811" s="11" t="s">
        <v>21</v>
      </c>
      <c r="L2811" s="7">
        <v>42267.011921296296</v>
      </c>
      <c r="M2811" s="12"/>
      <c r="N2811" s="12" t="s">
        <v>63</v>
      </c>
      <c r="O2811" s="10" t="str">
        <f t="shared" si="357"/>
        <v>View</v>
      </c>
      <c r="P2811" s="11"/>
    </row>
    <row r="2812" spans="1:16" ht="12.75" x14ac:dyDescent="0.35">
      <c r="A2812" s="7">
        <v>42483.053842592592</v>
      </c>
      <c r="B2812" s="8" t="str">
        <f>HYPERLINK("https://twitter.com/pmpoulin","@pmpoulin")</f>
        <v>@pmpoulin</v>
      </c>
      <c r="C2812" s="9" t="s">
        <v>4836</v>
      </c>
      <c r="D2812" s="9" t="s">
        <v>4837</v>
      </c>
      <c r="E2812" s="10" t="str">
        <f>HYPERLINK("https://twitter.com/pmpoulin/status/723599137439014912","723599137439014912")</f>
        <v>723599137439014912</v>
      </c>
      <c r="F2812" s="11" t="s">
        <v>1816</v>
      </c>
      <c r="G2812" s="11">
        <v>187</v>
      </c>
      <c r="H2812" s="11">
        <v>142</v>
      </c>
      <c r="I2812" s="11">
        <v>0</v>
      </c>
      <c r="J2812" s="11">
        <v>0</v>
      </c>
      <c r="K2812" s="11" t="s">
        <v>21</v>
      </c>
      <c r="L2812" s="7">
        <v>40323.976180555554</v>
      </c>
      <c r="M2812" s="12" t="s">
        <v>970</v>
      </c>
      <c r="N2812" s="12" t="s">
        <v>4838</v>
      </c>
      <c r="O2812" s="10" t="str">
        <f>HYPERLINK("https://pbs.twimg.com/profile_images/1134540350/Twitter_Pic_normal.jpg","View")</f>
        <v>View</v>
      </c>
      <c r="P2812" s="11"/>
    </row>
    <row r="2813" spans="1:16" ht="12.75" x14ac:dyDescent="0.35">
      <c r="A2813" s="7">
        <v>42483.054143518515</v>
      </c>
      <c r="B2813" s="8" t="str">
        <f>HYPERLINK("https://twitter.com/JulijanaRistov","@JulijanaRistov")</f>
        <v>@JulijanaRistov</v>
      </c>
      <c r="C2813" s="9" t="s">
        <v>4839</v>
      </c>
      <c r="D2813" s="9" t="s">
        <v>4786</v>
      </c>
      <c r="E2813" s="10" t="str">
        <f>HYPERLINK("https://twitter.com/JulijanaRistov/status/723599246226784256","723599246226784256")</f>
        <v>723599246226784256</v>
      </c>
      <c r="F2813" s="11" t="s">
        <v>31</v>
      </c>
      <c r="G2813" s="11">
        <v>42</v>
      </c>
      <c r="H2813" s="11">
        <v>104</v>
      </c>
      <c r="I2813" s="11">
        <v>2</v>
      </c>
      <c r="J2813" s="11">
        <v>0</v>
      </c>
      <c r="K2813" s="11" t="s">
        <v>21</v>
      </c>
      <c r="L2813" s="7">
        <v>41484.581655092596</v>
      </c>
      <c r="M2813" s="12" t="s">
        <v>4840</v>
      </c>
      <c r="N2813" s="12" t="s">
        <v>4841</v>
      </c>
      <c r="O2813" s="10" t="str">
        <f>HYPERLINK("https://pbs.twimg.com/profile_images/713084713532043264/bM3kNE1k_normal.jpg","View")</f>
        <v>View</v>
      </c>
      <c r="P2813" s="11"/>
    </row>
    <row r="2814" spans="1:16" ht="12.75" x14ac:dyDescent="0.35">
      <c r="A2814" s="7">
        <v>42483.05574074074</v>
      </c>
      <c r="B2814" s="8" t="str">
        <f>HYPERLINK("https://twitter.com/GregRodehueser","@GregRodehueser")</f>
        <v>@GregRodehueser</v>
      </c>
      <c r="C2814" s="9" t="s">
        <v>4842</v>
      </c>
      <c r="D2814" s="9" t="s">
        <v>4843</v>
      </c>
      <c r="E2814" s="10" t="str">
        <f>HYPERLINK("https://twitter.com/GregRodehueser/status/723599822498988038","723599822498988038")</f>
        <v>723599822498988038</v>
      </c>
      <c r="F2814" s="11" t="s">
        <v>25</v>
      </c>
      <c r="G2814" s="11">
        <v>98</v>
      </c>
      <c r="H2814" s="11">
        <v>153</v>
      </c>
      <c r="I2814" s="11">
        <v>2</v>
      </c>
      <c r="J2814" s="11">
        <v>1</v>
      </c>
      <c r="K2814" s="11" t="s">
        <v>21</v>
      </c>
      <c r="L2814" s="7">
        <v>42209.75381944445</v>
      </c>
      <c r="M2814" s="12" t="s">
        <v>575</v>
      </c>
      <c r="N2814" s="12" t="s">
        <v>4844</v>
      </c>
      <c r="O2814" s="10" t="str">
        <f>HYPERLINK("https://pbs.twimg.com/profile_images/669193589495345152/nJYiWy7H_normal.jpg","View")</f>
        <v>View</v>
      </c>
      <c r="P2814" s="11"/>
    </row>
    <row r="2815" spans="1:16" ht="12.75" x14ac:dyDescent="0.35">
      <c r="A2815" s="7">
        <v>42483.05636574074</v>
      </c>
      <c r="B2815" s="8" t="str">
        <f>HYPERLINK("https://twitter.com/INDIZbot","@INDIZbot")</f>
        <v>@INDIZbot</v>
      </c>
      <c r="C2815" s="9" t="s">
        <v>61</v>
      </c>
      <c r="D2815" s="9" t="s">
        <v>4845</v>
      </c>
      <c r="E2815" s="10" t="str">
        <f>HYPERLINK("https://twitter.com/INDIZbot/status/723600048693612545","723600048693612545")</f>
        <v>723600048693612545</v>
      </c>
      <c r="F2815" s="11" t="s">
        <v>62</v>
      </c>
      <c r="G2815" s="11">
        <v>1771</v>
      </c>
      <c r="H2815" s="11">
        <v>482</v>
      </c>
      <c r="I2815" s="11">
        <v>2</v>
      </c>
      <c r="J2815" s="11">
        <v>0</v>
      </c>
      <c r="K2815" s="11" t="s">
        <v>21</v>
      </c>
      <c r="L2815" s="7">
        <v>42267.011921296296</v>
      </c>
      <c r="M2815" s="12"/>
      <c r="N2815" s="12" t="s">
        <v>63</v>
      </c>
      <c r="O2815" s="10" t="str">
        <f>HYPERLINK("https://pbs.twimg.com/profile_images/645716711723925506/t5G0qOS6_normal.jpg","View")</f>
        <v>View</v>
      </c>
      <c r="P2815" s="11"/>
    </row>
    <row r="2816" spans="1:16" ht="12.75" x14ac:dyDescent="0.35">
      <c r="A2816" s="7">
        <v>42483.05850694445</v>
      </c>
      <c r="B2816" s="8" t="str">
        <f>HYPERLINK("https://twitter.com/frankcausa","@frankcausa")</f>
        <v>@frankcausa</v>
      </c>
      <c r="C2816" s="9" t="s">
        <v>3913</v>
      </c>
      <c r="D2816" s="9" t="s">
        <v>4846</v>
      </c>
      <c r="E2816" s="10" t="str">
        <f>HYPERLINK("https://twitter.com/frankcausa/status/723600826330169345","723600826330169345")</f>
        <v>723600826330169345</v>
      </c>
      <c r="F2816" s="11" t="s">
        <v>31</v>
      </c>
      <c r="G2816" s="11">
        <v>275</v>
      </c>
      <c r="H2816" s="11">
        <v>860</v>
      </c>
      <c r="I2816" s="11">
        <v>0</v>
      </c>
      <c r="J2816" s="11">
        <v>0</v>
      </c>
      <c r="K2816" s="11" t="s">
        <v>21</v>
      </c>
      <c r="L2816" s="7">
        <v>42413.442210648151</v>
      </c>
      <c r="M2816" s="12"/>
      <c r="N2816" s="12" t="s">
        <v>3915</v>
      </c>
      <c r="O2816" s="10" t="str">
        <f>HYPERLINK("https://pbs.twimg.com/profile_images/698375438155059201/CHH9GkNn_normal.jpg","View")</f>
        <v>View</v>
      </c>
      <c r="P2816" s="11"/>
    </row>
    <row r="2817" spans="1:16" ht="12.75" x14ac:dyDescent="0.35">
      <c r="A2817" s="7">
        <v>42483.062453703707</v>
      </c>
      <c r="B2817" s="8" t="str">
        <f>HYPERLINK("https://twitter.com/BerndHops","@BerndHops")</f>
        <v>@BerndHops</v>
      </c>
      <c r="C2817" s="9" t="s">
        <v>4847</v>
      </c>
      <c r="D2817" s="9" t="s">
        <v>4845</v>
      </c>
      <c r="E2817" s="10" t="str">
        <f>HYPERLINK("https://twitter.com/BerndHops/status/723602257170825216","723602257170825216")</f>
        <v>723602257170825216</v>
      </c>
      <c r="F2817" s="11" t="s">
        <v>31</v>
      </c>
      <c r="G2817" s="11">
        <v>81</v>
      </c>
      <c r="H2817" s="11">
        <v>194</v>
      </c>
      <c r="I2817" s="11">
        <v>2</v>
      </c>
      <c r="J2817" s="11">
        <v>0</v>
      </c>
      <c r="K2817" s="11" t="s">
        <v>21</v>
      </c>
      <c r="L2817" s="7">
        <v>42104.85092592593</v>
      </c>
      <c r="M2817" s="12" t="s">
        <v>440</v>
      </c>
      <c r="N2817" s="12" t="s">
        <v>4848</v>
      </c>
      <c r="O2817" s="10" t="str">
        <f>HYPERLINK("https://pbs.twimg.com/profile_images/706510515703521284/ajsG565v_normal.jpg","View")</f>
        <v>View</v>
      </c>
      <c r="P2817" s="11"/>
    </row>
    <row r="2818" spans="1:16" ht="12.75" x14ac:dyDescent="0.35">
      <c r="A2818" s="7">
        <v>42483.062581018516</v>
      </c>
      <c r="B2818" s="8" t="str">
        <f>HYPERLINK("https://twitter.com/meier_thorsten","@meier_thorsten")</f>
        <v>@meier_thorsten</v>
      </c>
      <c r="C2818" s="9" t="s">
        <v>4849</v>
      </c>
      <c r="D2818" s="9" t="s">
        <v>4835</v>
      </c>
      <c r="E2818" s="10" t="str">
        <f>HYPERLINK("https://twitter.com/meier_thorsten/status/723602302238601217","723602302238601217")</f>
        <v>723602302238601217</v>
      </c>
      <c r="F2818" s="11" t="s">
        <v>31</v>
      </c>
      <c r="G2818" s="11">
        <v>7</v>
      </c>
      <c r="H2818" s="11">
        <v>13</v>
      </c>
      <c r="I2818" s="11">
        <v>2</v>
      </c>
      <c r="J2818" s="11">
        <v>0</v>
      </c>
      <c r="K2818" s="11" t="s">
        <v>21</v>
      </c>
      <c r="L2818" s="7">
        <v>41250.858587962961</v>
      </c>
      <c r="M2818" s="12"/>
      <c r="N2818" s="12"/>
      <c r="O2818" s="10" t="str">
        <f>HYPERLINK("https://abs.twimg.com/sticky/default_profile_images/default_profile_4_normal.png","View")</f>
        <v>View</v>
      </c>
      <c r="P2818" s="11"/>
    </row>
    <row r="2819" spans="1:16" ht="12.75" x14ac:dyDescent="0.35">
      <c r="A2819" s="7">
        <v>42483.064768518518</v>
      </c>
      <c r="B2819" s="8" t="str">
        <f>HYPERLINK("https://twitter.com/ZVEIorg","@ZVEIorg")</f>
        <v>@ZVEIorg</v>
      </c>
      <c r="C2819" s="9" t="s">
        <v>390</v>
      </c>
      <c r="D2819" s="9" t="s">
        <v>4835</v>
      </c>
      <c r="E2819" s="10" t="str">
        <f>HYPERLINK("https://twitter.com/ZVEIorg/status/723603096094552065","723603096094552065")</f>
        <v>723603096094552065</v>
      </c>
      <c r="F2819" s="11" t="s">
        <v>20</v>
      </c>
      <c r="G2819" s="11">
        <v>2548</v>
      </c>
      <c r="H2819" s="11">
        <v>581</v>
      </c>
      <c r="I2819" s="11">
        <v>3</v>
      </c>
      <c r="J2819" s="11">
        <v>0</v>
      </c>
      <c r="K2819" s="11" t="s">
        <v>21</v>
      </c>
      <c r="L2819" s="7">
        <v>41247.641875000001</v>
      </c>
      <c r="M2819" s="12" t="s">
        <v>392</v>
      </c>
      <c r="N2819" s="12" t="s">
        <v>393</v>
      </c>
      <c r="O2819" s="10" t="str">
        <f>HYPERLINK("https://pbs.twimg.com/profile_images/479147477975588864/z94n3mRF_normal.jpeg","View")</f>
        <v>View</v>
      </c>
      <c r="P2819" s="11"/>
    </row>
    <row r="2820" spans="1:16" ht="12.75" x14ac:dyDescent="0.35">
      <c r="A2820" s="7">
        <v>42483.065983796296</v>
      </c>
      <c r="B2820" s="8" t="str">
        <f>HYPERLINK("https://twitter.com/kommoptimierer","@kommoptimierer")</f>
        <v>@kommoptimierer</v>
      </c>
      <c r="C2820" s="9" t="s">
        <v>270</v>
      </c>
      <c r="D2820" s="9" t="s">
        <v>691</v>
      </c>
      <c r="E2820" s="10" t="str">
        <f>HYPERLINK("https://twitter.com/kommoptimierer/status/723603536618110977","723603536618110977")</f>
        <v>723603536618110977</v>
      </c>
      <c r="F2820" s="11" t="s">
        <v>272</v>
      </c>
      <c r="G2820" s="11">
        <v>1349</v>
      </c>
      <c r="H2820" s="11">
        <v>1753</v>
      </c>
      <c r="I2820" s="11">
        <v>0</v>
      </c>
      <c r="J2820" s="11">
        <v>0</v>
      </c>
      <c r="K2820" s="11" t="s">
        <v>21</v>
      </c>
      <c r="L2820" s="7">
        <v>39986.860358796301</v>
      </c>
      <c r="M2820" s="12" t="s">
        <v>273</v>
      </c>
      <c r="N2820" s="12" t="s">
        <v>274</v>
      </c>
      <c r="O2820" s="10" t="str">
        <f>HYPERLINK("https://pbs.twimg.com/profile_images/541146126158536704/IYardufS_normal.jpeg","View")</f>
        <v>View</v>
      </c>
      <c r="P2820" s="11"/>
    </row>
    <row r="2821" spans="1:16" ht="12.75" x14ac:dyDescent="0.35">
      <c r="A2821" s="7">
        <v>42483.070011574076</v>
      </c>
      <c r="B2821" s="8" t="str">
        <f>HYPERLINK("https://twitter.com/Wibbow","@Wibbow")</f>
        <v>@Wibbow</v>
      </c>
      <c r="C2821" s="9" t="s">
        <v>4850</v>
      </c>
      <c r="D2821" s="9" t="s">
        <v>4851</v>
      </c>
      <c r="E2821" s="10" t="str">
        <f>HYPERLINK("https://twitter.com/Wibbow/status/723604993442516992","723604993442516992")</f>
        <v>723604993442516992</v>
      </c>
      <c r="F2821" s="11" t="s">
        <v>31</v>
      </c>
      <c r="G2821" s="11">
        <v>201</v>
      </c>
      <c r="H2821" s="11">
        <v>487</v>
      </c>
      <c r="I2821" s="11">
        <v>5</v>
      </c>
      <c r="J2821" s="11">
        <v>0</v>
      </c>
      <c r="K2821" s="11" t="s">
        <v>21</v>
      </c>
      <c r="L2821" s="7">
        <v>40319.638136574074</v>
      </c>
      <c r="M2821" s="12" t="s">
        <v>868</v>
      </c>
      <c r="N2821" s="12" t="s">
        <v>4852</v>
      </c>
      <c r="O2821" s="10" t="str">
        <f>HYPERLINK("https://pbs.twimg.com/profile_images/609319101757026304/Q0JXTQqh_normal.jpg","View")</f>
        <v>View</v>
      </c>
      <c r="P2821" s="11"/>
    </row>
    <row r="2822" spans="1:16" ht="12.75" x14ac:dyDescent="0.35">
      <c r="A2822" s="7">
        <v>42483.078726851847</v>
      </c>
      <c r="B2822" s="8" t="str">
        <f>HYPERLINK("https://twitter.com/thomasbuerger2","@thomasbuerger2")</f>
        <v>@thomasbuerger2</v>
      </c>
      <c r="C2822" s="9" t="s">
        <v>4853</v>
      </c>
      <c r="D2822" s="9" t="s">
        <v>4825</v>
      </c>
      <c r="E2822" s="10" t="str">
        <f>HYPERLINK("https://twitter.com/thomasbuerger2/status/723608151770181632","723608151770181632")</f>
        <v>723608151770181632</v>
      </c>
      <c r="F2822" s="11" t="s">
        <v>31</v>
      </c>
      <c r="G2822" s="11">
        <v>16</v>
      </c>
      <c r="H2822" s="11">
        <v>71</v>
      </c>
      <c r="I2822" s="11">
        <v>2</v>
      </c>
      <c r="J2822" s="11">
        <v>0</v>
      </c>
      <c r="K2822" s="11" t="s">
        <v>21</v>
      </c>
      <c r="L2822" s="7">
        <v>42417.237662037034</v>
      </c>
      <c r="M2822" s="12"/>
      <c r="N2822" s="12"/>
      <c r="O2822" s="10" t="str">
        <f>HYPERLINK("https://abs.twimg.com/sticky/default_profile_images/default_profile_3_normal.png","View")</f>
        <v>View</v>
      </c>
      <c r="P2822" s="11"/>
    </row>
    <row r="2823" spans="1:16" ht="12.75" x14ac:dyDescent="0.35">
      <c r="A2823" s="7">
        <v>42483.090949074074</v>
      </c>
      <c r="B2823" s="8" t="str">
        <f>HYPERLINK("https://twitter.com/BMAS_Bund","@BMAS_Bund")</f>
        <v>@BMAS_Bund</v>
      </c>
      <c r="C2823" s="9" t="s">
        <v>3667</v>
      </c>
      <c r="D2823" s="9" t="s">
        <v>4854</v>
      </c>
      <c r="E2823" s="10" t="str">
        <f>HYPERLINK("https://twitter.com/BMAS_Bund/status/723612582716813312","723612582716813312")</f>
        <v>723612582716813312</v>
      </c>
      <c r="F2823" s="11" t="s">
        <v>31</v>
      </c>
      <c r="G2823" s="11">
        <v>6640</v>
      </c>
      <c r="H2823" s="11">
        <v>158</v>
      </c>
      <c r="I2823" s="11">
        <v>0</v>
      </c>
      <c r="J2823" s="11">
        <v>0</v>
      </c>
      <c r="K2823" s="11" t="s">
        <v>21</v>
      </c>
      <c r="L2823" s="7">
        <v>41449.835231481484</v>
      </c>
      <c r="M2823" s="12" t="s">
        <v>218</v>
      </c>
      <c r="N2823" s="12" t="s">
        <v>3669</v>
      </c>
      <c r="O2823" s="10" t="str">
        <f>HYPERLINK("https://pbs.twimg.com/profile_images/458890407313559552/jLyIiacO_normal.png","View")</f>
        <v>View</v>
      </c>
      <c r="P2823" s="11"/>
    </row>
    <row r="2824" spans="1:16" ht="12.75" x14ac:dyDescent="0.35">
      <c r="A2824" s="7">
        <v>42483.091261574074</v>
      </c>
      <c r="B2824" s="8" t="str">
        <f>HYPERLINK("https://twitter.com/OOgbukagu","@OOgbukagu")</f>
        <v>@OOgbukagu</v>
      </c>
      <c r="C2824" s="9" t="s">
        <v>4855</v>
      </c>
      <c r="D2824" s="9" t="s">
        <v>4835</v>
      </c>
      <c r="E2824" s="10" t="str">
        <f>HYPERLINK("https://twitter.com/OOgbukagu/status/723612694897672197","723612694897672197")</f>
        <v>723612694897672197</v>
      </c>
      <c r="F2824" s="11" t="s">
        <v>29</v>
      </c>
      <c r="G2824" s="11">
        <v>103</v>
      </c>
      <c r="H2824" s="11">
        <v>79</v>
      </c>
      <c r="I2824" s="11">
        <v>4</v>
      </c>
      <c r="J2824" s="11">
        <v>0</v>
      </c>
      <c r="K2824" s="11" t="s">
        <v>21</v>
      </c>
      <c r="L2824" s="7">
        <v>41162.946967592594</v>
      </c>
      <c r="M2824" s="12" t="s">
        <v>752</v>
      </c>
      <c r="N2824" s="12" t="s">
        <v>4856</v>
      </c>
      <c r="O2824" s="10" t="str">
        <f>HYPERLINK("https://pbs.twimg.com/profile_images/466860381533515776/jiQ9EbK1_normal.jpeg","View")</f>
        <v>View</v>
      </c>
      <c r="P2824" s="11"/>
    </row>
    <row r="2825" spans="1:16" ht="12.75" x14ac:dyDescent="0.35">
      <c r="A2825" s="7">
        <v>42483.098263888889</v>
      </c>
      <c r="B2825" s="8" t="str">
        <f>HYPERLINK("https://twitter.com/INDIZbot","@INDIZbot")</f>
        <v>@INDIZbot</v>
      </c>
      <c r="C2825" s="9" t="s">
        <v>61</v>
      </c>
      <c r="D2825" s="9" t="s">
        <v>4857</v>
      </c>
      <c r="E2825" s="10" t="str">
        <f>HYPERLINK("https://twitter.com/INDIZbot/status/723615232569020417","723615232569020417")</f>
        <v>723615232569020417</v>
      </c>
      <c r="F2825" s="11" t="s">
        <v>62</v>
      </c>
      <c r="G2825" s="11">
        <v>1771</v>
      </c>
      <c r="H2825" s="11">
        <v>482</v>
      </c>
      <c r="I2825" s="11">
        <v>1</v>
      </c>
      <c r="J2825" s="11">
        <v>0</v>
      </c>
      <c r="K2825" s="11" t="s">
        <v>21</v>
      </c>
      <c r="L2825" s="7">
        <v>42267.011921296296</v>
      </c>
      <c r="M2825" s="12"/>
      <c r="N2825" s="12" t="s">
        <v>63</v>
      </c>
      <c r="O2825" s="10" t="str">
        <f>HYPERLINK("https://pbs.twimg.com/profile_images/645716711723925506/t5G0qOS6_normal.jpg","View")</f>
        <v>View</v>
      </c>
      <c r="P2825" s="11"/>
    </row>
    <row r="2826" spans="1:16" ht="12.75" x14ac:dyDescent="0.35">
      <c r="A2826" s="7">
        <v>42483.107303240744</v>
      </c>
      <c r="B2826" s="8" t="str">
        <f>HYPERLINK("https://twitter.com/afigueiredo","@afigueiredo")</f>
        <v>@afigueiredo</v>
      </c>
      <c r="C2826" s="9" t="s">
        <v>4858</v>
      </c>
      <c r="D2826" s="9" t="s">
        <v>4859</v>
      </c>
      <c r="E2826" s="10" t="str">
        <f>HYPERLINK("https://twitter.com/afigueiredo/status/723618508068786176","723618508068786176")</f>
        <v>723618508068786176</v>
      </c>
      <c r="F2826" s="11" t="s">
        <v>31</v>
      </c>
      <c r="G2826" s="11">
        <v>3243</v>
      </c>
      <c r="H2826" s="11">
        <v>2838</v>
      </c>
      <c r="I2826" s="11">
        <v>1</v>
      </c>
      <c r="J2826" s="11">
        <v>1</v>
      </c>
      <c r="K2826" s="11" t="s">
        <v>21</v>
      </c>
      <c r="L2826" s="7">
        <v>39500.683576388888</v>
      </c>
      <c r="M2826" s="12" t="s">
        <v>471</v>
      </c>
      <c r="N2826" s="12" t="s">
        <v>4860</v>
      </c>
      <c r="O2826" s="10" t="str">
        <f>HYPERLINK("https://pbs.twimg.com/profile_images/675119646903828486/vqpIlO9b_normal.jpg","View")</f>
        <v>View</v>
      </c>
      <c r="P2826" s="11"/>
    </row>
    <row r="2827" spans="1:16" ht="12.75" x14ac:dyDescent="0.35">
      <c r="A2827" s="7">
        <v>42483.114050925928</v>
      </c>
      <c r="B2827" s="8" t="str">
        <f>HYPERLINK("https://twitter.com/Googleulv","@Googleulv")</f>
        <v>@Googleulv</v>
      </c>
      <c r="C2827" s="9" t="s">
        <v>4861</v>
      </c>
      <c r="D2827" s="9" t="s">
        <v>4862</v>
      </c>
      <c r="E2827" s="10" t="str">
        <f>HYPERLINK("https://twitter.com/Googleulv/status/723620953792614400","723620953792614400")</f>
        <v>723620953792614400</v>
      </c>
      <c r="F2827" s="11" t="s">
        <v>29</v>
      </c>
      <c r="G2827" s="11">
        <v>1189</v>
      </c>
      <c r="H2827" s="11">
        <v>873</v>
      </c>
      <c r="I2827" s="11">
        <v>1</v>
      </c>
      <c r="J2827" s="11">
        <v>0</v>
      </c>
      <c r="K2827" s="11" t="s">
        <v>21</v>
      </c>
      <c r="L2827" s="7">
        <v>39890.132997685185</v>
      </c>
      <c r="M2827" s="12" t="s">
        <v>4863</v>
      </c>
      <c r="N2827" s="12" t="s">
        <v>4864</v>
      </c>
      <c r="O2827" s="10" t="str">
        <f>HYPERLINK("https://pbs.twimg.com/profile_images/631872006645022720/C3D_WfIt_normal.jpg","View")</f>
        <v>View</v>
      </c>
      <c r="P2827" s="11"/>
    </row>
    <row r="2828" spans="1:16" ht="12.75" x14ac:dyDescent="0.35">
      <c r="A2828" s="7">
        <v>42483.120474537034</v>
      </c>
      <c r="B2828" s="8" t="str">
        <f>HYPERLINK("https://twitter.com/Robert__Jansen","@Robert__Jansen")</f>
        <v>@Robert__Jansen</v>
      </c>
      <c r="C2828" s="9" t="s">
        <v>4865</v>
      </c>
      <c r="D2828" s="9" t="s">
        <v>4659</v>
      </c>
      <c r="E2828" s="10" t="str">
        <f>HYPERLINK("https://twitter.com/Robert__Jansen/status/723623284525420544","723623284525420544")</f>
        <v>723623284525420544</v>
      </c>
      <c r="F2828" s="11" t="s">
        <v>31</v>
      </c>
      <c r="G2828" s="11">
        <v>86</v>
      </c>
      <c r="H2828" s="11">
        <v>216</v>
      </c>
      <c r="I2828" s="11">
        <v>3</v>
      </c>
      <c r="J2828" s="11">
        <v>0</v>
      </c>
      <c r="K2828" s="11" t="s">
        <v>21</v>
      </c>
      <c r="L2828" s="7">
        <v>40190.598437499997</v>
      </c>
      <c r="M2828" s="12"/>
      <c r="N2828" s="12" t="s">
        <v>4866</v>
      </c>
      <c r="O2828" s="10" t="str">
        <f>HYPERLINK("https://pbs.twimg.com/profile_images/1683834342/foto_Robert_normal.JPG","View")</f>
        <v>View</v>
      </c>
      <c r="P2828" s="11"/>
    </row>
    <row r="2829" spans="1:16" ht="12.75" x14ac:dyDescent="0.35">
      <c r="A2829" s="7">
        <v>42483.159282407403</v>
      </c>
      <c r="B2829" s="8" t="str">
        <f>HYPERLINK("https://twitter.com/JeffersonjobsUK","@JeffersonjobsUK")</f>
        <v>@JeffersonjobsUK</v>
      </c>
      <c r="C2829" s="9" t="s">
        <v>4867</v>
      </c>
      <c r="D2829" s="9" t="s">
        <v>4816</v>
      </c>
      <c r="E2829" s="10" t="str">
        <f>HYPERLINK("https://twitter.com/JeffersonjobsUK/status/723637346290245632","723637346290245632")</f>
        <v>723637346290245632</v>
      </c>
      <c r="F2829" s="11" t="s">
        <v>501</v>
      </c>
      <c r="G2829" s="11">
        <v>5961</v>
      </c>
      <c r="H2829" s="11">
        <v>6510</v>
      </c>
      <c r="I2829" s="11">
        <v>2</v>
      </c>
      <c r="J2829" s="11">
        <v>0</v>
      </c>
      <c r="K2829" s="11" t="s">
        <v>21</v>
      </c>
      <c r="L2829" s="7">
        <v>42410.002164351856</v>
      </c>
      <c r="M2829" s="12" t="s">
        <v>4868</v>
      </c>
      <c r="N2829" s="12" t="s">
        <v>4869</v>
      </c>
      <c r="O2829" s="10" t="str">
        <f>HYPERLINK("https://pbs.twimg.com/profile_images/697128334166224896/7ttIPcTC_normal.jpg","View")</f>
        <v>View</v>
      </c>
      <c r="P2829" s="11"/>
    </row>
    <row r="2830" spans="1:16" ht="12.75" x14ac:dyDescent="0.35">
      <c r="A2830" s="7">
        <v>42483.182118055556</v>
      </c>
      <c r="B2830" s="8" t="str">
        <f>HYPERLINK("https://twitter.com/oliverdhm","@oliverdhm")</f>
        <v>@oliverdhm</v>
      </c>
      <c r="C2830" s="9" t="s">
        <v>4870</v>
      </c>
      <c r="D2830" s="9" t="s">
        <v>4871</v>
      </c>
      <c r="E2830" s="10" t="str">
        <f>HYPERLINK("https://twitter.com/oliverdhm/status/723645622256078853","723645622256078853")</f>
        <v>723645622256078853</v>
      </c>
      <c r="F2830" s="11" t="s">
        <v>31</v>
      </c>
      <c r="G2830" s="11">
        <v>6</v>
      </c>
      <c r="H2830" s="11">
        <v>66</v>
      </c>
      <c r="I2830" s="11">
        <v>1</v>
      </c>
      <c r="J2830" s="11">
        <v>0</v>
      </c>
      <c r="K2830" s="11" t="s">
        <v>21</v>
      </c>
      <c r="L2830" s="7">
        <v>42379.133460648147</v>
      </c>
      <c r="M2830" s="12" t="s">
        <v>4872</v>
      </c>
      <c r="N2830" s="12"/>
      <c r="O2830" s="10" t="str">
        <f>HYPERLINK("https://pbs.twimg.com/profile_images/685944795546664961/PUMi74do_normal.jpg","View")</f>
        <v>View</v>
      </c>
      <c r="P2830" s="11"/>
    </row>
    <row r="2831" spans="1:16" ht="12.75" x14ac:dyDescent="0.35">
      <c r="A2831" s="7">
        <v>42483.188321759255</v>
      </c>
      <c r="B2831" s="8" t="str">
        <f>HYPERLINK("https://twitter.com/INDIZbot","@INDIZbot")</f>
        <v>@INDIZbot</v>
      </c>
      <c r="C2831" s="9" t="s">
        <v>61</v>
      </c>
      <c r="D2831" s="9" t="s">
        <v>4871</v>
      </c>
      <c r="E2831" s="10" t="str">
        <f>HYPERLINK("https://twitter.com/INDIZbot/status/723647867752189958","723647867752189958")</f>
        <v>723647867752189958</v>
      </c>
      <c r="F2831" s="11" t="s">
        <v>62</v>
      </c>
      <c r="G2831" s="11">
        <v>1771</v>
      </c>
      <c r="H2831" s="11">
        <v>482</v>
      </c>
      <c r="I2831" s="11">
        <v>2</v>
      </c>
      <c r="J2831" s="11">
        <v>0</v>
      </c>
      <c r="K2831" s="11" t="s">
        <v>21</v>
      </c>
      <c r="L2831" s="7">
        <v>42267.011921296296</v>
      </c>
      <c r="M2831" s="12"/>
      <c r="N2831" s="12" t="s">
        <v>63</v>
      </c>
      <c r="O2831" s="10" t="str">
        <f>HYPERLINK("https://pbs.twimg.com/profile_images/645716711723925506/t5G0qOS6_normal.jpg","View")</f>
        <v>View</v>
      </c>
      <c r="P2831" s="11"/>
    </row>
    <row r="2832" spans="1:16" ht="12.75" x14ac:dyDescent="0.35">
      <c r="A2832" s="7">
        <v>42483.209907407407</v>
      </c>
      <c r="B2832" s="8" t="str">
        <f>HYPERLINK("https://twitter.com/H_IT_D","@H_IT_D")</f>
        <v>@H_IT_D</v>
      </c>
      <c r="C2832" s="9" t="s">
        <v>159</v>
      </c>
      <c r="D2832" s="9" t="s">
        <v>4873</v>
      </c>
      <c r="E2832" s="10" t="str">
        <f>HYPERLINK("https://twitter.com/H_IT_D/status/723655691374727168","723655691374727168")</f>
        <v>723655691374727168</v>
      </c>
      <c r="F2832" s="11" t="s">
        <v>161</v>
      </c>
      <c r="G2832" s="11">
        <v>464</v>
      </c>
      <c r="H2832" s="11">
        <v>466</v>
      </c>
      <c r="I2832" s="11">
        <v>1</v>
      </c>
      <c r="J2832" s="11">
        <v>0</v>
      </c>
      <c r="K2832" s="11" t="s">
        <v>21</v>
      </c>
      <c r="L2832" s="7">
        <v>40723.867673611108</v>
      </c>
      <c r="M2832" s="12" t="s">
        <v>162</v>
      </c>
      <c r="N2832" s="12" t="s">
        <v>163</v>
      </c>
      <c r="O2832" s="10" t="str">
        <f>HYPERLINK("https://pbs.twimg.com/profile_images/662723326096224256/5V4KH9_O_normal.jpg","View")</f>
        <v>View</v>
      </c>
      <c r="P2832" s="11"/>
    </row>
    <row r="2833" spans="1:16" ht="12.75" x14ac:dyDescent="0.35">
      <c r="A2833" s="7">
        <v>42483.216087962966</v>
      </c>
      <c r="B2833" s="8" t="str">
        <f>HYPERLINK("https://twitter.com/INDIZbot","@INDIZbot")</f>
        <v>@INDIZbot</v>
      </c>
      <c r="C2833" s="9" t="s">
        <v>61</v>
      </c>
      <c r="D2833" s="9" t="s">
        <v>4874</v>
      </c>
      <c r="E2833" s="10" t="str">
        <f>HYPERLINK("https://twitter.com/INDIZbot/status/723657931959468032","723657931959468032")</f>
        <v>723657931959468032</v>
      </c>
      <c r="F2833" s="11" t="s">
        <v>62</v>
      </c>
      <c r="G2833" s="11">
        <v>1770</v>
      </c>
      <c r="H2833" s="11">
        <v>482</v>
      </c>
      <c r="I2833" s="11">
        <v>1</v>
      </c>
      <c r="J2833" s="11">
        <v>0</v>
      </c>
      <c r="K2833" s="11" t="s">
        <v>21</v>
      </c>
      <c r="L2833" s="7">
        <v>42267.011921296296</v>
      </c>
      <c r="M2833" s="12"/>
      <c r="N2833" s="12" t="s">
        <v>63</v>
      </c>
      <c r="O2833" s="10" t="str">
        <f>HYPERLINK("https://pbs.twimg.com/profile_images/645716711723925506/t5G0qOS6_normal.jpg","View")</f>
        <v>View</v>
      </c>
      <c r="P2833" s="11"/>
    </row>
    <row r="2834" spans="1:16" ht="12.75" x14ac:dyDescent="0.35">
      <c r="A2834" s="7">
        <v>42483.237511574072</v>
      </c>
      <c r="B2834" s="8" t="str">
        <f>HYPERLINK("https://twitter.com/QuickFindsIn","@QuickFindsIn")</f>
        <v>@QuickFindsIn</v>
      </c>
      <c r="C2834" s="9" t="s">
        <v>208</v>
      </c>
      <c r="D2834" s="9" t="s">
        <v>710</v>
      </c>
      <c r="E2834" s="10" t="str">
        <f>HYPERLINK("https://twitter.com/QuickFindsIn/status/723665697134374912","723665697134374912")</f>
        <v>723665697134374912</v>
      </c>
      <c r="F2834" s="11" t="s">
        <v>210</v>
      </c>
      <c r="G2834" s="11">
        <v>1936</v>
      </c>
      <c r="H2834" s="11">
        <v>2788</v>
      </c>
      <c r="I2834" s="11">
        <v>0</v>
      </c>
      <c r="J2834" s="11">
        <v>0</v>
      </c>
      <c r="K2834" s="11" t="s">
        <v>21</v>
      </c>
      <c r="L2834" s="7">
        <v>42069.582048611112</v>
      </c>
      <c r="M2834" s="12" t="s">
        <v>211</v>
      </c>
      <c r="N2834" s="12" t="s">
        <v>212</v>
      </c>
      <c r="O2834" s="10" t="str">
        <f>HYPERLINK("https://pbs.twimg.com/profile_images/591951396217327616/HbcCX2zX_normal.png","View")</f>
        <v>View</v>
      </c>
      <c r="P2834" s="11"/>
    </row>
    <row r="2835" spans="1:16" ht="12.75" x14ac:dyDescent="0.35">
      <c r="A2835" s="7">
        <v>42483.375231481477</v>
      </c>
      <c r="B2835" s="8" t="str">
        <f>HYPERLINK("https://twitter.com/TLinn_Visionico","@TLinn_Visionico")</f>
        <v>@TLinn_Visionico</v>
      </c>
      <c r="C2835" s="9" t="s">
        <v>3512</v>
      </c>
      <c r="D2835" s="9" t="s">
        <v>4875</v>
      </c>
      <c r="E2835" s="10" t="str">
        <f>HYPERLINK("https://twitter.com/TLinn_Visionico/status/723715605107486721","723715605107486721")</f>
        <v>723715605107486721</v>
      </c>
      <c r="F2835" s="11" t="s">
        <v>39</v>
      </c>
      <c r="G2835" s="11">
        <v>1380</v>
      </c>
      <c r="H2835" s="11">
        <v>1184</v>
      </c>
      <c r="I2835" s="11">
        <v>0</v>
      </c>
      <c r="J2835" s="11">
        <v>0</v>
      </c>
      <c r="K2835" s="11" t="s">
        <v>21</v>
      </c>
      <c r="L2835" s="7">
        <v>40614.594791666663</v>
      </c>
      <c r="M2835" s="12" t="s">
        <v>3514</v>
      </c>
      <c r="N2835" s="12" t="s">
        <v>3515</v>
      </c>
      <c r="O2835" s="10" t="str">
        <f>HYPERLINK("https://pbs.twimg.com/profile_images/692017435269054464/uFlgRwyV_normal.jpg","View")</f>
        <v>View</v>
      </c>
      <c r="P2835" s="11"/>
    </row>
    <row r="2836" spans="1:16" ht="12.75" x14ac:dyDescent="0.35">
      <c r="A2836" s="7">
        <v>42483.375798611116</v>
      </c>
      <c r="B2836" s="8" t="str">
        <f>HYPERLINK("https://twitter.com/INDIZbot","@INDIZbot")</f>
        <v>@INDIZbot</v>
      </c>
      <c r="C2836" s="9" t="s">
        <v>61</v>
      </c>
      <c r="D2836" s="9" t="s">
        <v>4876</v>
      </c>
      <c r="E2836" s="10" t="str">
        <f>HYPERLINK("https://twitter.com/INDIZbot/status/723715807247740928","723715807247740928")</f>
        <v>723715807247740928</v>
      </c>
      <c r="F2836" s="11" t="s">
        <v>62</v>
      </c>
      <c r="G2836" s="11">
        <v>1773</v>
      </c>
      <c r="H2836" s="11">
        <v>482</v>
      </c>
      <c r="I2836" s="11">
        <v>1</v>
      </c>
      <c r="J2836" s="11">
        <v>0</v>
      </c>
      <c r="K2836" s="11" t="s">
        <v>21</v>
      </c>
      <c r="L2836" s="7">
        <v>42267.011921296296</v>
      </c>
      <c r="M2836" s="12"/>
      <c r="N2836" s="12" t="s">
        <v>63</v>
      </c>
      <c r="O2836" s="10" t="str">
        <f>HYPERLINK("https://pbs.twimg.com/profile_images/645716711723925506/t5G0qOS6_normal.jpg","View")</f>
        <v>View</v>
      </c>
      <c r="P2836" s="11"/>
    </row>
    <row r="2837" spans="1:16" ht="12.75" x14ac:dyDescent="0.35">
      <c r="A2837" s="7">
        <v>42483.409895833334</v>
      </c>
      <c r="B2837" s="8" t="str">
        <f>HYPERLINK("https://twitter.com/TLinn_Visionico","@TLinn_Visionico")</f>
        <v>@TLinn_Visionico</v>
      </c>
      <c r="C2837" s="9" t="s">
        <v>3512</v>
      </c>
      <c r="D2837" s="9" t="s">
        <v>4877</v>
      </c>
      <c r="E2837" s="10" t="str">
        <f>HYPERLINK("https://twitter.com/TLinn_Visionico/status/723728166842408961","723728166842408961")</f>
        <v>723728166842408961</v>
      </c>
      <c r="F2837" s="11" t="s">
        <v>39</v>
      </c>
      <c r="G2837" s="11">
        <v>1380</v>
      </c>
      <c r="H2837" s="11">
        <v>1184</v>
      </c>
      <c r="I2837" s="11">
        <v>2</v>
      </c>
      <c r="J2837" s="11">
        <v>0</v>
      </c>
      <c r="K2837" s="11" t="s">
        <v>21</v>
      </c>
      <c r="L2837" s="7">
        <v>40614.594791666663</v>
      </c>
      <c r="M2837" s="12" t="s">
        <v>3514</v>
      </c>
      <c r="N2837" s="12" t="s">
        <v>3515</v>
      </c>
      <c r="O2837" s="10" t="str">
        <f>HYPERLINK("https://pbs.twimg.com/profile_images/692017435269054464/uFlgRwyV_normal.jpg","View")</f>
        <v>View</v>
      </c>
      <c r="P2837" s="11"/>
    </row>
    <row r="2838" spans="1:16" ht="12.75" x14ac:dyDescent="0.35">
      <c r="A2838" s="7">
        <v>42483.410520833335</v>
      </c>
      <c r="B2838" s="8" t="str">
        <f>HYPERLINK("https://twitter.com/INDIZbot","@INDIZbot")</f>
        <v>@INDIZbot</v>
      </c>
      <c r="C2838" s="9" t="s">
        <v>61</v>
      </c>
      <c r="D2838" s="9" t="s">
        <v>4878</v>
      </c>
      <c r="E2838" s="10" t="str">
        <f>HYPERLINK("https://twitter.com/INDIZbot/status/723728390348484608","723728390348484608")</f>
        <v>723728390348484608</v>
      </c>
      <c r="F2838" s="11" t="s">
        <v>62</v>
      </c>
      <c r="G2838" s="11">
        <v>1773</v>
      </c>
      <c r="H2838" s="11">
        <v>482</v>
      </c>
      <c r="I2838" s="11">
        <v>2</v>
      </c>
      <c r="J2838" s="11">
        <v>0</v>
      </c>
      <c r="K2838" s="11" t="s">
        <v>21</v>
      </c>
      <c r="L2838" s="7">
        <v>42267.011921296296</v>
      </c>
      <c r="M2838" s="12"/>
      <c r="N2838" s="12" t="s">
        <v>63</v>
      </c>
      <c r="O2838" s="10" t="str">
        <f>HYPERLINK("https://pbs.twimg.com/profile_images/645716711723925506/t5G0qOS6_normal.jpg","View")</f>
        <v>View</v>
      </c>
      <c r="P2838" s="11"/>
    </row>
    <row r="2839" spans="1:16" ht="12.75" x14ac:dyDescent="0.35">
      <c r="A2839" s="7">
        <v>42483.417118055557</v>
      </c>
      <c r="B2839" s="8" t="str">
        <f>HYPERLINK("https://twitter.com/BigDataTweetBot","@BigDataTweetBot")</f>
        <v>@BigDataTweetBot</v>
      </c>
      <c r="C2839" s="9" t="s">
        <v>1660</v>
      </c>
      <c r="D2839" s="9" t="s">
        <v>4878</v>
      </c>
      <c r="E2839" s="10" t="str">
        <f>HYPERLINK("https://twitter.com/BigDataTweetBot/status/723730782565588992","723730782565588992")</f>
        <v>723730782565588992</v>
      </c>
      <c r="F2839" s="11" t="s">
        <v>1662</v>
      </c>
      <c r="G2839" s="11">
        <v>11364</v>
      </c>
      <c r="H2839" s="11">
        <v>240</v>
      </c>
      <c r="I2839" s="11">
        <v>2</v>
      </c>
      <c r="J2839" s="11">
        <v>0</v>
      </c>
      <c r="K2839" s="11" t="s">
        <v>21</v>
      </c>
      <c r="L2839" s="7">
        <v>42188.291898148149</v>
      </c>
      <c r="M2839" s="12"/>
      <c r="N2839" s="12" t="s">
        <v>1663</v>
      </c>
      <c r="O2839" s="10" t="str">
        <f>HYPERLINK("https://pbs.twimg.com/profile_images/616793252524650496/bQbxJqmz_normal.jpg","View")</f>
        <v>View</v>
      </c>
      <c r="P2839" s="11"/>
    </row>
    <row r="2840" spans="1:16" ht="12.75" x14ac:dyDescent="0.35">
      <c r="A2840" s="7">
        <v>42483.432025462964</v>
      </c>
      <c r="B2840" s="8" t="str">
        <f>HYPERLINK("https://twitter.com/AchatzR","@AchatzR")</f>
        <v>@AchatzR</v>
      </c>
      <c r="C2840" s="9" t="s">
        <v>4879</v>
      </c>
      <c r="D2840" s="9" t="s">
        <v>3925</v>
      </c>
      <c r="E2840" s="10" t="str">
        <f>HYPERLINK("https://twitter.com/AchatzR/status/723736186276204544","723736186276204544")</f>
        <v>723736186276204544</v>
      </c>
      <c r="F2840" s="11" t="s">
        <v>20</v>
      </c>
      <c r="G2840" s="11">
        <v>20</v>
      </c>
      <c r="H2840" s="11">
        <v>6</v>
      </c>
      <c r="I2840" s="11">
        <v>3</v>
      </c>
      <c r="J2840" s="11">
        <v>0</v>
      </c>
      <c r="K2840" s="11" t="s">
        <v>21</v>
      </c>
      <c r="L2840" s="7">
        <v>41598.952835648146</v>
      </c>
      <c r="M2840" s="12"/>
      <c r="N2840" s="12"/>
      <c r="O2840" s="10" t="str">
        <f>HYPERLINK("https://pbs.twimg.com/profile_images/715212230648807425/Z0_EENJA_normal.jpg","View")</f>
        <v>View</v>
      </c>
      <c r="P2840" s="11"/>
    </row>
    <row r="2841" spans="1:16" ht="12.75" x14ac:dyDescent="0.35">
      <c r="A2841" s="7">
        <v>42483.456712962958</v>
      </c>
      <c r="B2841" s="8" t="str">
        <f>HYPERLINK("https://twitter.com/bluecue_de","@bluecue_de")</f>
        <v>@bluecue_de</v>
      </c>
      <c r="C2841" s="9" t="s">
        <v>4880</v>
      </c>
      <c r="D2841" s="9" t="s">
        <v>4871</v>
      </c>
      <c r="E2841" s="10" t="str">
        <f>HYPERLINK("https://twitter.com/bluecue_de/status/723745129278935040","723745129278935040")</f>
        <v>723745129278935040</v>
      </c>
      <c r="F2841" s="11" t="s">
        <v>31</v>
      </c>
      <c r="G2841" s="11">
        <v>138</v>
      </c>
      <c r="H2841" s="11">
        <v>93</v>
      </c>
      <c r="I2841" s="11">
        <v>3</v>
      </c>
      <c r="J2841" s="11">
        <v>0</v>
      </c>
      <c r="K2841" s="11" t="s">
        <v>21</v>
      </c>
      <c r="L2841" s="7">
        <v>41257.679236111115</v>
      </c>
      <c r="M2841" s="12" t="s">
        <v>1062</v>
      </c>
      <c r="N2841" s="12" t="s">
        <v>4881</v>
      </c>
      <c r="O2841" s="10" t="str">
        <f>HYPERLINK("https://pbs.twimg.com/profile_images/424134590794432512/Z7TKJtJZ_normal.jpeg","View")</f>
        <v>View</v>
      </c>
      <c r="P2841" s="11"/>
    </row>
    <row r="2842" spans="1:16" ht="12.75" x14ac:dyDescent="0.35">
      <c r="A2842" s="7">
        <v>42483.461412037039</v>
      </c>
      <c r="B2842" s="8" t="str">
        <f>HYPERLINK("https://twitter.com/RTHurth","@RTHurth")</f>
        <v>@RTHurth</v>
      </c>
      <c r="C2842" s="9" t="s">
        <v>4882</v>
      </c>
      <c r="D2842" s="9" t="s">
        <v>4845</v>
      </c>
      <c r="E2842" s="10" t="str">
        <f>HYPERLINK("https://twitter.com/RTHurth/status/723746834091487232","723746834091487232")</f>
        <v>723746834091487232</v>
      </c>
      <c r="F2842" s="11" t="s">
        <v>31</v>
      </c>
      <c r="G2842" s="11">
        <v>19</v>
      </c>
      <c r="H2842" s="11">
        <v>105</v>
      </c>
      <c r="I2842" s="11">
        <v>3</v>
      </c>
      <c r="J2842" s="11">
        <v>0</v>
      </c>
      <c r="K2842" s="11" t="s">
        <v>21</v>
      </c>
      <c r="L2842" s="7">
        <v>40595.802662037036</v>
      </c>
      <c r="M2842" s="12"/>
      <c r="N2842" s="12"/>
      <c r="O2842" s="10" t="str">
        <f>HYPERLINK("https://abs.twimg.com/sticky/default_profile_images/default_profile_2_normal.png","View")</f>
        <v>View</v>
      </c>
      <c r="P2842" s="11"/>
    </row>
    <row r="2843" spans="1:16" ht="12.75" x14ac:dyDescent="0.35">
      <c r="A2843" s="7">
        <v>42483.482800925922</v>
      </c>
      <c r="B2843" s="8" t="str">
        <f>HYPERLINK("https://twitter.com/CapgeminiDE","@CapgeminiDE")</f>
        <v>@CapgeminiDE</v>
      </c>
      <c r="C2843" s="9" t="s">
        <v>280</v>
      </c>
      <c r="D2843" s="9" t="s">
        <v>4883</v>
      </c>
      <c r="E2843" s="10" t="str">
        <f>HYPERLINK("https://twitter.com/CapgeminiDE/status/723754584951390209","723754584951390209")</f>
        <v>723754584951390209</v>
      </c>
      <c r="F2843" s="11" t="s">
        <v>39</v>
      </c>
      <c r="G2843" s="11">
        <v>1640</v>
      </c>
      <c r="H2843" s="11">
        <v>509</v>
      </c>
      <c r="I2843" s="11">
        <v>0</v>
      </c>
      <c r="J2843" s="11">
        <v>0</v>
      </c>
      <c r="K2843" s="11" t="s">
        <v>21</v>
      </c>
      <c r="L2843" s="7">
        <v>40424.022048611107</v>
      </c>
      <c r="M2843" s="12" t="s">
        <v>218</v>
      </c>
      <c r="N2843" s="12" t="s">
        <v>282</v>
      </c>
      <c r="O2843" s="10" t="str">
        <f>HYPERLINK("https://pbs.twimg.com/profile_images/666911961599315968/aP7ID_qm_normal.png","View")</f>
        <v>View</v>
      </c>
      <c r="P2843" s="11"/>
    </row>
    <row r="2844" spans="1:16" ht="12.75" x14ac:dyDescent="0.35">
      <c r="A2844" s="7">
        <v>42483.4847337963</v>
      </c>
      <c r="B2844" s="8" t="str">
        <f>HYPERLINK("https://twitter.com/UL_Commercial","@UL_Commercial")</f>
        <v>@UL_Commercial</v>
      </c>
      <c r="C2844" s="9" t="s">
        <v>783</v>
      </c>
      <c r="D2844" s="9" t="s">
        <v>4884</v>
      </c>
      <c r="E2844" s="10" t="str">
        <f>HYPERLINK("https://twitter.com/UL_Commercial/status/723755286863826944","723755286863826944")</f>
        <v>723755286863826944</v>
      </c>
      <c r="F2844" s="11" t="s">
        <v>785</v>
      </c>
      <c r="G2844" s="11">
        <v>395</v>
      </c>
      <c r="H2844" s="11">
        <v>107</v>
      </c>
      <c r="I2844" s="11">
        <v>0</v>
      </c>
      <c r="J2844" s="11">
        <v>0</v>
      </c>
      <c r="K2844" s="11" t="s">
        <v>21</v>
      </c>
      <c r="L2844" s="7">
        <v>42311.859340277777</v>
      </c>
      <c r="M2844" s="12" t="s">
        <v>786</v>
      </c>
      <c r="N2844" s="12" t="s">
        <v>787</v>
      </c>
      <c r="O2844" s="10" t="str">
        <f>HYPERLINK("https://pbs.twimg.com/profile_images/661569725550469124/-Uzw8rQt_normal.jpg","View")</f>
        <v>View</v>
      </c>
      <c r="P2844" s="11"/>
    </row>
    <row r="2845" spans="1:16" ht="12.75" x14ac:dyDescent="0.35">
      <c r="A2845" s="7">
        <v>42483.4847337963</v>
      </c>
      <c r="B2845" s="8" t="str">
        <f>HYPERLINK("https://twitter.com/ULdialogue","@ULdialogue")</f>
        <v>@ULdialogue</v>
      </c>
      <c r="C2845" s="9" t="s">
        <v>788</v>
      </c>
      <c r="D2845" s="9" t="s">
        <v>4885</v>
      </c>
      <c r="E2845" s="10" t="str">
        <f>HYPERLINK("https://twitter.com/ULdialogue/status/723755287375540224","723755287375540224")</f>
        <v>723755287375540224</v>
      </c>
      <c r="F2845" s="11" t="s">
        <v>785</v>
      </c>
      <c r="G2845" s="11">
        <v>23163</v>
      </c>
      <c r="H2845" s="11">
        <v>1947</v>
      </c>
      <c r="I2845" s="11">
        <v>0</v>
      </c>
      <c r="J2845" s="11">
        <v>0</v>
      </c>
      <c r="K2845" s="11" t="s">
        <v>21</v>
      </c>
      <c r="L2845" s="7">
        <v>40897.152025462965</v>
      </c>
      <c r="M2845" s="12"/>
      <c r="N2845" s="12" t="s">
        <v>790</v>
      </c>
      <c r="O2845" s="10" t="str">
        <f>HYPERLINK("https://pbs.twimg.com/profile_images/458696399211606016/rUZELqAc_normal.jpeg","View")</f>
        <v>View</v>
      </c>
      <c r="P2845" s="11"/>
    </row>
    <row r="2846" spans="1:16" ht="12.75" x14ac:dyDescent="0.35">
      <c r="A2846" s="7">
        <v>42483.491805555561</v>
      </c>
      <c r="B2846" s="8" t="str">
        <f>HYPERLINK("https://twitter.com/PourLesPatrons","@PourLesPatrons")</f>
        <v>@PourLesPatrons</v>
      </c>
      <c r="C2846" s="9" t="s">
        <v>2754</v>
      </c>
      <c r="D2846" s="9" t="s">
        <v>4886</v>
      </c>
      <c r="E2846" s="10" t="str">
        <f>HYPERLINK("https://twitter.com/PourLesPatrons/status/723757849285939200","723757849285939200")</f>
        <v>723757849285939200</v>
      </c>
      <c r="F2846" s="11" t="s">
        <v>25</v>
      </c>
      <c r="G2846" s="11">
        <v>1473</v>
      </c>
      <c r="H2846" s="11">
        <v>981</v>
      </c>
      <c r="I2846" s="11">
        <v>0</v>
      </c>
      <c r="J2846" s="11">
        <v>0</v>
      </c>
      <c r="K2846" s="11" t="s">
        <v>21</v>
      </c>
      <c r="L2846" s="7">
        <v>41337.166087962964</v>
      </c>
      <c r="M2846" s="12" t="s">
        <v>88</v>
      </c>
      <c r="N2846" s="12" t="s">
        <v>2756</v>
      </c>
      <c r="O2846" s="10" t="str">
        <f>HYPERLINK("https://pbs.twimg.com/profile_images/680696942163300352/dT4ULAXJ_normal.jpg","View")</f>
        <v>View</v>
      </c>
      <c r="P2846" s="11"/>
    </row>
    <row r="2847" spans="1:16" ht="12.75" x14ac:dyDescent="0.35">
      <c r="A2847" s="7">
        <v>42483.494398148148</v>
      </c>
      <c r="B2847" s="8" t="str">
        <f>HYPERLINK("https://twitter.com/ProdMgrNet","@ProdMgrNet")</f>
        <v>@ProdMgrNet</v>
      </c>
      <c r="C2847" s="9" t="s">
        <v>2698</v>
      </c>
      <c r="D2847" s="9" t="s">
        <v>4887</v>
      </c>
      <c r="E2847" s="10" t="str">
        <f>HYPERLINK("https://twitter.com/ProdMgrNet/status/723758786167578625","723758786167578625")</f>
        <v>723758786167578625</v>
      </c>
      <c r="F2847" s="11" t="s">
        <v>29</v>
      </c>
      <c r="G2847" s="11">
        <v>407</v>
      </c>
      <c r="H2847" s="11">
        <v>378</v>
      </c>
      <c r="I2847" s="11">
        <v>1</v>
      </c>
      <c r="J2847" s="11">
        <v>0</v>
      </c>
      <c r="K2847" s="11" t="s">
        <v>21</v>
      </c>
      <c r="L2847" s="7">
        <v>40333.69</v>
      </c>
      <c r="M2847" s="12" t="s">
        <v>2105</v>
      </c>
      <c r="N2847" s="12" t="s">
        <v>2700</v>
      </c>
      <c r="O2847" s="10" t="str">
        <f>HYPERLINK("https://pbs.twimg.com/profile_images/1336102736/AR69190_normal.jpg","View")</f>
        <v>View</v>
      </c>
      <c r="P2847" s="11"/>
    </row>
    <row r="2848" spans="1:16" ht="12.75" x14ac:dyDescent="0.35">
      <c r="A2848" s="7">
        <v>42483.495486111111</v>
      </c>
      <c r="B2848" s="8" t="str">
        <f>HYPERLINK("https://twitter.com/iotsecurity2","@iotsecurity2")</f>
        <v>@iotsecurity2</v>
      </c>
      <c r="C2848" s="9" t="s">
        <v>149</v>
      </c>
      <c r="D2848" s="9" t="s">
        <v>4888</v>
      </c>
      <c r="E2848" s="10" t="str">
        <f>HYPERLINK("https://twitter.com/iotsecurity2/status/723759183628275712","723759183628275712")</f>
        <v>723759183628275712</v>
      </c>
      <c r="F2848" s="11" t="s">
        <v>150</v>
      </c>
      <c r="G2848" s="11">
        <v>1288</v>
      </c>
      <c r="H2848" s="11">
        <v>38</v>
      </c>
      <c r="I2848" s="11">
        <v>1</v>
      </c>
      <c r="J2848" s="11">
        <v>0</v>
      </c>
      <c r="K2848" s="11" t="s">
        <v>21</v>
      </c>
      <c r="L2848" s="7">
        <v>42420.891481481478</v>
      </c>
      <c r="M2848" s="12"/>
      <c r="N2848" s="12"/>
      <c r="O2848" s="10" t="str">
        <f>HYPERLINK("https://abs.twimg.com/sticky/default_profile_images/default_profile_3_normal.png","View")</f>
        <v>View</v>
      </c>
      <c r="P2848" s="11"/>
    </row>
    <row r="2849" spans="1:16" ht="12.75" x14ac:dyDescent="0.35">
      <c r="A2849" s="7">
        <v>42483.497384259259</v>
      </c>
      <c r="B2849" s="8" t="str">
        <f>HYPERLINK("https://twitter.com/Weinrichter","@Weinrichter")</f>
        <v>@Weinrichter</v>
      </c>
      <c r="C2849" s="9" t="s">
        <v>4889</v>
      </c>
      <c r="D2849" s="9" t="s">
        <v>4681</v>
      </c>
      <c r="E2849" s="10" t="str">
        <f>HYPERLINK("https://twitter.com/Weinrichter/status/723759868939767808","723759868939767808")</f>
        <v>723759868939767808</v>
      </c>
      <c r="F2849" s="11" t="s">
        <v>31</v>
      </c>
      <c r="G2849" s="11">
        <v>586</v>
      </c>
      <c r="H2849" s="11">
        <v>697</v>
      </c>
      <c r="I2849" s="11">
        <v>5</v>
      </c>
      <c r="J2849" s="11">
        <v>0</v>
      </c>
      <c r="K2849" s="11" t="s">
        <v>21</v>
      </c>
      <c r="L2849" s="7">
        <v>41315.076145833329</v>
      </c>
      <c r="M2849" s="12" t="s">
        <v>4890</v>
      </c>
      <c r="N2849" s="12" t="s">
        <v>4891</v>
      </c>
      <c r="O2849" s="10" t="str">
        <f>HYPERLINK("https://pbs.twimg.com/profile_images/700956332443234304/-gSSeFB2_normal.jpg","View")</f>
        <v>View</v>
      </c>
      <c r="P2849" s="11"/>
    </row>
    <row r="2850" spans="1:16" ht="12.75" x14ac:dyDescent="0.35">
      <c r="A2850" s="7">
        <v>42483.510497685187</v>
      </c>
      <c r="B2850" s="8" t="str">
        <f>HYPERLINK("https://twitter.com/ROKAutomationAT","@ROKAutomationAT")</f>
        <v>@ROKAutomationAT</v>
      </c>
      <c r="C2850" s="9" t="s">
        <v>416</v>
      </c>
      <c r="D2850" s="9" t="s">
        <v>4892</v>
      </c>
      <c r="E2850" s="10" t="str">
        <f>HYPERLINK("https://twitter.com/ROKAutomationAT/status/723764620167520256","723764620167520256")</f>
        <v>723764620167520256</v>
      </c>
      <c r="F2850" s="11" t="s">
        <v>418</v>
      </c>
      <c r="G2850" s="11">
        <v>1727</v>
      </c>
      <c r="H2850" s="11">
        <v>1481</v>
      </c>
      <c r="I2850" s="11">
        <v>0</v>
      </c>
      <c r="J2850" s="11">
        <v>0</v>
      </c>
      <c r="K2850" s="11" t="s">
        <v>21</v>
      </c>
      <c r="L2850" s="7">
        <v>41003.844143518516</v>
      </c>
      <c r="M2850" s="12" t="s">
        <v>947</v>
      </c>
      <c r="N2850" s="12" t="s">
        <v>2318</v>
      </c>
      <c r="O2850" s="10" t="str">
        <f>HYPERLINK("https://pbs.twimg.com/profile_images/494911375034945537/txB_J-VC_normal.jpeg","View")</f>
        <v>View</v>
      </c>
      <c r="P2850" s="11"/>
    </row>
    <row r="2851" spans="1:16" ht="12.75" x14ac:dyDescent="0.35">
      <c r="A2851" s="7">
        <v>42483.510497685187</v>
      </c>
      <c r="B2851" s="8" t="str">
        <f>HYPERLINK("https://twitter.com/ROKAutomationDE","@ROKAutomationDE")</f>
        <v>@ROKAutomationDE</v>
      </c>
      <c r="C2851" s="9" t="s">
        <v>416</v>
      </c>
      <c r="D2851" s="9" t="s">
        <v>4893</v>
      </c>
      <c r="E2851" s="10" t="str">
        <f>HYPERLINK("https://twitter.com/ROKAutomationDE/status/723764622130434048","723764622130434048")</f>
        <v>723764622130434048</v>
      </c>
      <c r="F2851" s="11" t="s">
        <v>418</v>
      </c>
      <c r="G2851" s="11">
        <v>1730</v>
      </c>
      <c r="H2851" s="11">
        <v>831</v>
      </c>
      <c r="I2851" s="11">
        <v>0</v>
      </c>
      <c r="J2851" s="11">
        <v>0</v>
      </c>
      <c r="K2851" s="11" t="s">
        <v>21</v>
      </c>
      <c r="L2851" s="7">
        <v>40785.656261574077</v>
      </c>
      <c r="M2851" s="12" t="s">
        <v>581</v>
      </c>
      <c r="N2851" s="12" t="s">
        <v>2320</v>
      </c>
      <c r="O2851" s="10" t="str">
        <f>HYPERLINK("https://pbs.twimg.com/profile_images/495214827963297793/ZW7qWnoK_normal.jpeg","View")</f>
        <v>View</v>
      </c>
      <c r="P2851" s="11"/>
    </row>
    <row r="2852" spans="1:16" ht="12.75" x14ac:dyDescent="0.35">
      <c r="A2852" s="7">
        <v>42483.510497685187</v>
      </c>
      <c r="B2852" s="8" t="str">
        <f>HYPERLINK("https://twitter.com/ROKAutoCHDE","@ROKAutoCHDE")</f>
        <v>@ROKAutoCHDE</v>
      </c>
      <c r="C2852" s="9" t="s">
        <v>416</v>
      </c>
      <c r="D2852" s="9" t="s">
        <v>4894</v>
      </c>
      <c r="E2852" s="10" t="str">
        <f>HYPERLINK("https://twitter.com/ROKAutoCHDE/status/723764623212584960","723764623212584960")</f>
        <v>723764623212584960</v>
      </c>
      <c r="F2852" s="11" t="s">
        <v>418</v>
      </c>
      <c r="G2852" s="11">
        <v>1143</v>
      </c>
      <c r="H2852" s="11">
        <v>621</v>
      </c>
      <c r="I2852" s="11">
        <v>0</v>
      </c>
      <c r="J2852" s="11">
        <v>0</v>
      </c>
      <c r="K2852" s="11" t="s">
        <v>21</v>
      </c>
      <c r="L2852" s="7">
        <v>41004.694085648152</v>
      </c>
      <c r="M2852" s="12" t="s">
        <v>478</v>
      </c>
      <c r="N2852" s="12" t="s">
        <v>2322</v>
      </c>
      <c r="O2852" s="10" t="str">
        <f>HYPERLINK("https://pbs.twimg.com/profile_images/498942077325963264/l5q550Kh_normal.jpeg","View")</f>
        <v>View</v>
      </c>
      <c r="P2852" s="11"/>
    </row>
    <row r="2853" spans="1:16" ht="12.75" x14ac:dyDescent="0.35">
      <c r="A2853" s="7">
        <v>42483.515439814815</v>
      </c>
      <c r="B2853" s="8" t="str">
        <f t="shared" ref="B2853:B2855" si="358">HYPERLINK("https://twitter.com/INDIZbot","@INDIZbot")</f>
        <v>@INDIZbot</v>
      </c>
      <c r="C2853" s="9" t="s">
        <v>61</v>
      </c>
      <c r="D2853" s="9" t="s">
        <v>4895</v>
      </c>
      <c r="E2853" s="10" t="str">
        <f>HYPERLINK("https://twitter.com/INDIZbot/status/723766413488476160","723766413488476160")</f>
        <v>723766413488476160</v>
      </c>
      <c r="F2853" s="11" t="s">
        <v>62</v>
      </c>
      <c r="G2853" s="11">
        <v>1774</v>
      </c>
      <c r="H2853" s="11">
        <v>482</v>
      </c>
      <c r="I2853" s="11">
        <v>1</v>
      </c>
      <c r="J2853" s="11">
        <v>0</v>
      </c>
      <c r="K2853" s="11" t="s">
        <v>21</v>
      </c>
      <c r="L2853" s="7">
        <v>42267.011921296296</v>
      </c>
      <c r="M2853" s="12"/>
      <c r="N2853" s="12" t="s">
        <v>63</v>
      </c>
      <c r="O2853" s="10" t="str">
        <f t="shared" ref="O2853:O2855" si="359">HYPERLINK("https://pbs.twimg.com/profile_images/645716711723925506/t5G0qOS6_normal.jpg","View")</f>
        <v>View</v>
      </c>
      <c r="P2853" s="11"/>
    </row>
    <row r="2854" spans="1:16" ht="12.75" x14ac:dyDescent="0.35">
      <c r="A2854" s="7">
        <v>42483.515752314815</v>
      </c>
      <c r="B2854" s="8" t="str">
        <f t="shared" si="358"/>
        <v>@INDIZbot</v>
      </c>
      <c r="C2854" s="9" t="s">
        <v>61</v>
      </c>
      <c r="D2854" s="9" t="s">
        <v>4896</v>
      </c>
      <c r="E2854" s="10" t="str">
        <f>HYPERLINK("https://twitter.com/INDIZbot/status/723766525820297216","723766525820297216")</f>
        <v>723766525820297216</v>
      </c>
      <c r="F2854" s="11" t="s">
        <v>62</v>
      </c>
      <c r="G2854" s="11">
        <v>1774</v>
      </c>
      <c r="H2854" s="11">
        <v>482</v>
      </c>
      <c r="I2854" s="11">
        <v>1</v>
      </c>
      <c r="J2854" s="11">
        <v>0</v>
      </c>
      <c r="K2854" s="11" t="s">
        <v>21</v>
      </c>
      <c r="L2854" s="7">
        <v>42267.011921296296</v>
      </c>
      <c r="M2854" s="12"/>
      <c r="N2854" s="12" t="s">
        <v>63</v>
      </c>
      <c r="O2854" s="10" t="str">
        <f t="shared" si="359"/>
        <v>View</v>
      </c>
      <c r="P2854" s="11"/>
    </row>
    <row r="2855" spans="1:16" ht="12.75" x14ac:dyDescent="0.35">
      <c r="A2855" s="7">
        <v>42483.516006944439</v>
      </c>
      <c r="B2855" s="8" t="str">
        <f t="shared" si="358"/>
        <v>@INDIZbot</v>
      </c>
      <c r="C2855" s="9" t="s">
        <v>61</v>
      </c>
      <c r="D2855" s="9" t="s">
        <v>4897</v>
      </c>
      <c r="E2855" s="10" t="str">
        <f>HYPERLINK("https://twitter.com/INDIZbot/status/723766620745830400","723766620745830400")</f>
        <v>723766620745830400</v>
      </c>
      <c r="F2855" s="11" t="s">
        <v>62</v>
      </c>
      <c r="G2855" s="11">
        <v>1774</v>
      </c>
      <c r="H2855" s="11">
        <v>482</v>
      </c>
      <c r="I2855" s="11">
        <v>1</v>
      </c>
      <c r="J2855" s="11">
        <v>0</v>
      </c>
      <c r="K2855" s="11" t="s">
        <v>21</v>
      </c>
      <c r="L2855" s="7">
        <v>42267.011921296296</v>
      </c>
      <c r="M2855" s="12"/>
      <c r="N2855" s="12" t="s">
        <v>63</v>
      </c>
      <c r="O2855" s="10" t="str">
        <f t="shared" si="359"/>
        <v>View</v>
      </c>
      <c r="P2855" s="11"/>
    </row>
    <row r="2856" spans="1:16" ht="12.75" x14ac:dyDescent="0.35">
      <c r="A2856" s="7">
        <v>42483.516168981485</v>
      </c>
      <c r="B2856" s="8" t="str">
        <f>HYPERLINK("https://twitter.com/H_IT_D","@H_IT_D")</f>
        <v>@H_IT_D</v>
      </c>
      <c r="C2856" s="9" t="s">
        <v>159</v>
      </c>
      <c r="D2856" s="9" t="s">
        <v>4898</v>
      </c>
      <c r="E2856" s="10" t="str">
        <f>HYPERLINK("https://twitter.com/H_IT_D/status/723766678794858496","723766678794858496")</f>
        <v>723766678794858496</v>
      </c>
      <c r="F2856" s="11" t="s">
        <v>161</v>
      </c>
      <c r="G2856" s="11">
        <v>466</v>
      </c>
      <c r="H2856" s="11">
        <v>466</v>
      </c>
      <c r="I2856" s="11">
        <v>0</v>
      </c>
      <c r="J2856" s="11">
        <v>0</v>
      </c>
      <c r="K2856" s="11" t="s">
        <v>21</v>
      </c>
      <c r="L2856" s="7">
        <v>40723.867673611108</v>
      </c>
      <c r="M2856" s="12" t="s">
        <v>162</v>
      </c>
      <c r="N2856" s="12" t="s">
        <v>163</v>
      </c>
      <c r="O2856" s="10" t="str">
        <f>HYPERLINK("https://pbs.twimg.com/profile_images/662723326096224256/5V4KH9_O_normal.jpg","View")</f>
        <v>View</v>
      </c>
      <c r="P2856" s="11"/>
    </row>
    <row r="2857" spans="1:16" ht="12.75" x14ac:dyDescent="0.35">
      <c r="A2857" s="7">
        <v>42483.521331018521</v>
      </c>
      <c r="B2857" s="8" t="str">
        <f>HYPERLINK("https://twitter.com/MeinGeldMedien","@MeinGeldMedien")</f>
        <v>@MeinGeldMedien</v>
      </c>
      <c r="C2857" s="9" t="s">
        <v>302</v>
      </c>
      <c r="D2857" s="9" t="s">
        <v>4899</v>
      </c>
      <c r="E2857" s="10" t="str">
        <f>HYPERLINK("https://twitter.com/MeinGeldMedien/status/723768549223882752","723768549223882752")</f>
        <v>723768549223882752</v>
      </c>
      <c r="F2857" s="11" t="s">
        <v>39</v>
      </c>
      <c r="G2857" s="11">
        <v>695</v>
      </c>
      <c r="H2857" s="11">
        <v>583</v>
      </c>
      <c r="I2857" s="11">
        <v>1</v>
      </c>
      <c r="J2857" s="11">
        <v>0</v>
      </c>
      <c r="K2857" s="11" t="s">
        <v>21</v>
      </c>
      <c r="L2857" s="7">
        <v>41793.608449074076</v>
      </c>
      <c r="M2857" s="12" t="s">
        <v>218</v>
      </c>
      <c r="N2857" s="12" t="s">
        <v>304</v>
      </c>
      <c r="O2857" s="10" t="str">
        <f>HYPERLINK("https://pbs.twimg.com/profile_images/473759721023758338/3CcJL-Vq_normal.jpeg","View")</f>
        <v>View</v>
      </c>
      <c r="P2857" s="11"/>
    </row>
    <row r="2858" spans="1:16" ht="12.75" x14ac:dyDescent="0.35">
      <c r="A2858" s="7">
        <v>42483.521585648152</v>
      </c>
      <c r="B2858" s="8" t="str">
        <f>HYPERLINK("https://twitter.com/CapgeminiDE","@CapgeminiDE")</f>
        <v>@CapgeminiDE</v>
      </c>
      <c r="C2858" s="9" t="s">
        <v>280</v>
      </c>
      <c r="D2858" s="9" t="s">
        <v>4900</v>
      </c>
      <c r="E2858" s="10" t="str">
        <f>HYPERLINK("https://twitter.com/CapgeminiDE/status/723768638365417472","723768638365417472")</f>
        <v>723768638365417472</v>
      </c>
      <c r="F2858" s="11" t="s">
        <v>39</v>
      </c>
      <c r="G2858" s="11">
        <v>1640</v>
      </c>
      <c r="H2858" s="11">
        <v>509</v>
      </c>
      <c r="I2858" s="11">
        <v>0</v>
      </c>
      <c r="J2858" s="11">
        <v>0</v>
      </c>
      <c r="K2858" s="11" t="s">
        <v>21</v>
      </c>
      <c r="L2858" s="7">
        <v>40424.022048611107</v>
      </c>
      <c r="M2858" s="12" t="s">
        <v>218</v>
      </c>
      <c r="N2858" s="12" t="s">
        <v>282</v>
      </c>
      <c r="O2858" s="10" t="str">
        <f>HYPERLINK("https://pbs.twimg.com/profile_images/666911961599315968/aP7ID_qm_normal.png","View")</f>
        <v>View</v>
      </c>
      <c r="P2858" s="11"/>
    </row>
    <row r="2859" spans="1:16" ht="12.75" x14ac:dyDescent="0.35">
      <c r="A2859" s="7">
        <v>42483.521631944444</v>
      </c>
      <c r="B2859" s="8" t="str">
        <f t="shared" ref="B2859:B2860" si="360">HYPERLINK("https://twitter.com/INDIZbot","@INDIZbot")</f>
        <v>@INDIZbot</v>
      </c>
      <c r="C2859" s="9" t="s">
        <v>61</v>
      </c>
      <c r="D2859" s="9" t="s">
        <v>4901</v>
      </c>
      <c r="E2859" s="10" t="str">
        <f>HYPERLINK("https://twitter.com/INDIZbot/status/723768657843773440","723768657843773440")</f>
        <v>723768657843773440</v>
      </c>
      <c r="F2859" s="11" t="s">
        <v>62</v>
      </c>
      <c r="G2859" s="11">
        <v>1775</v>
      </c>
      <c r="H2859" s="11">
        <v>482</v>
      </c>
      <c r="I2859" s="11">
        <v>1</v>
      </c>
      <c r="J2859" s="11">
        <v>0</v>
      </c>
      <c r="K2859" s="11" t="s">
        <v>21</v>
      </c>
      <c r="L2859" s="7">
        <v>42267.011921296296</v>
      </c>
      <c r="M2859" s="12"/>
      <c r="N2859" s="12" t="s">
        <v>63</v>
      </c>
      <c r="O2859" s="10" t="str">
        <f t="shared" ref="O2859:O2860" si="361">HYPERLINK("https://pbs.twimg.com/profile_images/645716711723925506/t5G0qOS6_normal.jpg","View")</f>
        <v>View</v>
      </c>
      <c r="P2859" s="11"/>
    </row>
    <row r="2860" spans="1:16" ht="12.75" x14ac:dyDescent="0.35">
      <c r="A2860" s="7">
        <v>42483.523032407407</v>
      </c>
      <c r="B2860" s="8" t="str">
        <f t="shared" si="360"/>
        <v>@INDIZbot</v>
      </c>
      <c r="C2860" s="9" t="s">
        <v>61</v>
      </c>
      <c r="D2860" s="9" t="s">
        <v>4902</v>
      </c>
      <c r="E2860" s="10" t="str">
        <f>HYPERLINK("https://twitter.com/INDIZbot/status/723769165677469696","723769165677469696")</f>
        <v>723769165677469696</v>
      </c>
      <c r="F2860" s="11" t="s">
        <v>62</v>
      </c>
      <c r="G2860" s="11">
        <v>1775</v>
      </c>
      <c r="H2860" s="11">
        <v>482</v>
      </c>
      <c r="I2860" s="11">
        <v>1</v>
      </c>
      <c r="J2860" s="11">
        <v>0</v>
      </c>
      <c r="K2860" s="11" t="s">
        <v>21</v>
      </c>
      <c r="L2860" s="7">
        <v>42267.011921296296</v>
      </c>
      <c r="M2860" s="12"/>
      <c r="N2860" s="12" t="s">
        <v>63</v>
      </c>
      <c r="O2860" s="10" t="str">
        <f t="shared" si="361"/>
        <v>View</v>
      </c>
      <c r="P2860" s="11"/>
    </row>
    <row r="2861" spans="1:16" ht="12.75" x14ac:dyDescent="0.35">
      <c r="A2861" s="7">
        <v>42483.524236111116</v>
      </c>
      <c r="B2861" s="8" t="str">
        <f>HYPERLINK("https://twitter.com/heg72","@heg72")</f>
        <v>@heg72</v>
      </c>
      <c r="C2861" s="9" t="s">
        <v>4903</v>
      </c>
      <c r="D2861" s="9" t="s">
        <v>4904</v>
      </c>
      <c r="E2861" s="10" t="str">
        <f>HYPERLINK("https://twitter.com/heg72/status/723769600597450752","723769600597450752")</f>
        <v>723769600597450752</v>
      </c>
      <c r="F2861" s="11" t="s">
        <v>31</v>
      </c>
      <c r="G2861" s="11">
        <v>83</v>
      </c>
      <c r="H2861" s="11">
        <v>91</v>
      </c>
      <c r="I2861" s="11">
        <v>1</v>
      </c>
      <c r="J2861" s="11">
        <v>0</v>
      </c>
      <c r="K2861" s="11" t="s">
        <v>21</v>
      </c>
      <c r="L2861" s="7">
        <v>40849.154363425929</v>
      </c>
      <c r="M2861" s="12" t="s">
        <v>121</v>
      </c>
      <c r="N2861" s="12"/>
      <c r="O2861" s="10" t="str">
        <f>HYPERLINK("https://pbs.twimg.com/profile_images/459292237914836993/UjzTjtRx_normal.jpeg","View")</f>
        <v>View</v>
      </c>
      <c r="P2861" s="11"/>
    </row>
    <row r="2862" spans="1:16" ht="12.75" x14ac:dyDescent="0.35">
      <c r="A2862" s="7">
        <v>42483.527222222227</v>
      </c>
      <c r="B2862" s="8" t="str">
        <f>HYPERLINK("https://twitter.com/ITOrakel","@ITOrakel")</f>
        <v>@ITOrakel</v>
      </c>
      <c r="C2862" s="9" t="s">
        <v>4034</v>
      </c>
      <c r="D2862" s="9" t="s">
        <v>4905</v>
      </c>
      <c r="E2862" s="10" t="str">
        <f>HYPERLINK("https://twitter.com/ITOrakel/status/723770684934094848","723770684934094848")</f>
        <v>723770684934094848</v>
      </c>
      <c r="F2862" s="11" t="s">
        <v>31</v>
      </c>
      <c r="G2862" s="11">
        <v>26</v>
      </c>
      <c r="H2862" s="11">
        <v>75</v>
      </c>
      <c r="I2862" s="11">
        <v>0</v>
      </c>
      <c r="J2862" s="11">
        <v>0</v>
      </c>
      <c r="K2862" s="11" t="s">
        <v>21</v>
      </c>
      <c r="L2862" s="7">
        <v>42480.03842592593</v>
      </c>
      <c r="M2862" s="12" t="s">
        <v>116</v>
      </c>
      <c r="N2862" s="12" t="s">
        <v>4036</v>
      </c>
      <c r="O2862" s="10" t="str">
        <f>HYPERLINK("https://pbs.twimg.com/profile_images/722507600802287616/yHub8Hvx_normal.jpg","View")</f>
        <v>View</v>
      </c>
      <c r="P2862" s="11"/>
    </row>
    <row r="2863" spans="1:16" ht="12.75" x14ac:dyDescent="0.35">
      <c r="A2863" s="7">
        <v>42483.527939814812</v>
      </c>
      <c r="B2863" s="8" t="str">
        <f>HYPERLINK("https://twitter.com/tuevnord","@tuevnord")</f>
        <v>@tuevnord</v>
      </c>
      <c r="C2863" s="9" t="s">
        <v>1583</v>
      </c>
      <c r="D2863" s="9" t="s">
        <v>4906</v>
      </c>
      <c r="E2863" s="10" t="str">
        <f>HYPERLINK("https://twitter.com/tuevnord/status/723770941126352896","723770941126352896")</f>
        <v>723770941126352896</v>
      </c>
      <c r="F2863" s="11" t="s">
        <v>39</v>
      </c>
      <c r="G2863" s="11">
        <v>714</v>
      </c>
      <c r="H2863" s="11">
        <v>463</v>
      </c>
      <c r="I2863" s="11">
        <v>0</v>
      </c>
      <c r="J2863" s="11">
        <v>0</v>
      </c>
      <c r="K2863" s="11" t="s">
        <v>21</v>
      </c>
      <c r="L2863" s="7">
        <v>39864.594178240739</v>
      </c>
      <c r="M2863" s="12" t="s">
        <v>1584</v>
      </c>
      <c r="N2863" s="12" t="s">
        <v>1585</v>
      </c>
      <c r="O2863" s="10" t="str">
        <f>HYPERLINK("https://pbs.twimg.com/profile_images/378800000104294821/5a742075b9441c9de8a86c75a712b0c7_normal.png","View")</f>
        <v>View</v>
      </c>
      <c r="P2863" s="11"/>
    </row>
    <row r="2864" spans="1:16" ht="12.75" x14ac:dyDescent="0.35">
      <c r="A2864" s="7">
        <v>42483.534444444449</v>
      </c>
      <c r="B2864" s="8" t="str">
        <f>HYPERLINK("https://twitter.com/feelingstones","@feelingstones")</f>
        <v>@feelingstones</v>
      </c>
      <c r="C2864" s="9" t="s">
        <v>4907</v>
      </c>
      <c r="D2864" s="9" t="s">
        <v>4582</v>
      </c>
      <c r="E2864" s="10" t="str">
        <f>HYPERLINK("https://twitter.com/feelingstones/status/723773300539674624","723773300539674624")</f>
        <v>723773300539674624</v>
      </c>
      <c r="F2864" s="11" t="s">
        <v>20</v>
      </c>
      <c r="G2864" s="11">
        <v>30</v>
      </c>
      <c r="H2864" s="11">
        <v>122</v>
      </c>
      <c r="I2864" s="11">
        <v>3</v>
      </c>
      <c r="J2864" s="11">
        <v>0</v>
      </c>
      <c r="K2864" s="11" t="s">
        <v>21</v>
      </c>
      <c r="L2864" s="7">
        <v>41360.598981481482</v>
      </c>
      <c r="M2864" s="12" t="s">
        <v>4908</v>
      </c>
      <c r="N2864" s="12"/>
      <c r="O2864" s="10" t="str">
        <f>HYPERLINK("https://pbs.twimg.com/profile_images/625592251377324032/p6ap4-7W_normal.jpg","View")</f>
        <v>View</v>
      </c>
      <c r="P2864" s="11"/>
    </row>
    <row r="2865" spans="1:16" ht="12.75" x14ac:dyDescent="0.35">
      <c r="A2865" s="7">
        <v>42483.535879629635</v>
      </c>
      <c r="B2865" s="8" t="str">
        <f>HYPERLINK("https://twitter.com/INDIZbot","@INDIZbot")</f>
        <v>@INDIZbot</v>
      </c>
      <c r="C2865" s="9" t="s">
        <v>61</v>
      </c>
      <c r="D2865" s="9" t="s">
        <v>4582</v>
      </c>
      <c r="E2865" s="10" t="str">
        <f>HYPERLINK("https://twitter.com/INDIZbot/status/723773821199769600","723773821199769600")</f>
        <v>723773821199769600</v>
      </c>
      <c r="F2865" s="11" t="s">
        <v>62</v>
      </c>
      <c r="G2865" s="11">
        <v>1775</v>
      </c>
      <c r="H2865" s="11">
        <v>482</v>
      </c>
      <c r="I2865" s="11">
        <v>3</v>
      </c>
      <c r="J2865" s="11">
        <v>0</v>
      </c>
      <c r="K2865" s="11" t="s">
        <v>21</v>
      </c>
      <c r="L2865" s="7">
        <v>42267.011921296296</v>
      </c>
      <c r="M2865" s="12"/>
      <c r="N2865" s="12" t="s">
        <v>63</v>
      </c>
      <c r="O2865" s="10" t="str">
        <f>HYPERLINK("https://pbs.twimg.com/profile_images/645716711723925506/t5G0qOS6_normal.jpg","View")</f>
        <v>View</v>
      </c>
      <c r="P2865" s="11"/>
    </row>
    <row r="2866" spans="1:16" ht="12.75" x14ac:dyDescent="0.35">
      <c r="A2866" s="7">
        <v>42483.538252314815</v>
      </c>
      <c r="B2866" s="8" t="str">
        <f>HYPERLINK("https://twitter.com/FJDorfer","@FJDorfer")</f>
        <v>@FJDorfer</v>
      </c>
      <c r="C2866" s="9" t="s">
        <v>4909</v>
      </c>
      <c r="D2866" s="9" t="s">
        <v>4910</v>
      </c>
      <c r="E2866" s="10" t="str">
        <f>HYPERLINK("https://twitter.com/FJDorfer/status/723774678616170496","723774678616170496")</f>
        <v>723774678616170496</v>
      </c>
      <c r="F2866" s="11" t="s">
        <v>31</v>
      </c>
      <c r="G2866" s="11">
        <v>26</v>
      </c>
      <c r="H2866" s="11">
        <v>36</v>
      </c>
      <c r="I2866" s="11">
        <v>0</v>
      </c>
      <c r="J2866" s="11">
        <v>0</v>
      </c>
      <c r="K2866" s="11" t="s">
        <v>21</v>
      </c>
      <c r="L2866" s="7">
        <v>41010.699907407405</v>
      </c>
      <c r="M2866" s="12" t="s">
        <v>121</v>
      </c>
      <c r="N2866" s="12" t="s">
        <v>4911</v>
      </c>
      <c r="O2866" s="10" t="str">
        <f>HYPERLINK("https://pbs.twimg.com/profile_images/2092862553/Dorfer_-_11.04_normal.2012","View")</f>
        <v>View</v>
      </c>
      <c r="P2866" s="11"/>
    </row>
    <row r="2867" spans="1:16" ht="12.75" x14ac:dyDescent="0.35">
      <c r="A2867" s="7">
        <v>42483.542673611111</v>
      </c>
      <c r="B2867" s="8" t="str">
        <f>HYPERLINK("https://twitter.com/INDIZbot","@INDIZbot")</f>
        <v>@INDIZbot</v>
      </c>
      <c r="C2867" s="9" t="s">
        <v>61</v>
      </c>
      <c r="D2867" s="9" t="s">
        <v>4912</v>
      </c>
      <c r="E2867" s="10" t="str">
        <f>HYPERLINK("https://twitter.com/INDIZbot/status/723776282216030208","723776282216030208")</f>
        <v>723776282216030208</v>
      </c>
      <c r="F2867" s="11" t="s">
        <v>62</v>
      </c>
      <c r="G2867" s="11">
        <v>1775</v>
      </c>
      <c r="H2867" s="11">
        <v>482</v>
      </c>
      <c r="I2867" s="11">
        <v>1</v>
      </c>
      <c r="J2867" s="11">
        <v>0</v>
      </c>
      <c r="K2867" s="11" t="s">
        <v>21</v>
      </c>
      <c r="L2867" s="7">
        <v>42267.011921296296</v>
      </c>
      <c r="M2867" s="12"/>
      <c r="N2867" s="12" t="s">
        <v>63</v>
      </c>
      <c r="O2867" s="10" t="str">
        <f>HYPERLINK("https://pbs.twimg.com/profile_images/645716711723925506/t5G0qOS6_normal.jpg","View")</f>
        <v>View</v>
      </c>
      <c r="P2867" s="11"/>
    </row>
    <row r="2868" spans="1:16" ht="12.75" x14ac:dyDescent="0.35">
      <c r="A2868" s="7">
        <v>42483.547812500001</v>
      </c>
      <c r="B2868" s="8" t="str">
        <f>HYPERLINK("https://twitter.com/GregRodehueser","@GregRodehueser")</f>
        <v>@GregRodehueser</v>
      </c>
      <c r="C2868" s="9" t="s">
        <v>4842</v>
      </c>
      <c r="D2868" s="9" t="s">
        <v>4913</v>
      </c>
      <c r="E2868" s="10" t="str">
        <f>HYPERLINK("https://twitter.com/GregRodehueser/status/723778145728507904","723778145728507904")</f>
        <v>723778145728507904</v>
      </c>
      <c r="F2868" s="11" t="s">
        <v>25</v>
      </c>
      <c r="G2868" s="11">
        <v>99</v>
      </c>
      <c r="H2868" s="11">
        <v>153</v>
      </c>
      <c r="I2868" s="11">
        <v>1</v>
      </c>
      <c r="J2868" s="11">
        <v>2</v>
      </c>
      <c r="K2868" s="11" t="s">
        <v>21</v>
      </c>
      <c r="L2868" s="7">
        <v>42209.75381944445</v>
      </c>
      <c r="M2868" s="12" t="s">
        <v>575</v>
      </c>
      <c r="N2868" s="12" t="s">
        <v>4844</v>
      </c>
      <c r="O2868" s="10" t="str">
        <f>HYPERLINK("https://pbs.twimg.com/profile_images/669193589495345152/nJYiWy7H_normal.jpg","View")</f>
        <v>View</v>
      </c>
      <c r="P2868" s="11"/>
    </row>
    <row r="2869" spans="1:16" ht="12.75" x14ac:dyDescent="0.35">
      <c r="A2869" s="7">
        <v>42483.547951388886</v>
      </c>
      <c r="B2869" s="8" t="str">
        <f>HYPERLINK("https://twitter.com/ITMredaktion","@ITMredaktion")</f>
        <v>@ITMredaktion</v>
      </c>
      <c r="C2869" s="9" t="s">
        <v>4914</v>
      </c>
      <c r="D2869" s="9" t="s">
        <v>4915</v>
      </c>
      <c r="E2869" s="10" t="str">
        <f>HYPERLINK("https://twitter.com/ITMredaktion/status/723778195753975808","723778195753975808")</f>
        <v>723778195753975808</v>
      </c>
      <c r="F2869" s="11" t="s">
        <v>59</v>
      </c>
      <c r="G2869" s="11">
        <v>2929</v>
      </c>
      <c r="H2869" s="11">
        <v>452</v>
      </c>
      <c r="I2869" s="11">
        <v>1</v>
      </c>
      <c r="J2869" s="11">
        <v>0</v>
      </c>
      <c r="K2869" s="11" t="s">
        <v>21</v>
      </c>
      <c r="L2869" s="7">
        <v>40233.9066087963</v>
      </c>
      <c r="M2869" s="12" t="s">
        <v>4916</v>
      </c>
      <c r="N2869" s="12" t="s">
        <v>4917</v>
      </c>
      <c r="O2869" s="10" t="str">
        <f>HYPERLINK("https://pbs.twimg.com/profile_images/412571371193913344/5ICZcXXO_normal.jpeg","View")</f>
        <v>View</v>
      </c>
      <c r="P2869" s="11"/>
    </row>
    <row r="2870" spans="1:16" ht="12.75" x14ac:dyDescent="0.35">
      <c r="A2870" s="7">
        <v>42483.549409722225</v>
      </c>
      <c r="B2870" s="8" t="str">
        <f t="shared" ref="B2870:B2871" si="362">HYPERLINK("https://twitter.com/INDIZbot","@INDIZbot")</f>
        <v>@INDIZbot</v>
      </c>
      <c r="C2870" s="9" t="s">
        <v>61</v>
      </c>
      <c r="D2870" s="9" t="s">
        <v>4918</v>
      </c>
      <c r="E2870" s="10" t="str">
        <f>HYPERLINK("https://twitter.com/INDIZbot/status/723778724538228736","723778724538228736")</f>
        <v>723778724538228736</v>
      </c>
      <c r="F2870" s="11" t="s">
        <v>62</v>
      </c>
      <c r="G2870" s="11">
        <v>1775</v>
      </c>
      <c r="H2870" s="11">
        <v>482</v>
      </c>
      <c r="I2870" s="11">
        <v>1</v>
      </c>
      <c r="J2870" s="11">
        <v>0</v>
      </c>
      <c r="K2870" s="11" t="s">
        <v>21</v>
      </c>
      <c r="L2870" s="7">
        <v>42267.011921296296</v>
      </c>
      <c r="M2870" s="12"/>
      <c r="N2870" s="12" t="s">
        <v>63</v>
      </c>
      <c r="O2870" s="10" t="str">
        <f t="shared" ref="O2870:O2871" si="363">HYPERLINK("https://pbs.twimg.com/profile_images/645716711723925506/t5G0qOS6_normal.jpg","View")</f>
        <v>View</v>
      </c>
      <c r="P2870" s="11"/>
    </row>
    <row r="2871" spans="1:16" ht="12.75" x14ac:dyDescent="0.35">
      <c r="A2871" s="7">
        <v>42483.549780092595</v>
      </c>
      <c r="B2871" s="8" t="str">
        <f t="shared" si="362"/>
        <v>@INDIZbot</v>
      </c>
      <c r="C2871" s="9" t="s">
        <v>61</v>
      </c>
      <c r="D2871" s="9" t="s">
        <v>4919</v>
      </c>
      <c r="E2871" s="10" t="str">
        <f>HYPERLINK("https://twitter.com/INDIZbot/status/723778856910479360","723778856910479360")</f>
        <v>723778856910479360</v>
      </c>
      <c r="F2871" s="11" t="s">
        <v>62</v>
      </c>
      <c r="G2871" s="11">
        <v>1775</v>
      </c>
      <c r="H2871" s="11">
        <v>482</v>
      </c>
      <c r="I2871" s="11">
        <v>1</v>
      </c>
      <c r="J2871" s="11">
        <v>0</v>
      </c>
      <c r="K2871" s="11" t="s">
        <v>21</v>
      </c>
      <c r="L2871" s="7">
        <v>42267.011921296296</v>
      </c>
      <c r="M2871" s="12"/>
      <c r="N2871" s="12" t="s">
        <v>63</v>
      </c>
      <c r="O2871" s="10" t="str">
        <f t="shared" si="363"/>
        <v>View</v>
      </c>
      <c r="P2871" s="11"/>
    </row>
    <row r="2872" spans="1:16" ht="12.75" x14ac:dyDescent="0.35">
      <c r="A2872" s="7">
        <v>42483.55333333333</v>
      </c>
      <c r="B2872" s="8" t="str">
        <f>HYPERLINK("https://twitter.com/BOLDLYGO_FFM","@BOLDLYGO_FFM")</f>
        <v>@BOLDLYGO_FFM</v>
      </c>
      <c r="C2872" s="9" t="s">
        <v>3524</v>
      </c>
      <c r="D2872" s="9" t="s">
        <v>4920</v>
      </c>
      <c r="E2872" s="10" t="str">
        <f>HYPERLINK("https://twitter.com/BOLDLYGO_FFM/status/723780147153899520","723780147153899520")</f>
        <v>723780147153899520</v>
      </c>
      <c r="F2872" s="11" t="s">
        <v>20</v>
      </c>
      <c r="G2872" s="11">
        <v>132</v>
      </c>
      <c r="H2872" s="11">
        <v>367</v>
      </c>
      <c r="I2872" s="11">
        <v>1</v>
      </c>
      <c r="J2872" s="11">
        <v>1</v>
      </c>
      <c r="K2872" s="11" t="s">
        <v>21</v>
      </c>
      <c r="L2872" s="7">
        <v>42211.596736111111</v>
      </c>
      <c r="M2872" s="12" t="s">
        <v>79</v>
      </c>
      <c r="N2872" s="12" t="s">
        <v>3526</v>
      </c>
      <c r="O2872" s="10" t="str">
        <f>HYPERLINK("https://pbs.twimg.com/profile_images/636836616263311360/-akWmcev_normal.png","View")</f>
        <v>View</v>
      </c>
      <c r="P2872" s="11"/>
    </row>
    <row r="2873" spans="1:16" ht="12.75" x14ac:dyDescent="0.35">
      <c r="A2873" s="7">
        <v>42483.557025462964</v>
      </c>
      <c r="B2873" s="8" t="str">
        <f>HYPERLINK("https://twitter.com/GregRodehueser","@GregRodehueser")</f>
        <v>@GregRodehueser</v>
      </c>
      <c r="C2873" s="9" t="s">
        <v>4842</v>
      </c>
      <c r="D2873" s="9" t="s">
        <v>4921</v>
      </c>
      <c r="E2873" s="10" t="str">
        <f>HYPERLINK("https://twitter.com/GregRodehueser/status/723781484147027968","723781484147027968")</f>
        <v>723781484147027968</v>
      </c>
      <c r="F2873" s="11" t="s">
        <v>31</v>
      </c>
      <c r="G2873" s="11">
        <v>99</v>
      </c>
      <c r="H2873" s="11">
        <v>153</v>
      </c>
      <c r="I2873" s="11">
        <v>0</v>
      </c>
      <c r="J2873" s="11">
        <v>0</v>
      </c>
      <c r="K2873" s="11" t="s">
        <v>21</v>
      </c>
      <c r="L2873" s="7">
        <v>42209.75381944445</v>
      </c>
      <c r="M2873" s="12" t="s">
        <v>575</v>
      </c>
      <c r="N2873" s="12" t="s">
        <v>4844</v>
      </c>
      <c r="O2873" s="10" t="str">
        <f>HYPERLINK("https://pbs.twimg.com/profile_images/669193589495345152/nJYiWy7H_normal.jpg","View")</f>
        <v>View</v>
      </c>
      <c r="P2873" s="11"/>
    </row>
    <row r="2874" spans="1:16" ht="12.75" x14ac:dyDescent="0.35">
      <c r="A2874" s="7">
        <v>42483.559120370366</v>
      </c>
      <c r="B2874" s="8" t="str">
        <f>HYPERLINK("https://twitter.com/CapgeminiDE","@CapgeminiDE")</f>
        <v>@CapgeminiDE</v>
      </c>
      <c r="C2874" s="9" t="s">
        <v>280</v>
      </c>
      <c r="D2874" s="9" t="s">
        <v>4922</v>
      </c>
      <c r="E2874" s="10" t="str">
        <f>HYPERLINK("https://twitter.com/CapgeminiDE/status/723782242099683329","723782242099683329")</f>
        <v>723782242099683329</v>
      </c>
      <c r="F2874" s="11" t="s">
        <v>39</v>
      </c>
      <c r="G2874" s="11">
        <v>1640</v>
      </c>
      <c r="H2874" s="11">
        <v>509</v>
      </c>
      <c r="I2874" s="11">
        <v>0</v>
      </c>
      <c r="J2874" s="11">
        <v>0</v>
      </c>
      <c r="K2874" s="11" t="s">
        <v>21</v>
      </c>
      <c r="L2874" s="7">
        <v>40424.022048611107</v>
      </c>
      <c r="M2874" s="12" t="s">
        <v>218</v>
      </c>
      <c r="N2874" s="12" t="s">
        <v>282</v>
      </c>
      <c r="O2874" s="10" t="str">
        <f>HYPERLINK("https://pbs.twimg.com/profile_images/666911961599315968/aP7ID_qm_normal.png","View")</f>
        <v>View</v>
      </c>
      <c r="P2874" s="11"/>
    </row>
    <row r="2875" spans="1:16" ht="12.75" x14ac:dyDescent="0.35">
      <c r="A2875" s="7">
        <v>42483.560555555552</v>
      </c>
      <c r="B2875" s="8" t="str">
        <f>HYPERLINK("https://twitter.com/markus_boehm_","@markus_boehm_")</f>
        <v>@markus_boehm_</v>
      </c>
      <c r="C2875" s="9" t="s">
        <v>4923</v>
      </c>
      <c r="D2875" s="9" t="s">
        <v>4924</v>
      </c>
      <c r="E2875" s="10" t="str">
        <f>HYPERLINK("https://twitter.com/markus_boehm_/status/723782761069289473","723782761069289473")</f>
        <v>723782761069289473</v>
      </c>
      <c r="F2875" s="11" t="s">
        <v>20</v>
      </c>
      <c r="G2875" s="11">
        <v>423</v>
      </c>
      <c r="H2875" s="11">
        <v>548</v>
      </c>
      <c r="I2875" s="11">
        <v>1</v>
      </c>
      <c r="J2875" s="11">
        <v>0</v>
      </c>
      <c r="K2875" s="11" t="s">
        <v>21</v>
      </c>
      <c r="L2875" s="7">
        <v>40170.63590277778</v>
      </c>
      <c r="M2875" s="12" t="s">
        <v>121</v>
      </c>
      <c r="N2875" s="12" t="s">
        <v>4925</v>
      </c>
      <c r="O2875" s="10" t="str">
        <f>HYPERLINK("https://pbs.twimg.com/profile_images/588663919/IMGP2781_normal.JPG","View")</f>
        <v>View</v>
      </c>
      <c r="P2875" s="11"/>
    </row>
    <row r="2876" spans="1:16" ht="12.75" x14ac:dyDescent="0.35">
      <c r="A2876" s="7">
        <v>42483.562627314815</v>
      </c>
      <c r="B2876" s="8" t="str">
        <f>HYPERLINK("https://twitter.com/VDMAonline","@VDMAonline")</f>
        <v>@VDMAonline</v>
      </c>
      <c r="C2876" s="9" t="s">
        <v>191</v>
      </c>
      <c r="D2876" s="9" t="s">
        <v>4926</v>
      </c>
      <c r="E2876" s="10" t="str">
        <f>HYPERLINK("https://twitter.com/VDMAonline/status/723783515343482881","723783515343482881")</f>
        <v>723783515343482881</v>
      </c>
      <c r="F2876" s="11" t="s">
        <v>115</v>
      </c>
      <c r="G2876" s="11">
        <v>6803</v>
      </c>
      <c r="H2876" s="11">
        <v>4</v>
      </c>
      <c r="I2876" s="11">
        <v>0</v>
      </c>
      <c r="J2876" s="11">
        <v>0</v>
      </c>
      <c r="K2876" s="11" t="s">
        <v>21</v>
      </c>
      <c r="L2876" s="7">
        <v>39932.616342592592</v>
      </c>
      <c r="M2876" s="12" t="s">
        <v>49</v>
      </c>
      <c r="N2876" s="12" t="s">
        <v>193</v>
      </c>
      <c r="O2876" s="10" t="str">
        <f>HYPERLINK("https://pbs.twimg.com/profile_images/609375510158774272/P5glOk4b_normal.jpg","View")</f>
        <v>View</v>
      </c>
      <c r="P2876" s="11"/>
    </row>
    <row r="2877" spans="1:16" ht="12.75" x14ac:dyDescent="0.35">
      <c r="A2877" s="7">
        <v>42483.563298611116</v>
      </c>
      <c r="B2877" s="8" t="str">
        <f t="shared" ref="B2877:B2879" si="364">HYPERLINK("https://twitter.com/INDIZbot","@INDIZbot")</f>
        <v>@INDIZbot</v>
      </c>
      <c r="C2877" s="9" t="s">
        <v>61</v>
      </c>
      <c r="D2877" s="9" t="s">
        <v>4927</v>
      </c>
      <c r="E2877" s="10" t="str">
        <f>HYPERLINK("https://twitter.com/INDIZbot/status/723783757342343169","723783757342343169")</f>
        <v>723783757342343169</v>
      </c>
      <c r="F2877" s="11" t="s">
        <v>62</v>
      </c>
      <c r="G2877" s="11">
        <v>1775</v>
      </c>
      <c r="H2877" s="11">
        <v>482</v>
      </c>
      <c r="I2877" s="11">
        <v>1</v>
      </c>
      <c r="J2877" s="11">
        <v>0</v>
      </c>
      <c r="K2877" s="11" t="s">
        <v>21</v>
      </c>
      <c r="L2877" s="7">
        <v>42267.011921296296</v>
      </c>
      <c r="M2877" s="12"/>
      <c r="N2877" s="12" t="s">
        <v>63</v>
      </c>
      <c r="O2877" s="10" t="str">
        <f t="shared" ref="O2877:O2879" si="365">HYPERLINK("https://pbs.twimg.com/profile_images/645716711723925506/t5G0qOS6_normal.jpg","View")</f>
        <v>View</v>
      </c>
      <c r="P2877" s="11"/>
    </row>
    <row r="2878" spans="1:16" ht="12.75" x14ac:dyDescent="0.35">
      <c r="A2878" s="7">
        <v>42483.563564814816</v>
      </c>
      <c r="B2878" s="8" t="str">
        <f t="shared" si="364"/>
        <v>@INDIZbot</v>
      </c>
      <c r="C2878" s="9" t="s">
        <v>61</v>
      </c>
      <c r="D2878" s="9" t="s">
        <v>4924</v>
      </c>
      <c r="E2878" s="10" t="str">
        <f>HYPERLINK("https://twitter.com/INDIZbot/status/723783853639348224","723783853639348224")</f>
        <v>723783853639348224</v>
      </c>
      <c r="F2878" s="11" t="s">
        <v>62</v>
      </c>
      <c r="G2878" s="11">
        <v>1775</v>
      </c>
      <c r="H2878" s="11">
        <v>482</v>
      </c>
      <c r="I2878" s="11">
        <v>2</v>
      </c>
      <c r="J2878" s="11">
        <v>0</v>
      </c>
      <c r="K2878" s="11" t="s">
        <v>21</v>
      </c>
      <c r="L2878" s="7">
        <v>42267.011921296296</v>
      </c>
      <c r="M2878" s="12"/>
      <c r="N2878" s="12" t="s">
        <v>63</v>
      </c>
      <c r="O2878" s="10" t="str">
        <f t="shared" si="365"/>
        <v>View</v>
      </c>
      <c r="P2878" s="11"/>
    </row>
    <row r="2879" spans="1:16" ht="12.75" x14ac:dyDescent="0.35">
      <c r="A2879" s="7">
        <v>42483.563958333332</v>
      </c>
      <c r="B2879" s="8" t="str">
        <f t="shared" si="364"/>
        <v>@INDIZbot</v>
      </c>
      <c r="C2879" s="9" t="s">
        <v>61</v>
      </c>
      <c r="D2879" s="9" t="s">
        <v>4928</v>
      </c>
      <c r="E2879" s="10" t="str">
        <f>HYPERLINK("https://twitter.com/INDIZbot/status/723783996883255296","723783996883255296")</f>
        <v>723783996883255296</v>
      </c>
      <c r="F2879" s="11" t="s">
        <v>62</v>
      </c>
      <c r="G2879" s="11">
        <v>1775</v>
      </c>
      <c r="H2879" s="11">
        <v>482</v>
      </c>
      <c r="I2879" s="11">
        <v>1</v>
      </c>
      <c r="J2879" s="11">
        <v>0</v>
      </c>
      <c r="K2879" s="11" t="s">
        <v>21</v>
      </c>
      <c r="L2879" s="7">
        <v>42267.011921296296</v>
      </c>
      <c r="M2879" s="12"/>
      <c r="N2879" s="12" t="s">
        <v>63</v>
      </c>
      <c r="O2879" s="10" t="str">
        <f t="shared" si="365"/>
        <v>View</v>
      </c>
      <c r="P2879" s="11"/>
    </row>
    <row r="2880" spans="1:16" ht="12.75" x14ac:dyDescent="0.35">
      <c r="A2880" s="7">
        <v>42483.564652777779</v>
      </c>
      <c r="B2880" s="8" t="str">
        <f>HYPERLINK("https://twitter.com/acatech_de","@acatech_de")</f>
        <v>@acatech_de</v>
      </c>
      <c r="C2880" s="9" t="s">
        <v>1667</v>
      </c>
      <c r="D2880" s="9" t="s">
        <v>4929</v>
      </c>
      <c r="E2880" s="10" t="str">
        <f>HYPERLINK("https://twitter.com/acatech_de/status/723784247366963204","723784247366963204")</f>
        <v>723784247366963204</v>
      </c>
      <c r="F2880" s="11" t="s">
        <v>115</v>
      </c>
      <c r="G2880" s="11">
        <v>203</v>
      </c>
      <c r="H2880" s="11">
        <v>205</v>
      </c>
      <c r="I2880" s="11">
        <v>1</v>
      </c>
      <c r="J2880" s="11">
        <v>1</v>
      </c>
      <c r="K2880" s="11" t="s">
        <v>21</v>
      </c>
      <c r="L2880" s="7">
        <v>42101.61513888889</v>
      </c>
      <c r="M2880" s="12" t="s">
        <v>1669</v>
      </c>
      <c r="N2880" s="12" t="s">
        <v>1670</v>
      </c>
      <c r="O2880" s="10" t="str">
        <f>HYPERLINK("https://pbs.twimg.com/profile_images/600969802908356609/3JqGMg38_normal.png","View")</f>
        <v>View</v>
      </c>
      <c r="P2880" s="11"/>
    </row>
    <row r="2881" spans="1:16" ht="12.75" x14ac:dyDescent="0.35">
      <c r="A2881" s="7">
        <v>42483.57094907407</v>
      </c>
      <c r="B2881" s="8" t="str">
        <f>HYPERLINK("https://twitter.com/INDIZbot","@INDIZbot")</f>
        <v>@INDIZbot</v>
      </c>
      <c r="C2881" s="9" t="s">
        <v>61</v>
      </c>
      <c r="D2881" s="9" t="s">
        <v>4930</v>
      </c>
      <c r="E2881" s="10" t="str">
        <f>HYPERLINK("https://twitter.com/INDIZbot/status/723786528443502592","723786528443502592")</f>
        <v>723786528443502592</v>
      </c>
      <c r="F2881" s="11" t="s">
        <v>62</v>
      </c>
      <c r="G2881" s="11">
        <v>1775</v>
      </c>
      <c r="H2881" s="11">
        <v>482</v>
      </c>
      <c r="I2881" s="11">
        <v>1</v>
      </c>
      <c r="J2881" s="11">
        <v>0</v>
      </c>
      <c r="K2881" s="11" t="s">
        <v>21</v>
      </c>
      <c r="L2881" s="7">
        <v>42267.011921296296</v>
      </c>
      <c r="M2881" s="12"/>
      <c r="N2881" s="12" t="s">
        <v>63</v>
      </c>
      <c r="O2881" s="10" t="str">
        <f>HYPERLINK("https://pbs.twimg.com/profile_images/645716711723925506/t5G0qOS6_normal.jpg","View")</f>
        <v>View</v>
      </c>
      <c r="P2881" s="11"/>
    </row>
    <row r="2882" spans="1:16" ht="12.75" x14ac:dyDescent="0.35">
      <c r="A2882" s="7">
        <v>42483.579189814816</v>
      </c>
      <c r="B2882" s="8" t="str">
        <f>HYPERLINK("https://twitter.com/Bitkom_I40","@Bitkom_I40")</f>
        <v>@Bitkom_I40</v>
      </c>
      <c r="C2882" s="9" t="s">
        <v>1857</v>
      </c>
      <c r="D2882" s="9" t="s">
        <v>4931</v>
      </c>
      <c r="E2882" s="10" t="str">
        <f>HYPERLINK("https://twitter.com/Bitkom_I40/status/723789517467971585","723789517467971585")</f>
        <v>723789517467971585</v>
      </c>
      <c r="F2882" s="11" t="s">
        <v>115</v>
      </c>
      <c r="G2882" s="11">
        <v>760</v>
      </c>
      <c r="H2882" s="11">
        <v>44</v>
      </c>
      <c r="I2882" s="11">
        <v>2</v>
      </c>
      <c r="J2882" s="11">
        <v>1</v>
      </c>
      <c r="K2882" s="11" t="s">
        <v>21</v>
      </c>
      <c r="L2882" s="7">
        <v>41613.773194444446</v>
      </c>
      <c r="M2882" s="12" t="s">
        <v>218</v>
      </c>
      <c r="N2882" s="12" t="s">
        <v>1860</v>
      </c>
      <c r="O2882" s="10" t="str">
        <f>HYPERLINK("https://pbs.twimg.com/profile_images/723407487395713024/0hZv7R8S_normal.jpg","View")</f>
        <v>View</v>
      </c>
      <c r="P2882" s="11"/>
    </row>
    <row r="2883" spans="1:16" ht="12.75" x14ac:dyDescent="0.35">
      <c r="A2883" s="7">
        <v>42483.582777777774</v>
      </c>
      <c r="B2883" s="8" t="str">
        <f>HYPERLINK("https://twitter.com/BOLDLYGO_FFM","@BOLDLYGO_FFM")</f>
        <v>@BOLDLYGO_FFM</v>
      </c>
      <c r="C2883" s="9" t="s">
        <v>3524</v>
      </c>
      <c r="D2883" s="9" t="s">
        <v>4932</v>
      </c>
      <c r="E2883" s="10" t="str">
        <f>HYPERLINK("https://twitter.com/BOLDLYGO_FFM/status/723790814103654400","723790814103654400")</f>
        <v>723790814103654400</v>
      </c>
      <c r="F2883" s="11" t="s">
        <v>20</v>
      </c>
      <c r="G2883" s="11">
        <v>132</v>
      </c>
      <c r="H2883" s="11">
        <v>369</v>
      </c>
      <c r="I2883" s="11">
        <v>0</v>
      </c>
      <c r="J2883" s="11">
        <v>0</v>
      </c>
      <c r="K2883" s="11" t="s">
        <v>21</v>
      </c>
      <c r="L2883" s="7">
        <v>42211.596736111111</v>
      </c>
      <c r="M2883" s="12" t="s">
        <v>79</v>
      </c>
      <c r="N2883" s="12" t="s">
        <v>3526</v>
      </c>
      <c r="O2883" s="10" t="str">
        <f>HYPERLINK("https://pbs.twimg.com/profile_images/636836616263311360/-akWmcev_normal.png","View")</f>
        <v>View</v>
      </c>
      <c r="P2883" s="11"/>
    </row>
    <row r="2884" spans="1:16" ht="12.75" x14ac:dyDescent="0.35">
      <c r="A2884" s="7">
        <v>42483.583194444444</v>
      </c>
      <c r="B2884" s="8" t="str">
        <f>HYPERLINK("https://twitter.com/Derdack","@Derdack")</f>
        <v>@Derdack</v>
      </c>
      <c r="C2884" s="9" t="s">
        <v>2462</v>
      </c>
      <c r="D2884" s="9" t="s">
        <v>4933</v>
      </c>
      <c r="E2884" s="10" t="str">
        <f>HYPERLINK("https://twitter.com/Derdack/status/723790965073428480","723790965073428480")</f>
        <v>723790965073428480</v>
      </c>
      <c r="F2884" s="11" t="s">
        <v>31</v>
      </c>
      <c r="G2884" s="11">
        <v>3275</v>
      </c>
      <c r="H2884" s="11">
        <v>402</v>
      </c>
      <c r="I2884" s="11">
        <v>2</v>
      </c>
      <c r="J2884" s="11">
        <v>0</v>
      </c>
      <c r="K2884" s="11" t="s">
        <v>21</v>
      </c>
      <c r="L2884" s="7">
        <v>40017.830300925925</v>
      </c>
      <c r="M2884" s="12" t="s">
        <v>2464</v>
      </c>
      <c r="N2884" s="12" t="s">
        <v>2465</v>
      </c>
      <c r="O2884" s="10" t="str">
        <f>HYPERLINK("https://pbs.twimg.com/profile_images/627720848200347648/Zn_B8fGh_normal.png","View")</f>
        <v>View</v>
      </c>
      <c r="P2884" s="11"/>
    </row>
    <row r="2885" spans="1:16" ht="12.75" x14ac:dyDescent="0.35">
      <c r="A2885" s="7">
        <v>42483.583634259259</v>
      </c>
      <c r="B2885" s="8" t="str">
        <f>HYPERLINK("https://twitter.com/MatthesDerdack","@MatthesDerdack")</f>
        <v>@MatthesDerdack</v>
      </c>
      <c r="C2885" s="9" t="s">
        <v>4934</v>
      </c>
      <c r="D2885" s="9" t="s">
        <v>4933</v>
      </c>
      <c r="E2885" s="10" t="str">
        <f>HYPERLINK("https://twitter.com/MatthesDerdack/status/723791125123874817","723791125123874817")</f>
        <v>723791125123874817</v>
      </c>
      <c r="F2885" s="11" t="s">
        <v>31</v>
      </c>
      <c r="G2885" s="11">
        <v>495</v>
      </c>
      <c r="H2885" s="11">
        <v>697</v>
      </c>
      <c r="I2885" s="11">
        <v>2</v>
      </c>
      <c r="J2885" s="11">
        <v>0</v>
      </c>
      <c r="K2885" s="11" t="s">
        <v>21</v>
      </c>
      <c r="L2885" s="7">
        <v>39897.147534722222</v>
      </c>
      <c r="M2885" s="12" t="s">
        <v>4935</v>
      </c>
      <c r="N2885" s="12" t="s">
        <v>4936</v>
      </c>
      <c r="O2885" s="10" t="str">
        <f>HYPERLINK("https://pbs.twimg.com/profile_images/464748938679963648/wFbUIsuL_normal.jpeg","View")</f>
        <v>View</v>
      </c>
      <c r="P2885" s="11"/>
    </row>
    <row r="2886" spans="1:16" ht="12.75" x14ac:dyDescent="0.35">
      <c r="A2886" s="7">
        <v>42483.585196759261</v>
      </c>
      <c r="B2886" s="8" t="str">
        <f>HYPERLINK("https://twitter.com/BOLDLYGO_FFM","@BOLDLYGO_FFM")</f>
        <v>@BOLDLYGO_FFM</v>
      </c>
      <c r="C2886" s="9" t="s">
        <v>3524</v>
      </c>
      <c r="D2886" s="9" t="s">
        <v>4835</v>
      </c>
      <c r="E2886" s="10" t="str">
        <f>HYPERLINK("https://twitter.com/BOLDLYGO_FFM/status/723791691040342016","723791691040342016")</f>
        <v>723791691040342016</v>
      </c>
      <c r="F2886" s="11" t="s">
        <v>20</v>
      </c>
      <c r="G2886" s="11">
        <v>132</v>
      </c>
      <c r="H2886" s="11">
        <v>370</v>
      </c>
      <c r="I2886" s="11">
        <v>5</v>
      </c>
      <c r="J2886" s="11">
        <v>0</v>
      </c>
      <c r="K2886" s="11" t="s">
        <v>21</v>
      </c>
      <c r="L2886" s="7">
        <v>42211.596736111111</v>
      </c>
      <c r="M2886" s="12" t="s">
        <v>79</v>
      </c>
      <c r="N2886" s="12" t="s">
        <v>3526</v>
      </c>
      <c r="O2886" s="10" t="str">
        <f>HYPERLINK("https://pbs.twimg.com/profile_images/636836616263311360/-akWmcev_normal.png","View")</f>
        <v>View</v>
      </c>
      <c r="P2886" s="11"/>
    </row>
    <row r="2887" spans="1:16" ht="12.75" x14ac:dyDescent="0.35">
      <c r="A2887" s="7">
        <v>42483.589224537034</v>
      </c>
      <c r="B2887" s="8" t="str">
        <f>HYPERLINK("https://twitter.com/matgnt2","@matgnt2")</f>
        <v>@matgnt2</v>
      </c>
      <c r="C2887" s="9" t="s">
        <v>4937</v>
      </c>
      <c r="D2887" s="9" t="s">
        <v>4825</v>
      </c>
      <c r="E2887" s="10" t="str">
        <f>HYPERLINK("https://twitter.com/matgnt2/status/723793150477778944","723793150477778944")</f>
        <v>723793150477778944</v>
      </c>
      <c r="F2887" s="11" t="s">
        <v>20</v>
      </c>
      <c r="G2887" s="11">
        <v>47</v>
      </c>
      <c r="H2887" s="11">
        <v>119</v>
      </c>
      <c r="I2887" s="11">
        <v>3</v>
      </c>
      <c r="J2887" s="11">
        <v>0</v>
      </c>
      <c r="K2887" s="11" t="s">
        <v>21</v>
      </c>
      <c r="L2887" s="7">
        <v>40968.501921296294</v>
      </c>
      <c r="M2887" s="12"/>
      <c r="N2887" s="12" t="s">
        <v>4938</v>
      </c>
      <c r="O2887" s="10" t="str">
        <f>HYPERLINK("https://pbs.twimg.com/profile_images/657573293776609282/MBKrme0h_normal.jpg","View")</f>
        <v>View</v>
      </c>
      <c r="P2887" s="11"/>
    </row>
    <row r="2888" spans="1:16" ht="12.75" x14ac:dyDescent="0.35">
      <c r="A2888" s="7">
        <v>42483.590300925927</v>
      </c>
      <c r="B2888" s="8" t="str">
        <f>HYPERLINK("https://twitter.com/kommoptimierer","@kommoptimierer")</f>
        <v>@kommoptimierer</v>
      </c>
      <c r="C2888" s="9" t="s">
        <v>270</v>
      </c>
      <c r="D2888" s="9" t="s">
        <v>684</v>
      </c>
      <c r="E2888" s="10" t="str">
        <f>HYPERLINK("https://twitter.com/kommoptimierer/status/723793540757749760","723793540757749760")</f>
        <v>723793540757749760</v>
      </c>
      <c r="F2888" s="11" t="s">
        <v>272</v>
      </c>
      <c r="G2888" s="11">
        <v>1350</v>
      </c>
      <c r="H2888" s="11">
        <v>1753</v>
      </c>
      <c r="I2888" s="11">
        <v>0</v>
      </c>
      <c r="J2888" s="11">
        <v>0</v>
      </c>
      <c r="K2888" s="11" t="s">
        <v>21</v>
      </c>
      <c r="L2888" s="7">
        <v>39986.860358796301</v>
      </c>
      <c r="M2888" s="12" t="s">
        <v>273</v>
      </c>
      <c r="N2888" s="12" t="s">
        <v>274</v>
      </c>
      <c r="O2888" s="10" t="str">
        <f>HYPERLINK("https://pbs.twimg.com/profile_images/541146126158536704/IYardufS_normal.jpeg","View")</f>
        <v>View</v>
      </c>
      <c r="P2888" s="11"/>
    </row>
    <row r="2889" spans="1:16" ht="12.75" x14ac:dyDescent="0.35">
      <c r="A2889" s="7">
        <v>42483.591828703706</v>
      </c>
      <c r="B2889" s="8" t="str">
        <f>HYPERLINK("https://twitter.com/Siliconavatar","@Siliconavatar")</f>
        <v>@Siliconavatar</v>
      </c>
      <c r="C2889" s="9" t="s">
        <v>4939</v>
      </c>
      <c r="D2889" s="9" t="s">
        <v>4940</v>
      </c>
      <c r="E2889" s="10" t="str">
        <f>HYPERLINK("https://twitter.com/Siliconavatar/status/723794096482037760","723794096482037760")</f>
        <v>723794096482037760</v>
      </c>
      <c r="F2889" s="11" t="s">
        <v>4941</v>
      </c>
      <c r="G2889" s="11">
        <v>84</v>
      </c>
      <c r="H2889" s="11">
        <v>90</v>
      </c>
      <c r="I2889" s="11">
        <v>1</v>
      </c>
      <c r="J2889" s="11">
        <v>0</v>
      </c>
      <c r="K2889" s="11" t="s">
        <v>21</v>
      </c>
      <c r="L2889" s="7">
        <v>39973.84646990741</v>
      </c>
      <c r="M2889" s="12" t="s">
        <v>121</v>
      </c>
      <c r="N2889" s="12"/>
      <c r="O2889" s="10" t="str">
        <f>HYPERLINK("https://pbs.twimg.com/profile_images/255850776/avatar_steve_icon_normal.jpg","View")</f>
        <v>View</v>
      </c>
      <c r="P2889" s="11"/>
    </row>
    <row r="2890" spans="1:16" ht="12.75" x14ac:dyDescent="0.35">
      <c r="A2890" s="7">
        <v>42483.593611111108</v>
      </c>
      <c r="B2890" s="8" t="str">
        <f>HYPERLINK("https://twitter.com/NeleReimers","@NeleReimers")</f>
        <v>@NeleReimers</v>
      </c>
      <c r="C2890" s="9" t="s">
        <v>67</v>
      </c>
      <c r="D2890" s="9" t="s">
        <v>4942</v>
      </c>
      <c r="E2890" s="10" t="str">
        <f>HYPERLINK("https://twitter.com/NeleReimers/status/723794742719438848","723794742719438848")</f>
        <v>723794742719438848</v>
      </c>
      <c r="F2890" s="11" t="s">
        <v>31</v>
      </c>
      <c r="G2890" s="11">
        <v>246</v>
      </c>
      <c r="H2890" s="11">
        <v>270</v>
      </c>
      <c r="I2890" s="11">
        <v>0</v>
      </c>
      <c r="J2890" s="11">
        <v>0</v>
      </c>
      <c r="K2890" s="11" t="s">
        <v>21</v>
      </c>
      <c r="L2890" s="7">
        <v>41088.684537037036</v>
      </c>
      <c r="M2890" s="12"/>
      <c r="N2890" s="12" t="s">
        <v>69</v>
      </c>
      <c r="O2890" s="10" t="str">
        <f>HYPERLINK("https://pbs.twimg.com/profile_images/667689986276392960/lHQvEvuO_normal.jpg","View")</f>
        <v>View</v>
      </c>
      <c r="P2890" s="11"/>
    </row>
    <row r="2891" spans="1:16" ht="12.75" x14ac:dyDescent="0.35">
      <c r="A2891" s="7">
        <v>42483.59820601852</v>
      </c>
      <c r="B2891" s="8" t="str">
        <f>HYPERLINK("https://twitter.com/ralf_nick","@ralf_nick")</f>
        <v>@ralf_nick</v>
      </c>
      <c r="C2891" s="9" t="s">
        <v>4943</v>
      </c>
      <c r="D2891" s="9" t="s">
        <v>4944</v>
      </c>
      <c r="E2891" s="10" t="str">
        <f>HYPERLINK("https://twitter.com/ralf_nick/status/723796406427881472","723796406427881472")</f>
        <v>723796406427881472</v>
      </c>
      <c r="F2891" s="11" t="s">
        <v>29</v>
      </c>
      <c r="G2891" s="11">
        <v>49</v>
      </c>
      <c r="H2891" s="11">
        <v>193</v>
      </c>
      <c r="I2891" s="11">
        <v>1</v>
      </c>
      <c r="J2891" s="11">
        <v>0</v>
      </c>
      <c r="K2891" s="11" t="s">
        <v>21</v>
      </c>
      <c r="L2891" s="7">
        <v>42121.926354166666</v>
      </c>
      <c r="M2891" s="12" t="s">
        <v>4945</v>
      </c>
      <c r="N2891" s="12" t="s">
        <v>4946</v>
      </c>
      <c r="O2891" s="10" t="str">
        <f>HYPERLINK("https://pbs.twimg.com/profile_images/592732122621816833/UoX04brn_normal.png","View")</f>
        <v>View</v>
      </c>
      <c r="P2891" s="11"/>
    </row>
    <row r="2892" spans="1:16" ht="12.75" x14ac:dyDescent="0.35">
      <c r="A2892" s="7">
        <v>42483.599004629628</v>
      </c>
      <c r="B2892" s="8" t="str">
        <f>HYPERLINK("https://twitter.com/INDIZbot","@INDIZbot")</f>
        <v>@INDIZbot</v>
      </c>
      <c r="C2892" s="9" t="s">
        <v>61</v>
      </c>
      <c r="D2892" s="9" t="s">
        <v>4947</v>
      </c>
      <c r="E2892" s="10" t="str">
        <f>HYPERLINK("https://twitter.com/INDIZbot/status/723796696149426177","723796696149426177")</f>
        <v>723796696149426177</v>
      </c>
      <c r="F2892" s="11" t="s">
        <v>62</v>
      </c>
      <c r="G2892" s="11">
        <v>1776</v>
      </c>
      <c r="H2892" s="11">
        <v>482</v>
      </c>
      <c r="I2892" s="11">
        <v>1</v>
      </c>
      <c r="J2892" s="11">
        <v>0</v>
      </c>
      <c r="K2892" s="11" t="s">
        <v>21</v>
      </c>
      <c r="L2892" s="7">
        <v>42267.011921296296</v>
      </c>
      <c r="M2892" s="12"/>
      <c r="N2892" s="12" t="s">
        <v>63</v>
      </c>
      <c r="O2892" s="10" t="str">
        <f>HYPERLINK("https://pbs.twimg.com/profile_images/645716711723925506/t5G0qOS6_normal.jpg","View")</f>
        <v>View</v>
      </c>
      <c r="P2892" s="11"/>
    </row>
    <row r="2893" spans="1:16" ht="12.75" x14ac:dyDescent="0.35">
      <c r="A2893" s="7">
        <v>42483.599328703705</v>
      </c>
      <c r="B2893" s="8" t="str">
        <f>HYPERLINK("https://twitter.com/nowanda1","@nowanda1")</f>
        <v>@nowanda1</v>
      </c>
      <c r="C2893" s="9" t="s">
        <v>4948</v>
      </c>
      <c r="D2893" s="9" t="s">
        <v>4949</v>
      </c>
      <c r="E2893" s="10" t="str">
        <f>HYPERLINK("https://twitter.com/nowanda1/status/723796812809822208","723796812809822208")</f>
        <v>723796812809822208</v>
      </c>
      <c r="F2893" s="11" t="s">
        <v>25</v>
      </c>
      <c r="G2893" s="11">
        <v>1323</v>
      </c>
      <c r="H2893" s="11">
        <v>984</v>
      </c>
      <c r="I2893" s="11">
        <v>0</v>
      </c>
      <c r="J2893" s="11">
        <v>0</v>
      </c>
      <c r="K2893" s="11" t="s">
        <v>21</v>
      </c>
      <c r="L2893" s="7">
        <v>40001.678472222222</v>
      </c>
      <c r="M2893" s="12"/>
      <c r="N2893" s="12" t="s">
        <v>4950</v>
      </c>
      <c r="O2893" s="10" t="str">
        <f>HYPERLINK("https://pbs.twimg.com/profile_images/721357383885287424/_xQQgCH3_normal.jpg","View")</f>
        <v>View</v>
      </c>
      <c r="P2893" s="11"/>
    </row>
    <row r="2894" spans="1:16" ht="12.75" x14ac:dyDescent="0.35">
      <c r="A2894" s="7">
        <v>42483.602870370371</v>
      </c>
      <c r="B2894" s="8" t="str">
        <f>HYPERLINK("https://twitter.com/mirko_ross","@mirko_ross")</f>
        <v>@mirko_ross</v>
      </c>
      <c r="C2894" s="9" t="s">
        <v>4951</v>
      </c>
      <c r="D2894" s="9" t="s">
        <v>4952</v>
      </c>
      <c r="E2894" s="10" t="str">
        <f>HYPERLINK("https://twitter.com/mirko_ross/status/723798098246537216","723798098246537216")</f>
        <v>723798098246537216</v>
      </c>
      <c r="F2894" s="11" t="s">
        <v>25</v>
      </c>
      <c r="G2894" s="11">
        <v>679</v>
      </c>
      <c r="H2894" s="11">
        <v>690</v>
      </c>
      <c r="I2894" s="11">
        <v>0</v>
      </c>
      <c r="J2894" s="11">
        <v>1</v>
      </c>
      <c r="K2894" s="11" t="s">
        <v>21</v>
      </c>
      <c r="L2894" s="7">
        <v>39822.90834490741</v>
      </c>
      <c r="M2894" s="12" t="s">
        <v>4953</v>
      </c>
      <c r="N2894" s="12" t="s">
        <v>4954</v>
      </c>
      <c r="O2894" s="10" t="str">
        <f>HYPERLINK("https://pbs.twimg.com/profile_images/720569233697017856/YKCnSitZ_normal.jpg","View")</f>
        <v>View</v>
      </c>
      <c r="P2894" s="11"/>
    </row>
    <row r="2895" spans="1:16" ht="12.75" x14ac:dyDescent="0.35">
      <c r="A2895" s="7">
        <v>42483.604317129633</v>
      </c>
      <c r="B2895" s="8" t="str">
        <f>HYPERLINK("https://twitter.com/verlinked","@verlinked")</f>
        <v>@verlinked</v>
      </c>
      <c r="C2895" s="9" t="s">
        <v>263</v>
      </c>
      <c r="D2895" s="9" t="s">
        <v>4955</v>
      </c>
      <c r="E2895" s="10" t="str">
        <f>HYPERLINK("https://twitter.com/verlinked/status/723798622660251650","723798622660251650")</f>
        <v>723798622660251650</v>
      </c>
      <c r="F2895" s="11" t="s">
        <v>115</v>
      </c>
      <c r="G2895" s="11">
        <v>602</v>
      </c>
      <c r="H2895" s="11">
        <v>1203</v>
      </c>
      <c r="I2895" s="11">
        <v>0</v>
      </c>
      <c r="J2895" s="11">
        <v>0</v>
      </c>
      <c r="K2895" s="11" t="s">
        <v>21</v>
      </c>
      <c r="L2895" s="7">
        <v>41463.077627314815</v>
      </c>
      <c r="M2895" s="12" t="s">
        <v>265</v>
      </c>
      <c r="N2895" s="12" t="s">
        <v>266</v>
      </c>
      <c r="O2895" s="10" t="str">
        <f>HYPERLINK("https://pbs.twimg.com/profile_images/722385992343285760/ww8YLZ2q_normal.jpg","View")</f>
        <v>View</v>
      </c>
      <c r="P2895" s="11"/>
    </row>
    <row r="2896" spans="1:16" ht="12.75" x14ac:dyDescent="0.35">
      <c r="A2896" s="7">
        <v>42483.605486111112</v>
      </c>
      <c r="B2896" s="8" t="str">
        <f>HYPERLINK("https://twitter.com/INDIZbot","@INDIZbot")</f>
        <v>@INDIZbot</v>
      </c>
      <c r="C2896" s="9" t="s">
        <v>61</v>
      </c>
      <c r="D2896" s="9" t="s">
        <v>4956</v>
      </c>
      <c r="E2896" s="10" t="str">
        <f>HYPERLINK("https://twitter.com/INDIZbot/status/723799046515773440","723799046515773440")</f>
        <v>723799046515773440</v>
      </c>
      <c r="F2896" s="11" t="s">
        <v>62</v>
      </c>
      <c r="G2896" s="11">
        <v>1777</v>
      </c>
      <c r="H2896" s="11">
        <v>482</v>
      </c>
      <c r="I2896" s="11">
        <v>1</v>
      </c>
      <c r="J2896" s="11">
        <v>0</v>
      </c>
      <c r="K2896" s="11" t="s">
        <v>21</v>
      </c>
      <c r="L2896" s="7">
        <v>42267.011921296296</v>
      </c>
      <c r="M2896" s="12"/>
      <c r="N2896" s="12" t="s">
        <v>63</v>
      </c>
      <c r="O2896" s="10" t="str">
        <f>HYPERLINK("https://pbs.twimg.com/profile_images/645716711723925506/t5G0qOS6_normal.jpg","View")</f>
        <v>View</v>
      </c>
      <c r="P2896" s="11"/>
    </row>
    <row r="2897" spans="1:16" ht="12.75" x14ac:dyDescent="0.35">
      <c r="A2897" s="7">
        <v>42483.606527777782</v>
      </c>
      <c r="B2897" s="8" t="str">
        <f t="shared" ref="B2897:B2900" si="366">HYPERLINK("https://twitter.com/mirko_ross","@mirko_ross")</f>
        <v>@mirko_ross</v>
      </c>
      <c r="C2897" s="9" t="s">
        <v>4951</v>
      </c>
      <c r="D2897" s="9" t="s">
        <v>3649</v>
      </c>
      <c r="E2897" s="10" t="str">
        <f>HYPERLINK("https://twitter.com/mirko_ross/status/723799420987400192","723799420987400192")</f>
        <v>723799420987400192</v>
      </c>
      <c r="F2897" s="11" t="s">
        <v>25</v>
      </c>
      <c r="G2897" s="11">
        <v>679</v>
      </c>
      <c r="H2897" s="11">
        <v>690</v>
      </c>
      <c r="I2897" s="11">
        <v>6</v>
      </c>
      <c r="J2897" s="11">
        <v>0</v>
      </c>
      <c r="K2897" s="11" t="s">
        <v>21</v>
      </c>
      <c r="L2897" s="7">
        <v>39822.90834490741</v>
      </c>
      <c r="M2897" s="12" t="s">
        <v>4953</v>
      </c>
      <c r="N2897" s="12" t="s">
        <v>4954</v>
      </c>
      <c r="O2897" s="10" t="str">
        <f t="shared" ref="O2897:O2900" si="367">HYPERLINK("https://pbs.twimg.com/profile_images/720569233697017856/YKCnSitZ_normal.jpg","View")</f>
        <v>View</v>
      </c>
      <c r="P2897" s="11"/>
    </row>
    <row r="2898" spans="1:16" ht="12.75" x14ac:dyDescent="0.35">
      <c r="A2898" s="7">
        <v>42483.606585648144</v>
      </c>
      <c r="B2898" s="8" t="str">
        <f t="shared" si="366"/>
        <v>@mirko_ross</v>
      </c>
      <c r="C2898" s="9" t="s">
        <v>4951</v>
      </c>
      <c r="D2898" s="9" t="s">
        <v>3588</v>
      </c>
      <c r="E2898" s="10" t="str">
        <f>HYPERLINK("https://twitter.com/mirko_ross/status/723799443397611520","723799443397611520")</f>
        <v>723799443397611520</v>
      </c>
      <c r="F2898" s="11" t="s">
        <v>25</v>
      </c>
      <c r="G2898" s="11">
        <v>679</v>
      </c>
      <c r="H2898" s="11">
        <v>690</v>
      </c>
      <c r="I2898" s="11">
        <v>27</v>
      </c>
      <c r="J2898" s="11">
        <v>0</v>
      </c>
      <c r="K2898" s="11" t="s">
        <v>21</v>
      </c>
      <c r="L2898" s="7">
        <v>39822.90834490741</v>
      </c>
      <c r="M2898" s="12" t="s">
        <v>4953</v>
      </c>
      <c r="N2898" s="12" t="s">
        <v>4954</v>
      </c>
      <c r="O2898" s="10" t="str">
        <f t="shared" si="367"/>
        <v>View</v>
      </c>
      <c r="P2898" s="11"/>
    </row>
    <row r="2899" spans="1:16" ht="12.75" x14ac:dyDescent="0.35">
      <c r="A2899" s="7">
        <v>42483.606805555552</v>
      </c>
      <c r="B2899" s="8" t="str">
        <f t="shared" si="366"/>
        <v>@mirko_ross</v>
      </c>
      <c r="C2899" s="9" t="s">
        <v>4951</v>
      </c>
      <c r="D2899" s="9" t="s">
        <v>2777</v>
      </c>
      <c r="E2899" s="10" t="str">
        <f>HYPERLINK("https://twitter.com/mirko_ross/status/723799522451853312","723799522451853312")</f>
        <v>723799522451853312</v>
      </c>
      <c r="F2899" s="11" t="s">
        <v>25</v>
      </c>
      <c r="G2899" s="11">
        <v>679</v>
      </c>
      <c r="H2899" s="11">
        <v>690</v>
      </c>
      <c r="I2899" s="11">
        <v>5</v>
      </c>
      <c r="J2899" s="11">
        <v>0</v>
      </c>
      <c r="K2899" s="11" t="s">
        <v>21</v>
      </c>
      <c r="L2899" s="7">
        <v>39822.90834490741</v>
      </c>
      <c r="M2899" s="12" t="s">
        <v>4953</v>
      </c>
      <c r="N2899" s="12" t="s">
        <v>4954</v>
      </c>
      <c r="O2899" s="10" t="str">
        <f t="shared" si="367"/>
        <v>View</v>
      </c>
      <c r="P2899" s="11"/>
    </row>
    <row r="2900" spans="1:16" ht="12.75" x14ac:dyDescent="0.35">
      <c r="A2900" s="7">
        <v>42483.606851851851</v>
      </c>
      <c r="B2900" s="8" t="str">
        <f t="shared" si="366"/>
        <v>@mirko_ross</v>
      </c>
      <c r="C2900" s="9" t="s">
        <v>4951</v>
      </c>
      <c r="D2900" s="9" t="s">
        <v>2626</v>
      </c>
      <c r="E2900" s="10" t="str">
        <f>HYPERLINK("https://twitter.com/mirko_ross/status/723799539442946048","723799539442946048")</f>
        <v>723799539442946048</v>
      </c>
      <c r="F2900" s="11" t="s">
        <v>25</v>
      </c>
      <c r="G2900" s="11">
        <v>679</v>
      </c>
      <c r="H2900" s="11">
        <v>690</v>
      </c>
      <c r="I2900" s="11">
        <v>9</v>
      </c>
      <c r="J2900" s="11">
        <v>0</v>
      </c>
      <c r="K2900" s="11" t="s">
        <v>21</v>
      </c>
      <c r="L2900" s="7">
        <v>39822.90834490741</v>
      </c>
      <c r="M2900" s="12" t="s">
        <v>4953</v>
      </c>
      <c r="N2900" s="12" t="s">
        <v>4954</v>
      </c>
      <c r="O2900" s="10" t="str">
        <f t="shared" si="367"/>
        <v>View</v>
      </c>
      <c r="P2900" s="11"/>
    </row>
    <row r="2901" spans="1:16" ht="12.75" x14ac:dyDescent="0.35">
      <c r="A2901" s="7">
        <v>42483.608668981484</v>
      </c>
      <c r="B2901" s="8" t="str">
        <f>HYPERLINK("https://twitter.com/lenze_benelux","@lenze_benelux")</f>
        <v>@lenze_benelux</v>
      </c>
      <c r="C2901" s="9" t="s">
        <v>4957</v>
      </c>
      <c r="D2901" s="9" t="s">
        <v>4958</v>
      </c>
      <c r="E2901" s="10" t="str">
        <f>HYPERLINK("https://twitter.com/lenze_benelux/status/723800198884036608","723800198884036608")</f>
        <v>723800198884036608</v>
      </c>
      <c r="F2901" s="11" t="s">
        <v>20</v>
      </c>
      <c r="G2901" s="11">
        <v>614</v>
      </c>
      <c r="H2901" s="11">
        <v>509</v>
      </c>
      <c r="I2901" s="11">
        <v>1</v>
      </c>
      <c r="J2901" s="11">
        <v>1</v>
      </c>
      <c r="K2901" s="11" t="s">
        <v>21</v>
      </c>
      <c r="L2901" s="7">
        <v>40560.653252314813</v>
      </c>
      <c r="M2901" s="12" t="s">
        <v>4959</v>
      </c>
      <c r="N2901" s="12" t="s">
        <v>4960</v>
      </c>
      <c r="O2901" s="10" t="str">
        <f>HYPERLINK("https://pbs.twimg.com/profile_images/623794965395730432/4ijJtlze_normal.jpg","View")</f>
        <v>View</v>
      </c>
      <c r="P2901" s="11"/>
    </row>
    <row r="2902" spans="1:16" ht="12.75" x14ac:dyDescent="0.35">
      <c r="A2902" s="7">
        <v>42483.610358796301</v>
      </c>
      <c r="B2902" s="8" t="str">
        <f>HYPERLINK("https://twitter.com/Brainport_Ind","@Brainport_Ind")</f>
        <v>@Brainport_Ind</v>
      </c>
      <c r="C2902" s="9" t="s">
        <v>4961</v>
      </c>
      <c r="D2902" s="9" t="s">
        <v>4962</v>
      </c>
      <c r="E2902" s="10" t="str">
        <f>HYPERLINK("https://twitter.com/Brainport_Ind/status/723800809675350016","723800809675350016")</f>
        <v>723800809675350016</v>
      </c>
      <c r="F2902" s="11" t="s">
        <v>20</v>
      </c>
      <c r="G2902" s="11">
        <v>3737</v>
      </c>
      <c r="H2902" s="11">
        <v>406</v>
      </c>
      <c r="I2902" s="11">
        <v>1</v>
      </c>
      <c r="J2902" s="11">
        <v>0</v>
      </c>
      <c r="K2902" s="11" t="s">
        <v>21</v>
      </c>
      <c r="L2902" s="7">
        <v>40697.625844907408</v>
      </c>
      <c r="M2902" s="12" t="s">
        <v>4963</v>
      </c>
      <c r="N2902" s="12" t="s">
        <v>4964</v>
      </c>
      <c r="O2902" s="10" t="str">
        <f>HYPERLINK("https://pbs.twimg.com/profile_images/1829521617/Dia1_normal.jpg","View")</f>
        <v>View</v>
      </c>
      <c r="P2902" s="11"/>
    </row>
    <row r="2903" spans="1:16" ht="12.75" x14ac:dyDescent="0.35">
      <c r="A2903" s="7">
        <v>42483.614756944444</v>
      </c>
      <c r="B2903" s="8" t="str">
        <f>HYPERLINK("https://twitter.com/NikolausReuter","@NikolausReuter")</f>
        <v>@NikolausReuter</v>
      </c>
      <c r="C2903" s="9" t="s">
        <v>4965</v>
      </c>
      <c r="D2903" s="9" t="s">
        <v>3968</v>
      </c>
      <c r="E2903" s="10" t="str">
        <f>HYPERLINK("https://twitter.com/NikolausReuter/status/723802406572679168","723802406572679168")</f>
        <v>723802406572679168</v>
      </c>
      <c r="F2903" s="11" t="s">
        <v>31</v>
      </c>
      <c r="G2903" s="11">
        <v>163</v>
      </c>
      <c r="H2903" s="11">
        <v>98</v>
      </c>
      <c r="I2903" s="11">
        <v>16</v>
      </c>
      <c r="J2903" s="11">
        <v>0</v>
      </c>
      <c r="K2903" s="11" t="s">
        <v>21</v>
      </c>
      <c r="L2903" s="7">
        <v>39930.557800925926</v>
      </c>
      <c r="M2903" s="12" t="s">
        <v>4966</v>
      </c>
      <c r="N2903" s="12" t="s">
        <v>4967</v>
      </c>
      <c r="O2903" s="10" t="str">
        <f>HYPERLINK("https://pbs.twimg.com/profile_images/201943493/Etengo_NIR_normal.jpg","View")</f>
        <v>View</v>
      </c>
      <c r="P2903" s="11"/>
    </row>
    <row r="2904" spans="1:16" ht="12.75" x14ac:dyDescent="0.35">
      <c r="A2904" s="7">
        <v>42483.621412037042</v>
      </c>
      <c r="B2904" s="8" t="str">
        <f>HYPERLINK("https://twitter.com/ines_oppermann","@ines_oppermann")</f>
        <v>@ines_oppermann</v>
      </c>
      <c r="C2904" s="9" t="s">
        <v>2666</v>
      </c>
      <c r="D2904" s="9" t="s">
        <v>4962</v>
      </c>
      <c r="E2904" s="10" t="str">
        <f>HYPERLINK("https://twitter.com/ines_oppermann/status/723804817546719233","723804817546719233")</f>
        <v>723804817546719233</v>
      </c>
      <c r="F2904" s="11" t="s">
        <v>20</v>
      </c>
      <c r="G2904" s="11">
        <v>31</v>
      </c>
      <c r="H2904" s="11">
        <v>94</v>
      </c>
      <c r="I2904" s="11">
        <v>2</v>
      </c>
      <c r="J2904" s="11">
        <v>0</v>
      </c>
      <c r="K2904" s="11" t="s">
        <v>21</v>
      </c>
      <c r="L2904" s="7">
        <v>42177.50917824074</v>
      </c>
      <c r="M2904" s="12"/>
      <c r="N2904" s="12"/>
      <c r="O2904" s="10" t="str">
        <f>HYPERLINK("https://pbs.twimg.com/profile_images/687354058798137344/Vzvo0AAu_normal.jpg","View")</f>
        <v>View</v>
      </c>
      <c r="P2904" s="11"/>
    </row>
    <row r="2905" spans="1:16" ht="12.75" x14ac:dyDescent="0.35">
      <c r="A2905" s="7">
        <v>42483.625717592593</v>
      </c>
      <c r="B2905" s="8" t="str">
        <f>HYPERLINK("https://twitter.com/robertgaertner","@robertgaertner")</f>
        <v>@robertgaertner</v>
      </c>
      <c r="C2905" s="9" t="s">
        <v>4968</v>
      </c>
      <c r="D2905" s="9" t="s">
        <v>4969</v>
      </c>
      <c r="E2905" s="10" t="str">
        <f>HYPERLINK("https://twitter.com/robertgaertner/status/723806376892456960","723806376892456960")</f>
        <v>723806376892456960</v>
      </c>
      <c r="F2905" s="11" t="s">
        <v>25</v>
      </c>
      <c r="G2905" s="11">
        <v>45</v>
      </c>
      <c r="H2905" s="11">
        <v>195</v>
      </c>
      <c r="I2905" s="11">
        <v>0</v>
      </c>
      <c r="J2905" s="11">
        <v>0</v>
      </c>
      <c r="K2905" s="11" t="s">
        <v>21</v>
      </c>
      <c r="L2905" s="7">
        <v>39982.516446759255</v>
      </c>
      <c r="M2905" s="12" t="s">
        <v>2741</v>
      </c>
      <c r="N2905" s="12"/>
      <c r="O2905" s="10" t="str">
        <f>HYPERLINK("https://pbs.twimg.com/profile_images/489067160/5-1024_normal.jpg","View")</f>
        <v>View</v>
      </c>
      <c r="P2905" s="11"/>
    </row>
    <row r="2906" spans="1:16" ht="12.75" x14ac:dyDescent="0.35">
      <c r="A2906" s="7">
        <v>42483.628877314812</v>
      </c>
      <c r="B2906" s="8" t="str">
        <f>HYPERLINK("https://twitter.com/BerndHops","@BerndHops")</f>
        <v>@BerndHops</v>
      </c>
      <c r="C2906" s="9" t="s">
        <v>4847</v>
      </c>
      <c r="D2906" s="9" t="s">
        <v>4970</v>
      </c>
      <c r="E2906" s="10" t="str">
        <f>HYPERLINK("https://twitter.com/BerndHops/status/723807522054909952","723807522054909952")</f>
        <v>723807522054909952</v>
      </c>
      <c r="F2906" s="11" t="s">
        <v>31</v>
      </c>
      <c r="G2906" s="11">
        <v>83</v>
      </c>
      <c r="H2906" s="11">
        <v>194</v>
      </c>
      <c r="I2906" s="11">
        <v>1</v>
      </c>
      <c r="J2906" s="11">
        <v>0</v>
      </c>
      <c r="K2906" s="11" t="s">
        <v>21</v>
      </c>
      <c r="L2906" s="7">
        <v>42104.85092592593</v>
      </c>
      <c r="M2906" s="12" t="s">
        <v>440</v>
      </c>
      <c r="N2906" s="12" t="s">
        <v>4848</v>
      </c>
      <c r="O2906" s="10" t="str">
        <f>HYPERLINK("https://pbs.twimg.com/profile_images/706510515703521284/ajsG565v_normal.jpg","View")</f>
        <v>View</v>
      </c>
      <c r="P2906" s="11"/>
    </row>
    <row r="2907" spans="1:16" ht="12.75" x14ac:dyDescent="0.35">
      <c r="A2907" s="7">
        <v>42483.630347222221</v>
      </c>
      <c r="B2907" s="8" t="str">
        <f>HYPERLINK("https://twitter.com/edmundkomar","@edmundkomar")</f>
        <v>@edmundkomar</v>
      </c>
      <c r="C2907" s="9" t="s">
        <v>3637</v>
      </c>
      <c r="D2907" s="9" t="s">
        <v>4971</v>
      </c>
      <c r="E2907" s="10" t="str">
        <f>HYPERLINK("https://twitter.com/edmundkomar/status/723808053838135296","723808053838135296")</f>
        <v>723808053838135296</v>
      </c>
      <c r="F2907" s="11" t="s">
        <v>29</v>
      </c>
      <c r="G2907" s="11">
        <v>655</v>
      </c>
      <c r="H2907" s="11">
        <v>693</v>
      </c>
      <c r="I2907" s="11">
        <v>2</v>
      </c>
      <c r="J2907" s="11">
        <v>1</v>
      </c>
      <c r="K2907" s="11" t="s">
        <v>21</v>
      </c>
      <c r="L2907" s="7">
        <v>40566.840081018519</v>
      </c>
      <c r="M2907" s="12" t="s">
        <v>92</v>
      </c>
      <c r="N2907" s="12" t="s">
        <v>3638</v>
      </c>
      <c r="O2907" s="10" t="str">
        <f>HYPERLINK("https://pbs.twimg.com/profile_images/2389009916/image_normal.jpg","View")</f>
        <v>View</v>
      </c>
      <c r="P2907" s="11"/>
    </row>
    <row r="2908" spans="1:16" ht="12.75" x14ac:dyDescent="0.35">
      <c r="A2908" s="7">
        <v>42483.631990740745</v>
      </c>
      <c r="B2908" s="8" t="str">
        <f>HYPERLINK("https://twitter.com/HolgerPaul66","@HolgerPaul66")</f>
        <v>@HolgerPaul66</v>
      </c>
      <c r="C2908" s="9" t="s">
        <v>596</v>
      </c>
      <c r="D2908" s="9" t="s">
        <v>4927</v>
      </c>
      <c r="E2908" s="10" t="str">
        <f>HYPERLINK("https://twitter.com/HolgerPaul66/status/723808649865519106","723808649865519106")</f>
        <v>723808649865519106</v>
      </c>
      <c r="F2908" s="11" t="s">
        <v>29</v>
      </c>
      <c r="G2908" s="11">
        <v>78</v>
      </c>
      <c r="H2908" s="11">
        <v>76</v>
      </c>
      <c r="I2908" s="11">
        <v>2</v>
      </c>
      <c r="J2908" s="11">
        <v>0</v>
      </c>
      <c r="K2908" s="11" t="s">
        <v>21</v>
      </c>
      <c r="L2908" s="7">
        <v>41917.765775462962</v>
      </c>
      <c r="M2908" s="12"/>
      <c r="N2908" s="12"/>
      <c r="O2908" s="10" t="str">
        <f>HYPERLINK("https://pbs.twimg.com/profile_images/525998513264410624/ZHDocuJo_normal.jpeg","View")</f>
        <v>View</v>
      </c>
      <c r="P2908" s="11"/>
    </row>
    <row r="2909" spans="1:16" ht="12.75" x14ac:dyDescent="0.35">
      <c r="A2909" s="7">
        <v>42483.63212962963</v>
      </c>
      <c r="B2909" s="8" t="str">
        <f>HYPERLINK("https://twitter.com/BoschPresse","@BoschPresse")</f>
        <v>@BoschPresse</v>
      </c>
      <c r="C2909" s="9" t="s">
        <v>1782</v>
      </c>
      <c r="D2909" s="9" t="s">
        <v>4972</v>
      </c>
      <c r="E2909" s="10" t="str">
        <f>HYPERLINK("https://twitter.com/BoschPresse/status/723808698515263488","723808698515263488")</f>
        <v>723808698515263488</v>
      </c>
      <c r="F2909" s="11" t="s">
        <v>39</v>
      </c>
      <c r="G2909" s="11">
        <v>7589</v>
      </c>
      <c r="H2909" s="11">
        <v>389</v>
      </c>
      <c r="I2909" s="11">
        <v>1</v>
      </c>
      <c r="J2909" s="11">
        <v>0</v>
      </c>
      <c r="K2909" s="11" t="s">
        <v>21</v>
      </c>
      <c r="L2909" s="7">
        <v>40991.629687499997</v>
      </c>
      <c r="M2909" s="12" t="s">
        <v>162</v>
      </c>
      <c r="N2909" s="12" t="s">
        <v>1784</v>
      </c>
      <c r="O2909" s="10" t="str">
        <f>HYPERLINK("https://pbs.twimg.com/profile_images/2619086509/ld3z97zhhdbs2essw7s9_normal.jpeg","View")</f>
        <v>View</v>
      </c>
      <c r="P2909" s="11"/>
    </row>
    <row r="2910" spans="1:16" ht="12.75" x14ac:dyDescent="0.35">
      <c r="A2910" s="7">
        <v>42483.633298611108</v>
      </c>
      <c r="B2910" s="8" t="str">
        <f t="shared" ref="B2910:B2911" si="368">HYPERLINK("https://twitter.com/INDIZbot","@INDIZbot")</f>
        <v>@INDIZbot</v>
      </c>
      <c r="C2910" s="9" t="s">
        <v>61</v>
      </c>
      <c r="D2910" s="9" t="s">
        <v>4973</v>
      </c>
      <c r="E2910" s="10" t="str">
        <f>HYPERLINK("https://twitter.com/INDIZbot/status/723809122605473792","723809122605473792")</f>
        <v>723809122605473792</v>
      </c>
      <c r="F2910" s="11" t="s">
        <v>62</v>
      </c>
      <c r="G2910" s="11">
        <v>1777</v>
      </c>
      <c r="H2910" s="11">
        <v>482</v>
      </c>
      <c r="I2910" s="11">
        <v>1</v>
      </c>
      <c r="J2910" s="11">
        <v>0</v>
      </c>
      <c r="K2910" s="11" t="s">
        <v>21</v>
      </c>
      <c r="L2910" s="7">
        <v>42267.011921296296</v>
      </c>
      <c r="M2910" s="12"/>
      <c r="N2910" s="12" t="s">
        <v>63</v>
      </c>
      <c r="O2910" s="10" t="str">
        <f t="shared" ref="O2910:O2911" si="369">HYPERLINK("https://pbs.twimg.com/profile_images/645716711723925506/t5G0qOS6_normal.jpg","View")</f>
        <v>View</v>
      </c>
      <c r="P2910" s="11"/>
    </row>
    <row r="2911" spans="1:16" ht="12.75" x14ac:dyDescent="0.35">
      <c r="A2911" s="7">
        <v>42483.633599537032</v>
      </c>
      <c r="B2911" s="8" t="str">
        <f t="shared" si="368"/>
        <v>@INDIZbot</v>
      </c>
      <c r="C2911" s="9" t="s">
        <v>61</v>
      </c>
      <c r="D2911" s="9" t="s">
        <v>4974</v>
      </c>
      <c r="E2911" s="10" t="str">
        <f>HYPERLINK("https://twitter.com/INDIZbot/status/723809233389625344","723809233389625344")</f>
        <v>723809233389625344</v>
      </c>
      <c r="F2911" s="11" t="s">
        <v>62</v>
      </c>
      <c r="G2911" s="11">
        <v>1777</v>
      </c>
      <c r="H2911" s="11">
        <v>482</v>
      </c>
      <c r="I2911" s="11">
        <v>2</v>
      </c>
      <c r="J2911" s="11">
        <v>0</v>
      </c>
      <c r="K2911" s="11" t="s">
        <v>21</v>
      </c>
      <c r="L2911" s="7">
        <v>42267.011921296296</v>
      </c>
      <c r="M2911" s="12"/>
      <c r="N2911" s="12" t="s">
        <v>63</v>
      </c>
      <c r="O2911" s="10" t="str">
        <f t="shared" si="369"/>
        <v>View</v>
      </c>
      <c r="P2911" s="11"/>
    </row>
    <row r="2912" spans="1:16" ht="12.75" x14ac:dyDescent="0.35">
      <c r="A2912" s="7">
        <v>42483.633969907409</v>
      </c>
      <c r="B2912" s="8" t="str">
        <f>HYPERLINK("https://twitter.com/stromab","@stromab")</f>
        <v>@stromab</v>
      </c>
      <c r="C2912" s="9" t="s">
        <v>4975</v>
      </c>
      <c r="D2912" s="9" t="s">
        <v>4974</v>
      </c>
      <c r="E2912" s="10" t="str">
        <f>HYPERLINK("https://twitter.com/stromab/status/723809367267676160","723809367267676160")</f>
        <v>723809367267676160</v>
      </c>
      <c r="F2912" s="11" t="s">
        <v>31</v>
      </c>
      <c r="G2912" s="11">
        <v>65</v>
      </c>
      <c r="H2912" s="11">
        <v>160</v>
      </c>
      <c r="I2912" s="11">
        <v>2</v>
      </c>
      <c r="J2912" s="11">
        <v>0</v>
      </c>
      <c r="K2912" s="11" t="s">
        <v>21</v>
      </c>
      <c r="L2912" s="7">
        <v>39569.556354166663</v>
      </c>
      <c r="M2912" s="12" t="s">
        <v>4976</v>
      </c>
      <c r="N2912" s="12" t="s">
        <v>4977</v>
      </c>
      <c r="O2912" s="10" t="str">
        <f>HYPERLINK("https://pbs.twimg.com/profile_images/522476101872795648/WyNxC2n7_normal.jpeg","View")</f>
        <v>View</v>
      </c>
      <c r="P2912" s="11"/>
    </row>
    <row r="2913" spans="1:16" ht="12.75" x14ac:dyDescent="0.35">
      <c r="A2913" s="7">
        <v>42483.639537037037</v>
      </c>
      <c r="B2913" s="8" t="str">
        <f>HYPERLINK("https://twitter.com/j_beenen","@j_beenen")</f>
        <v>@j_beenen</v>
      </c>
      <c r="C2913" s="9" t="s">
        <v>4978</v>
      </c>
      <c r="D2913" s="9" t="s">
        <v>4979</v>
      </c>
      <c r="E2913" s="10" t="str">
        <f>HYPERLINK("https://twitter.com/j_beenen/status/723811385159852032","723811385159852032")</f>
        <v>723811385159852032</v>
      </c>
      <c r="F2913" s="11" t="s">
        <v>20</v>
      </c>
      <c r="G2913" s="11">
        <v>34</v>
      </c>
      <c r="H2913" s="11">
        <v>113</v>
      </c>
      <c r="I2913" s="11">
        <v>0</v>
      </c>
      <c r="J2913" s="11">
        <v>0</v>
      </c>
      <c r="K2913" s="11" t="s">
        <v>21</v>
      </c>
      <c r="L2913" s="7">
        <v>42470.959178240737</v>
      </c>
      <c r="M2913" s="12"/>
      <c r="N2913" s="12" t="s">
        <v>4980</v>
      </c>
      <c r="O2913" s="10" t="str">
        <f>HYPERLINK("https://pbs.twimg.com/profile_images/719493338953609216/HOWuI2Az_normal.jpg","View")</f>
        <v>View</v>
      </c>
      <c r="P2913" s="11"/>
    </row>
    <row r="2914" spans="1:16" ht="12.75" x14ac:dyDescent="0.35">
      <c r="A2914" s="7">
        <v>42483.641250000001</v>
      </c>
      <c r="B2914" s="8" t="str">
        <f>HYPERLINK("https://twitter.com/DanielKueng","@DanielKueng")</f>
        <v>@DanielKueng</v>
      </c>
      <c r="C2914" s="9" t="s">
        <v>4162</v>
      </c>
      <c r="D2914" s="9" t="s">
        <v>4981</v>
      </c>
      <c r="E2914" s="10" t="str">
        <f>HYPERLINK("https://twitter.com/DanielKueng/status/723812005556158464","723812005556158464")</f>
        <v>723812005556158464</v>
      </c>
      <c r="F2914" s="11" t="s">
        <v>25</v>
      </c>
      <c r="G2914" s="11">
        <v>674</v>
      </c>
      <c r="H2914" s="11">
        <v>53</v>
      </c>
      <c r="I2914" s="11">
        <v>0</v>
      </c>
      <c r="J2914" s="11">
        <v>0</v>
      </c>
      <c r="K2914" s="11" t="s">
        <v>21</v>
      </c>
      <c r="L2914" s="7">
        <v>40231.525995370372</v>
      </c>
      <c r="M2914" s="12" t="s">
        <v>4164</v>
      </c>
      <c r="N2914" s="12" t="s">
        <v>4165</v>
      </c>
      <c r="O2914" s="10" t="str">
        <f>HYPERLINK("https://pbs.twimg.com/profile_images/709490937043492865/GYoQPOCZ_normal.jpg","View")</f>
        <v>View</v>
      </c>
      <c r="P2914" s="11"/>
    </row>
    <row r="2915" spans="1:16" ht="12.75" x14ac:dyDescent="0.35">
      <c r="A2915" s="7">
        <v>42483.64435185185</v>
      </c>
      <c r="B2915" s="8" t="str">
        <f>HYPERLINK("https://twitter.com/DigitalTrans_HS","@DigitalTrans_HS")</f>
        <v>@DigitalTrans_HS</v>
      </c>
      <c r="C2915" s="9" t="s">
        <v>3650</v>
      </c>
      <c r="D2915" s="9" t="s">
        <v>4982</v>
      </c>
      <c r="E2915" s="10" t="str">
        <f>HYPERLINK("https://twitter.com/DigitalTrans_HS/status/723813130913107968","723813130913107968")</f>
        <v>723813130913107968</v>
      </c>
      <c r="F2915" s="11" t="s">
        <v>39</v>
      </c>
      <c r="G2915" s="11">
        <v>523</v>
      </c>
      <c r="H2915" s="11">
        <v>22</v>
      </c>
      <c r="I2915" s="11">
        <v>0</v>
      </c>
      <c r="J2915" s="11">
        <v>0</v>
      </c>
      <c r="K2915" s="11" t="s">
        <v>21</v>
      </c>
      <c r="L2915" s="7">
        <v>42030.804988425924</v>
      </c>
      <c r="M2915" s="12" t="s">
        <v>3652</v>
      </c>
      <c r="N2915" s="12" t="s">
        <v>3653</v>
      </c>
      <c r="O2915" s="10" t="str">
        <f>HYPERLINK("https://pbs.twimg.com/profile_images/685894100067991553/nISPLP0O_normal.jpg","View")</f>
        <v>View</v>
      </c>
      <c r="P2915" s="11"/>
    </row>
    <row r="2916" spans="1:16" ht="12.75" x14ac:dyDescent="0.35">
      <c r="A2916" s="7">
        <v>42483.64644675926</v>
      </c>
      <c r="B2916" s="8" t="str">
        <f>HYPERLINK("https://twitter.com/Fraunhofer_IPK","@Fraunhofer_IPK")</f>
        <v>@Fraunhofer_IPK</v>
      </c>
      <c r="C2916" s="9" t="s">
        <v>4983</v>
      </c>
      <c r="D2916" s="9" t="s">
        <v>4984</v>
      </c>
      <c r="E2916" s="10" t="str">
        <f>HYPERLINK("https://twitter.com/Fraunhofer_IPK/status/723813888664416258","723813888664416258")</f>
        <v>723813888664416258</v>
      </c>
      <c r="F2916" s="11" t="s">
        <v>1712</v>
      </c>
      <c r="G2916" s="11">
        <v>42</v>
      </c>
      <c r="H2916" s="11">
        <v>46</v>
      </c>
      <c r="I2916" s="11">
        <v>0</v>
      </c>
      <c r="J2916" s="11">
        <v>0</v>
      </c>
      <c r="K2916" s="11" t="s">
        <v>21</v>
      </c>
      <c r="L2916" s="7">
        <v>42257.735787037032</v>
      </c>
      <c r="M2916" s="12" t="s">
        <v>116</v>
      </c>
      <c r="N2916" s="12" t="s">
        <v>4985</v>
      </c>
      <c r="O2916" s="10" t="str">
        <f>HYPERLINK("https://pbs.twimg.com/profile_images/641947928584712192/ipWeRmfs_normal.png","View")</f>
        <v>View</v>
      </c>
      <c r="P2916" s="11"/>
    </row>
    <row r="2917" spans="1:16" ht="12.75" x14ac:dyDescent="0.35">
      <c r="A2917" s="7">
        <v>42483.648344907408</v>
      </c>
      <c r="B2917" s="8" t="str">
        <f>HYPERLINK("https://twitter.com/H_IT_D","@H_IT_D")</f>
        <v>@H_IT_D</v>
      </c>
      <c r="C2917" s="9" t="s">
        <v>159</v>
      </c>
      <c r="D2917" s="9" t="s">
        <v>4986</v>
      </c>
      <c r="E2917" s="10" t="str">
        <f>HYPERLINK("https://twitter.com/H_IT_D/status/723814576450506752","723814576450506752")</f>
        <v>723814576450506752</v>
      </c>
      <c r="F2917" s="11" t="s">
        <v>161</v>
      </c>
      <c r="G2917" s="11">
        <v>466</v>
      </c>
      <c r="H2917" s="11">
        <v>466</v>
      </c>
      <c r="I2917" s="11">
        <v>0</v>
      </c>
      <c r="J2917" s="11">
        <v>0</v>
      </c>
      <c r="K2917" s="11" t="s">
        <v>21</v>
      </c>
      <c r="L2917" s="7">
        <v>40723.867673611108</v>
      </c>
      <c r="M2917" s="12" t="s">
        <v>162</v>
      </c>
      <c r="N2917" s="12" t="s">
        <v>163</v>
      </c>
      <c r="O2917" s="10" t="str">
        <f>HYPERLINK("https://pbs.twimg.com/profile_images/662723326096224256/5V4KH9_O_normal.jpg","View")</f>
        <v>View</v>
      </c>
      <c r="P2917" s="11"/>
    </row>
    <row r="2918" spans="1:16" ht="12.75" x14ac:dyDescent="0.35">
      <c r="A2918" s="7">
        <v>42483.649016203708</v>
      </c>
      <c r="B2918" s="8" t="str">
        <f>HYPERLINK("https://twitter.com/BDI_TTIP","@BDI_TTIP")</f>
        <v>@BDI_TTIP</v>
      </c>
      <c r="C2918" s="9" t="s">
        <v>4987</v>
      </c>
      <c r="D2918" s="9" t="s">
        <v>4988</v>
      </c>
      <c r="E2918" s="10" t="str">
        <f>HYPERLINK("https://twitter.com/BDI_TTIP/status/723814818164183041","723814818164183041")</f>
        <v>723814818164183041</v>
      </c>
      <c r="F2918" s="11" t="s">
        <v>25</v>
      </c>
      <c r="G2918" s="11">
        <v>1660</v>
      </c>
      <c r="H2918" s="11">
        <v>2367</v>
      </c>
      <c r="I2918" s="11">
        <v>2</v>
      </c>
      <c r="J2918" s="11">
        <v>2</v>
      </c>
      <c r="K2918" s="11" t="s">
        <v>21</v>
      </c>
      <c r="L2918" s="7">
        <v>42179.854861111111</v>
      </c>
      <c r="M2918" s="12" t="s">
        <v>92</v>
      </c>
      <c r="N2918" s="12" t="s">
        <v>4989</v>
      </c>
      <c r="O2918" s="10" t="str">
        <f>HYPERLINK("https://pbs.twimg.com/profile_images/613736257013829633/hZjw40vm_normal.jpg","View")</f>
        <v>View</v>
      </c>
      <c r="P2918" s="11"/>
    </row>
    <row r="2919" spans="1:16" ht="12.75" x14ac:dyDescent="0.35">
      <c r="A2919" s="7">
        <v>42483.650300925925</v>
      </c>
      <c r="B2919" s="8" t="str">
        <f>HYPERLINK("https://twitter.com/ArminLaschet","@ArminLaschet")</f>
        <v>@ArminLaschet</v>
      </c>
      <c r="C2919" s="9" t="s">
        <v>4990</v>
      </c>
      <c r="D2919" s="9" t="s">
        <v>4991</v>
      </c>
      <c r="E2919" s="10" t="str">
        <f>HYPERLINK("https://twitter.com/ArminLaschet/status/723815283534733312","723815283534733312")</f>
        <v>723815283534733312</v>
      </c>
      <c r="F2919" s="11" t="s">
        <v>31</v>
      </c>
      <c r="G2919" s="11">
        <v>7594</v>
      </c>
      <c r="H2919" s="11">
        <v>612</v>
      </c>
      <c r="I2919" s="11">
        <v>2</v>
      </c>
      <c r="J2919" s="11">
        <v>0</v>
      </c>
      <c r="K2919" s="11" t="s">
        <v>21</v>
      </c>
      <c r="L2919" s="7">
        <v>41172.780150462961</v>
      </c>
      <c r="M2919" s="12" t="s">
        <v>4992</v>
      </c>
      <c r="N2919" s="12" t="s">
        <v>4993</v>
      </c>
      <c r="O2919" s="10" t="str">
        <f>HYPERLINK("https://pbs.twimg.com/profile_images/581820655919894528/dFT2Qrci_normal.jpg","View")</f>
        <v>View</v>
      </c>
      <c r="P2919" s="11"/>
    </row>
    <row r="2920" spans="1:16" ht="12.75" x14ac:dyDescent="0.35">
      <c r="A2920" s="7">
        <v>42483.653344907405</v>
      </c>
      <c r="B2920" s="8" t="str">
        <f>HYPERLINK("https://twitter.com/Hallaschka_HH","@Hallaschka_HH")</f>
        <v>@Hallaschka_HH</v>
      </c>
      <c r="C2920" s="9" t="s">
        <v>4994</v>
      </c>
      <c r="D2920" s="9" t="s">
        <v>4991</v>
      </c>
      <c r="E2920" s="10" t="str">
        <f>HYPERLINK("https://twitter.com/Hallaschka_HH/status/723816387370737664","723816387370737664")</f>
        <v>723816387370737664</v>
      </c>
      <c r="F2920" s="11" t="s">
        <v>31</v>
      </c>
      <c r="G2920" s="11">
        <v>592</v>
      </c>
      <c r="H2920" s="11">
        <v>1020</v>
      </c>
      <c r="I2920" s="11">
        <v>2</v>
      </c>
      <c r="J2920" s="11">
        <v>0</v>
      </c>
      <c r="K2920" s="11" t="s">
        <v>21</v>
      </c>
      <c r="L2920" s="7">
        <v>42061.753564814819</v>
      </c>
      <c r="M2920" s="12" t="s">
        <v>4995</v>
      </c>
      <c r="N2920" s="12" t="s">
        <v>4996</v>
      </c>
      <c r="O2920" s="10" t="str">
        <f>HYPERLINK("https://pbs.twimg.com/profile_images/668824909116809220/Wb-7Gely_normal.jpg","View")</f>
        <v>View</v>
      </c>
      <c r="P2920" s="11"/>
    </row>
    <row r="2921" spans="1:16" ht="12.75" x14ac:dyDescent="0.35">
      <c r="A2921" s="7">
        <v>42483.653368055559</v>
      </c>
      <c r="B2921" s="8" t="str">
        <f>HYPERLINK("https://twitter.com/Alleantiasrl","@Alleantiasrl")</f>
        <v>@Alleantiasrl</v>
      </c>
      <c r="C2921" s="9" t="s">
        <v>4997</v>
      </c>
      <c r="D2921" s="9" t="s">
        <v>4998</v>
      </c>
      <c r="E2921" s="10" t="str">
        <f>HYPERLINK("https://twitter.com/Alleantiasrl/status/723816394819796993","723816394819796993")</f>
        <v>723816394819796993</v>
      </c>
      <c r="F2921" s="11" t="s">
        <v>25</v>
      </c>
      <c r="G2921" s="11">
        <v>634</v>
      </c>
      <c r="H2921" s="11">
        <v>1434</v>
      </c>
      <c r="I2921" s="11">
        <v>0</v>
      </c>
      <c r="J2921" s="11">
        <v>0</v>
      </c>
      <c r="K2921" s="11" t="s">
        <v>21</v>
      </c>
      <c r="L2921" s="7">
        <v>40813.793541666666</v>
      </c>
      <c r="M2921" s="12"/>
      <c r="N2921" s="12" t="s">
        <v>4999</v>
      </c>
      <c r="O2921" s="10" t="str">
        <f>HYPERLINK("https://pbs.twimg.com/profile_images/597736386381352960/cF4axGNr_normal.png","View")</f>
        <v>View</v>
      </c>
      <c r="P2921" s="11"/>
    </row>
    <row r="2922" spans="1:16" ht="12.75" x14ac:dyDescent="0.35">
      <c r="A2922" s="7">
        <v>42483.665358796294</v>
      </c>
      <c r="B2922" s="8" t="str">
        <f>HYPERLINK("https://twitter.com/IngVersteher","@IngVersteher")</f>
        <v>@IngVersteher</v>
      </c>
      <c r="C2922" s="9" t="s">
        <v>5000</v>
      </c>
      <c r="D2922" s="9" t="s">
        <v>5001</v>
      </c>
      <c r="E2922" s="10" t="str">
        <f>HYPERLINK("https://twitter.com/IngVersteher/status/723820743008628736","723820743008628736")</f>
        <v>723820743008628736</v>
      </c>
      <c r="F2922" s="11" t="s">
        <v>25</v>
      </c>
      <c r="G2922" s="11">
        <v>1508</v>
      </c>
      <c r="H2922" s="11">
        <v>1146</v>
      </c>
      <c r="I2922" s="11">
        <v>0</v>
      </c>
      <c r="J2922" s="11">
        <v>0</v>
      </c>
      <c r="K2922" s="11" t="s">
        <v>21</v>
      </c>
      <c r="L2922" s="7">
        <v>41744.044259259259</v>
      </c>
      <c r="M2922" s="12" t="s">
        <v>5002</v>
      </c>
      <c r="N2922" s="12" t="s">
        <v>5003</v>
      </c>
      <c r="O2922" s="10" t="str">
        <f>HYPERLINK("https://pbs.twimg.com/profile_images/662218041833480192/KybAndDY_normal.jpg","View")</f>
        <v>View</v>
      </c>
      <c r="P2922" s="11"/>
    </row>
    <row r="2923" spans="1:16" ht="12.75" x14ac:dyDescent="0.35">
      <c r="A2923" s="7">
        <v>42483.666446759264</v>
      </c>
      <c r="B2923" s="8" t="str">
        <f>HYPERLINK("https://twitter.com/YasharAzad","@YasharAzad")</f>
        <v>@YasharAzad</v>
      </c>
      <c r="C2923" s="9" t="s">
        <v>5004</v>
      </c>
      <c r="D2923" s="9" t="s">
        <v>5005</v>
      </c>
      <c r="E2923" s="10" t="str">
        <f>HYPERLINK("https://twitter.com/YasharAzad/status/723821135138312192","723821135138312192")</f>
        <v>723821135138312192</v>
      </c>
      <c r="F2923" s="11" t="s">
        <v>31</v>
      </c>
      <c r="G2923" s="11">
        <v>341</v>
      </c>
      <c r="H2923" s="11">
        <v>295</v>
      </c>
      <c r="I2923" s="11">
        <v>0</v>
      </c>
      <c r="J2923" s="11">
        <v>0</v>
      </c>
      <c r="K2923" s="11" t="s">
        <v>21</v>
      </c>
      <c r="L2923" s="7">
        <v>39899.711585648147</v>
      </c>
      <c r="M2923" s="12" t="s">
        <v>5006</v>
      </c>
      <c r="N2923" s="12" t="s">
        <v>5007</v>
      </c>
      <c r="O2923" s="10" t="str">
        <f>HYPERLINK("https://pbs.twimg.com/profile_images/589085549564186624/DdqwNz5R_normal.jpg","View")</f>
        <v>View</v>
      </c>
      <c r="P2923" s="11"/>
    </row>
    <row r="2924" spans="1:16" ht="12.75" x14ac:dyDescent="0.35">
      <c r="A2924" s="7">
        <v>42483.674409722225</v>
      </c>
      <c r="B2924" s="8" t="str">
        <f>HYPERLINK("https://twitter.com/roncza","@roncza")</f>
        <v>@roncza</v>
      </c>
      <c r="C2924" s="9" t="s">
        <v>5008</v>
      </c>
      <c r="D2924" s="9" t="s">
        <v>4933</v>
      </c>
      <c r="E2924" s="10" t="str">
        <f>HYPERLINK("https://twitter.com/roncza/status/723824021591171072","723824021591171072")</f>
        <v>723824021591171072</v>
      </c>
      <c r="F2924" s="11" t="s">
        <v>20</v>
      </c>
      <c r="G2924" s="11">
        <v>1043</v>
      </c>
      <c r="H2924" s="11">
        <v>1714</v>
      </c>
      <c r="I2924" s="11">
        <v>3</v>
      </c>
      <c r="J2924" s="11">
        <v>0</v>
      </c>
      <c r="K2924" s="11" t="s">
        <v>21</v>
      </c>
      <c r="L2924" s="7">
        <v>39983.520671296297</v>
      </c>
      <c r="M2924" s="12" t="s">
        <v>227</v>
      </c>
      <c r="N2924" s="12" t="s">
        <v>5009</v>
      </c>
      <c r="O2924" s="10" t="str">
        <f>HYPERLINK("https://pbs.twimg.com/profile_images/378800000406906661/149175410caa2e6cd6a91c3c34ed0d1d_normal.jpeg","View")</f>
        <v>View</v>
      </c>
      <c r="P2924" s="11"/>
    </row>
    <row r="2925" spans="1:16" ht="12.75" x14ac:dyDescent="0.35">
      <c r="A2925" s="7">
        <v>42483.678449074076</v>
      </c>
      <c r="B2925" s="8" t="str">
        <f>HYPERLINK("https://twitter.com/THINK_ING","@THINK_ING")</f>
        <v>@THINK_ING</v>
      </c>
      <c r="C2925" s="9" t="s">
        <v>3016</v>
      </c>
      <c r="D2925" s="9" t="s">
        <v>5010</v>
      </c>
      <c r="E2925" s="10" t="str">
        <f>HYPERLINK("https://twitter.com/THINK_ING/status/723825484996456452","723825484996456452")</f>
        <v>723825484996456452</v>
      </c>
      <c r="F2925" s="11" t="s">
        <v>25</v>
      </c>
      <c r="G2925" s="11">
        <v>2831</v>
      </c>
      <c r="H2925" s="11">
        <v>559</v>
      </c>
      <c r="I2925" s="11">
        <v>1</v>
      </c>
      <c r="J2925" s="11">
        <v>0</v>
      </c>
      <c r="K2925" s="11" t="s">
        <v>21</v>
      </c>
      <c r="L2925" s="7">
        <v>39918.776770833334</v>
      </c>
      <c r="M2925" s="12" t="s">
        <v>218</v>
      </c>
      <c r="N2925" s="12" t="s">
        <v>3018</v>
      </c>
      <c r="O2925" s="10" t="str">
        <f>HYPERLINK("https://pbs.twimg.com/profile_images/3191720682/19efed020ebf3a2098abea8c1436d948_normal.jpeg","View")</f>
        <v>View</v>
      </c>
      <c r="P2925" s="11"/>
    </row>
    <row r="2926" spans="1:16" ht="12.75" x14ac:dyDescent="0.35">
      <c r="A2926" s="7">
        <v>42483.681643518517</v>
      </c>
      <c r="B2926" s="8" t="str">
        <f>HYPERLINK("https://twitter.com/indranilsircar","@indranilsircar")</f>
        <v>@indranilsircar</v>
      </c>
      <c r="C2926" s="9" t="s">
        <v>5011</v>
      </c>
      <c r="D2926" s="9" t="s">
        <v>5012</v>
      </c>
      <c r="E2926" s="10" t="str">
        <f>HYPERLINK("https://twitter.com/indranilsircar/status/723826642276233217","723826642276233217")</f>
        <v>723826642276233217</v>
      </c>
      <c r="F2926" s="11" t="s">
        <v>25</v>
      </c>
      <c r="G2926" s="11">
        <v>88</v>
      </c>
      <c r="H2926" s="11">
        <v>79</v>
      </c>
      <c r="I2926" s="11">
        <v>0</v>
      </c>
      <c r="J2926" s="11">
        <v>0</v>
      </c>
      <c r="K2926" s="11" t="s">
        <v>21</v>
      </c>
      <c r="L2926" s="7">
        <v>39889.113194444442</v>
      </c>
      <c r="M2926" s="12" t="s">
        <v>5013</v>
      </c>
      <c r="N2926" s="12" t="s">
        <v>5014</v>
      </c>
      <c r="O2926" s="10" t="str">
        <f>HYPERLINK("https://pbs.twimg.com/profile_images/2763363533/49b4e33373dcb680d42bb592875c3684_normal.png","View")</f>
        <v>View</v>
      </c>
      <c r="P2926" s="11"/>
    </row>
    <row r="2927" spans="1:16" ht="12.75" x14ac:dyDescent="0.35">
      <c r="A2927" s="7">
        <v>42483.681874999995</v>
      </c>
      <c r="B2927" s="8" t="str">
        <f>HYPERLINK("https://twitter.com/INDIZbot","@INDIZbot")</f>
        <v>@INDIZbot</v>
      </c>
      <c r="C2927" s="9" t="s">
        <v>61</v>
      </c>
      <c r="D2927" s="9" t="s">
        <v>5015</v>
      </c>
      <c r="E2927" s="10" t="str">
        <f>HYPERLINK("https://twitter.com/INDIZbot/status/723826725659000836","723826725659000836")</f>
        <v>723826725659000836</v>
      </c>
      <c r="F2927" s="11" t="s">
        <v>62</v>
      </c>
      <c r="G2927" s="11">
        <v>1779</v>
      </c>
      <c r="H2927" s="11">
        <v>482</v>
      </c>
      <c r="I2927" s="11">
        <v>1</v>
      </c>
      <c r="J2927" s="11">
        <v>0</v>
      </c>
      <c r="K2927" s="11" t="s">
        <v>21</v>
      </c>
      <c r="L2927" s="7">
        <v>42267.011921296296</v>
      </c>
      <c r="M2927" s="12"/>
      <c r="N2927" s="12" t="s">
        <v>63</v>
      </c>
      <c r="O2927" s="10" t="str">
        <f>HYPERLINK("https://pbs.twimg.com/profile_images/645716711723925506/t5G0qOS6_normal.jpg","View")</f>
        <v>View</v>
      </c>
      <c r="P2927" s="11"/>
    </row>
    <row r="2928" spans="1:16" ht="12.75" x14ac:dyDescent="0.35">
      <c r="A2928" s="7">
        <v>42483.682060185187</v>
      </c>
      <c r="B2928" s="8" t="str">
        <f>HYPERLINK("https://twitter.com/verlinked","@verlinked")</f>
        <v>@verlinked</v>
      </c>
      <c r="C2928" s="9" t="s">
        <v>263</v>
      </c>
      <c r="D2928" s="9" t="s">
        <v>5016</v>
      </c>
      <c r="E2928" s="10" t="str">
        <f>HYPERLINK("https://twitter.com/verlinked/status/723826795259265024","723826795259265024")</f>
        <v>723826795259265024</v>
      </c>
      <c r="F2928" s="11" t="s">
        <v>115</v>
      </c>
      <c r="G2928" s="11">
        <v>603</v>
      </c>
      <c r="H2928" s="11">
        <v>1203</v>
      </c>
      <c r="I2928" s="11">
        <v>0</v>
      </c>
      <c r="J2928" s="11">
        <v>1</v>
      </c>
      <c r="K2928" s="11" t="s">
        <v>21</v>
      </c>
      <c r="L2928" s="7">
        <v>41463.077627314815</v>
      </c>
      <c r="M2928" s="12" t="s">
        <v>265</v>
      </c>
      <c r="N2928" s="12" t="s">
        <v>266</v>
      </c>
      <c r="O2928" s="10" t="str">
        <f>HYPERLINK("https://pbs.twimg.com/profile_images/722385992343285760/ww8YLZ2q_normal.jpg","View")</f>
        <v>View</v>
      </c>
      <c r="P2928" s="11"/>
    </row>
    <row r="2929" spans="1:16" ht="12.75" x14ac:dyDescent="0.35">
      <c r="A2929" s="7">
        <v>42483.68813657407</v>
      </c>
      <c r="B2929" s="8" t="str">
        <f>HYPERLINK("https://twitter.com/MeinGeldMedien","@MeinGeldMedien")</f>
        <v>@MeinGeldMedien</v>
      </c>
      <c r="C2929" s="9" t="s">
        <v>302</v>
      </c>
      <c r="D2929" s="9" t="s">
        <v>2420</v>
      </c>
      <c r="E2929" s="10" t="str">
        <f>HYPERLINK("https://twitter.com/MeinGeldMedien/status/723828998351011840","723828998351011840")</f>
        <v>723828998351011840</v>
      </c>
      <c r="F2929" s="11" t="s">
        <v>39</v>
      </c>
      <c r="G2929" s="11">
        <v>695</v>
      </c>
      <c r="H2929" s="11">
        <v>583</v>
      </c>
      <c r="I2929" s="11">
        <v>0</v>
      </c>
      <c r="J2929" s="11">
        <v>0</v>
      </c>
      <c r="K2929" s="11" t="s">
        <v>21</v>
      </c>
      <c r="L2929" s="7">
        <v>41793.608449074076</v>
      </c>
      <c r="M2929" s="12" t="s">
        <v>218</v>
      </c>
      <c r="N2929" s="12" t="s">
        <v>304</v>
      </c>
      <c r="O2929" s="10" t="str">
        <f>HYPERLINK("https://pbs.twimg.com/profile_images/473759721023758338/3CcJL-Vq_normal.jpeg","View")</f>
        <v>View</v>
      </c>
      <c r="P2929" s="11"/>
    </row>
    <row r="2930" spans="1:16" ht="12.75" x14ac:dyDescent="0.35">
      <c r="A2930" s="7">
        <v>42483.689062500001</v>
      </c>
      <c r="B2930" s="8" t="str">
        <f>HYPERLINK("https://twitter.com/INDIZbot","@INDIZbot")</f>
        <v>@INDIZbot</v>
      </c>
      <c r="C2930" s="9" t="s">
        <v>61</v>
      </c>
      <c r="D2930" s="9" t="s">
        <v>5017</v>
      </c>
      <c r="E2930" s="10" t="str">
        <f>HYPERLINK("https://twitter.com/INDIZbot/status/723829331932393472","723829331932393472")</f>
        <v>723829331932393472</v>
      </c>
      <c r="F2930" s="11" t="s">
        <v>62</v>
      </c>
      <c r="G2930" s="11">
        <v>1779</v>
      </c>
      <c r="H2930" s="11">
        <v>482</v>
      </c>
      <c r="I2930" s="11">
        <v>1</v>
      </c>
      <c r="J2930" s="11">
        <v>0</v>
      </c>
      <c r="K2930" s="11" t="s">
        <v>21</v>
      </c>
      <c r="L2930" s="7">
        <v>42267.011921296296</v>
      </c>
      <c r="M2930" s="12"/>
      <c r="N2930" s="12" t="s">
        <v>63</v>
      </c>
      <c r="O2930" s="10" t="str">
        <f>HYPERLINK("https://pbs.twimg.com/profile_images/645716711723925506/t5G0qOS6_normal.jpg","View")</f>
        <v>View</v>
      </c>
      <c r="P2930" s="11"/>
    </row>
    <row r="2931" spans="1:16" ht="12.75" x14ac:dyDescent="0.35">
      <c r="A2931" s="7">
        <v>42483.696620370371</v>
      </c>
      <c r="B2931" s="8" t="str">
        <f>HYPERLINK("https://twitter.com/JuergenAnke","@JuergenAnke")</f>
        <v>@JuergenAnke</v>
      </c>
      <c r="C2931" s="9" t="s">
        <v>5018</v>
      </c>
      <c r="D2931" s="9" t="s">
        <v>5019</v>
      </c>
      <c r="E2931" s="10" t="str">
        <f>HYPERLINK("https://twitter.com/JuergenAnke/status/723832072440299520","723832072440299520")</f>
        <v>723832072440299520</v>
      </c>
      <c r="F2931" s="11" t="s">
        <v>31</v>
      </c>
      <c r="G2931" s="11">
        <v>367</v>
      </c>
      <c r="H2931" s="11">
        <v>416</v>
      </c>
      <c r="I2931" s="11">
        <v>1</v>
      </c>
      <c r="J2931" s="11">
        <v>0</v>
      </c>
      <c r="K2931" s="11" t="s">
        <v>21</v>
      </c>
      <c r="L2931" s="7">
        <v>40518.092974537038</v>
      </c>
      <c r="M2931" s="12" t="s">
        <v>5020</v>
      </c>
      <c r="N2931" s="12" t="s">
        <v>5021</v>
      </c>
      <c r="O2931" s="10" t="str">
        <f>HYPERLINK("https://pbs.twimg.com/profile_images/704412271347437569/O-XVo7Kh_normal.jpg","View")</f>
        <v>View</v>
      </c>
      <c r="P2931" s="11"/>
    </row>
    <row r="2932" spans="1:16" ht="12.75" x14ac:dyDescent="0.35">
      <c r="A2932" s="7">
        <v>42483.699201388888</v>
      </c>
      <c r="B2932" s="8" t="str">
        <f>HYPERLINK("https://twitter.com/cricket2771","@cricket2771")</f>
        <v>@cricket2771</v>
      </c>
      <c r="C2932" s="9" t="s">
        <v>5022</v>
      </c>
      <c r="D2932" s="9" t="s">
        <v>4345</v>
      </c>
      <c r="E2932" s="10" t="str">
        <f>HYPERLINK("https://twitter.com/cricket2771/status/723833006415314945","723833006415314945")</f>
        <v>723833006415314945</v>
      </c>
      <c r="F2932" s="11" t="s">
        <v>25</v>
      </c>
      <c r="G2932" s="11">
        <v>461</v>
      </c>
      <c r="H2932" s="11">
        <v>1303</v>
      </c>
      <c r="I2932" s="11">
        <v>10</v>
      </c>
      <c r="J2932" s="11">
        <v>0</v>
      </c>
      <c r="K2932" s="11" t="s">
        <v>21</v>
      </c>
      <c r="L2932" s="7">
        <v>40824.071736111109</v>
      </c>
      <c r="M2932" s="12"/>
      <c r="N2932" s="12" t="s">
        <v>5023</v>
      </c>
      <c r="O2932" s="10" t="str">
        <f>HYPERLINK("https://pbs.twimg.com/profile_images/3240744232/bb2f3bea85e6fc4af06b03c832e4a45e_normal.png","View")</f>
        <v>View</v>
      </c>
      <c r="P2932" s="11"/>
    </row>
    <row r="2933" spans="1:16" ht="12.75" x14ac:dyDescent="0.35">
      <c r="A2933" s="7">
        <v>42483.714687500003</v>
      </c>
      <c r="B2933" s="8" t="str">
        <f>HYPERLINK("https://twitter.com/TU_KL","@TU_KL")</f>
        <v>@TU_KL</v>
      </c>
      <c r="C2933" s="9" t="s">
        <v>5024</v>
      </c>
      <c r="D2933" s="9" t="s">
        <v>4461</v>
      </c>
      <c r="E2933" s="10" t="str">
        <f>HYPERLINK("https://twitter.com/TU_KL/status/723838619484622848","723838619484622848")</f>
        <v>723838619484622848</v>
      </c>
      <c r="F2933" s="11" t="s">
        <v>31</v>
      </c>
      <c r="G2933" s="11">
        <v>325</v>
      </c>
      <c r="H2933" s="11">
        <v>535</v>
      </c>
      <c r="I2933" s="11">
        <v>2</v>
      </c>
      <c r="J2933" s="11">
        <v>0</v>
      </c>
      <c r="K2933" s="11" t="s">
        <v>21</v>
      </c>
      <c r="L2933" s="7">
        <v>40250.7346412037</v>
      </c>
      <c r="M2933" s="12" t="s">
        <v>5025</v>
      </c>
      <c r="N2933" s="12" t="s">
        <v>5026</v>
      </c>
      <c r="O2933" s="10" t="str">
        <f>HYPERLINK("https://pbs.twimg.com/profile_images/750105032/SQUARE_KIT-Logo_f_r_Web_SQUARE__normal.png","View")</f>
        <v>View</v>
      </c>
      <c r="P2933" s="11"/>
    </row>
    <row r="2934" spans="1:16" ht="12.75" x14ac:dyDescent="0.35">
      <c r="A2934" s="7">
        <v>42483.720543981486</v>
      </c>
      <c r="B2934" s="8" t="str">
        <f>HYPERLINK("https://twitter.com/automatisierer","@automatisierer")</f>
        <v>@automatisierer</v>
      </c>
      <c r="C2934" s="9" t="s">
        <v>2855</v>
      </c>
      <c r="D2934" s="9" t="s">
        <v>4962</v>
      </c>
      <c r="E2934" s="10" t="str">
        <f>HYPERLINK("https://twitter.com/automatisierer/status/723840740674166785","723840740674166785")</f>
        <v>723840740674166785</v>
      </c>
      <c r="F2934" s="11" t="s">
        <v>866</v>
      </c>
      <c r="G2934" s="11">
        <v>534</v>
      </c>
      <c r="H2934" s="11">
        <v>130</v>
      </c>
      <c r="I2934" s="11">
        <v>4</v>
      </c>
      <c r="J2934" s="11">
        <v>0</v>
      </c>
      <c r="K2934" s="11" t="s">
        <v>21</v>
      </c>
      <c r="L2934" s="7">
        <v>39983.487222222218</v>
      </c>
      <c r="M2934" s="12" t="s">
        <v>2857</v>
      </c>
      <c r="N2934" s="12"/>
      <c r="O2934" s="10" t="str">
        <f>HYPERLINK("https://pbs.twimg.com/profile_images/378989830/Reinhard-Portrait_normal.jpg","View")</f>
        <v>View</v>
      </c>
      <c r="P2934" s="11"/>
    </row>
    <row r="2935" spans="1:16" ht="12.75" x14ac:dyDescent="0.35">
      <c r="A2935" s="7">
        <v>42483.723182870366</v>
      </c>
      <c r="B2935" s="8" t="str">
        <f>HYPERLINK("https://twitter.com/adoverdevest","@adoverdevest")</f>
        <v>@adoverdevest</v>
      </c>
      <c r="C2935" s="9" t="s">
        <v>5027</v>
      </c>
      <c r="D2935" s="9" t="s">
        <v>4962</v>
      </c>
      <c r="E2935" s="10" t="str">
        <f>HYPERLINK("https://twitter.com/adoverdevest/status/723841698581848068","723841698581848068")</f>
        <v>723841698581848068</v>
      </c>
      <c r="F2935" s="11" t="s">
        <v>20</v>
      </c>
      <c r="G2935" s="11">
        <v>44</v>
      </c>
      <c r="H2935" s="11">
        <v>87</v>
      </c>
      <c r="I2935" s="11">
        <v>4</v>
      </c>
      <c r="J2935" s="11">
        <v>0</v>
      </c>
      <c r="K2935" s="11" t="s">
        <v>21</v>
      </c>
      <c r="L2935" s="7">
        <v>40501.040127314816</v>
      </c>
      <c r="M2935" s="12" t="s">
        <v>5028</v>
      </c>
      <c r="N2935" s="12"/>
      <c r="O2935" s="10" t="str">
        <f>HYPERLINK("https://pbs.twimg.com/profile_images/1170260501/DSCF0188_normal.JPG","View")</f>
        <v>View</v>
      </c>
      <c r="P2935" s="11"/>
    </row>
    <row r="2936" spans="1:16" ht="12.75" x14ac:dyDescent="0.35">
      <c r="A2936" s="7">
        <v>42483.724375000005</v>
      </c>
      <c r="B2936" s="8" t="str">
        <f>HYPERLINK("https://twitter.com/INDIZbot","@INDIZbot")</f>
        <v>@INDIZbot</v>
      </c>
      <c r="C2936" s="9" t="s">
        <v>61</v>
      </c>
      <c r="D2936" s="9" t="s">
        <v>4461</v>
      </c>
      <c r="E2936" s="10" t="str">
        <f>HYPERLINK("https://twitter.com/INDIZbot/status/723842127835348992","723842127835348992")</f>
        <v>723842127835348992</v>
      </c>
      <c r="F2936" s="11" t="s">
        <v>62</v>
      </c>
      <c r="G2936" s="11">
        <v>1779</v>
      </c>
      <c r="H2936" s="11">
        <v>482</v>
      </c>
      <c r="I2936" s="11">
        <v>3</v>
      </c>
      <c r="J2936" s="11">
        <v>0</v>
      </c>
      <c r="K2936" s="11" t="s">
        <v>21</v>
      </c>
      <c r="L2936" s="7">
        <v>42267.011921296296</v>
      </c>
      <c r="M2936" s="12"/>
      <c r="N2936" s="12" t="s">
        <v>63</v>
      </c>
      <c r="O2936" s="10" t="str">
        <f>HYPERLINK("https://pbs.twimg.com/profile_images/645716711723925506/t5G0qOS6_normal.jpg","View")</f>
        <v>View</v>
      </c>
      <c r="P2936" s="11"/>
    </row>
    <row r="2937" spans="1:16" ht="12.75" x14ac:dyDescent="0.35">
      <c r="A2937" s="7">
        <v>42483.728576388894</v>
      </c>
      <c r="B2937" s="8" t="str">
        <f t="shared" ref="B2937:B2938" si="370">HYPERLINK("https://twitter.com/KStepping","@KStepping")</f>
        <v>@KStepping</v>
      </c>
      <c r="C2937" s="9" t="s">
        <v>5029</v>
      </c>
      <c r="D2937" s="9" t="s">
        <v>5030</v>
      </c>
      <c r="E2937" s="10" t="str">
        <f>HYPERLINK("https://twitter.com/KStepping/status/723843650237698048","723843650237698048")</f>
        <v>723843650237698048</v>
      </c>
      <c r="F2937" s="11" t="s">
        <v>31</v>
      </c>
      <c r="G2937" s="11">
        <v>105</v>
      </c>
      <c r="H2937" s="11">
        <v>130</v>
      </c>
      <c r="I2937" s="11">
        <v>1</v>
      </c>
      <c r="J2937" s="11">
        <v>0</v>
      </c>
      <c r="K2937" s="11" t="s">
        <v>21</v>
      </c>
      <c r="L2937" s="7">
        <v>40709.634247685186</v>
      </c>
      <c r="M2937" s="12"/>
      <c r="N2937" s="12" t="s">
        <v>5031</v>
      </c>
      <c r="O2937" s="10" t="str">
        <f t="shared" ref="O2937:O2938" si="371">HYPERLINK("https://pbs.twimg.com/profile_images/481006931952160769/bYcb_tLb_normal.jpeg","View")</f>
        <v>View</v>
      </c>
      <c r="P2937" s="11"/>
    </row>
    <row r="2938" spans="1:16" ht="12.75" x14ac:dyDescent="0.35">
      <c r="A2938" s="7">
        <v>42483.728912037041</v>
      </c>
      <c r="B2938" s="8" t="str">
        <f t="shared" si="370"/>
        <v>@KStepping</v>
      </c>
      <c r="C2938" s="9" t="s">
        <v>5029</v>
      </c>
      <c r="D2938" s="9" t="s">
        <v>5032</v>
      </c>
      <c r="E2938" s="10" t="str">
        <f>HYPERLINK("https://twitter.com/KStepping/status/723843774804287488","723843774804287488")</f>
        <v>723843774804287488</v>
      </c>
      <c r="F2938" s="11" t="s">
        <v>31</v>
      </c>
      <c r="G2938" s="11">
        <v>105</v>
      </c>
      <c r="H2938" s="11">
        <v>130</v>
      </c>
      <c r="I2938" s="11">
        <v>1</v>
      </c>
      <c r="J2938" s="11">
        <v>0</v>
      </c>
      <c r="K2938" s="11" t="s">
        <v>21</v>
      </c>
      <c r="L2938" s="7">
        <v>40709.634247685186</v>
      </c>
      <c r="M2938" s="12"/>
      <c r="N2938" s="12" t="s">
        <v>5031</v>
      </c>
      <c r="O2938" s="10" t="str">
        <f t="shared" si="371"/>
        <v>View</v>
      </c>
      <c r="P2938" s="11"/>
    </row>
    <row r="2939" spans="1:16" ht="12.75" x14ac:dyDescent="0.35">
      <c r="A2939" s="7">
        <v>42483.729016203702</v>
      </c>
      <c r="B2939" s="8" t="str">
        <f>HYPERLINK("https://twitter.com/siluad","@siluad")</f>
        <v>@siluad</v>
      </c>
      <c r="C2939" s="9" t="s">
        <v>5033</v>
      </c>
      <c r="D2939" s="9" t="s">
        <v>5034</v>
      </c>
      <c r="E2939" s="10" t="str">
        <f>HYPERLINK("https://twitter.com/siluad/status/723843810040680448","723843810040680448")</f>
        <v>723843810040680448</v>
      </c>
      <c r="F2939" s="11" t="s">
        <v>20</v>
      </c>
      <c r="G2939" s="11">
        <v>101</v>
      </c>
      <c r="H2939" s="11">
        <v>338</v>
      </c>
      <c r="I2939" s="11">
        <v>1</v>
      </c>
      <c r="J2939" s="11">
        <v>0</v>
      </c>
      <c r="K2939" s="11" t="s">
        <v>21</v>
      </c>
      <c r="L2939" s="7">
        <v>40023.672719907408</v>
      </c>
      <c r="M2939" s="12" t="s">
        <v>5035</v>
      </c>
      <c r="N2939" s="12" t="s">
        <v>5036</v>
      </c>
      <c r="O2939" s="10" t="str">
        <f>HYPERLINK("https://pbs.twimg.com/profile_images/661959266778107904/cq5E1hNa_normal.jpg","View")</f>
        <v>View</v>
      </c>
      <c r="P2939" s="11"/>
    </row>
    <row r="2940" spans="1:16" ht="12.75" x14ac:dyDescent="0.35">
      <c r="A2940" s="7">
        <v>42483.729351851856</v>
      </c>
      <c r="B2940" s="8" t="str">
        <f>HYPERLINK("https://twitter.com/VDMAonline","@VDMAonline")</f>
        <v>@VDMAonline</v>
      </c>
      <c r="C2940" s="9" t="s">
        <v>191</v>
      </c>
      <c r="D2940" s="9" t="s">
        <v>5037</v>
      </c>
      <c r="E2940" s="10" t="str">
        <f>HYPERLINK("https://twitter.com/VDMAonline/status/723843933357268992","723843933357268992")</f>
        <v>723843933357268992</v>
      </c>
      <c r="F2940" s="11" t="s">
        <v>115</v>
      </c>
      <c r="G2940" s="11">
        <v>6806</v>
      </c>
      <c r="H2940" s="11">
        <v>4</v>
      </c>
      <c r="I2940" s="11">
        <v>0</v>
      </c>
      <c r="J2940" s="11">
        <v>0</v>
      </c>
      <c r="K2940" s="11" t="s">
        <v>21</v>
      </c>
      <c r="L2940" s="7">
        <v>39932.616342592592</v>
      </c>
      <c r="M2940" s="12" t="s">
        <v>49</v>
      </c>
      <c r="N2940" s="12" t="s">
        <v>193</v>
      </c>
      <c r="O2940" s="10" t="str">
        <f>HYPERLINK("https://pbs.twimg.com/profile_images/609375510158774272/P5glOk4b_normal.jpg","View")</f>
        <v>View</v>
      </c>
      <c r="P2940" s="11"/>
    </row>
    <row r="2941" spans="1:16" ht="12.75" x14ac:dyDescent="0.35">
      <c r="A2941" s="7">
        <v>42483.729965277773</v>
      </c>
      <c r="B2941" s="8" t="str">
        <f t="shared" ref="B2941:B2942" si="372">HYPERLINK("https://twitter.com/INDIZbot","@INDIZbot")</f>
        <v>@INDIZbot</v>
      </c>
      <c r="C2941" s="9" t="s">
        <v>61</v>
      </c>
      <c r="D2941" s="9" t="s">
        <v>5032</v>
      </c>
      <c r="E2941" s="10" t="str">
        <f>HYPERLINK("https://twitter.com/INDIZbot/status/723844153440894976","723844153440894976")</f>
        <v>723844153440894976</v>
      </c>
      <c r="F2941" s="11" t="s">
        <v>62</v>
      </c>
      <c r="G2941" s="11">
        <v>1779</v>
      </c>
      <c r="H2941" s="11">
        <v>482</v>
      </c>
      <c r="I2941" s="11">
        <v>2</v>
      </c>
      <c r="J2941" s="11">
        <v>0</v>
      </c>
      <c r="K2941" s="11" t="s">
        <v>21</v>
      </c>
      <c r="L2941" s="7">
        <v>42267.011921296296</v>
      </c>
      <c r="M2941" s="12"/>
      <c r="N2941" s="12" t="s">
        <v>63</v>
      </c>
      <c r="O2941" s="10" t="str">
        <f t="shared" ref="O2941:O2942" si="373">HYPERLINK("https://pbs.twimg.com/profile_images/645716711723925506/t5G0qOS6_normal.jpg","View")</f>
        <v>View</v>
      </c>
      <c r="P2941" s="11"/>
    </row>
    <row r="2942" spans="1:16" ht="12.75" x14ac:dyDescent="0.35">
      <c r="A2942" s="7">
        <v>42483.730104166665</v>
      </c>
      <c r="B2942" s="8" t="str">
        <f t="shared" si="372"/>
        <v>@INDIZbot</v>
      </c>
      <c r="C2942" s="9" t="s">
        <v>61</v>
      </c>
      <c r="D2942" s="9" t="s">
        <v>5030</v>
      </c>
      <c r="E2942" s="10" t="str">
        <f>HYPERLINK("https://twitter.com/INDIZbot/status/723844205978722304","723844205978722304")</f>
        <v>723844205978722304</v>
      </c>
      <c r="F2942" s="11" t="s">
        <v>62</v>
      </c>
      <c r="G2942" s="11">
        <v>1779</v>
      </c>
      <c r="H2942" s="11">
        <v>482</v>
      </c>
      <c r="I2942" s="11">
        <v>2</v>
      </c>
      <c r="J2942" s="11">
        <v>0</v>
      </c>
      <c r="K2942" s="11" t="s">
        <v>21</v>
      </c>
      <c r="L2942" s="7">
        <v>42267.011921296296</v>
      </c>
      <c r="M2942" s="12"/>
      <c r="N2942" s="12" t="s">
        <v>63</v>
      </c>
      <c r="O2942" s="10" t="str">
        <f t="shared" si="373"/>
        <v>View</v>
      </c>
      <c r="P2942" s="11"/>
    </row>
    <row r="2943" spans="1:16" ht="12.75" x14ac:dyDescent="0.35">
      <c r="A2943" s="7">
        <v>42483.735312500001</v>
      </c>
      <c r="B2943" s="8" t="str">
        <f>HYPERLINK("https://twitter.com/CSGermany","@CSGermany")</f>
        <v>@CSGermany</v>
      </c>
      <c r="C2943" s="9" t="s">
        <v>3466</v>
      </c>
      <c r="D2943" s="9" t="s">
        <v>5038</v>
      </c>
      <c r="E2943" s="10" t="str">
        <f>HYPERLINK("https://twitter.com/CSGermany/status/723846093205807104","723846093205807104")</f>
        <v>723846093205807104</v>
      </c>
      <c r="F2943" s="11" t="s">
        <v>31</v>
      </c>
      <c r="G2943" s="11">
        <v>1722</v>
      </c>
      <c r="H2943" s="11">
        <v>848</v>
      </c>
      <c r="I2943" s="11">
        <v>1</v>
      </c>
      <c r="J2943" s="11">
        <v>0</v>
      </c>
      <c r="K2943" s="11" t="s">
        <v>21</v>
      </c>
      <c r="L2943" s="7">
        <v>39863.867141203707</v>
      </c>
      <c r="M2943" s="12" t="s">
        <v>121</v>
      </c>
      <c r="N2943" s="12" t="s">
        <v>3468</v>
      </c>
      <c r="O2943" s="10" t="str">
        <f>HYPERLINK("https://pbs.twimg.com/profile_images/518189608098869249/udoveSaH_normal.jpeg","View")</f>
        <v>View</v>
      </c>
      <c r="P2943" s="11"/>
    </row>
    <row r="2944" spans="1:16" ht="12.75" x14ac:dyDescent="0.35">
      <c r="A2944" s="7">
        <v>42483.736944444448</v>
      </c>
      <c r="B2944" s="8" t="str">
        <f>HYPERLINK("https://twitter.com/KUKA_Presse","@KUKA_Presse")</f>
        <v>@KUKA_Presse</v>
      </c>
      <c r="C2944" s="9" t="s">
        <v>2896</v>
      </c>
      <c r="D2944" s="9" t="s">
        <v>5039</v>
      </c>
      <c r="E2944" s="10" t="str">
        <f>HYPERLINK("https://twitter.com/KUKA_Presse/status/723846685676412929","723846685676412929")</f>
        <v>723846685676412929</v>
      </c>
      <c r="F2944" s="11" t="s">
        <v>2213</v>
      </c>
      <c r="G2944" s="11">
        <v>57</v>
      </c>
      <c r="H2944" s="11">
        <v>73</v>
      </c>
      <c r="I2944" s="11">
        <v>1</v>
      </c>
      <c r="J2944" s="11">
        <v>0</v>
      </c>
      <c r="K2944" s="11" t="s">
        <v>21</v>
      </c>
      <c r="L2944" s="7">
        <v>42404.688784722224</v>
      </c>
      <c r="M2944" s="12" t="s">
        <v>2898</v>
      </c>
      <c r="N2944" s="12" t="s">
        <v>2899</v>
      </c>
      <c r="O2944" s="10" t="str">
        <f>HYPERLINK("https://pbs.twimg.com/profile_images/702049280098443264/NIaxL0xT_normal.png","View")</f>
        <v>View</v>
      </c>
      <c r="P2944" s="11"/>
    </row>
    <row r="2945" spans="1:16" ht="12.75" x14ac:dyDescent="0.35">
      <c r="A2945" s="7">
        <v>42483.737037037034</v>
      </c>
      <c r="B2945" s="8" t="str">
        <f>HYPERLINK("https://twitter.com/KUKA_RoboticsDE","@KUKA_RoboticsDE")</f>
        <v>@KUKA_RoboticsDE</v>
      </c>
      <c r="C2945" s="9" t="s">
        <v>4495</v>
      </c>
      <c r="D2945" s="9" t="s">
        <v>5040</v>
      </c>
      <c r="E2945" s="10" t="str">
        <f>HYPERLINK("https://twitter.com/KUKA_RoboticsDE/status/723846719348322304","723846719348322304")</f>
        <v>723846719348322304</v>
      </c>
      <c r="F2945" s="11" t="s">
        <v>2213</v>
      </c>
      <c r="G2945" s="11">
        <v>4566</v>
      </c>
      <c r="H2945" s="11">
        <v>284</v>
      </c>
      <c r="I2945" s="11">
        <v>1</v>
      </c>
      <c r="J2945" s="11">
        <v>0</v>
      </c>
      <c r="K2945" s="11" t="s">
        <v>21</v>
      </c>
      <c r="L2945" s="7">
        <v>40114.864803240736</v>
      </c>
      <c r="M2945" s="12" t="s">
        <v>102</v>
      </c>
      <c r="N2945" s="12" t="s">
        <v>4497</v>
      </c>
      <c r="O2945" s="10" t="str">
        <f>HYPERLINK("https://pbs.twimg.com/profile_images/704767814406643712/VcnCdfke_normal.jpg","View")</f>
        <v>View</v>
      </c>
      <c r="P2945" s="11"/>
    </row>
    <row r="2946" spans="1:16" ht="12.75" x14ac:dyDescent="0.35">
      <c r="A2946" s="7">
        <v>42483.741041666668</v>
      </c>
      <c r="B2946" s="8" t="str">
        <f>HYPERLINK("https://twitter.com/CSGermany","@CSGermany")</f>
        <v>@CSGermany</v>
      </c>
      <c r="C2946" s="9" t="s">
        <v>3466</v>
      </c>
      <c r="D2946" s="9" t="s">
        <v>4991</v>
      </c>
      <c r="E2946" s="10" t="str">
        <f>HYPERLINK("https://twitter.com/CSGermany/status/723848167838625793","723848167838625793")</f>
        <v>723848167838625793</v>
      </c>
      <c r="F2946" s="11" t="s">
        <v>31</v>
      </c>
      <c r="G2946" s="11">
        <v>1722</v>
      </c>
      <c r="H2946" s="11">
        <v>848</v>
      </c>
      <c r="I2946" s="11">
        <v>3</v>
      </c>
      <c r="J2946" s="11">
        <v>0</v>
      </c>
      <c r="K2946" s="11" t="s">
        <v>21</v>
      </c>
      <c r="L2946" s="7">
        <v>39863.867141203707</v>
      </c>
      <c r="M2946" s="12" t="s">
        <v>121</v>
      </c>
      <c r="N2946" s="12" t="s">
        <v>3468</v>
      </c>
      <c r="O2946" s="10" t="str">
        <f>HYPERLINK("https://pbs.twimg.com/profile_images/518189608098869249/udoveSaH_normal.jpeg","View")</f>
        <v>View</v>
      </c>
      <c r="P2946" s="11"/>
    </row>
    <row r="2947" spans="1:16" ht="12.75" x14ac:dyDescent="0.35">
      <c r="A2947" s="7">
        <v>42483.742372685185</v>
      </c>
      <c r="B2947" s="8" t="str">
        <f>HYPERLINK("https://twitter.com/ZVEIorg","@ZVEIorg")</f>
        <v>@ZVEIorg</v>
      </c>
      <c r="C2947" s="9" t="s">
        <v>390</v>
      </c>
      <c r="D2947" s="9" t="s">
        <v>5041</v>
      </c>
      <c r="E2947" s="10" t="str">
        <f>HYPERLINK("https://twitter.com/ZVEIorg/status/723848652284895232","723848652284895232")</f>
        <v>723848652284895232</v>
      </c>
      <c r="F2947" s="11" t="s">
        <v>25</v>
      </c>
      <c r="G2947" s="11">
        <v>2550</v>
      </c>
      <c r="H2947" s="11">
        <v>581</v>
      </c>
      <c r="I2947" s="11">
        <v>0</v>
      </c>
      <c r="J2947" s="11">
        <v>1</v>
      </c>
      <c r="K2947" s="11" t="s">
        <v>21</v>
      </c>
      <c r="L2947" s="7">
        <v>41247.641875000001</v>
      </c>
      <c r="M2947" s="12" t="s">
        <v>392</v>
      </c>
      <c r="N2947" s="12" t="s">
        <v>393</v>
      </c>
      <c r="O2947" s="10" t="str">
        <f>HYPERLINK("https://pbs.twimg.com/profile_images/479147477975588864/z94n3mRF_normal.jpeg","View")</f>
        <v>View</v>
      </c>
      <c r="P2947" s="11"/>
    </row>
    <row r="2948" spans="1:16" ht="12.75" x14ac:dyDescent="0.35">
      <c r="A2948" s="7">
        <v>42483.74355324074</v>
      </c>
      <c r="B2948" s="8" t="str">
        <f>HYPERLINK("https://twitter.com/mueller_karsten","@mueller_karsten")</f>
        <v>@mueller_karsten</v>
      </c>
      <c r="C2948" s="9" t="s">
        <v>5042</v>
      </c>
      <c r="D2948" s="9" t="s">
        <v>5043</v>
      </c>
      <c r="E2948" s="10" t="str">
        <f>HYPERLINK("https://twitter.com/mueller_karsten/status/723849076966604800","723849076966604800")</f>
        <v>723849076966604800</v>
      </c>
      <c r="F2948" s="11" t="s">
        <v>31</v>
      </c>
      <c r="G2948" s="11">
        <v>221</v>
      </c>
      <c r="H2948" s="11">
        <v>467</v>
      </c>
      <c r="I2948" s="11">
        <v>1</v>
      </c>
      <c r="J2948" s="11">
        <v>0</v>
      </c>
      <c r="K2948" s="11" t="s">
        <v>21</v>
      </c>
      <c r="L2948" s="7">
        <v>41898.918657407405</v>
      </c>
      <c r="M2948" s="12" t="s">
        <v>1148</v>
      </c>
      <c r="N2948" s="12" t="s">
        <v>5044</v>
      </c>
      <c r="O2948" s="10" t="str">
        <f>HYPERLINK("https://pbs.twimg.com/profile_images/514530926475223040/f_eBYNPf_normal.jpeg","View")</f>
        <v>View</v>
      </c>
      <c r="P2948" s="11"/>
    </row>
    <row r="2949" spans="1:16" ht="12.75" x14ac:dyDescent="0.35">
      <c r="A2949" s="7">
        <v>42483.746493055558</v>
      </c>
      <c r="B2949" s="8" t="str">
        <f>HYPERLINK("https://twitter.com/VDMAonline","@VDMAonline")</f>
        <v>@VDMAonline</v>
      </c>
      <c r="C2949" s="9" t="s">
        <v>191</v>
      </c>
      <c r="D2949" s="9" t="s">
        <v>5045</v>
      </c>
      <c r="E2949" s="10" t="str">
        <f>HYPERLINK("https://twitter.com/VDMAonline/status/723850142688907264","723850142688907264")</f>
        <v>723850142688907264</v>
      </c>
      <c r="F2949" s="11" t="s">
        <v>115</v>
      </c>
      <c r="G2949" s="11">
        <v>6807</v>
      </c>
      <c r="H2949" s="11">
        <v>4</v>
      </c>
      <c r="I2949" s="11">
        <v>0</v>
      </c>
      <c r="J2949" s="11">
        <v>1</v>
      </c>
      <c r="K2949" s="11" t="s">
        <v>21</v>
      </c>
      <c r="L2949" s="7">
        <v>39932.616342592592</v>
      </c>
      <c r="M2949" s="12" t="s">
        <v>49</v>
      </c>
      <c r="N2949" s="12" t="s">
        <v>193</v>
      </c>
      <c r="O2949" s="10" t="str">
        <f>HYPERLINK("https://pbs.twimg.com/profile_images/609375510158774272/P5glOk4b_normal.jpg","View")</f>
        <v>View</v>
      </c>
      <c r="P2949" s="11"/>
    </row>
    <row r="2950" spans="1:16" ht="12.75" x14ac:dyDescent="0.35">
      <c r="A2950" s="7">
        <v>42483.747395833328</v>
      </c>
      <c r="B2950" s="8" t="str">
        <f>HYPERLINK("https://twitter.com/ZVEIorg","@ZVEIorg")</f>
        <v>@ZVEIorg</v>
      </c>
      <c r="C2950" s="9" t="s">
        <v>390</v>
      </c>
      <c r="D2950" s="9" t="s">
        <v>5046</v>
      </c>
      <c r="E2950" s="10" t="str">
        <f>HYPERLINK("https://twitter.com/ZVEIorg/status/723850470847029249","723850470847029249")</f>
        <v>723850470847029249</v>
      </c>
      <c r="F2950" s="11" t="s">
        <v>25</v>
      </c>
      <c r="G2950" s="11">
        <v>2550</v>
      </c>
      <c r="H2950" s="11">
        <v>581</v>
      </c>
      <c r="I2950" s="11">
        <v>0</v>
      </c>
      <c r="J2950" s="11">
        <v>0</v>
      </c>
      <c r="K2950" s="11" t="s">
        <v>21</v>
      </c>
      <c r="L2950" s="7">
        <v>41247.641875000001</v>
      </c>
      <c r="M2950" s="12" t="s">
        <v>392</v>
      </c>
      <c r="N2950" s="12" t="s">
        <v>393</v>
      </c>
      <c r="O2950" s="10" t="str">
        <f>HYPERLINK("https://pbs.twimg.com/profile_images/479147477975588864/z94n3mRF_normal.jpeg","View")</f>
        <v>View</v>
      </c>
      <c r="P2950" s="11"/>
    </row>
    <row r="2951" spans="1:16" ht="12.75" x14ac:dyDescent="0.35">
      <c r="A2951" s="7">
        <v>42483.75408564815</v>
      </c>
      <c r="B2951" s="8" t="str">
        <f>HYPERLINK("https://twitter.com/kommoptimierer","@kommoptimierer")</f>
        <v>@kommoptimierer</v>
      </c>
      <c r="C2951" s="9" t="s">
        <v>270</v>
      </c>
      <c r="D2951" s="9" t="s">
        <v>5047</v>
      </c>
      <c r="E2951" s="10" t="str">
        <f>HYPERLINK("https://twitter.com/kommoptimierer/status/723852896308224001","723852896308224001")</f>
        <v>723852896308224001</v>
      </c>
      <c r="F2951" s="11" t="s">
        <v>25</v>
      </c>
      <c r="G2951" s="11">
        <v>1350</v>
      </c>
      <c r="H2951" s="11">
        <v>1753</v>
      </c>
      <c r="I2951" s="11">
        <v>0</v>
      </c>
      <c r="J2951" s="11">
        <v>1</v>
      </c>
      <c r="K2951" s="11" t="s">
        <v>21</v>
      </c>
      <c r="L2951" s="7">
        <v>39986.860358796301</v>
      </c>
      <c r="M2951" s="12" t="s">
        <v>273</v>
      </c>
      <c r="N2951" s="12" t="s">
        <v>274</v>
      </c>
      <c r="O2951" s="10" t="str">
        <f>HYPERLINK("https://pbs.twimg.com/profile_images/541146126158536704/IYardufS_normal.jpeg","View")</f>
        <v>View</v>
      </c>
      <c r="P2951" s="11"/>
    </row>
    <row r="2952" spans="1:16" ht="12.75" x14ac:dyDescent="0.35">
      <c r="A2952" s="7">
        <v>42483.759074074071</v>
      </c>
      <c r="B2952" s="8" t="str">
        <f>HYPERLINK("https://twitter.com/SAPFrance","@SAPFrance")</f>
        <v>@SAPFrance</v>
      </c>
      <c r="C2952" s="9" t="s">
        <v>1109</v>
      </c>
      <c r="D2952" s="9" t="s">
        <v>5048</v>
      </c>
      <c r="E2952" s="10" t="str">
        <f>HYPERLINK("https://twitter.com/SAPFrance/status/723854702098690048","723854702098690048")</f>
        <v>723854702098690048</v>
      </c>
      <c r="F2952" s="11" t="s">
        <v>1111</v>
      </c>
      <c r="G2952" s="11">
        <v>2054</v>
      </c>
      <c r="H2952" s="11">
        <v>1192</v>
      </c>
      <c r="I2952" s="11">
        <v>0</v>
      </c>
      <c r="J2952" s="11">
        <v>0</v>
      </c>
      <c r="K2952" s="11" t="s">
        <v>21</v>
      </c>
      <c r="L2952" s="7">
        <v>41078.552222222221</v>
      </c>
      <c r="M2952" s="12" t="s">
        <v>1112</v>
      </c>
      <c r="N2952" s="12" t="s">
        <v>1113</v>
      </c>
      <c r="O2952" s="10" t="str">
        <f>HYPERLINK("https://pbs.twimg.com/profile_images/713021101106995200/w4EIzjMN_normal.jpg","View")</f>
        <v>View</v>
      </c>
      <c r="P2952" s="11"/>
    </row>
    <row r="2953" spans="1:16" ht="12.75" x14ac:dyDescent="0.35">
      <c r="A2953" s="7">
        <v>42483.763379629629</v>
      </c>
      <c r="B2953" s="8" t="str">
        <f>HYPERLINK("https://twitter.com/MECSPE","@MECSPE")</f>
        <v>@MECSPE</v>
      </c>
      <c r="C2953" s="9" t="s">
        <v>5049</v>
      </c>
      <c r="D2953" s="9" t="s">
        <v>5050</v>
      </c>
      <c r="E2953" s="10" t="str">
        <f>HYPERLINK("https://twitter.com/MECSPE/status/723856262253912064","723856262253912064")</f>
        <v>723856262253912064</v>
      </c>
      <c r="F2953" s="11" t="s">
        <v>20</v>
      </c>
      <c r="G2953" s="11">
        <v>750</v>
      </c>
      <c r="H2953" s="11">
        <v>670</v>
      </c>
      <c r="I2953" s="11">
        <v>1</v>
      </c>
      <c r="J2953" s="11">
        <v>0</v>
      </c>
      <c r="K2953" s="11" t="s">
        <v>21</v>
      </c>
      <c r="L2953" s="7">
        <v>41597.78260416667</v>
      </c>
      <c r="M2953" s="12" t="s">
        <v>5051</v>
      </c>
      <c r="N2953" s="12" t="s">
        <v>5052</v>
      </c>
      <c r="O2953" s="10" t="str">
        <f>HYPERLINK("https://pbs.twimg.com/profile_images/659008633972240385/dfzvFsKZ_normal.png","View")</f>
        <v>View</v>
      </c>
      <c r="P2953" s="11"/>
    </row>
    <row r="2954" spans="1:16" ht="12.75" x14ac:dyDescent="0.35">
      <c r="A2954" s="7">
        <v>42483.770983796298</v>
      </c>
      <c r="B2954" s="8" t="str">
        <f>HYPERLINK("https://twitter.com/verlinked","@verlinked")</f>
        <v>@verlinked</v>
      </c>
      <c r="C2954" s="9" t="s">
        <v>263</v>
      </c>
      <c r="D2954" s="9" t="s">
        <v>5053</v>
      </c>
      <c r="E2954" s="10" t="str">
        <f>HYPERLINK("https://twitter.com/verlinked/status/723859021099233281","723859021099233281")</f>
        <v>723859021099233281</v>
      </c>
      <c r="F2954" s="11" t="s">
        <v>115</v>
      </c>
      <c r="G2954" s="11">
        <v>604</v>
      </c>
      <c r="H2954" s="11">
        <v>1203</v>
      </c>
      <c r="I2954" s="11">
        <v>0</v>
      </c>
      <c r="J2954" s="11">
        <v>0</v>
      </c>
      <c r="K2954" s="11" t="s">
        <v>21</v>
      </c>
      <c r="L2954" s="7">
        <v>41463.077627314815</v>
      </c>
      <c r="M2954" s="12" t="s">
        <v>265</v>
      </c>
      <c r="N2954" s="12" t="s">
        <v>266</v>
      </c>
      <c r="O2954" s="10" t="str">
        <f>HYPERLINK("https://pbs.twimg.com/profile_images/722385992343285760/ww8YLZ2q_normal.jpg","View")</f>
        <v>View</v>
      </c>
      <c r="P2954" s="11"/>
    </row>
    <row r="2955" spans="1:16" ht="12.75" x14ac:dyDescent="0.35">
      <c r="A2955" s="7">
        <v>42483.774652777778</v>
      </c>
      <c r="B2955" s="8" t="str">
        <f>HYPERLINK("https://twitter.com/CapgeminiDE","@CapgeminiDE")</f>
        <v>@CapgeminiDE</v>
      </c>
      <c r="C2955" s="9" t="s">
        <v>280</v>
      </c>
      <c r="D2955" s="9" t="s">
        <v>5054</v>
      </c>
      <c r="E2955" s="10" t="str">
        <f>HYPERLINK("https://twitter.com/CapgeminiDE/status/723860350450413568","723860350450413568")</f>
        <v>723860350450413568</v>
      </c>
      <c r="F2955" s="11" t="s">
        <v>39</v>
      </c>
      <c r="G2955" s="11">
        <v>1640</v>
      </c>
      <c r="H2955" s="11">
        <v>509</v>
      </c>
      <c r="I2955" s="11">
        <v>0</v>
      </c>
      <c r="J2955" s="11">
        <v>0</v>
      </c>
      <c r="K2955" s="11" t="s">
        <v>21</v>
      </c>
      <c r="L2955" s="7">
        <v>40424.022048611107</v>
      </c>
      <c r="M2955" s="12" t="s">
        <v>218</v>
      </c>
      <c r="N2955" s="12" t="s">
        <v>282</v>
      </c>
      <c r="O2955" s="10" t="str">
        <f>HYPERLINK("https://pbs.twimg.com/profile_images/666911961599315968/aP7ID_qm_normal.png","View")</f>
        <v>View</v>
      </c>
      <c r="P2955" s="11"/>
    </row>
    <row r="2956" spans="1:16" ht="12.75" x14ac:dyDescent="0.35">
      <c r="A2956" s="7">
        <v>42483.778483796297</v>
      </c>
      <c r="B2956" s="8" t="str">
        <f>HYPERLINK("https://twitter.com/deviceWISEM2M","@deviceWISEM2M")</f>
        <v>@deviceWISEM2M</v>
      </c>
      <c r="C2956" s="9" t="s">
        <v>1192</v>
      </c>
      <c r="D2956" s="9" t="s">
        <v>5055</v>
      </c>
      <c r="E2956" s="10" t="str">
        <f>HYPERLINK("https://twitter.com/deviceWISEM2M/status/723861737666154496","723861737666154496")</f>
        <v>723861737666154496</v>
      </c>
      <c r="F2956" s="11" t="s">
        <v>59</v>
      </c>
      <c r="G2956" s="11">
        <v>496</v>
      </c>
      <c r="H2956" s="11">
        <v>1036</v>
      </c>
      <c r="I2956" s="11">
        <v>0</v>
      </c>
      <c r="J2956" s="11">
        <v>0</v>
      </c>
      <c r="K2956" s="11" t="s">
        <v>21</v>
      </c>
      <c r="L2956" s="7">
        <v>41341.992407407408</v>
      </c>
      <c r="M2956" s="12" t="s">
        <v>1194</v>
      </c>
      <c r="N2956" s="12" t="s">
        <v>4781</v>
      </c>
      <c r="O2956" s="10" t="str">
        <f>HYPERLINK("https://pbs.twimg.com/profile_images/638707523160272896/YonVe2-H_normal.jpg","View")</f>
        <v>View</v>
      </c>
      <c r="P2956" s="11"/>
    </row>
    <row r="2957" spans="1:16" ht="12.75" x14ac:dyDescent="0.35">
      <c r="A2957" s="7">
        <v>42483.782511574071</v>
      </c>
      <c r="B2957" s="8" t="str">
        <f>HYPERLINK("https://twitter.com/hannover_messe","@hannover_messe")</f>
        <v>@hannover_messe</v>
      </c>
      <c r="C2957" s="9" t="s">
        <v>1161</v>
      </c>
      <c r="D2957" s="9" t="s">
        <v>5056</v>
      </c>
      <c r="E2957" s="10" t="str">
        <f>HYPERLINK("https://twitter.com/hannover_messe/status/723863196805808128","723863196805808128")</f>
        <v>723863196805808128</v>
      </c>
      <c r="F2957" s="11" t="s">
        <v>29</v>
      </c>
      <c r="G2957" s="11">
        <v>17189</v>
      </c>
      <c r="H2957" s="11">
        <v>260</v>
      </c>
      <c r="I2957" s="11">
        <v>1</v>
      </c>
      <c r="J2957" s="11">
        <v>2</v>
      </c>
      <c r="K2957" s="11" t="s">
        <v>21</v>
      </c>
      <c r="L2957" s="7">
        <v>39878.916354166664</v>
      </c>
      <c r="M2957" s="12" t="s">
        <v>1163</v>
      </c>
      <c r="N2957" s="12" t="s">
        <v>1164</v>
      </c>
      <c r="O2957" s="10" t="str">
        <f>HYPERLINK("https://pbs.twimg.com/profile_images/685255985/Bild_2_normal.png","View")</f>
        <v>View</v>
      </c>
      <c r="P2957" s="11"/>
    </row>
    <row r="2958" spans="1:16" ht="12.75" x14ac:dyDescent="0.35">
      <c r="A2958" s="7">
        <v>42483.784849537042</v>
      </c>
      <c r="B2958" s="8" t="str">
        <f>HYPERLINK("https://twitter.com/laurie_cyril","@laurie_cyril")</f>
        <v>@laurie_cyril</v>
      </c>
      <c r="C2958" s="9" t="s">
        <v>5057</v>
      </c>
      <c r="D2958" s="9" t="s">
        <v>5058</v>
      </c>
      <c r="E2958" s="10" t="str">
        <f>HYPERLINK("https://twitter.com/laurie_cyril/status/723864044373966848","723864044373966848")</f>
        <v>723864044373966848</v>
      </c>
      <c r="F2958" s="11" t="s">
        <v>1339</v>
      </c>
      <c r="G2958" s="11">
        <v>9</v>
      </c>
      <c r="H2958" s="11">
        <v>1</v>
      </c>
      <c r="I2958" s="11">
        <v>0</v>
      </c>
      <c r="J2958" s="11">
        <v>0</v>
      </c>
      <c r="K2958" s="11" t="s">
        <v>21</v>
      </c>
      <c r="L2958" s="7">
        <v>42455.840891203705</v>
      </c>
      <c r="M2958" s="12"/>
      <c r="N2958" s="12"/>
      <c r="O2958" s="10" t="str">
        <f>HYPERLINK("https://abs.twimg.com/sticky/default_profile_images/default_profile_2_normal.png","View")</f>
        <v>View</v>
      </c>
      <c r="P2958" s="11"/>
    </row>
    <row r="2959" spans="1:16" ht="12.75" x14ac:dyDescent="0.35">
      <c r="A2959" s="7">
        <v>42483.784884259258</v>
      </c>
      <c r="B2959" s="8" t="str">
        <f>HYPERLINK("https://twitter.com/_damoca","@_damoca")</f>
        <v>@_damoca</v>
      </c>
      <c r="C2959" s="9" t="s">
        <v>1245</v>
      </c>
      <c r="D2959" s="9" t="s">
        <v>5059</v>
      </c>
      <c r="E2959" s="10" t="str">
        <f>HYPERLINK("https://twitter.com/_damoca/status/723864055597903872","723864055597903872")</f>
        <v>723864055597903872</v>
      </c>
      <c r="F2959" s="11" t="s">
        <v>20</v>
      </c>
      <c r="G2959" s="11">
        <v>461</v>
      </c>
      <c r="H2959" s="11">
        <v>346</v>
      </c>
      <c r="I2959" s="11">
        <v>0</v>
      </c>
      <c r="J2959" s="11">
        <v>0</v>
      </c>
      <c r="K2959" s="11" t="s">
        <v>21</v>
      </c>
      <c r="L2959" s="7">
        <v>40249.881550925929</v>
      </c>
      <c r="M2959" s="12" t="s">
        <v>1247</v>
      </c>
      <c r="N2959" s="12" t="s">
        <v>1248</v>
      </c>
      <c r="O2959" s="10" t="str">
        <f>HYPERLINK("https://pbs.twimg.com/profile_images/701539571977289728/ulvjpEZ4_normal.jpg","View")</f>
        <v>View</v>
      </c>
      <c r="P2959" s="11"/>
    </row>
    <row r="2960" spans="1:16" ht="12.75" x14ac:dyDescent="0.35">
      <c r="A2960" s="7">
        <v>42483.790266203709</v>
      </c>
      <c r="B2960" s="8" t="str">
        <f>HYPERLINK("https://twitter.com/KUKA_RoboticsDE","@KUKA_RoboticsDE")</f>
        <v>@KUKA_RoboticsDE</v>
      </c>
      <c r="C2960" s="9" t="s">
        <v>4495</v>
      </c>
      <c r="D2960" s="9" t="s">
        <v>5060</v>
      </c>
      <c r="E2960" s="10" t="str">
        <f>HYPERLINK("https://twitter.com/KUKA_RoboticsDE/status/723866008017055744","723866008017055744")</f>
        <v>723866008017055744</v>
      </c>
      <c r="F2960" s="11" t="s">
        <v>2213</v>
      </c>
      <c r="G2960" s="11">
        <v>4566</v>
      </c>
      <c r="H2960" s="11">
        <v>284</v>
      </c>
      <c r="I2960" s="11">
        <v>1</v>
      </c>
      <c r="J2960" s="11">
        <v>0</v>
      </c>
      <c r="K2960" s="11" t="s">
        <v>21</v>
      </c>
      <c r="L2960" s="7">
        <v>40114.864803240736</v>
      </c>
      <c r="M2960" s="12" t="s">
        <v>102</v>
      </c>
      <c r="N2960" s="12" t="s">
        <v>4497</v>
      </c>
      <c r="O2960" s="10" t="str">
        <f>HYPERLINK("https://pbs.twimg.com/profile_images/704767814406643712/VcnCdfke_normal.jpg","View")</f>
        <v>View</v>
      </c>
      <c r="P2960" s="11"/>
    </row>
    <row r="2961" spans="1:16" ht="12.75" x14ac:dyDescent="0.35">
      <c r="A2961" s="7">
        <v>42483.792511574073</v>
      </c>
      <c r="B2961" s="8" t="str">
        <f>HYPERLINK("https://twitter.com/CullenVerena","@CullenVerena")</f>
        <v>@CullenVerena</v>
      </c>
      <c r="C2961" s="9" t="s">
        <v>5061</v>
      </c>
      <c r="D2961" s="9" t="s">
        <v>5060</v>
      </c>
      <c r="E2961" s="10" t="str">
        <f>HYPERLINK("https://twitter.com/CullenVerena/status/723866822613819392","723866822613819392")</f>
        <v>723866822613819392</v>
      </c>
      <c r="F2961" s="11" t="s">
        <v>29</v>
      </c>
      <c r="G2961" s="11">
        <v>61</v>
      </c>
      <c r="H2961" s="11">
        <v>111</v>
      </c>
      <c r="I2961" s="11">
        <v>2</v>
      </c>
      <c r="J2961" s="11">
        <v>0</v>
      </c>
      <c r="K2961" s="11" t="s">
        <v>21</v>
      </c>
      <c r="L2961" s="7">
        <v>41574.92224537037</v>
      </c>
      <c r="M2961" s="12" t="s">
        <v>5062</v>
      </c>
      <c r="N2961" s="12"/>
      <c r="O2961" s="10" t="str">
        <f>HYPERLINK("https://pbs.twimg.com/profile_images/711495439430893568/IBnIHYGK_normal.jpg","View")</f>
        <v>View</v>
      </c>
      <c r="P2961" s="11"/>
    </row>
    <row r="2962" spans="1:16" ht="12.75" x14ac:dyDescent="0.35">
      <c r="A2962" s="7">
        <v>42483.793680555551</v>
      </c>
      <c r="B2962" s="8" t="str">
        <f>HYPERLINK("https://twitter.com/Bitkom","@Bitkom")</f>
        <v>@Bitkom</v>
      </c>
      <c r="C2962" s="9" t="s">
        <v>216</v>
      </c>
      <c r="D2962" s="9" t="s">
        <v>4933</v>
      </c>
      <c r="E2962" s="10" t="str">
        <f>HYPERLINK("https://twitter.com/Bitkom/status/723867245127061504","723867245127061504")</f>
        <v>723867245127061504</v>
      </c>
      <c r="F2962" s="11" t="s">
        <v>31</v>
      </c>
      <c r="G2962" s="11">
        <v>21137</v>
      </c>
      <c r="H2962" s="11">
        <v>3378</v>
      </c>
      <c r="I2962" s="11">
        <v>4</v>
      </c>
      <c r="J2962" s="11">
        <v>0</v>
      </c>
      <c r="K2962" s="11" t="s">
        <v>21</v>
      </c>
      <c r="L2962" s="7">
        <v>39757.913229166668</v>
      </c>
      <c r="M2962" s="12" t="s">
        <v>218</v>
      </c>
      <c r="N2962" s="12" t="s">
        <v>219</v>
      </c>
      <c r="O2962" s="10" t="str">
        <f>HYPERLINK("https://pbs.twimg.com/profile_images/615797525040136192/CKF9-v_o_normal.jpg","View")</f>
        <v>View</v>
      </c>
      <c r="P2962" s="11"/>
    </row>
    <row r="2963" spans="1:16" ht="12.75" x14ac:dyDescent="0.35">
      <c r="A2963" s="7">
        <v>42483.794166666667</v>
      </c>
      <c r="B2963" s="8" t="str">
        <f>HYPERLINK("https://twitter.com/_damoca","@_damoca")</f>
        <v>@_damoca</v>
      </c>
      <c r="C2963" s="9" t="s">
        <v>1245</v>
      </c>
      <c r="D2963" s="9" t="s">
        <v>5063</v>
      </c>
      <c r="E2963" s="10" t="str">
        <f>HYPERLINK("https://twitter.com/_damoca/status/723867419501039618","723867419501039618")</f>
        <v>723867419501039618</v>
      </c>
      <c r="F2963" s="11" t="s">
        <v>20</v>
      </c>
      <c r="G2963" s="11">
        <v>461</v>
      </c>
      <c r="H2963" s="11">
        <v>346</v>
      </c>
      <c r="I2963" s="11">
        <v>1</v>
      </c>
      <c r="J2963" s="11">
        <v>0</v>
      </c>
      <c r="K2963" s="11" t="s">
        <v>21</v>
      </c>
      <c r="L2963" s="7">
        <v>40249.881550925929</v>
      </c>
      <c r="M2963" s="12" t="s">
        <v>1247</v>
      </c>
      <c r="N2963" s="12" t="s">
        <v>1248</v>
      </c>
      <c r="O2963" s="10" t="str">
        <f>HYPERLINK("https://pbs.twimg.com/profile_images/701539571977289728/ulvjpEZ4_normal.jpg","View")</f>
        <v>View</v>
      </c>
      <c r="P2963" s="11"/>
    </row>
    <row r="2964" spans="1:16" ht="12.75" x14ac:dyDescent="0.35">
      <c r="A2964" s="7">
        <v>42483.794212962966</v>
      </c>
      <c r="B2964" s="8" t="str">
        <f>HYPERLINK("https://twitter.com/ITK_OWL","@ITK_OWL")</f>
        <v>@ITK_OWL</v>
      </c>
      <c r="C2964" s="9" t="s">
        <v>220</v>
      </c>
      <c r="D2964" s="9" t="s">
        <v>5064</v>
      </c>
      <c r="E2964" s="10" t="str">
        <f>HYPERLINK("https://twitter.com/ITK_OWL/status/723867435573633025","723867435573633025")</f>
        <v>723867435573633025</v>
      </c>
      <c r="F2964" s="11" t="s">
        <v>222</v>
      </c>
      <c r="G2964" s="11">
        <v>199</v>
      </c>
      <c r="H2964" s="11">
        <v>389</v>
      </c>
      <c r="I2964" s="11">
        <v>0</v>
      </c>
      <c r="J2964" s="11">
        <v>0</v>
      </c>
      <c r="K2964" s="11" t="s">
        <v>21</v>
      </c>
      <c r="L2964" s="7">
        <v>42146.57880787037</v>
      </c>
      <c r="M2964" s="12" t="s">
        <v>223</v>
      </c>
      <c r="N2964" s="12" t="s">
        <v>224</v>
      </c>
      <c r="O2964" s="10" t="str">
        <f>HYPERLINK("https://pbs.twimg.com/profile_images/601673968551075840/MnulnKkj_normal.png","View")</f>
        <v>View</v>
      </c>
      <c r="P2964" s="11"/>
    </row>
    <row r="2965" spans="1:16" ht="12.75" x14ac:dyDescent="0.35">
      <c r="A2965" s="7">
        <v>42483.796574074076</v>
      </c>
      <c r="B2965" s="8" t="str">
        <f>HYPERLINK("https://twitter.com/Bitkom_I40","@Bitkom_I40")</f>
        <v>@Bitkom_I40</v>
      </c>
      <c r="C2965" s="9" t="s">
        <v>1857</v>
      </c>
      <c r="D2965" s="9" t="s">
        <v>5065</v>
      </c>
      <c r="E2965" s="10" t="str">
        <f>HYPERLINK("https://twitter.com/Bitkom_I40/status/723868292247482368","723868292247482368")</f>
        <v>723868292247482368</v>
      </c>
      <c r="F2965" s="11" t="s">
        <v>115</v>
      </c>
      <c r="G2965" s="11">
        <v>763</v>
      </c>
      <c r="H2965" s="11">
        <v>44</v>
      </c>
      <c r="I2965" s="11">
        <v>0</v>
      </c>
      <c r="J2965" s="11">
        <v>0</v>
      </c>
      <c r="K2965" s="11" t="s">
        <v>21</v>
      </c>
      <c r="L2965" s="7">
        <v>41613.773194444446</v>
      </c>
      <c r="M2965" s="12" t="s">
        <v>218</v>
      </c>
      <c r="N2965" s="12" t="s">
        <v>1860</v>
      </c>
      <c r="O2965" s="10" t="str">
        <f>HYPERLINK("https://pbs.twimg.com/profile_images/723407487395713024/0hZv7R8S_normal.jpg","View")</f>
        <v>View</v>
      </c>
      <c r="P2965" s="11"/>
    </row>
    <row r="2966" spans="1:16" ht="12.75" x14ac:dyDescent="0.35">
      <c r="A2966" s="7">
        <v>42483.799097222218</v>
      </c>
      <c r="B2966" s="8" t="str">
        <f>HYPERLINK("https://twitter.com/virtual_escapes","@virtual_escapes")</f>
        <v>@virtual_escapes</v>
      </c>
      <c r="C2966" s="9" t="s">
        <v>5066</v>
      </c>
      <c r="D2966" s="9" t="s">
        <v>5067</v>
      </c>
      <c r="E2966" s="10" t="str">
        <f>HYPERLINK("https://twitter.com/virtual_escapes/status/723869208447209472","723869208447209472")</f>
        <v>723869208447209472</v>
      </c>
      <c r="F2966" s="11" t="s">
        <v>5068</v>
      </c>
      <c r="G2966" s="11">
        <v>227</v>
      </c>
      <c r="H2966" s="11">
        <v>172</v>
      </c>
      <c r="I2966" s="11">
        <v>1</v>
      </c>
      <c r="J2966" s="11">
        <v>0</v>
      </c>
      <c r="K2966" s="11" t="s">
        <v>21</v>
      </c>
      <c r="L2966" s="7">
        <v>42452.316805555558</v>
      </c>
      <c r="M2966" s="12"/>
      <c r="N2966" s="12" t="s">
        <v>5069</v>
      </c>
      <c r="O2966" s="10" t="str">
        <f>HYPERLINK("https://pbs.twimg.com/profile_images/712662993620733953/F-6uyGg3_normal.jpg","View")</f>
        <v>View</v>
      </c>
      <c r="P2966" s="11"/>
    </row>
    <row r="2967" spans="1:16" ht="12.75" x14ac:dyDescent="0.35">
      <c r="A2967" s="7">
        <v>42483.801261574074</v>
      </c>
      <c r="B2967" s="8" t="str">
        <f>HYPERLINK("https://twitter.com/cwittrich","@cwittrich")</f>
        <v>@cwittrich</v>
      </c>
      <c r="C2967" s="9" t="s">
        <v>5070</v>
      </c>
      <c r="D2967" s="9" t="s">
        <v>5071</v>
      </c>
      <c r="E2967" s="10" t="str">
        <f>HYPERLINK("https://twitter.com/cwittrich/status/723869992874303488","723869992874303488")</f>
        <v>723869992874303488</v>
      </c>
      <c r="F2967" s="11" t="s">
        <v>25</v>
      </c>
      <c r="G2967" s="11">
        <v>130</v>
      </c>
      <c r="H2967" s="11">
        <v>287</v>
      </c>
      <c r="I2967" s="11">
        <v>0</v>
      </c>
      <c r="J2967" s="11">
        <v>0</v>
      </c>
      <c r="K2967" s="11" t="s">
        <v>21</v>
      </c>
      <c r="L2967" s="7">
        <v>40639.528182870374</v>
      </c>
      <c r="M2967" s="12" t="s">
        <v>5072</v>
      </c>
      <c r="N2967" s="12" t="s">
        <v>5073</v>
      </c>
      <c r="O2967" s="10" t="str">
        <f>HYPERLINK("https://pbs.twimg.com/profile_images/378800000226687289/bfbd0587532c5aaf72b7ecdc4f40d659_normal.png","View")</f>
        <v>View</v>
      </c>
      <c r="P2967" s="11"/>
    </row>
    <row r="2968" spans="1:16" ht="12.75" x14ac:dyDescent="0.35">
      <c r="A2968" s="7">
        <v>42483.801817129628</v>
      </c>
      <c r="B2968" s="8" t="str">
        <f>HYPERLINK("https://twitter.com/croXXing_IBD","@croXXing_IBD")</f>
        <v>@croXXing_IBD</v>
      </c>
      <c r="C2968" s="9" t="s">
        <v>252</v>
      </c>
      <c r="D2968" s="9" t="s">
        <v>5074</v>
      </c>
      <c r="E2968" s="10" t="str">
        <f>HYPERLINK("https://twitter.com/croXXing_IBD/status/723870193206865920","723870193206865920")</f>
        <v>723870193206865920</v>
      </c>
      <c r="F2968" s="11" t="s">
        <v>222</v>
      </c>
      <c r="G2968" s="11">
        <v>40</v>
      </c>
      <c r="H2968" s="11">
        <v>137</v>
      </c>
      <c r="I2968" s="11">
        <v>0</v>
      </c>
      <c r="J2968" s="11">
        <v>0</v>
      </c>
      <c r="K2968" s="11" t="s">
        <v>21</v>
      </c>
      <c r="L2968" s="7">
        <v>42140.148263888885</v>
      </c>
      <c r="M2968" s="12" t="s">
        <v>223</v>
      </c>
      <c r="N2968" s="12" t="s">
        <v>254</v>
      </c>
      <c r="O2968" s="10" t="str">
        <f>HYPERLINK("https://pbs.twimg.com/profile_images/600279861282869249/IpIJ3MKX_normal.png","View")</f>
        <v>View</v>
      </c>
      <c r="P2968" s="11"/>
    </row>
    <row r="2969" spans="1:16" ht="12.75" x14ac:dyDescent="0.35">
      <c r="A2969" s="7">
        <v>42483.804907407408</v>
      </c>
      <c r="B2969" s="8" t="str">
        <f>HYPERLINK("https://twitter.com/Siemens_JobsMEA","@Siemens_JobsMEA")</f>
        <v>@Siemens_JobsMEA</v>
      </c>
      <c r="C2969" s="9" t="s">
        <v>5075</v>
      </c>
      <c r="D2969" s="9" t="s">
        <v>4345</v>
      </c>
      <c r="E2969" s="10" t="str">
        <f>HYPERLINK("https://twitter.com/Siemens_JobsMEA/status/723871313803259904","723871313803259904")</f>
        <v>723871313803259904</v>
      </c>
      <c r="F2969" s="11" t="s">
        <v>31</v>
      </c>
      <c r="G2969" s="11">
        <v>5305</v>
      </c>
      <c r="H2969" s="11">
        <v>1049</v>
      </c>
      <c r="I2969" s="11">
        <v>11</v>
      </c>
      <c r="J2969" s="11">
        <v>0</v>
      </c>
      <c r="K2969" s="11" t="s">
        <v>21</v>
      </c>
      <c r="L2969" s="7">
        <v>40651.62364583333</v>
      </c>
      <c r="M2969" s="12" t="s">
        <v>5076</v>
      </c>
      <c r="N2969" s="12" t="s">
        <v>5077</v>
      </c>
      <c r="O2969" s="10" t="str">
        <f>HYPERLINK("https://pbs.twimg.com/profile_images/470492302394155009/7OebaSwV_normal.png","View")</f>
        <v>View</v>
      </c>
      <c r="P2969" s="11"/>
    </row>
    <row r="2970" spans="1:16" ht="12.75" x14ac:dyDescent="0.35">
      <c r="A2970" s="7">
        <v>42483.806261574078</v>
      </c>
      <c r="B2970" s="8" t="str">
        <f>HYPERLINK("https://twitter.com/neilmead","@neilmead")</f>
        <v>@neilmead</v>
      </c>
      <c r="C2970" s="9" t="s">
        <v>5078</v>
      </c>
      <c r="D2970" s="9" t="s">
        <v>5060</v>
      </c>
      <c r="E2970" s="10" t="str">
        <f>HYPERLINK("https://twitter.com/neilmead/status/723871802359951360","723871802359951360")</f>
        <v>723871802359951360</v>
      </c>
      <c r="F2970" s="11" t="s">
        <v>31</v>
      </c>
      <c r="G2970" s="11">
        <v>356</v>
      </c>
      <c r="H2970" s="11">
        <v>320</v>
      </c>
      <c r="I2970" s="11">
        <v>3</v>
      </c>
      <c r="J2970" s="11">
        <v>0</v>
      </c>
      <c r="K2970" s="11" t="s">
        <v>21</v>
      </c>
      <c r="L2970" s="7">
        <v>40002.09920138889</v>
      </c>
      <c r="M2970" s="12" t="s">
        <v>5079</v>
      </c>
      <c r="N2970" s="12" t="s">
        <v>5080</v>
      </c>
      <c r="O2970" s="10" t="str">
        <f>HYPERLINK("https://pbs.twimg.com/profile_images/497481376275255296/s_e5Ucqk_normal.jpeg","View")</f>
        <v>View</v>
      </c>
      <c r="P2970" s="11"/>
    </row>
    <row r="2971" spans="1:16" ht="12.75" x14ac:dyDescent="0.35">
      <c r="A2971" s="7">
        <v>42483.812002314815</v>
      </c>
      <c r="B2971" s="8" t="str">
        <f>HYPERLINK("https://twitter.com/JuergenGietl","@JuergenGietl")</f>
        <v>@JuergenGietl</v>
      </c>
      <c r="C2971" s="9" t="s">
        <v>3307</v>
      </c>
      <c r="D2971" s="9" t="s">
        <v>4927</v>
      </c>
      <c r="E2971" s="10" t="str">
        <f>HYPERLINK("https://twitter.com/JuergenGietl/status/723873882919342080","723873882919342080")</f>
        <v>723873882919342080</v>
      </c>
      <c r="F2971" s="11" t="s">
        <v>31</v>
      </c>
      <c r="G2971" s="11">
        <v>184</v>
      </c>
      <c r="H2971" s="11">
        <v>349</v>
      </c>
      <c r="I2971" s="11">
        <v>3</v>
      </c>
      <c r="J2971" s="11">
        <v>0</v>
      </c>
      <c r="K2971" s="11" t="s">
        <v>21</v>
      </c>
      <c r="L2971" s="7">
        <v>40443.350254629629</v>
      </c>
      <c r="M2971" s="12" t="s">
        <v>2210</v>
      </c>
      <c r="N2971" s="12" t="s">
        <v>3308</v>
      </c>
      <c r="O2971" s="10" t="str">
        <f>HYPERLINK("https://pbs.twimg.com/profile_images/647699835118817280/Em18Kfoc_normal.jpg","View")</f>
        <v>View</v>
      </c>
      <c r="P2971" s="11"/>
    </row>
    <row r="2972" spans="1:16" ht="12.75" x14ac:dyDescent="0.35">
      <c r="A2972" s="7">
        <v>42483.812199074076</v>
      </c>
      <c r="B2972" s="8" t="str">
        <f>HYPERLINK("https://twitter.com/TABC_Council","@TABC_Council")</f>
        <v>@TABC_Council</v>
      </c>
      <c r="C2972" s="9" t="s">
        <v>5081</v>
      </c>
      <c r="D2972" s="9" t="s">
        <v>4991</v>
      </c>
      <c r="E2972" s="10" t="str">
        <f>HYPERLINK("https://twitter.com/TABC_Council/status/723873954008555522","723873954008555522")</f>
        <v>723873954008555522</v>
      </c>
      <c r="F2972" s="11" t="s">
        <v>20</v>
      </c>
      <c r="G2972" s="11">
        <v>1158</v>
      </c>
      <c r="H2972" s="11">
        <v>864</v>
      </c>
      <c r="I2972" s="11">
        <v>4</v>
      </c>
      <c r="J2972" s="11">
        <v>0</v>
      </c>
      <c r="K2972" s="11" t="s">
        <v>21</v>
      </c>
      <c r="L2972" s="7">
        <v>41243.095833333333</v>
      </c>
      <c r="M2972" s="12" t="s">
        <v>5082</v>
      </c>
      <c r="N2972" s="12" t="s">
        <v>5083</v>
      </c>
      <c r="O2972" s="10" t="str">
        <f>HYPERLINK("https://pbs.twimg.com/profile_images/378800000105054518/0c3999c534453f2da5d9f0cadf2e00d9_normal.jpeg","View")</f>
        <v>View</v>
      </c>
      <c r="P2972" s="11"/>
    </row>
    <row r="2973" spans="1:16" ht="12.75" x14ac:dyDescent="0.35">
      <c r="A2973" s="7">
        <v>42483.813576388886</v>
      </c>
      <c r="B2973" s="8" t="str">
        <f>HYPERLINK("https://twitter.com/hannover_messe","@hannover_messe")</f>
        <v>@hannover_messe</v>
      </c>
      <c r="C2973" s="9" t="s">
        <v>1161</v>
      </c>
      <c r="D2973" s="9" t="s">
        <v>5084</v>
      </c>
      <c r="E2973" s="10" t="str">
        <f>HYPERLINK("https://twitter.com/hannover_messe/status/723874456339398656","723874456339398656")</f>
        <v>723874456339398656</v>
      </c>
      <c r="F2973" s="11" t="s">
        <v>29</v>
      </c>
      <c r="G2973" s="11">
        <v>17194</v>
      </c>
      <c r="H2973" s="11">
        <v>260</v>
      </c>
      <c r="I2973" s="11">
        <v>1</v>
      </c>
      <c r="J2973" s="11">
        <v>3</v>
      </c>
      <c r="K2973" s="11" t="s">
        <v>21</v>
      </c>
      <c r="L2973" s="7">
        <v>39878.916354166664</v>
      </c>
      <c r="M2973" s="12" t="s">
        <v>1163</v>
      </c>
      <c r="N2973" s="12" t="s">
        <v>1164</v>
      </c>
      <c r="O2973" s="10" t="str">
        <f>HYPERLINK("https://pbs.twimg.com/profile_images/685255985/Bild_2_normal.png","View")</f>
        <v>View</v>
      </c>
      <c r="P2973" s="11"/>
    </row>
    <row r="2974" spans="1:16" ht="12.75" x14ac:dyDescent="0.35">
      <c r="A2974" s="7">
        <v>42483.81554398148</v>
      </c>
      <c r="B2974" s="8" t="str">
        <f>HYPERLINK("https://twitter.com/davidromero_mex","@davidromero_mex")</f>
        <v>@davidromero_mex</v>
      </c>
      <c r="C2974" s="9" t="s">
        <v>5085</v>
      </c>
      <c r="D2974" s="9" t="s">
        <v>5086</v>
      </c>
      <c r="E2974" s="10" t="str">
        <f>HYPERLINK("https://twitter.com/davidromero_mex/status/723875167097643008","723875167097643008")</f>
        <v>723875167097643008</v>
      </c>
      <c r="F2974" s="11" t="s">
        <v>20</v>
      </c>
      <c r="G2974" s="11">
        <v>873</v>
      </c>
      <c r="H2974" s="11">
        <v>2350</v>
      </c>
      <c r="I2974" s="11">
        <v>1</v>
      </c>
      <c r="J2974" s="11">
        <v>0</v>
      </c>
      <c r="K2974" s="11" t="s">
        <v>21</v>
      </c>
      <c r="L2974" s="7">
        <v>41112.241701388892</v>
      </c>
      <c r="M2974" s="12" t="s">
        <v>5087</v>
      </c>
      <c r="N2974" s="12" t="s">
        <v>5088</v>
      </c>
      <c r="O2974" s="10" t="str">
        <f>HYPERLINK("https://pbs.twimg.com/profile_images/2422078125/r353pu21x9zi1oquhhzy_normal.png","View")</f>
        <v>View</v>
      </c>
      <c r="P2974" s="11"/>
    </row>
    <row r="2975" spans="1:16" ht="12.75" x14ac:dyDescent="0.35">
      <c r="A2975" s="7">
        <v>42483.817766203705</v>
      </c>
      <c r="B2975" s="8" t="str">
        <f>HYPERLINK("https://twitter.com/KUKA_Presse","@KUKA_Presse")</f>
        <v>@KUKA_Presse</v>
      </c>
      <c r="C2975" s="9" t="s">
        <v>2896</v>
      </c>
      <c r="D2975" s="9" t="s">
        <v>5089</v>
      </c>
      <c r="E2975" s="10" t="str">
        <f>HYPERLINK("https://twitter.com/KUKA_Presse/status/723875972236365824","723875972236365824")</f>
        <v>723875972236365824</v>
      </c>
      <c r="F2975" s="11" t="s">
        <v>2213</v>
      </c>
      <c r="G2975" s="11">
        <v>58</v>
      </c>
      <c r="H2975" s="11">
        <v>73</v>
      </c>
      <c r="I2975" s="11">
        <v>1</v>
      </c>
      <c r="J2975" s="11">
        <v>0</v>
      </c>
      <c r="K2975" s="11" t="s">
        <v>21</v>
      </c>
      <c r="L2975" s="7">
        <v>42404.688784722224</v>
      </c>
      <c r="M2975" s="12" t="s">
        <v>2898</v>
      </c>
      <c r="N2975" s="12" t="s">
        <v>2899</v>
      </c>
      <c r="O2975" s="10" t="str">
        <f>HYPERLINK("https://pbs.twimg.com/profile_images/702049280098443264/NIaxL0xT_normal.png","View")</f>
        <v>View</v>
      </c>
      <c r="P2975" s="11"/>
    </row>
    <row r="2976" spans="1:16" ht="12.75" x14ac:dyDescent="0.35">
      <c r="A2976" s="7">
        <v>42483.820254629631</v>
      </c>
      <c r="B2976" s="8" t="str">
        <f t="shared" ref="B2976:B2977" si="374">HYPERLINK("https://twitter.com/INDIZbot","@INDIZbot")</f>
        <v>@INDIZbot</v>
      </c>
      <c r="C2976" s="9" t="s">
        <v>61</v>
      </c>
      <c r="D2976" s="9" t="s">
        <v>5090</v>
      </c>
      <c r="E2976" s="10" t="str">
        <f>HYPERLINK("https://twitter.com/INDIZbot/status/723876873617432576","723876873617432576")</f>
        <v>723876873617432576</v>
      </c>
      <c r="F2976" s="11" t="s">
        <v>62</v>
      </c>
      <c r="G2976" s="11">
        <v>1779</v>
      </c>
      <c r="H2976" s="11">
        <v>482</v>
      </c>
      <c r="I2976" s="11">
        <v>1</v>
      </c>
      <c r="J2976" s="11">
        <v>0</v>
      </c>
      <c r="K2976" s="11" t="s">
        <v>21</v>
      </c>
      <c r="L2976" s="7">
        <v>42267.011921296296</v>
      </c>
      <c r="M2976" s="12"/>
      <c r="N2976" s="12" t="s">
        <v>63</v>
      </c>
      <c r="O2976" s="10" t="str">
        <f t="shared" ref="O2976:O2977" si="375">HYPERLINK("https://pbs.twimg.com/profile_images/645716711723925506/t5G0qOS6_normal.jpg","View")</f>
        <v>View</v>
      </c>
      <c r="P2976" s="11"/>
    </row>
    <row r="2977" spans="1:16" ht="12.75" x14ac:dyDescent="0.35">
      <c r="A2977" s="7">
        <v>42483.820543981477</v>
      </c>
      <c r="B2977" s="8" t="str">
        <f t="shared" si="374"/>
        <v>@INDIZbot</v>
      </c>
      <c r="C2977" s="9" t="s">
        <v>61</v>
      </c>
      <c r="D2977" s="9" t="s">
        <v>4991</v>
      </c>
      <c r="E2977" s="10" t="str">
        <f>HYPERLINK("https://twitter.com/INDIZbot/status/723876978949033984","723876978949033984")</f>
        <v>723876978949033984</v>
      </c>
      <c r="F2977" s="11" t="s">
        <v>62</v>
      </c>
      <c r="G2977" s="11">
        <v>1779</v>
      </c>
      <c r="H2977" s="11">
        <v>482</v>
      </c>
      <c r="I2977" s="11">
        <v>5</v>
      </c>
      <c r="J2977" s="11">
        <v>0</v>
      </c>
      <c r="K2977" s="11" t="s">
        <v>21</v>
      </c>
      <c r="L2977" s="7">
        <v>42267.011921296296</v>
      </c>
      <c r="M2977" s="12"/>
      <c r="N2977" s="12" t="s">
        <v>63</v>
      </c>
      <c r="O2977" s="10" t="str">
        <f t="shared" si="375"/>
        <v>View</v>
      </c>
      <c r="P2977" s="11"/>
    </row>
    <row r="2978" spans="1:16" ht="12.75" x14ac:dyDescent="0.35">
      <c r="A2978" s="7">
        <v>42483.825358796297</v>
      </c>
      <c r="B2978" s="8" t="str">
        <f>HYPERLINK("https://twitter.com/CableTechnology","@CableTechnology")</f>
        <v>@CableTechnology</v>
      </c>
      <c r="C2978" s="9" t="s">
        <v>5091</v>
      </c>
      <c r="D2978" s="9" t="s">
        <v>5086</v>
      </c>
      <c r="E2978" s="10" t="str">
        <f>HYPERLINK("https://twitter.com/CableTechnology/status/723878722856689664","723878722856689664")</f>
        <v>723878722856689664</v>
      </c>
      <c r="F2978" s="11" t="s">
        <v>25</v>
      </c>
      <c r="G2978" s="11">
        <v>274</v>
      </c>
      <c r="H2978" s="11">
        <v>474</v>
      </c>
      <c r="I2978" s="11">
        <v>2</v>
      </c>
      <c r="J2978" s="11">
        <v>0</v>
      </c>
      <c r="K2978" s="11" t="s">
        <v>21</v>
      </c>
      <c r="L2978" s="7">
        <v>42274.203912037032</v>
      </c>
      <c r="M2978" s="12" t="s">
        <v>5092</v>
      </c>
      <c r="N2978" s="12" t="s">
        <v>5093</v>
      </c>
      <c r="O2978" s="10" t="str">
        <f>HYPERLINK("https://pbs.twimg.com/profile_images/647914710881443840/oKXFSWYI_normal.jpg","View")</f>
        <v>View</v>
      </c>
      <c r="P2978" s="11"/>
    </row>
    <row r="2979" spans="1:16" ht="12.75" x14ac:dyDescent="0.35">
      <c r="A2979" s="7">
        <v>42483.826932870375</v>
      </c>
      <c r="B2979" s="8" t="str">
        <f>HYPERLINK("https://twitter.com/AnhaengerCDU","@AnhaengerCDU")</f>
        <v>@AnhaengerCDU</v>
      </c>
      <c r="C2979" s="9" t="s">
        <v>5094</v>
      </c>
      <c r="D2979" s="9" t="s">
        <v>5095</v>
      </c>
      <c r="E2979" s="10" t="str">
        <f>HYPERLINK("https://twitter.com/AnhaengerCDU/status/723879293110128640","723879293110128640")</f>
        <v>723879293110128640</v>
      </c>
      <c r="F2979" s="11" t="s">
        <v>25</v>
      </c>
      <c r="G2979" s="11">
        <v>67</v>
      </c>
      <c r="H2979" s="11">
        <v>51</v>
      </c>
      <c r="I2979" s="11">
        <v>0</v>
      </c>
      <c r="J2979" s="11">
        <v>0</v>
      </c>
      <c r="K2979" s="11" t="s">
        <v>21</v>
      </c>
      <c r="L2979" s="7">
        <v>40081.666666666664</v>
      </c>
      <c r="M2979" s="12" t="s">
        <v>689</v>
      </c>
      <c r="N2979" s="12" t="s">
        <v>5096</v>
      </c>
      <c r="O2979" s="10" t="str">
        <f>HYPERLINK("https://pbs.twimg.com/profile_images/555076843791843328/yr8ES_nx_normal.png","View")</f>
        <v>View</v>
      </c>
      <c r="P2979" s="11"/>
    </row>
    <row r="2980" spans="1:16" ht="12.75" x14ac:dyDescent="0.35">
      <c r="A2980" s="7">
        <v>42483.831203703703</v>
      </c>
      <c r="B2980" s="8" t="str">
        <f>HYPERLINK("https://twitter.com/bamitav","@bamitav")</f>
        <v>@bamitav</v>
      </c>
      <c r="C2980" s="9" t="s">
        <v>341</v>
      </c>
      <c r="D2980" s="9" t="s">
        <v>5097</v>
      </c>
      <c r="E2980" s="10" t="str">
        <f>HYPERLINK("https://twitter.com/bamitav/status/723880841646997504","723880841646997504")</f>
        <v>723880841646997504</v>
      </c>
      <c r="F2980" s="11" t="s">
        <v>20</v>
      </c>
      <c r="G2980" s="11">
        <v>7365</v>
      </c>
      <c r="H2980" s="11">
        <v>6353</v>
      </c>
      <c r="I2980" s="11">
        <v>1</v>
      </c>
      <c r="J2980" s="11">
        <v>0</v>
      </c>
      <c r="K2980" s="11" t="s">
        <v>21</v>
      </c>
      <c r="L2980" s="7">
        <v>40138.933622685188</v>
      </c>
      <c r="M2980" s="12" t="s">
        <v>343</v>
      </c>
      <c r="N2980" s="12" t="s">
        <v>344</v>
      </c>
      <c r="O2980" s="10" t="str">
        <f>HYPERLINK("https://pbs.twimg.com/profile_images/672794348442877952/m6Is-Nrc_normal.jpg","View")</f>
        <v>View</v>
      </c>
      <c r="P2980" s="11"/>
    </row>
    <row r="2981" spans="1:16" ht="12.75" x14ac:dyDescent="0.35">
      <c r="A2981" s="7">
        <v>42483.832418981481</v>
      </c>
      <c r="B2981" s="8" t="str">
        <f>HYPERLINK("https://twitter.com/WalesBuzz","@WalesBuzz")</f>
        <v>@WalesBuzz</v>
      </c>
      <c r="C2981" s="9" t="s">
        <v>3495</v>
      </c>
      <c r="D2981" s="9" t="s">
        <v>5098</v>
      </c>
      <c r="E2981" s="10" t="str">
        <f>HYPERLINK("https://twitter.com/WalesBuzz/status/723881282472710144","723881282472710144")</f>
        <v>723881282472710144</v>
      </c>
      <c r="F2981" s="11" t="s">
        <v>3496</v>
      </c>
      <c r="G2981" s="11">
        <v>238</v>
      </c>
      <c r="H2981" s="11">
        <v>2</v>
      </c>
      <c r="I2981" s="11">
        <v>1</v>
      </c>
      <c r="J2981" s="11">
        <v>0</v>
      </c>
      <c r="K2981" s="11" t="s">
        <v>21</v>
      </c>
      <c r="L2981" s="7">
        <v>42210.871504629627</v>
      </c>
      <c r="M2981" s="12" t="s">
        <v>3497</v>
      </c>
      <c r="N2981" s="12" t="s">
        <v>3498</v>
      </c>
      <c r="O2981" s="10" t="str">
        <f>HYPERLINK("https://pbs.twimg.com/profile_images/624966917669974016/Sl2SOVQ0_normal.jpg","View")</f>
        <v>View</v>
      </c>
      <c r="P2981" s="11"/>
    </row>
    <row r="2982" spans="1:16" ht="12.75" x14ac:dyDescent="0.35">
      <c r="A2982" s="7">
        <v>42483.841608796298</v>
      </c>
      <c r="B2982" s="8" t="str">
        <f>HYPERLINK("https://twitter.com/vdeyoungnet","@vdeyoungnet")</f>
        <v>@vdeyoungnet</v>
      </c>
      <c r="C2982" s="9" t="s">
        <v>5099</v>
      </c>
      <c r="D2982" s="9" t="s">
        <v>4358</v>
      </c>
      <c r="E2982" s="10" t="str">
        <f>HYPERLINK("https://twitter.com/vdeyoungnet/status/723884611709837312","723884611709837312")</f>
        <v>723884611709837312</v>
      </c>
      <c r="F2982" s="11" t="s">
        <v>25</v>
      </c>
      <c r="G2982" s="11">
        <v>482</v>
      </c>
      <c r="H2982" s="11">
        <v>142</v>
      </c>
      <c r="I2982" s="11">
        <v>4</v>
      </c>
      <c r="J2982" s="11">
        <v>0</v>
      </c>
      <c r="K2982" s="11" t="s">
        <v>21</v>
      </c>
      <c r="L2982" s="7">
        <v>40165.642546296294</v>
      </c>
      <c r="M2982" s="12" t="s">
        <v>121</v>
      </c>
      <c r="N2982" s="12" t="s">
        <v>5100</v>
      </c>
      <c r="O2982" s="10" t="str">
        <f>HYPERLINK("https://pbs.twimg.com/profile_images/496265067118075904/A2MFKnFv_normal.jpeg","View")</f>
        <v>View</v>
      </c>
      <c r="P2982" s="11"/>
    </row>
    <row r="2983" spans="1:16" ht="12.75" x14ac:dyDescent="0.35">
      <c r="A2983" s="7">
        <v>42483.842083333337</v>
      </c>
      <c r="B2983" s="8" t="str">
        <f>HYPERLINK("https://twitter.com/INDIZbot","@INDIZbot")</f>
        <v>@INDIZbot</v>
      </c>
      <c r="C2983" s="9" t="s">
        <v>61</v>
      </c>
      <c r="D2983" s="9" t="s">
        <v>5101</v>
      </c>
      <c r="E2983" s="10" t="str">
        <f>HYPERLINK("https://twitter.com/INDIZbot/status/723884783886057472","723884783886057472")</f>
        <v>723884783886057472</v>
      </c>
      <c r="F2983" s="11" t="s">
        <v>62</v>
      </c>
      <c r="G2983" s="11">
        <v>1779</v>
      </c>
      <c r="H2983" s="11">
        <v>482</v>
      </c>
      <c r="I2983" s="11">
        <v>1</v>
      </c>
      <c r="J2983" s="11">
        <v>0</v>
      </c>
      <c r="K2983" s="11" t="s">
        <v>21</v>
      </c>
      <c r="L2983" s="7">
        <v>42267.011921296296</v>
      </c>
      <c r="M2983" s="12"/>
      <c r="N2983" s="12" t="s">
        <v>63</v>
      </c>
      <c r="O2983" s="10" t="str">
        <f>HYPERLINK("https://pbs.twimg.com/profile_images/645716711723925506/t5G0qOS6_normal.jpg","View")</f>
        <v>View</v>
      </c>
      <c r="P2983" s="11"/>
    </row>
    <row r="2984" spans="1:16" ht="12.75" x14ac:dyDescent="0.35">
      <c r="A2984" s="7">
        <v>42483.846307870372</v>
      </c>
      <c r="B2984" s="8" t="str">
        <f>HYPERLINK("https://twitter.com/fitfor2020","@fitfor2020")</f>
        <v>@fitfor2020</v>
      </c>
      <c r="C2984" s="9" t="s">
        <v>963</v>
      </c>
      <c r="D2984" s="9" t="s">
        <v>5102</v>
      </c>
      <c r="E2984" s="10" t="str">
        <f>HYPERLINK("https://twitter.com/fitfor2020/status/723886315167748097","723886315167748097")</f>
        <v>723886315167748097</v>
      </c>
      <c r="F2984" s="11" t="s">
        <v>1491</v>
      </c>
      <c r="G2984" s="11">
        <v>1236</v>
      </c>
      <c r="H2984" s="11">
        <v>6</v>
      </c>
      <c r="I2984" s="11">
        <v>0</v>
      </c>
      <c r="J2984" s="11">
        <v>0</v>
      </c>
      <c r="K2984" s="11" t="s">
        <v>21</v>
      </c>
      <c r="L2984" s="7">
        <v>41384.531759259262</v>
      </c>
      <c r="M2984" s="12" t="s">
        <v>3881</v>
      </c>
      <c r="N2984" s="12" t="s">
        <v>3882</v>
      </c>
      <c r="O2984" s="10" t="str">
        <f>HYPERLINK("https://pbs.twimg.com/profile_images/587953511213727744/fs0LF99T_normal.jpg","View")</f>
        <v>View</v>
      </c>
      <c r="P2984" s="11"/>
    </row>
    <row r="2985" spans="1:16" ht="12.75" x14ac:dyDescent="0.35">
      <c r="A2985" s="7">
        <v>42483.847546296296</v>
      </c>
      <c r="B2985" s="8" t="str">
        <f>HYPERLINK("https://twitter.com/SusanneJRomero","@SusanneJRomero")</f>
        <v>@SusanneJRomero</v>
      </c>
      <c r="C2985" s="9" t="s">
        <v>5103</v>
      </c>
      <c r="D2985" s="9" t="s">
        <v>5060</v>
      </c>
      <c r="E2985" s="10" t="str">
        <f>HYPERLINK("https://twitter.com/SusanneJRomero/status/723886765354967041","723886765354967041")</f>
        <v>723886765354967041</v>
      </c>
      <c r="F2985" s="11" t="s">
        <v>20</v>
      </c>
      <c r="G2985" s="11">
        <v>19</v>
      </c>
      <c r="H2985" s="11">
        <v>104</v>
      </c>
      <c r="I2985" s="11">
        <v>4</v>
      </c>
      <c r="J2985" s="11">
        <v>0</v>
      </c>
      <c r="K2985" s="11" t="s">
        <v>21</v>
      </c>
      <c r="L2985" s="7">
        <v>42377.563240740739</v>
      </c>
      <c r="M2985" s="12" t="s">
        <v>5104</v>
      </c>
      <c r="N2985" s="12" t="s">
        <v>5105</v>
      </c>
      <c r="O2985" s="10" t="str">
        <f>HYPERLINK("https://pbs.twimg.com/profile_images/718552791028015104/EQMepXjH_normal.jpg","View")</f>
        <v>View</v>
      </c>
      <c r="P2985" s="11"/>
    </row>
    <row r="2986" spans="1:16" ht="12.75" x14ac:dyDescent="0.35">
      <c r="A2986" s="7">
        <v>42483.852523148147</v>
      </c>
      <c r="B2986" s="8" t="str">
        <f>HYPERLINK("https://twitter.com/DigitalSpaceLab","@DigitalSpaceLab")</f>
        <v>@DigitalSpaceLab</v>
      </c>
      <c r="C2986" s="9" t="s">
        <v>5106</v>
      </c>
      <c r="D2986" s="9" t="s">
        <v>5107</v>
      </c>
      <c r="E2986" s="10" t="str">
        <f>HYPERLINK("https://twitter.com/DigitalSpaceLab/status/723888568050044930","723888568050044930")</f>
        <v>723888568050044930</v>
      </c>
      <c r="F2986" s="11" t="s">
        <v>25</v>
      </c>
      <c r="G2986" s="11">
        <v>65</v>
      </c>
      <c r="H2986" s="11">
        <v>135</v>
      </c>
      <c r="I2986" s="11">
        <v>0</v>
      </c>
      <c r="J2986" s="11">
        <v>0</v>
      </c>
      <c r="K2986" s="11" t="s">
        <v>21</v>
      </c>
      <c r="L2986" s="7">
        <v>41969.883831018524</v>
      </c>
      <c r="M2986" s="12" t="s">
        <v>121</v>
      </c>
      <c r="N2986" s="12" t="s">
        <v>5108</v>
      </c>
      <c r="O2986" s="10" t="str">
        <f>HYPERLINK("https://pbs.twimg.com/profile_images/690218859895373824/JEdDRzpE_normal.jpg","View")</f>
        <v>View</v>
      </c>
      <c r="P2986" s="11"/>
    </row>
    <row r="2987" spans="1:16" ht="12.75" x14ac:dyDescent="0.35">
      <c r="A2987" s="7">
        <v>42483.861493055556</v>
      </c>
      <c r="B2987" s="8" t="str">
        <f>HYPERLINK("https://twitter.com/gpodagrosi","@gpodagrosi")</f>
        <v>@gpodagrosi</v>
      </c>
      <c r="C2987" s="9" t="s">
        <v>346</v>
      </c>
      <c r="D2987" s="9" t="s">
        <v>4158</v>
      </c>
      <c r="E2987" s="10" t="str">
        <f>HYPERLINK("https://twitter.com/gpodagrosi/status/723891819004702721","723891819004702721")</f>
        <v>723891819004702721</v>
      </c>
      <c r="F2987" s="11" t="s">
        <v>20</v>
      </c>
      <c r="G2987" s="11">
        <v>2504</v>
      </c>
      <c r="H2987" s="11">
        <v>1479</v>
      </c>
      <c r="I2987" s="11">
        <v>1</v>
      </c>
      <c r="J2987" s="11">
        <v>0</v>
      </c>
      <c r="K2987" s="11" t="s">
        <v>21</v>
      </c>
      <c r="L2987" s="7">
        <v>40649.951840277776</v>
      </c>
      <c r="M2987" s="12" t="s">
        <v>347</v>
      </c>
      <c r="N2987" s="12" t="s">
        <v>348</v>
      </c>
      <c r="O2987" s="10" t="str">
        <f>HYPERLINK("https://pbs.twimg.com/profile_images/588981131996966912/55KBnYR7_normal.jpg","View")</f>
        <v>View</v>
      </c>
      <c r="P2987" s="11"/>
    </row>
    <row r="2988" spans="1:16" ht="12.75" x14ac:dyDescent="0.35">
      <c r="A2988" s="7">
        <v>42483.893854166672</v>
      </c>
      <c r="B2988" s="8" t="str">
        <f>HYPERLINK("https://twitter.com/BDWiese","@BDWiese")</f>
        <v>@BDWiese</v>
      </c>
      <c r="C2988" s="9" t="s">
        <v>5109</v>
      </c>
      <c r="D2988" s="9" t="s">
        <v>4249</v>
      </c>
      <c r="E2988" s="10" t="str">
        <f>HYPERLINK("https://twitter.com/BDWiese/status/723903546375213056","723903546375213056")</f>
        <v>723903546375213056</v>
      </c>
      <c r="F2988" s="11" t="s">
        <v>31</v>
      </c>
      <c r="G2988" s="11">
        <v>71</v>
      </c>
      <c r="H2988" s="11">
        <v>158</v>
      </c>
      <c r="I2988" s="11">
        <v>2</v>
      </c>
      <c r="J2988" s="11">
        <v>0</v>
      </c>
      <c r="K2988" s="11" t="s">
        <v>21</v>
      </c>
      <c r="L2988" s="7">
        <v>41417.144930555558</v>
      </c>
      <c r="M2988" s="12" t="s">
        <v>2089</v>
      </c>
      <c r="N2988" s="12" t="s">
        <v>5110</v>
      </c>
      <c r="O2988" s="10" t="str">
        <f>HYPERLINK("https://pbs.twimg.com/profile_images/684550804829700096/9-hTlzk1_normal.jpg","View")</f>
        <v>View</v>
      </c>
      <c r="P2988" s="11"/>
    </row>
    <row r="2989" spans="1:16" ht="12.75" x14ac:dyDescent="0.35">
      <c r="A2989" s="7">
        <v>42483.896863425922</v>
      </c>
      <c r="B2989" s="8" t="str">
        <f>HYPERLINK("https://twitter.com/KUKA_RoboticsDE","@KUKA_RoboticsDE")</f>
        <v>@KUKA_RoboticsDE</v>
      </c>
      <c r="C2989" s="9" t="s">
        <v>4495</v>
      </c>
      <c r="D2989" s="9" t="s">
        <v>5111</v>
      </c>
      <c r="E2989" s="10" t="str">
        <f>HYPERLINK("https://twitter.com/KUKA_RoboticsDE/status/723904636411850752","723904636411850752")</f>
        <v>723904636411850752</v>
      </c>
      <c r="F2989" s="11" t="s">
        <v>39</v>
      </c>
      <c r="G2989" s="11">
        <v>4568</v>
      </c>
      <c r="H2989" s="11">
        <v>284</v>
      </c>
      <c r="I2989" s="11">
        <v>0</v>
      </c>
      <c r="J2989" s="11">
        <v>1</v>
      </c>
      <c r="K2989" s="11" t="s">
        <v>21</v>
      </c>
      <c r="L2989" s="7">
        <v>40114.864803240736</v>
      </c>
      <c r="M2989" s="12" t="s">
        <v>102</v>
      </c>
      <c r="N2989" s="12" t="s">
        <v>4497</v>
      </c>
      <c r="O2989" s="10" t="str">
        <f>HYPERLINK("https://pbs.twimg.com/profile_images/704767814406643712/VcnCdfke_normal.jpg","View")</f>
        <v>View</v>
      </c>
      <c r="P2989" s="11"/>
    </row>
    <row r="2990" spans="1:16" ht="12.75" x14ac:dyDescent="0.35">
      <c r="A2990" s="7">
        <v>42483.912673611107</v>
      </c>
      <c r="B2990" s="8" t="str">
        <f>HYPERLINK("https://twitter.com/NickBoesl","@NickBoesl")</f>
        <v>@NickBoesl</v>
      </c>
      <c r="C2990" s="9" t="s">
        <v>5112</v>
      </c>
      <c r="D2990" s="9" t="s">
        <v>5113</v>
      </c>
      <c r="E2990" s="10" t="str">
        <f>HYPERLINK("https://twitter.com/NickBoesl/status/723910364358934528","723910364358934528")</f>
        <v>723910364358934528</v>
      </c>
      <c r="F2990" s="11" t="s">
        <v>31</v>
      </c>
      <c r="G2990" s="11">
        <v>267</v>
      </c>
      <c r="H2990" s="11">
        <v>699</v>
      </c>
      <c r="I2990" s="11">
        <v>1</v>
      </c>
      <c r="J2990" s="11">
        <v>0</v>
      </c>
      <c r="K2990" s="11" t="s">
        <v>21</v>
      </c>
      <c r="L2990" s="7">
        <v>40275.778229166666</v>
      </c>
      <c r="M2990" s="12" t="s">
        <v>5114</v>
      </c>
      <c r="N2990" s="12" t="s">
        <v>5115</v>
      </c>
      <c r="O2990" s="10" t="str">
        <f>HYPERLINK("https://pbs.twimg.com/profile_images/804402480/3571__002_klein_normal.jpg","View")</f>
        <v>View</v>
      </c>
      <c r="P2990" s="11"/>
    </row>
    <row r="2991" spans="1:16" ht="12.75" x14ac:dyDescent="0.35">
      <c r="A2991" s="7">
        <v>42483.91337962963</v>
      </c>
      <c r="B2991" s="8" t="str">
        <f>HYPERLINK("https://twitter.com/APEGOhio","@APEGOhio")</f>
        <v>@APEGOhio</v>
      </c>
      <c r="C2991" s="9" t="s">
        <v>5116</v>
      </c>
      <c r="D2991" s="9" t="s">
        <v>5060</v>
      </c>
      <c r="E2991" s="10" t="str">
        <f>HYPERLINK("https://twitter.com/APEGOhio/status/723910620580589568","723910620580589568")</f>
        <v>723910620580589568</v>
      </c>
      <c r="F2991" s="11" t="s">
        <v>25</v>
      </c>
      <c r="G2991" s="11">
        <v>292</v>
      </c>
      <c r="H2991" s="11">
        <v>302</v>
      </c>
      <c r="I2991" s="11">
        <v>5</v>
      </c>
      <c r="J2991" s="11">
        <v>0</v>
      </c>
      <c r="K2991" s="11" t="s">
        <v>21</v>
      </c>
      <c r="L2991" s="7">
        <v>41489.047060185185</v>
      </c>
      <c r="M2991" s="12" t="s">
        <v>5117</v>
      </c>
      <c r="N2991" s="12" t="s">
        <v>5118</v>
      </c>
      <c r="O2991" s="10" t="str">
        <f>HYPERLINK("https://pbs.twimg.com/profile_images/519504850971668480/L5pBCEWZ_normal.jpeg","View")</f>
        <v>View</v>
      </c>
      <c r="P2991" s="11"/>
    </row>
    <row r="2992" spans="1:16" ht="12.75" x14ac:dyDescent="0.35">
      <c r="A2992" s="7">
        <v>42483.914837962962</v>
      </c>
      <c r="B2992" s="8" t="str">
        <f>HYPERLINK("https://twitter.com/siemensindustry","@siemensindustry")</f>
        <v>@siemensindustry</v>
      </c>
      <c r="C2992" s="9" t="s">
        <v>4624</v>
      </c>
      <c r="D2992" s="9" t="s">
        <v>5086</v>
      </c>
      <c r="E2992" s="10" t="str">
        <f>HYPERLINK("https://twitter.com/siemensindustry/status/723911148270157824","723911148270157824")</f>
        <v>723911148270157824</v>
      </c>
      <c r="F2992" s="11" t="s">
        <v>25</v>
      </c>
      <c r="G2992" s="11">
        <v>48367</v>
      </c>
      <c r="H2992" s="11">
        <v>3762</v>
      </c>
      <c r="I2992" s="11">
        <v>5</v>
      </c>
      <c r="J2992" s="11">
        <v>0</v>
      </c>
      <c r="K2992" s="11" t="s">
        <v>21</v>
      </c>
      <c r="L2992" s="7">
        <v>39995.707395833335</v>
      </c>
      <c r="M2992" s="12"/>
      <c r="N2992" s="12" t="s">
        <v>4625</v>
      </c>
      <c r="O2992" s="10" t="str">
        <f>HYPERLINK("https://pbs.twimg.com/profile_images/491604376192958465/Ir18BAvZ_normal.png","View")</f>
        <v>View</v>
      </c>
      <c r="P2992" s="11"/>
    </row>
    <row r="2993" spans="1:16" ht="12.75" x14ac:dyDescent="0.35">
      <c r="A2993" s="7">
        <v>42483.915590277778</v>
      </c>
      <c r="B2993" s="8" t="str">
        <f>HYPERLINK("https://twitter.com/alamexweb","@alamexweb")</f>
        <v>@alamexweb</v>
      </c>
      <c r="C2993" s="9" t="s">
        <v>5119</v>
      </c>
      <c r="D2993" s="9" t="s">
        <v>5086</v>
      </c>
      <c r="E2993" s="10" t="str">
        <f>HYPERLINK("https://twitter.com/alamexweb/status/723911423592525824","723911423592525824")</f>
        <v>723911423592525824</v>
      </c>
      <c r="F2993" s="11" t="s">
        <v>20</v>
      </c>
      <c r="G2993" s="11">
        <v>100</v>
      </c>
      <c r="H2993" s="11">
        <v>437</v>
      </c>
      <c r="I2993" s="11">
        <v>5</v>
      </c>
      <c r="J2993" s="11">
        <v>0</v>
      </c>
      <c r="K2993" s="11" t="s">
        <v>21</v>
      </c>
      <c r="L2993" s="7">
        <v>41128.225636574076</v>
      </c>
      <c r="M2993" s="12" t="s">
        <v>5120</v>
      </c>
      <c r="N2993" s="12" t="s">
        <v>5121</v>
      </c>
      <c r="O2993" s="10" t="str">
        <f>HYPERLINK("https://pbs.twimg.com/profile_images/484360531805872130/3NUM_F5K_normal.jpeg","View")</f>
        <v>View</v>
      </c>
      <c r="P2993" s="11"/>
    </row>
    <row r="2994" spans="1:16" ht="12.75" x14ac:dyDescent="0.35">
      <c r="A2994" s="7">
        <v>42483.917071759264</v>
      </c>
      <c r="B2994" s="8" t="str">
        <f>HYPERLINK("https://twitter.com/MachineryMktmag","@MachineryMktmag")</f>
        <v>@MachineryMktmag</v>
      </c>
      <c r="C2994" s="9" t="s">
        <v>5122</v>
      </c>
      <c r="D2994" s="9" t="s">
        <v>5086</v>
      </c>
      <c r="E2994" s="10" t="str">
        <f>HYPERLINK("https://twitter.com/MachineryMktmag/status/723911959079473152","723911959079473152")</f>
        <v>723911959079473152</v>
      </c>
      <c r="F2994" s="11" t="s">
        <v>25</v>
      </c>
      <c r="G2994" s="11">
        <v>4701</v>
      </c>
      <c r="H2994" s="11">
        <v>3569</v>
      </c>
      <c r="I2994" s="11">
        <v>5</v>
      </c>
      <c r="J2994" s="11">
        <v>0</v>
      </c>
      <c r="K2994" s="11" t="s">
        <v>21</v>
      </c>
      <c r="L2994" s="7">
        <v>40698.495034722218</v>
      </c>
      <c r="M2994" s="12" t="s">
        <v>622</v>
      </c>
      <c r="N2994" s="12" t="s">
        <v>5123</v>
      </c>
      <c r="O2994" s="10" t="str">
        <f>HYPERLINK("https://pbs.twimg.com/profile_images/674973920039145474/z8uky1Lp_normal.jpg","View")</f>
        <v>View</v>
      </c>
      <c r="P2994" s="11"/>
    </row>
    <row r="2995" spans="1:16" ht="12.75" x14ac:dyDescent="0.35">
      <c r="A2995" s="7">
        <v>42483.920254629629</v>
      </c>
      <c r="B2995" s="8" t="str">
        <f>HYPERLINK("https://twitter.com/IT2Industry","@IT2Industry")</f>
        <v>@IT2Industry</v>
      </c>
      <c r="C2995" s="9" t="s">
        <v>721</v>
      </c>
      <c r="D2995" s="9" t="s">
        <v>5124</v>
      </c>
      <c r="E2995" s="10" t="str">
        <f>HYPERLINK("https://twitter.com/IT2Industry/status/723913114236923908","723913114236923908")</f>
        <v>723913114236923908</v>
      </c>
      <c r="F2995" s="10" t="s">
        <v>723</v>
      </c>
      <c r="G2995" s="11">
        <v>1934</v>
      </c>
      <c r="H2995" s="11">
        <v>996</v>
      </c>
      <c r="I2995" s="11">
        <v>1</v>
      </c>
      <c r="J2995" s="11">
        <v>0</v>
      </c>
      <c r="K2995" s="11" t="s">
        <v>21</v>
      </c>
      <c r="L2995" s="7">
        <v>39771.779502314814</v>
      </c>
      <c r="M2995" s="12" t="s">
        <v>443</v>
      </c>
      <c r="N2995" s="12" t="s">
        <v>724</v>
      </c>
      <c r="O2995" s="10" t="str">
        <f>HYPERLINK("https://pbs.twimg.com/profile_images/489403559394304001/8SQlWWA1_normal.jpeg","View")</f>
        <v>View</v>
      </c>
      <c r="P2995" s="11"/>
    </row>
    <row r="2996" spans="1:16" ht="12.75" x14ac:dyDescent="0.35">
      <c r="A2996" s="7">
        <v>42483.924189814818</v>
      </c>
      <c r="B2996" s="8" t="str">
        <f>HYPERLINK("https://twitter.com/MindCommerce","@MindCommerce")</f>
        <v>@MindCommerce</v>
      </c>
      <c r="C2996" s="9" t="s">
        <v>1242</v>
      </c>
      <c r="D2996" s="9" t="s">
        <v>5125</v>
      </c>
      <c r="E2996" s="10" t="str">
        <f>HYPERLINK("https://twitter.com/MindCommerce/status/723914537863360512","723914537863360512")</f>
        <v>723914537863360512</v>
      </c>
      <c r="F2996" s="11" t="s">
        <v>437</v>
      </c>
      <c r="G2996" s="11">
        <v>1190</v>
      </c>
      <c r="H2996" s="11">
        <v>427</v>
      </c>
      <c r="I2996" s="11">
        <v>1</v>
      </c>
      <c r="J2996" s="11">
        <v>0</v>
      </c>
      <c r="K2996" s="11" t="s">
        <v>21</v>
      </c>
      <c r="L2996" s="7">
        <v>40577.150787037041</v>
      </c>
      <c r="M2996" s="12"/>
      <c r="N2996" s="12" t="s">
        <v>1244</v>
      </c>
      <c r="O2996" s="10" t="str">
        <f>HYPERLINK("https://pbs.twimg.com/profile_images/548030384030507008/utABqhj9_normal.png","View")</f>
        <v>View</v>
      </c>
      <c r="P2996" s="11"/>
    </row>
    <row r="2997" spans="1:16" ht="12.75" x14ac:dyDescent="0.35">
      <c r="A2997" s="7">
        <v>42483.924687499995</v>
      </c>
      <c r="B2997" s="8" t="str">
        <f>HYPERLINK("https://twitter.com/Lenze_FR","@Lenze_FR")</f>
        <v>@Lenze_FR</v>
      </c>
      <c r="C2997" s="9" t="s">
        <v>1508</v>
      </c>
      <c r="D2997" s="9" t="s">
        <v>4962</v>
      </c>
      <c r="E2997" s="10" t="str">
        <f>HYPERLINK("https://twitter.com/Lenze_FR/status/723914719011180546","723914719011180546")</f>
        <v>723914719011180546</v>
      </c>
      <c r="F2997" s="11" t="s">
        <v>25</v>
      </c>
      <c r="G2997" s="11">
        <v>510</v>
      </c>
      <c r="H2997" s="11">
        <v>827</v>
      </c>
      <c r="I2997" s="11">
        <v>5</v>
      </c>
      <c r="J2997" s="11">
        <v>0</v>
      </c>
      <c r="K2997" s="11" t="s">
        <v>21</v>
      </c>
      <c r="L2997" s="7">
        <v>40503.887106481481</v>
      </c>
      <c r="M2997" s="12" t="s">
        <v>88</v>
      </c>
      <c r="N2997" s="12" t="s">
        <v>1510</v>
      </c>
      <c r="O2997" s="10" t="str">
        <f>HYPERLINK("https://pbs.twimg.com/profile_images/659103527302746112/SHt7cxmw_normal.png","View")</f>
        <v>View</v>
      </c>
      <c r="P2997" s="11"/>
    </row>
    <row r="2998" spans="1:16" ht="12.75" x14ac:dyDescent="0.35">
      <c r="A2998" s="7">
        <v>42483.925706018519</v>
      </c>
      <c r="B2998" s="8" t="str">
        <f>HYPERLINK("https://twitter.com/Bitkom_I40","@Bitkom_I40")</f>
        <v>@Bitkom_I40</v>
      </c>
      <c r="C2998" s="9" t="s">
        <v>1857</v>
      </c>
      <c r="D2998" s="9" t="s">
        <v>5126</v>
      </c>
      <c r="E2998" s="10" t="str">
        <f>HYPERLINK("https://twitter.com/Bitkom_I40/status/723915089724641280","723915089724641280")</f>
        <v>723915089724641280</v>
      </c>
      <c r="F2998" s="11" t="s">
        <v>115</v>
      </c>
      <c r="G2998" s="11">
        <v>763</v>
      </c>
      <c r="H2998" s="11">
        <v>44</v>
      </c>
      <c r="I2998" s="11">
        <v>0</v>
      </c>
      <c r="J2998" s="11">
        <v>0</v>
      </c>
      <c r="K2998" s="11" t="s">
        <v>21</v>
      </c>
      <c r="L2998" s="7">
        <v>41613.773194444446</v>
      </c>
      <c r="M2998" s="12" t="s">
        <v>218</v>
      </c>
      <c r="N2998" s="12" t="s">
        <v>1860</v>
      </c>
      <c r="O2998" s="10" t="str">
        <f>HYPERLINK("https://pbs.twimg.com/profile_images/723407487395713024/0hZv7R8S_normal.jpg","View")</f>
        <v>View</v>
      </c>
      <c r="P2998" s="11"/>
    </row>
    <row r="2999" spans="1:16" ht="12.75" x14ac:dyDescent="0.35">
      <c r="A2999" s="7">
        <v>42483.927870370375</v>
      </c>
      <c r="B2999" s="8" t="str">
        <f>HYPERLINK("https://twitter.com/Biwi81","@Biwi81")</f>
        <v>@Biwi81</v>
      </c>
      <c r="C2999" s="9" t="s">
        <v>5127</v>
      </c>
      <c r="D2999" s="9" t="s">
        <v>5086</v>
      </c>
      <c r="E2999" s="10" t="str">
        <f>HYPERLINK("https://twitter.com/Biwi81/status/723915874776829952","723915874776829952")</f>
        <v>723915874776829952</v>
      </c>
      <c r="F2999" s="11" t="s">
        <v>31</v>
      </c>
      <c r="G2999" s="11">
        <v>55</v>
      </c>
      <c r="H2999" s="11">
        <v>55</v>
      </c>
      <c r="I2999" s="11">
        <v>6</v>
      </c>
      <c r="J2999" s="11">
        <v>0</v>
      </c>
      <c r="K2999" s="11" t="s">
        <v>21</v>
      </c>
      <c r="L2999" s="7">
        <v>40276.064571759256</v>
      </c>
      <c r="M2999" s="12"/>
      <c r="N2999" s="12" t="s">
        <v>5128</v>
      </c>
      <c r="O2999" s="10" t="str">
        <f>HYPERLINK("https://pbs.twimg.com/profile_images/493135970229690369/hv37Emhn_normal.jpeg","View")</f>
        <v>View</v>
      </c>
      <c r="P2999" s="11"/>
    </row>
    <row r="3000" spans="1:16" ht="12.75" x14ac:dyDescent="0.35">
      <c r="A3000" s="7">
        <v>42483.930972222224</v>
      </c>
      <c r="B3000" s="8" t="str">
        <f>HYPERLINK("https://twitter.com/PauldeAndrade","@PauldeAndrade")</f>
        <v>@PauldeAndrade</v>
      </c>
      <c r="C3000" s="9" t="s">
        <v>5129</v>
      </c>
      <c r="D3000" s="9" t="s">
        <v>5130</v>
      </c>
      <c r="E3000" s="10" t="str">
        <f>HYPERLINK("https://twitter.com/PauldeAndrade/status/723916996048502785","723916996048502785")</f>
        <v>723916996048502785</v>
      </c>
      <c r="F3000" s="11" t="s">
        <v>31</v>
      </c>
      <c r="G3000" s="11">
        <v>146</v>
      </c>
      <c r="H3000" s="11">
        <v>112</v>
      </c>
      <c r="I3000" s="11">
        <v>0</v>
      </c>
      <c r="J3000" s="11">
        <v>0</v>
      </c>
      <c r="K3000" s="11" t="s">
        <v>21</v>
      </c>
      <c r="L3000" s="7">
        <v>41777.135104166664</v>
      </c>
      <c r="M3000" s="12" t="s">
        <v>5131</v>
      </c>
      <c r="N3000" s="12" t="s">
        <v>5132</v>
      </c>
      <c r="O3000" s="10" t="str">
        <f>HYPERLINK("https://pbs.twimg.com/profile_images/688491424581595136/F9UT-pH__normal.jpg","View")</f>
        <v>View</v>
      </c>
      <c r="P3000" s="11"/>
    </row>
    <row r="3001" spans="1:16" ht="12.75" x14ac:dyDescent="0.35">
      <c r="A3001" s="7">
        <v>42483.933645833335</v>
      </c>
      <c r="B3001" s="8" t="str">
        <f>HYPERLINK("https://twitter.com/RaykJakobi","@RaykJakobi")</f>
        <v>@RaykJakobi</v>
      </c>
      <c r="C3001" s="9" t="s">
        <v>5133</v>
      </c>
      <c r="D3001" s="9" t="s">
        <v>5113</v>
      </c>
      <c r="E3001" s="10" t="str">
        <f>HYPERLINK("https://twitter.com/RaykJakobi/status/723917963959668737","723917963959668737")</f>
        <v>723917963959668737</v>
      </c>
      <c r="F3001" s="11" t="s">
        <v>31</v>
      </c>
      <c r="G3001" s="11">
        <v>37</v>
      </c>
      <c r="H3001" s="11">
        <v>147</v>
      </c>
      <c r="I3001" s="11">
        <v>2</v>
      </c>
      <c r="J3001" s="11">
        <v>0</v>
      </c>
      <c r="K3001" s="11" t="s">
        <v>21</v>
      </c>
      <c r="L3001" s="7">
        <v>42221.431168981479</v>
      </c>
      <c r="M3001" s="12" t="s">
        <v>689</v>
      </c>
      <c r="N3001" s="12" t="s">
        <v>5134</v>
      </c>
      <c r="O3001" s="10" t="str">
        <f>HYPERLINK("https://pbs.twimg.com/profile_images/628794642553810944/vZ1Nw-Bi_normal.jpg","View")</f>
        <v>View</v>
      </c>
      <c r="P3001" s="11"/>
    </row>
    <row r="3002" spans="1:16" ht="12.75" x14ac:dyDescent="0.35">
      <c r="A3002" s="7">
        <v>42483.947476851856</v>
      </c>
      <c r="B3002" s="8" t="str">
        <f>HYPERLINK("https://twitter.com/Romny58","@Romny58")</f>
        <v>@Romny58</v>
      </c>
      <c r="C3002" s="9" t="s">
        <v>5135</v>
      </c>
      <c r="D3002" s="9" t="s">
        <v>5086</v>
      </c>
      <c r="E3002" s="10" t="str">
        <f>HYPERLINK("https://twitter.com/Romny58/status/723922977360887808","723922977360887808")</f>
        <v>723922977360887808</v>
      </c>
      <c r="F3002" s="11" t="s">
        <v>29</v>
      </c>
      <c r="G3002" s="11">
        <v>19</v>
      </c>
      <c r="H3002" s="11">
        <v>42</v>
      </c>
      <c r="I3002" s="11">
        <v>7</v>
      </c>
      <c r="J3002" s="11">
        <v>0</v>
      </c>
      <c r="K3002" s="11" t="s">
        <v>21</v>
      </c>
      <c r="L3002" s="7">
        <v>40181.189016203702</v>
      </c>
      <c r="M3002" s="12" t="s">
        <v>5136</v>
      </c>
      <c r="N3002" s="12" t="s">
        <v>5137</v>
      </c>
      <c r="O3002" s="10" t="str">
        <f>HYPERLINK("https://pbs.twimg.com/profile_images/706450550158712832/97d1R5W7_normal.jpg","View")</f>
        <v>View</v>
      </c>
      <c r="P3002" s="11"/>
    </row>
    <row r="3003" spans="1:16" ht="12.75" x14ac:dyDescent="0.35">
      <c r="A3003" s="7">
        <v>42483.95144675926</v>
      </c>
      <c r="B3003" s="8" t="str">
        <f>HYPERLINK("https://twitter.com/mindrockets","@mindrockets")</f>
        <v>@mindrockets</v>
      </c>
      <c r="C3003" s="9" t="s">
        <v>5138</v>
      </c>
      <c r="D3003" s="9" t="s">
        <v>5139</v>
      </c>
      <c r="E3003" s="10" t="str">
        <f>HYPERLINK("https://twitter.com/mindrockets/status/723924416279748608","723924416279748608")</f>
        <v>723924416279748608</v>
      </c>
      <c r="F3003" s="11" t="s">
        <v>25</v>
      </c>
      <c r="G3003" s="11">
        <v>351</v>
      </c>
      <c r="H3003" s="11">
        <v>249</v>
      </c>
      <c r="I3003" s="11">
        <v>0</v>
      </c>
      <c r="J3003" s="11">
        <v>0</v>
      </c>
      <c r="K3003" s="11" t="s">
        <v>21</v>
      </c>
      <c r="L3003" s="7">
        <v>41101.81523148148</v>
      </c>
      <c r="M3003" s="12" t="s">
        <v>2240</v>
      </c>
      <c r="N3003" s="12" t="s">
        <v>5140</v>
      </c>
      <c r="O3003" s="10" t="str">
        <f>HYPERLINK("https://pbs.twimg.com/profile_images/378800000114367535/ece45ccc5c5e231750ac50d6de366482_normal.jpeg","View")</f>
        <v>View</v>
      </c>
      <c r="P3003" s="11"/>
    </row>
    <row r="3004" spans="1:16" ht="12.75" x14ac:dyDescent="0.35">
      <c r="A3004" s="7">
        <v>42483.951805555553</v>
      </c>
      <c r="B3004" s="8" t="str">
        <f>HYPERLINK("https://twitter.com/ggaugler","@ggaugler")</f>
        <v>@ggaugler</v>
      </c>
      <c r="C3004" s="9" t="s">
        <v>5141</v>
      </c>
      <c r="D3004" s="9" t="s">
        <v>5086</v>
      </c>
      <c r="E3004" s="10" t="str">
        <f>HYPERLINK("https://twitter.com/ggaugler/status/723924547490189313","723924547490189313")</f>
        <v>723924547490189313</v>
      </c>
      <c r="F3004" s="11" t="s">
        <v>20</v>
      </c>
      <c r="G3004" s="11">
        <v>152</v>
      </c>
      <c r="H3004" s="11">
        <v>61</v>
      </c>
      <c r="I3004" s="11">
        <v>8</v>
      </c>
      <c r="J3004" s="11">
        <v>0</v>
      </c>
      <c r="K3004" s="11" t="s">
        <v>21</v>
      </c>
      <c r="L3004" s="7">
        <v>40416.765173611115</v>
      </c>
      <c r="M3004" s="12" t="s">
        <v>689</v>
      </c>
      <c r="N3004" s="12" t="s">
        <v>5142</v>
      </c>
      <c r="O3004" s="10" t="str">
        <f>HYPERLINK("https://pbs.twimg.com/profile_images/525270739453100033/S8Av1dAq_normal.jpeg","View")</f>
        <v>View</v>
      </c>
      <c r="P3004" s="11"/>
    </row>
    <row r="3005" spans="1:16" ht="12.75" x14ac:dyDescent="0.35">
      <c r="A3005" s="7">
        <v>42483.951840277776</v>
      </c>
      <c r="B3005" s="8" t="str">
        <f>HYPERLINK("https://twitter.com/Databanque","@Databanque")</f>
        <v>@Databanque</v>
      </c>
      <c r="C3005" s="9" t="s">
        <v>1180</v>
      </c>
      <c r="D3005" s="9" t="s">
        <v>5143</v>
      </c>
      <c r="E3005" s="10" t="str">
        <f>HYPERLINK("https://twitter.com/Databanque/status/723924560819552256","723924560819552256")</f>
        <v>723924560819552256</v>
      </c>
      <c r="F3005" s="11" t="s">
        <v>25</v>
      </c>
      <c r="G3005" s="11">
        <v>265</v>
      </c>
      <c r="H3005" s="11">
        <v>612</v>
      </c>
      <c r="I3005" s="11">
        <v>0</v>
      </c>
      <c r="J3005" s="11">
        <v>0</v>
      </c>
      <c r="K3005" s="11" t="s">
        <v>21</v>
      </c>
      <c r="L3005" s="7">
        <v>39984.0387962963</v>
      </c>
      <c r="M3005" s="12" t="s">
        <v>1182</v>
      </c>
      <c r="N3005" s="12" t="s">
        <v>1183</v>
      </c>
      <c r="O3005" s="10" t="str">
        <f>HYPERLINK("https://pbs.twimg.com/profile_images/552211771360940032/CmEYO0l3_normal.png","View")</f>
        <v>View</v>
      </c>
      <c r="P3005" s="11"/>
    </row>
    <row r="3006" spans="1:16" ht="12.75" x14ac:dyDescent="0.35">
      <c r="A3006" s="7">
        <v>42483.96092592593</v>
      </c>
      <c r="B3006" s="8" t="str">
        <f>HYPERLINK("https://twitter.com/iris_musiol","@iris_musiol")</f>
        <v>@iris_musiol</v>
      </c>
      <c r="C3006" s="9" t="s">
        <v>5144</v>
      </c>
      <c r="D3006" s="9" t="s">
        <v>4970</v>
      </c>
      <c r="E3006" s="10" t="str">
        <f>HYPERLINK("https://twitter.com/iris_musiol/status/723927852564008960","723927852564008960")</f>
        <v>723927852564008960</v>
      </c>
      <c r="F3006" s="11" t="s">
        <v>25</v>
      </c>
      <c r="G3006" s="11">
        <v>13</v>
      </c>
      <c r="H3006" s="11">
        <v>11</v>
      </c>
      <c r="I3006" s="11">
        <v>3</v>
      </c>
      <c r="J3006" s="11">
        <v>0</v>
      </c>
      <c r="K3006" s="11" t="s">
        <v>21</v>
      </c>
      <c r="L3006" s="7">
        <v>42355.583703703705</v>
      </c>
      <c r="M3006" s="12" t="s">
        <v>121</v>
      </c>
      <c r="N3006" s="12" t="s">
        <v>5145</v>
      </c>
      <c r="O3006" s="10" t="str">
        <f>HYPERLINK("https://pbs.twimg.com/profile_images/710790619728228355/Rqq-ehz7_normal.jpg","View")</f>
        <v>View</v>
      </c>
      <c r="P3006" s="11"/>
    </row>
    <row r="3007" spans="1:16" ht="12.75" x14ac:dyDescent="0.35">
      <c r="A3007" s="7">
        <v>42483.961412037039</v>
      </c>
      <c r="B3007" s="8" t="str">
        <f>HYPERLINK("https://twitter.com/prxpragma","@prxpragma")</f>
        <v>@prxpragma</v>
      </c>
      <c r="C3007" s="9" t="s">
        <v>499</v>
      </c>
      <c r="D3007" s="9" t="s">
        <v>5146</v>
      </c>
      <c r="E3007" s="10" t="str">
        <f>HYPERLINK("https://twitter.com/prxpragma/status/723928026703093760","723928026703093760")</f>
        <v>723928026703093760</v>
      </c>
      <c r="F3007" s="11" t="s">
        <v>20</v>
      </c>
      <c r="G3007" s="11">
        <v>308</v>
      </c>
      <c r="H3007" s="11">
        <v>564</v>
      </c>
      <c r="I3007" s="11">
        <v>1</v>
      </c>
      <c r="J3007" s="11">
        <v>0</v>
      </c>
      <c r="K3007" s="11" t="s">
        <v>21</v>
      </c>
      <c r="L3007" s="7">
        <v>42129.922442129631</v>
      </c>
      <c r="M3007" s="12"/>
      <c r="N3007" s="12"/>
      <c r="O3007" s="10" t="str">
        <f>HYPERLINK("https://pbs.twimg.com/profile_images/595629691249233920/PnZxF5UO_normal.jpg","View")</f>
        <v>View</v>
      </c>
      <c r="P3007" s="11"/>
    </row>
    <row r="3008" spans="1:16" ht="12.75" x14ac:dyDescent="0.35">
      <c r="A3008" s="7">
        <v>42483.966562500005</v>
      </c>
      <c r="B3008" s="8" t="str">
        <f>HYPERLINK("https://twitter.com/cncmachinerycnc","@cncmachinerycnc")</f>
        <v>@cncmachinerycnc</v>
      </c>
      <c r="C3008" s="9" t="s">
        <v>5147</v>
      </c>
      <c r="D3008" s="9" t="s">
        <v>5086</v>
      </c>
      <c r="E3008" s="10" t="str">
        <f>HYPERLINK("https://twitter.com/cncmachinerycnc/status/723929893256478724","723929893256478724")</f>
        <v>723929893256478724</v>
      </c>
      <c r="F3008" s="11" t="s">
        <v>31</v>
      </c>
      <c r="G3008" s="11">
        <v>96</v>
      </c>
      <c r="H3008" s="11">
        <v>84</v>
      </c>
      <c r="I3008" s="11">
        <v>9</v>
      </c>
      <c r="J3008" s="11">
        <v>0</v>
      </c>
      <c r="K3008" s="11" t="s">
        <v>21</v>
      </c>
      <c r="L3008" s="7">
        <v>41609.619780092595</v>
      </c>
      <c r="M3008" s="12" t="s">
        <v>5148</v>
      </c>
      <c r="N3008" s="12" t="s">
        <v>5149</v>
      </c>
      <c r="O3008" s="10" t="str">
        <f>HYPERLINK("https://pbs.twimg.com/profile_images/638459791808069633/jsEpsj5-_normal.jpg","View")</f>
        <v>View</v>
      </c>
      <c r="P3008" s="11"/>
    </row>
    <row r="3009" spans="1:16" ht="12.75" x14ac:dyDescent="0.35">
      <c r="A3009" s="7">
        <v>42483.966620370367</v>
      </c>
      <c r="B3009" s="8" t="str">
        <f t="shared" ref="B3009:B3010" si="376">HYPERLINK("https://twitter.com/INDIZbot","@INDIZbot")</f>
        <v>@INDIZbot</v>
      </c>
      <c r="C3009" s="9" t="s">
        <v>61</v>
      </c>
      <c r="D3009" s="9" t="s">
        <v>5150</v>
      </c>
      <c r="E3009" s="10" t="str">
        <f>HYPERLINK("https://twitter.com/INDIZbot/status/723929916752977920","723929916752977920")</f>
        <v>723929916752977920</v>
      </c>
      <c r="F3009" s="11" t="s">
        <v>62</v>
      </c>
      <c r="G3009" s="11">
        <v>1778</v>
      </c>
      <c r="H3009" s="11">
        <v>482</v>
      </c>
      <c r="I3009" s="11">
        <v>1</v>
      </c>
      <c r="J3009" s="11">
        <v>0</v>
      </c>
      <c r="K3009" s="11" t="s">
        <v>21</v>
      </c>
      <c r="L3009" s="7">
        <v>42267.011921296296</v>
      </c>
      <c r="M3009" s="12"/>
      <c r="N3009" s="12" t="s">
        <v>63</v>
      </c>
      <c r="O3009" s="10" t="str">
        <f t="shared" ref="O3009:O3010" si="377">HYPERLINK("https://pbs.twimg.com/profile_images/645716711723925506/t5G0qOS6_normal.jpg","View")</f>
        <v>View</v>
      </c>
      <c r="P3009" s="11"/>
    </row>
    <row r="3010" spans="1:16" ht="12.75" x14ac:dyDescent="0.35">
      <c r="A3010" s="7">
        <v>42483.966840277775</v>
      </c>
      <c r="B3010" s="8" t="str">
        <f t="shared" si="376"/>
        <v>@INDIZbot</v>
      </c>
      <c r="C3010" s="9" t="s">
        <v>61</v>
      </c>
      <c r="D3010" s="9" t="s">
        <v>4970</v>
      </c>
      <c r="E3010" s="10" t="str">
        <f>HYPERLINK("https://twitter.com/INDIZbot/status/723929997229068288","723929997229068288")</f>
        <v>723929997229068288</v>
      </c>
      <c r="F3010" s="11" t="s">
        <v>62</v>
      </c>
      <c r="G3010" s="11">
        <v>1778</v>
      </c>
      <c r="H3010" s="11">
        <v>482</v>
      </c>
      <c r="I3010" s="11">
        <v>3</v>
      </c>
      <c r="J3010" s="11">
        <v>0</v>
      </c>
      <c r="K3010" s="11" t="s">
        <v>21</v>
      </c>
      <c r="L3010" s="7">
        <v>42267.011921296296</v>
      </c>
      <c r="M3010" s="12"/>
      <c r="N3010" s="12" t="s">
        <v>63</v>
      </c>
      <c r="O3010" s="10" t="str">
        <f t="shared" si="377"/>
        <v>View</v>
      </c>
      <c r="P3010" s="11"/>
    </row>
    <row r="3011" spans="1:16" ht="12.75" x14ac:dyDescent="0.35">
      <c r="A3011" s="7">
        <v>42483.973055555558</v>
      </c>
      <c r="B3011" s="8" t="str">
        <f>HYPERLINK("https://twitter.com/ITDredaktion","@ITDredaktion")</f>
        <v>@ITDredaktion</v>
      </c>
      <c r="C3011" s="9" t="s">
        <v>5151</v>
      </c>
      <c r="D3011" s="9" t="s">
        <v>5152</v>
      </c>
      <c r="E3011" s="10" t="str">
        <f>HYPERLINK("https://twitter.com/ITDredaktion/status/723932247645106177","723932247645106177")</f>
        <v>723932247645106177</v>
      </c>
      <c r="F3011" s="11" t="s">
        <v>59</v>
      </c>
      <c r="G3011" s="11">
        <v>2555</v>
      </c>
      <c r="H3011" s="11">
        <v>601</v>
      </c>
      <c r="I3011" s="11">
        <v>1</v>
      </c>
      <c r="J3011" s="11">
        <v>0</v>
      </c>
      <c r="K3011" s="11" t="s">
        <v>21</v>
      </c>
      <c r="L3011" s="7">
        <v>40233.903865740736</v>
      </c>
      <c r="M3011" s="12" t="s">
        <v>4916</v>
      </c>
      <c r="N3011" s="12" t="s">
        <v>5153</v>
      </c>
      <c r="O3011" s="10" t="str">
        <f>HYPERLINK("https://pbs.twimg.com/profile_images/412569658013659136/d9TwrZXg_normal.jpeg","View")</f>
        <v>View</v>
      </c>
      <c r="P3011" s="11"/>
    </row>
    <row r="3012" spans="1:16" ht="12.75" x14ac:dyDescent="0.35">
      <c r="A3012" s="7">
        <v>42483.973333333328</v>
      </c>
      <c r="B3012" s="8" t="str">
        <f>HYPERLINK("https://twitter.com/mediamorfo","@mediamorfo")</f>
        <v>@mediamorfo</v>
      </c>
      <c r="C3012" s="9" t="s">
        <v>1705</v>
      </c>
      <c r="D3012" s="9" t="s">
        <v>5154</v>
      </c>
      <c r="E3012" s="10" t="str">
        <f>HYPERLINK("https://twitter.com/mediamorfo/status/723932347914170368","723932347914170368")</f>
        <v>723932347914170368</v>
      </c>
      <c r="F3012" s="11" t="s">
        <v>1707</v>
      </c>
      <c r="G3012" s="11">
        <v>1057</v>
      </c>
      <c r="H3012" s="11">
        <v>700</v>
      </c>
      <c r="I3012" s="11">
        <v>1</v>
      </c>
      <c r="J3012" s="11">
        <v>0</v>
      </c>
      <c r="K3012" s="11" t="s">
        <v>21</v>
      </c>
      <c r="L3012" s="7">
        <v>42378.659143518518</v>
      </c>
      <c r="M3012" s="12" t="s">
        <v>1708</v>
      </c>
      <c r="N3012" s="12" t="s">
        <v>1709</v>
      </c>
      <c r="O3012" s="10" t="str">
        <f>HYPERLINK("https://pbs.twimg.com/profile_images/685769503016366080/O5hxeJeS_normal.png","View")</f>
        <v>View</v>
      </c>
      <c r="P3012" s="11"/>
    </row>
    <row r="3013" spans="1:16" ht="12.75" x14ac:dyDescent="0.35">
      <c r="A3013" s="7">
        <v>42483.974224537036</v>
      </c>
      <c r="B3013" s="8" t="str">
        <f>HYPERLINK("https://twitter.com/CentaUK","@CentaUK")</f>
        <v>@CentaUK</v>
      </c>
      <c r="C3013" s="9" t="s">
        <v>5155</v>
      </c>
      <c r="D3013" s="9" t="s">
        <v>5086</v>
      </c>
      <c r="E3013" s="10" t="str">
        <f>HYPERLINK("https://twitter.com/CentaUK/status/723932669856387074","723932669856387074")</f>
        <v>723932669856387074</v>
      </c>
      <c r="F3013" s="11" t="s">
        <v>25</v>
      </c>
      <c r="G3013" s="11">
        <v>2651</v>
      </c>
      <c r="H3013" s="11">
        <v>2937</v>
      </c>
      <c r="I3013" s="11">
        <v>10</v>
      </c>
      <c r="J3013" s="11">
        <v>0</v>
      </c>
      <c r="K3013" s="11" t="s">
        <v>21</v>
      </c>
      <c r="L3013" s="7">
        <v>41247.792118055557</v>
      </c>
      <c r="M3013" s="12" t="s">
        <v>5156</v>
      </c>
      <c r="N3013" s="12" t="s">
        <v>5157</v>
      </c>
      <c r="O3013" s="10" t="str">
        <f>HYPERLINK("https://pbs.twimg.com/profile_images/700439210688434176/GMuBceYm_normal.jpg","View")</f>
        <v>View</v>
      </c>
      <c r="P3013" s="11"/>
    </row>
    <row r="3014" spans="1:16" ht="12.75" x14ac:dyDescent="0.35">
      <c r="A3014" s="7">
        <v>42483.990752314814</v>
      </c>
      <c r="B3014" s="8" t="str">
        <f>HYPERLINK("https://twitter.com/RolandBent","@RolandBent")</f>
        <v>@RolandBent</v>
      </c>
      <c r="C3014" s="9" t="s">
        <v>1272</v>
      </c>
      <c r="D3014" s="9" t="s">
        <v>5158</v>
      </c>
      <c r="E3014" s="10" t="str">
        <f>HYPERLINK("https://twitter.com/RolandBent/status/723938660098387968","723938660098387968")</f>
        <v>723938660098387968</v>
      </c>
      <c r="F3014" s="11" t="s">
        <v>29</v>
      </c>
      <c r="G3014" s="11">
        <v>505</v>
      </c>
      <c r="H3014" s="11">
        <v>235</v>
      </c>
      <c r="I3014" s="11">
        <v>1</v>
      </c>
      <c r="J3014" s="11">
        <v>0</v>
      </c>
      <c r="K3014" s="11" t="s">
        <v>21</v>
      </c>
      <c r="L3014" s="7">
        <v>41733.564432870371</v>
      </c>
      <c r="M3014" s="12" t="s">
        <v>1273</v>
      </c>
      <c r="N3014" s="12" t="s">
        <v>1274</v>
      </c>
      <c r="O3014" s="10" t="str">
        <f>HYPERLINK("https://pbs.twimg.com/profile_images/451994816889360385/SYPpc3iI_normal.jpeg","View")</f>
        <v>View</v>
      </c>
      <c r="P3014" s="11"/>
    </row>
    <row r="3015" spans="1:16" ht="12.75" x14ac:dyDescent="0.35">
      <c r="A3015" s="7">
        <v>42483.991412037038</v>
      </c>
      <c r="B3015" s="8" t="str">
        <f t="shared" ref="B3015:B3016" si="378">HYPERLINK("https://twitter.com/Bitkom","@Bitkom")</f>
        <v>@Bitkom</v>
      </c>
      <c r="C3015" s="9" t="s">
        <v>216</v>
      </c>
      <c r="D3015" s="9" t="s">
        <v>5159</v>
      </c>
      <c r="E3015" s="10" t="str">
        <f>HYPERLINK("https://twitter.com/Bitkom/status/723938899161153536","723938899161153536")</f>
        <v>723938899161153536</v>
      </c>
      <c r="F3015" s="11" t="s">
        <v>31</v>
      </c>
      <c r="G3015" s="11">
        <v>21144</v>
      </c>
      <c r="H3015" s="11">
        <v>3378</v>
      </c>
      <c r="I3015" s="11">
        <v>1</v>
      </c>
      <c r="J3015" s="11">
        <v>0</v>
      </c>
      <c r="K3015" s="11" t="s">
        <v>21</v>
      </c>
      <c r="L3015" s="7">
        <v>39757.913229166668</v>
      </c>
      <c r="M3015" s="12" t="s">
        <v>218</v>
      </c>
      <c r="N3015" s="12" t="s">
        <v>219</v>
      </c>
      <c r="O3015" s="10" t="str">
        <f t="shared" ref="O3015:O3016" si="379">HYPERLINK("https://pbs.twimg.com/profile_images/615797525040136192/CKF9-v_o_normal.jpg","View")</f>
        <v>View</v>
      </c>
      <c r="P3015" s="11"/>
    </row>
    <row r="3016" spans="1:16" ht="12.75" x14ac:dyDescent="0.35">
      <c r="A3016" s="7">
        <v>42483.991493055553</v>
      </c>
      <c r="B3016" s="8" t="str">
        <f t="shared" si="378"/>
        <v>@Bitkom</v>
      </c>
      <c r="C3016" s="9" t="s">
        <v>216</v>
      </c>
      <c r="D3016" s="9" t="s">
        <v>5160</v>
      </c>
      <c r="E3016" s="10" t="str">
        <f>HYPERLINK("https://twitter.com/Bitkom/status/723938928311582721","723938928311582721")</f>
        <v>723938928311582721</v>
      </c>
      <c r="F3016" s="11" t="s">
        <v>31</v>
      </c>
      <c r="G3016" s="11">
        <v>21144</v>
      </c>
      <c r="H3016" s="11">
        <v>3378</v>
      </c>
      <c r="I3016" s="11">
        <v>1</v>
      </c>
      <c r="J3016" s="11">
        <v>0</v>
      </c>
      <c r="K3016" s="11" t="s">
        <v>21</v>
      </c>
      <c r="L3016" s="7">
        <v>39757.913229166668</v>
      </c>
      <c r="M3016" s="12" t="s">
        <v>218</v>
      </c>
      <c r="N3016" s="12" t="s">
        <v>219</v>
      </c>
      <c r="O3016" s="10" t="str">
        <f t="shared" si="379"/>
        <v>View</v>
      </c>
      <c r="P3016" s="11"/>
    </row>
    <row r="3017" spans="1:16" ht="12.75" x14ac:dyDescent="0.35">
      <c r="A3017" s="7">
        <v>42483.991597222222</v>
      </c>
      <c r="B3017" s="8" t="str">
        <f t="shared" ref="B3017:B3018" si="380">HYPERLINK("https://twitter.com/ITK_OWL","@ITK_OWL")</f>
        <v>@ITK_OWL</v>
      </c>
      <c r="C3017" s="9" t="s">
        <v>220</v>
      </c>
      <c r="D3017" s="9" t="s">
        <v>5161</v>
      </c>
      <c r="E3017" s="10" t="str">
        <f>HYPERLINK("https://twitter.com/ITK_OWL/status/723938967435890689","723938967435890689")</f>
        <v>723938967435890689</v>
      </c>
      <c r="F3017" s="11" t="s">
        <v>222</v>
      </c>
      <c r="G3017" s="11">
        <v>198</v>
      </c>
      <c r="H3017" s="11">
        <v>393</v>
      </c>
      <c r="I3017" s="11">
        <v>1</v>
      </c>
      <c r="J3017" s="11">
        <v>0</v>
      </c>
      <c r="K3017" s="11" t="s">
        <v>21</v>
      </c>
      <c r="L3017" s="7">
        <v>42146.57880787037</v>
      </c>
      <c r="M3017" s="12" t="s">
        <v>223</v>
      </c>
      <c r="N3017" s="12" t="s">
        <v>224</v>
      </c>
      <c r="O3017" s="10" t="str">
        <f t="shared" ref="O3017:O3018" si="381">HYPERLINK("https://pbs.twimg.com/profile_images/601673968551075840/MnulnKkj_normal.png","View")</f>
        <v>View</v>
      </c>
      <c r="P3017" s="11"/>
    </row>
    <row r="3018" spans="1:16" ht="12.75" x14ac:dyDescent="0.35">
      <c r="A3018" s="7">
        <v>42483.991608796292</v>
      </c>
      <c r="B3018" s="8" t="str">
        <f t="shared" si="380"/>
        <v>@ITK_OWL</v>
      </c>
      <c r="C3018" s="9" t="s">
        <v>220</v>
      </c>
      <c r="D3018" s="9" t="s">
        <v>5162</v>
      </c>
      <c r="E3018" s="10" t="str">
        <f>HYPERLINK("https://twitter.com/ITK_OWL/status/723938969189277696","723938969189277696")</f>
        <v>723938969189277696</v>
      </c>
      <c r="F3018" s="11" t="s">
        <v>222</v>
      </c>
      <c r="G3018" s="11">
        <v>198</v>
      </c>
      <c r="H3018" s="11">
        <v>393</v>
      </c>
      <c r="I3018" s="11">
        <v>0</v>
      </c>
      <c r="J3018" s="11">
        <v>1</v>
      </c>
      <c r="K3018" s="11" t="s">
        <v>21</v>
      </c>
      <c r="L3018" s="7">
        <v>42146.57880787037</v>
      </c>
      <c r="M3018" s="12" t="s">
        <v>223</v>
      </c>
      <c r="N3018" s="12" t="s">
        <v>224</v>
      </c>
      <c r="O3018" s="10" t="str">
        <f t="shared" si="381"/>
        <v>View</v>
      </c>
      <c r="P3018" s="11"/>
    </row>
    <row r="3019" spans="1:16" ht="12.75" x14ac:dyDescent="0.35">
      <c r="A3019" s="7">
        <v>42483.992858796293</v>
      </c>
      <c r="B3019" s="8" t="str">
        <f t="shared" ref="B3019:B3020" si="382">HYPERLINK("https://twitter.com/croXXing_IBD","@croXXing_IBD")</f>
        <v>@croXXing_IBD</v>
      </c>
      <c r="C3019" s="9" t="s">
        <v>252</v>
      </c>
      <c r="D3019" s="9" t="s">
        <v>5163</v>
      </c>
      <c r="E3019" s="10" t="str">
        <f>HYPERLINK("https://twitter.com/croXXing_IBD/status/723939423780528128","723939423780528128")</f>
        <v>723939423780528128</v>
      </c>
      <c r="F3019" s="11" t="s">
        <v>222</v>
      </c>
      <c r="G3019" s="11">
        <v>39</v>
      </c>
      <c r="H3019" s="11">
        <v>138</v>
      </c>
      <c r="I3019" s="11">
        <v>0</v>
      </c>
      <c r="J3019" s="11">
        <v>0</v>
      </c>
      <c r="K3019" s="11" t="s">
        <v>21</v>
      </c>
      <c r="L3019" s="7">
        <v>42140.148263888885</v>
      </c>
      <c r="M3019" s="12" t="s">
        <v>223</v>
      </c>
      <c r="N3019" s="12" t="s">
        <v>254</v>
      </c>
      <c r="O3019" s="10" t="str">
        <f t="shared" ref="O3019:O3020" si="383">HYPERLINK("https://pbs.twimg.com/profile_images/600279861282869249/IpIJ3MKX_normal.png","View")</f>
        <v>View</v>
      </c>
      <c r="P3019" s="11"/>
    </row>
    <row r="3020" spans="1:16" ht="12.75" x14ac:dyDescent="0.35">
      <c r="A3020" s="7">
        <v>42483.992881944447</v>
      </c>
      <c r="B3020" s="8" t="str">
        <f t="shared" si="382"/>
        <v>@croXXing_IBD</v>
      </c>
      <c r="C3020" s="9" t="s">
        <v>252</v>
      </c>
      <c r="D3020" s="9" t="s">
        <v>5164</v>
      </c>
      <c r="E3020" s="10" t="str">
        <f>HYPERLINK("https://twitter.com/croXXing_IBD/status/723939430952787969","723939430952787969")</f>
        <v>723939430952787969</v>
      </c>
      <c r="F3020" s="11" t="s">
        <v>222</v>
      </c>
      <c r="G3020" s="11">
        <v>39</v>
      </c>
      <c r="H3020" s="11">
        <v>138</v>
      </c>
      <c r="I3020" s="11">
        <v>0</v>
      </c>
      <c r="J3020" s="11">
        <v>0</v>
      </c>
      <c r="K3020" s="11" t="s">
        <v>21</v>
      </c>
      <c r="L3020" s="7">
        <v>42140.148263888885</v>
      </c>
      <c r="M3020" s="12" t="s">
        <v>223</v>
      </c>
      <c r="N3020" s="12" t="s">
        <v>254</v>
      </c>
      <c r="O3020" s="10" t="str">
        <f t="shared" si="383"/>
        <v>View</v>
      </c>
      <c r="P3020" s="11"/>
    </row>
    <row r="3021" spans="1:16" ht="12.75" x14ac:dyDescent="0.35">
      <c r="A3021" s="7">
        <v>42484.010150462964</v>
      </c>
      <c r="B3021" s="8" t="str">
        <f>HYPERLINK("https://twitter.com/cleanstrom","@cleanstrom")</f>
        <v>@cleanstrom</v>
      </c>
      <c r="C3021" s="9" t="s">
        <v>5165</v>
      </c>
      <c r="D3021" s="9" t="s">
        <v>5166</v>
      </c>
      <c r="E3021" s="10" t="str">
        <f>HYPERLINK("https://twitter.com/cleanstrom/status/723945690867576833","723945690867576833")</f>
        <v>723945690867576833</v>
      </c>
      <c r="F3021" s="11" t="s">
        <v>20</v>
      </c>
      <c r="G3021" s="11">
        <v>202</v>
      </c>
      <c r="H3021" s="11">
        <v>222</v>
      </c>
      <c r="I3021" s="11">
        <v>0</v>
      </c>
      <c r="J3021" s="11">
        <v>0</v>
      </c>
      <c r="K3021" s="11" t="s">
        <v>21</v>
      </c>
      <c r="L3021" s="7">
        <v>39831.634756944448</v>
      </c>
      <c r="M3021" s="12"/>
      <c r="N3021" s="12" t="s">
        <v>5167</v>
      </c>
      <c r="O3021" s="10" t="str">
        <f>HYPERLINK("https://pbs.twimg.com/profile_images/681580230549585920/44kC2r0f_normal.png","View")</f>
        <v>View</v>
      </c>
      <c r="P3021" s="11"/>
    </row>
    <row r="3022" spans="1:16" ht="12.75" x14ac:dyDescent="0.35">
      <c r="A3022" s="7">
        <v>42484.015104166669</v>
      </c>
      <c r="B3022" s="8" t="str">
        <f t="shared" ref="B3022:B3023" si="384">HYPERLINK("https://twitter.com/INDIZbot","@INDIZbot")</f>
        <v>@INDIZbot</v>
      </c>
      <c r="C3022" s="9" t="s">
        <v>61</v>
      </c>
      <c r="D3022" s="9" t="s">
        <v>5168</v>
      </c>
      <c r="E3022" s="10" t="str">
        <f>HYPERLINK("https://twitter.com/INDIZbot/status/723947485157298177","723947485157298177")</f>
        <v>723947485157298177</v>
      </c>
      <c r="F3022" s="11" t="s">
        <v>62</v>
      </c>
      <c r="G3022" s="11">
        <v>1777</v>
      </c>
      <c r="H3022" s="11">
        <v>482</v>
      </c>
      <c r="I3022" s="11">
        <v>1</v>
      </c>
      <c r="J3022" s="11">
        <v>0</v>
      </c>
      <c r="K3022" s="11" t="s">
        <v>21</v>
      </c>
      <c r="L3022" s="7">
        <v>42267.011921296296</v>
      </c>
      <c r="M3022" s="12"/>
      <c r="N3022" s="12" t="s">
        <v>63</v>
      </c>
      <c r="O3022" s="10" t="str">
        <f t="shared" ref="O3022:O3023" si="385">HYPERLINK("https://pbs.twimg.com/profile_images/645716711723925506/t5G0qOS6_normal.jpg","View")</f>
        <v>View</v>
      </c>
      <c r="P3022" s="11"/>
    </row>
    <row r="3023" spans="1:16" ht="12.75" x14ac:dyDescent="0.35">
      <c r="A3023" s="7">
        <v>42484.015902777777</v>
      </c>
      <c r="B3023" s="8" t="str">
        <f t="shared" si="384"/>
        <v>@INDIZbot</v>
      </c>
      <c r="C3023" s="9" t="s">
        <v>61</v>
      </c>
      <c r="D3023" s="9" t="s">
        <v>5169</v>
      </c>
      <c r="E3023" s="10" t="str">
        <f>HYPERLINK("https://twitter.com/INDIZbot/status/723947775726112768","723947775726112768")</f>
        <v>723947775726112768</v>
      </c>
      <c r="F3023" s="11" t="s">
        <v>62</v>
      </c>
      <c r="G3023" s="11">
        <v>1777</v>
      </c>
      <c r="H3023" s="11">
        <v>482</v>
      </c>
      <c r="I3023" s="11">
        <v>1</v>
      </c>
      <c r="J3023" s="11">
        <v>0</v>
      </c>
      <c r="K3023" s="11" t="s">
        <v>21</v>
      </c>
      <c r="L3023" s="7">
        <v>42267.011921296296</v>
      </c>
      <c r="M3023" s="12"/>
      <c r="N3023" s="12" t="s">
        <v>63</v>
      </c>
      <c r="O3023" s="10" t="str">
        <f t="shared" si="385"/>
        <v>View</v>
      </c>
      <c r="P3023" s="11"/>
    </row>
    <row r="3024" spans="1:16" ht="12.75" x14ac:dyDescent="0.35">
      <c r="A3024" s="7">
        <v>42484.017557870371</v>
      </c>
      <c r="B3024" s="8" t="str">
        <f>HYPERLINK("https://twitter.com/hasford_","@hasford_")</f>
        <v>@hasford_</v>
      </c>
      <c r="C3024" s="9" t="s">
        <v>4172</v>
      </c>
      <c r="D3024" s="9" t="s">
        <v>4725</v>
      </c>
      <c r="E3024" s="10" t="str">
        <f>HYPERLINK("https://twitter.com/hasford_/status/723948375176019969","723948375176019969")</f>
        <v>723948375176019969</v>
      </c>
      <c r="F3024" s="11" t="s">
        <v>31</v>
      </c>
      <c r="G3024" s="11">
        <v>115</v>
      </c>
      <c r="H3024" s="11">
        <v>364</v>
      </c>
      <c r="I3024" s="11">
        <v>4</v>
      </c>
      <c r="J3024" s="11">
        <v>0</v>
      </c>
      <c r="K3024" s="11" t="s">
        <v>21</v>
      </c>
      <c r="L3024" s="7">
        <v>39927.584432870368</v>
      </c>
      <c r="M3024" s="12" t="s">
        <v>4173</v>
      </c>
      <c r="N3024" s="12" t="s">
        <v>4174</v>
      </c>
      <c r="O3024" s="10" t="str">
        <f>HYPERLINK("https://pbs.twimg.com/profile_images/611813155258417152/t2BN8dsF_normal.jpg","View")</f>
        <v>View</v>
      </c>
      <c r="P3024" s="11"/>
    </row>
    <row r="3025" spans="1:16" ht="12.75" x14ac:dyDescent="0.35">
      <c r="A3025" s="7">
        <v>42484.020856481482</v>
      </c>
      <c r="B3025" s="8" t="str">
        <f>HYPERLINK("https://twitter.com/kommoptimierer","@kommoptimierer")</f>
        <v>@kommoptimierer</v>
      </c>
      <c r="C3025" s="9" t="s">
        <v>270</v>
      </c>
      <c r="D3025" s="9" t="s">
        <v>669</v>
      </c>
      <c r="E3025" s="10" t="str">
        <f>HYPERLINK("https://twitter.com/kommoptimierer/status/723949570447794176","723949570447794176")</f>
        <v>723949570447794176</v>
      </c>
      <c r="F3025" s="11" t="s">
        <v>272</v>
      </c>
      <c r="G3025" s="11">
        <v>1350</v>
      </c>
      <c r="H3025" s="11">
        <v>1753</v>
      </c>
      <c r="I3025" s="11">
        <v>0</v>
      </c>
      <c r="J3025" s="11">
        <v>0</v>
      </c>
      <c r="K3025" s="11" t="s">
        <v>21</v>
      </c>
      <c r="L3025" s="7">
        <v>39986.860358796301</v>
      </c>
      <c r="M3025" s="12" t="s">
        <v>273</v>
      </c>
      <c r="N3025" s="12" t="s">
        <v>274</v>
      </c>
      <c r="O3025" s="10" t="str">
        <f>HYPERLINK("https://pbs.twimg.com/profile_images/541146126158536704/IYardufS_normal.jpeg","View")</f>
        <v>View</v>
      </c>
      <c r="P3025" s="11"/>
    </row>
    <row r="3026" spans="1:16" ht="12.75" x14ac:dyDescent="0.35">
      <c r="A3026" s="7">
        <v>42484.02449074074</v>
      </c>
      <c r="B3026" s="8" t="str">
        <f>HYPERLINK("https://twitter.com/Tim_Caesar","@Tim_Caesar")</f>
        <v>@Tim_Caesar</v>
      </c>
      <c r="C3026" s="9" t="s">
        <v>288</v>
      </c>
      <c r="D3026" s="9" t="s">
        <v>4871</v>
      </c>
      <c r="E3026" s="10" t="str">
        <f>HYPERLINK("https://twitter.com/Tim_Caesar/status/723950887815766017","723950887815766017")</f>
        <v>723950887815766017</v>
      </c>
      <c r="F3026" s="11" t="s">
        <v>31</v>
      </c>
      <c r="G3026" s="11">
        <v>2052</v>
      </c>
      <c r="H3026" s="11">
        <v>1562</v>
      </c>
      <c r="I3026" s="11">
        <v>4</v>
      </c>
      <c r="J3026" s="11">
        <v>0</v>
      </c>
      <c r="K3026" s="11" t="s">
        <v>21</v>
      </c>
      <c r="L3026" s="7">
        <v>40005.441817129627</v>
      </c>
      <c r="M3026" s="12" t="s">
        <v>290</v>
      </c>
      <c r="N3026" s="12" t="s">
        <v>291</v>
      </c>
      <c r="O3026" s="10" t="str">
        <f>HYPERLINK("https://pbs.twimg.com/profile_images/574517024556089345/fuK3tcde_normal.jpeg","View")</f>
        <v>View</v>
      </c>
      <c r="P3026" s="11"/>
    </row>
    <row r="3027" spans="1:16" ht="12.75" x14ac:dyDescent="0.35">
      <c r="A3027" s="7">
        <v>42484.025914351849</v>
      </c>
      <c r="B3027" s="8" t="str">
        <f t="shared" ref="B3027:B3028" si="386">HYPERLINK("https://twitter.com/Gruendercoaches","@Gruendercoaches")</f>
        <v>@Gruendercoaches</v>
      </c>
      <c r="C3027" s="9" t="s">
        <v>987</v>
      </c>
      <c r="D3027" s="9" t="s">
        <v>5160</v>
      </c>
      <c r="E3027" s="10" t="str">
        <f>HYPERLINK("https://twitter.com/Gruendercoaches/status/723951402570113024","723951402570113024")</f>
        <v>723951402570113024</v>
      </c>
      <c r="F3027" s="11" t="s">
        <v>20</v>
      </c>
      <c r="G3027" s="11">
        <v>4959</v>
      </c>
      <c r="H3027" s="11">
        <v>1607</v>
      </c>
      <c r="I3027" s="11">
        <v>3</v>
      </c>
      <c r="J3027" s="11">
        <v>0</v>
      </c>
      <c r="K3027" s="11" t="s">
        <v>21</v>
      </c>
      <c r="L3027" s="7">
        <v>40865.780300925922</v>
      </c>
      <c r="M3027" s="12" t="s">
        <v>218</v>
      </c>
      <c r="N3027" s="12" t="s">
        <v>988</v>
      </c>
      <c r="O3027" s="10" t="str">
        <f t="shared" ref="O3027:O3028" si="387">HYPERLINK("https://pbs.twimg.com/profile_images/561208179355185153/11KDu7Gt_normal.png","View")</f>
        <v>View</v>
      </c>
      <c r="P3027" s="11"/>
    </row>
    <row r="3028" spans="1:16" ht="12.75" x14ac:dyDescent="0.35">
      <c r="A3028" s="7">
        <v>42484.025983796295</v>
      </c>
      <c r="B3028" s="8" t="str">
        <f t="shared" si="386"/>
        <v>@Gruendercoaches</v>
      </c>
      <c r="C3028" s="9" t="s">
        <v>987</v>
      </c>
      <c r="D3028" s="9" t="s">
        <v>5159</v>
      </c>
      <c r="E3028" s="10" t="str">
        <f>HYPERLINK("https://twitter.com/Gruendercoaches/status/723951429719851008","723951429719851008")</f>
        <v>723951429719851008</v>
      </c>
      <c r="F3028" s="11" t="s">
        <v>20</v>
      </c>
      <c r="G3028" s="11">
        <v>4959</v>
      </c>
      <c r="H3028" s="11">
        <v>1607</v>
      </c>
      <c r="I3028" s="11">
        <v>2</v>
      </c>
      <c r="J3028" s="11">
        <v>0</v>
      </c>
      <c r="K3028" s="11" t="s">
        <v>21</v>
      </c>
      <c r="L3028" s="7">
        <v>40865.780300925922</v>
      </c>
      <c r="M3028" s="12" t="s">
        <v>218</v>
      </c>
      <c r="N3028" s="12" t="s">
        <v>988</v>
      </c>
      <c r="O3028" s="10" t="str">
        <f t="shared" si="387"/>
        <v>View</v>
      </c>
      <c r="P3028" s="11"/>
    </row>
    <row r="3029" spans="1:16" ht="12.75" x14ac:dyDescent="0.35">
      <c r="A3029" s="7">
        <v>42484.02857638889</v>
      </c>
      <c r="B3029" s="8" t="str">
        <f t="shared" ref="B3029:B3030" si="388">HYPERLINK("https://twitter.com/INDIZbot","@INDIZbot")</f>
        <v>@INDIZbot</v>
      </c>
      <c r="C3029" s="9" t="s">
        <v>61</v>
      </c>
      <c r="D3029" s="9" t="s">
        <v>5160</v>
      </c>
      <c r="E3029" s="10" t="str">
        <f>HYPERLINK("https://twitter.com/INDIZbot/status/723952366970646528","723952366970646528")</f>
        <v>723952366970646528</v>
      </c>
      <c r="F3029" s="11" t="s">
        <v>62</v>
      </c>
      <c r="G3029" s="11">
        <v>1777</v>
      </c>
      <c r="H3029" s="11">
        <v>482</v>
      </c>
      <c r="I3029" s="11">
        <v>3</v>
      </c>
      <c r="J3029" s="11">
        <v>0</v>
      </c>
      <c r="K3029" s="11" t="s">
        <v>21</v>
      </c>
      <c r="L3029" s="7">
        <v>42267.011921296296</v>
      </c>
      <c r="M3029" s="12"/>
      <c r="N3029" s="12" t="s">
        <v>63</v>
      </c>
      <c r="O3029" s="10" t="str">
        <f t="shared" ref="O3029:O3030" si="389">HYPERLINK("https://pbs.twimg.com/profile_images/645716711723925506/t5G0qOS6_normal.jpg","View")</f>
        <v>View</v>
      </c>
      <c r="P3029" s="11"/>
    </row>
    <row r="3030" spans="1:16" ht="12.75" x14ac:dyDescent="0.35">
      <c r="A3030" s="7">
        <v>42484.029444444444</v>
      </c>
      <c r="B3030" s="8" t="str">
        <f t="shared" si="388"/>
        <v>@INDIZbot</v>
      </c>
      <c r="C3030" s="9" t="s">
        <v>61</v>
      </c>
      <c r="D3030" s="9" t="s">
        <v>1528</v>
      </c>
      <c r="E3030" s="10" t="str">
        <f>HYPERLINK("https://twitter.com/INDIZbot/status/723952682843693057","723952682843693057")</f>
        <v>723952682843693057</v>
      </c>
      <c r="F3030" s="11" t="s">
        <v>62</v>
      </c>
      <c r="G3030" s="11">
        <v>1777</v>
      </c>
      <c r="H3030" s="11">
        <v>482</v>
      </c>
      <c r="I3030" s="11">
        <v>1</v>
      </c>
      <c r="J3030" s="11">
        <v>0</v>
      </c>
      <c r="K3030" s="11" t="s">
        <v>21</v>
      </c>
      <c r="L3030" s="7">
        <v>42267.011921296296</v>
      </c>
      <c r="M3030" s="12"/>
      <c r="N3030" s="12" t="s">
        <v>63</v>
      </c>
      <c r="O3030" s="10" t="str">
        <f t="shared" si="389"/>
        <v>View</v>
      </c>
      <c r="P3030" s="11"/>
    </row>
    <row r="3031" spans="1:16" ht="12.75" x14ac:dyDescent="0.35">
      <c r="A3031" s="7">
        <v>42484.03126157407</v>
      </c>
      <c r="B3031" s="8" t="str">
        <f>HYPERLINK("https://twitter.com/msftmfg","@msftmfg")</f>
        <v>@msftmfg</v>
      </c>
      <c r="C3031" s="9" t="s">
        <v>4788</v>
      </c>
      <c r="D3031" s="9" t="s">
        <v>5170</v>
      </c>
      <c r="E3031" s="10" t="str">
        <f>HYPERLINK("https://twitter.com/msftmfg/status/723953339449376769","723953339449376769")</f>
        <v>723953339449376769</v>
      </c>
      <c r="F3031" s="11" t="s">
        <v>1111</v>
      </c>
      <c r="G3031" s="11">
        <v>3694</v>
      </c>
      <c r="H3031" s="11">
        <v>2693</v>
      </c>
      <c r="I3031" s="11">
        <v>0</v>
      </c>
      <c r="J3031" s="11">
        <v>0</v>
      </c>
      <c r="K3031" s="11" t="s">
        <v>21</v>
      </c>
      <c r="L3031" s="7">
        <v>41985.067094907412</v>
      </c>
      <c r="M3031" s="12" t="s">
        <v>4790</v>
      </c>
      <c r="N3031" s="12" t="s">
        <v>4791</v>
      </c>
      <c r="O3031" s="10" t="str">
        <f>HYPERLINK("https://pbs.twimg.com/profile_images/543161217645178880/JQuBT7KS_normal.png","View")</f>
        <v>View</v>
      </c>
      <c r="P3031" s="11"/>
    </row>
    <row r="3032" spans="1:16" ht="12.75" x14ac:dyDescent="0.35">
      <c r="A3032" s="7">
        <v>42484.035370370373</v>
      </c>
      <c r="B3032" s="8" t="str">
        <f t="shared" ref="B3032:B3033" si="390">HYPERLINK("https://twitter.com/startupkanal","@startupkanal")</f>
        <v>@startupkanal</v>
      </c>
      <c r="C3032" s="9" t="s">
        <v>5171</v>
      </c>
      <c r="D3032" s="9" t="s">
        <v>5172</v>
      </c>
      <c r="E3032" s="10" t="str">
        <f>HYPERLINK("https://twitter.com/startupkanal/status/723954829291343872","723954829291343872")</f>
        <v>723954829291343872</v>
      </c>
      <c r="F3032" s="11" t="s">
        <v>222</v>
      </c>
      <c r="G3032" s="11">
        <v>45</v>
      </c>
      <c r="H3032" s="11">
        <v>5</v>
      </c>
      <c r="I3032" s="11">
        <v>0</v>
      </c>
      <c r="J3032" s="11">
        <v>0</v>
      </c>
      <c r="K3032" s="11" t="s">
        <v>21</v>
      </c>
      <c r="L3032" s="7">
        <v>41936.630011574074</v>
      </c>
      <c r="M3032" s="12" t="s">
        <v>79</v>
      </c>
      <c r="N3032" s="12" t="s">
        <v>5173</v>
      </c>
      <c r="O3032" s="10" t="str">
        <f t="shared" ref="O3032:O3033" si="391">HYPERLINK("https://abs.twimg.com/sticky/default_profile_images/default_profile_3_normal.png","View")</f>
        <v>View</v>
      </c>
      <c r="P3032" s="11"/>
    </row>
    <row r="3033" spans="1:16" ht="12.75" x14ac:dyDescent="0.35">
      <c r="A3033" s="7">
        <v>42484.035370370373</v>
      </c>
      <c r="B3033" s="8" t="str">
        <f t="shared" si="390"/>
        <v>@startupkanal</v>
      </c>
      <c r="C3033" s="9" t="s">
        <v>5171</v>
      </c>
      <c r="D3033" s="9" t="s">
        <v>5174</v>
      </c>
      <c r="E3033" s="10" t="str">
        <f>HYPERLINK("https://twitter.com/startupkanal/status/723954830809677824","723954830809677824")</f>
        <v>723954830809677824</v>
      </c>
      <c r="F3033" s="11" t="s">
        <v>222</v>
      </c>
      <c r="G3033" s="11">
        <v>45</v>
      </c>
      <c r="H3033" s="11">
        <v>5</v>
      </c>
      <c r="I3033" s="11">
        <v>0</v>
      </c>
      <c r="J3033" s="11">
        <v>0</v>
      </c>
      <c r="K3033" s="11" t="s">
        <v>21</v>
      </c>
      <c r="L3033" s="7">
        <v>41936.630011574074</v>
      </c>
      <c r="M3033" s="12" t="s">
        <v>79</v>
      </c>
      <c r="N3033" s="12" t="s">
        <v>5173</v>
      </c>
      <c r="O3033" s="10" t="str">
        <f t="shared" si="391"/>
        <v>View</v>
      </c>
      <c r="P3033" s="11"/>
    </row>
    <row r="3034" spans="1:16" ht="12.75" x14ac:dyDescent="0.35">
      <c r="A3034" s="7">
        <v>42484.035914351851</v>
      </c>
      <c r="B3034" s="8" t="str">
        <f>HYPERLINK("https://twitter.com/sallyafrank","@sallyafrank")</f>
        <v>@sallyafrank</v>
      </c>
      <c r="C3034" s="9" t="s">
        <v>4811</v>
      </c>
      <c r="D3034" s="9" t="s">
        <v>5175</v>
      </c>
      <c r="E3034" s="10" t="str">
        <f>HYPERLINK("https://twitter.com/sallyafrank/status/723955025379221505","723955025379221505")</f>
        <v>723955025379221505</v>
      </c>
      <c r="F3034" s="11" t="s">
        <v>222</v>
      </c>
      <c r="G3034" s="11">
        <v>317</v>
      </c>
      <c r="H3034" s="11">
        <v>170</v>
      </c>
      <c r="I3034" s="11">
        <v>0</v>
      </c>
      <c r="J3034" s="11">
        <v>0</v>
      </c>
      <c r="K3034" s="11" t="s">
        <v>21</v>
      </c>
      <c r="L3034" s="7">
        <v>40399.807766203703</v>
      </c>
      <c r="M3034" s="12" t="s">
        <v>4794</v>
      </c>
      <c r="N3034" s="12" t="s">
        <v>4813</v>
      </c>
      <c r="O3034" s="10" t="str">
        <f>HYPERLINK("https://pbs.twimg.com/profile_images/602304216468738049/_0sb-3oB_normal.jpg","View")</f>
        <v>View</v>
      </c>
      <c r="P3034" s="11"/>
    </row>
    <row r="3035" spans="1:16" ht="12.75" x14ac:dyDescent="0.35">
      <c r="A3035" s="7">
        <v>42484.038321759261</v>
      </c>
      <c r="B3035" s="8" t="str">
        <f>HYPERLINK("https://twitter.com/MarinerLLC","@MarinerLLC")</f>
        <v>@MarinerLLC</v>
      </c>
      <c r="C3035" s="9" t="s">
        <v>4792</v>
      </c>
      <c r="D3035" s="9" t="s">
        <v>5176</v>
      </c>
      <c r="E3035" s="10" t="str">
        <f>HYPERLINK("https://twitter.com/MarinerLLC/status/723955899044343809","723955899044343809")</f>
        <v>723955899044343809</v>
      </c>
      <c r="F3035" s="11" t="s">
        <v>222</v>
      </c>
      <c r="G3035" s="11">
        <v>285</v>
      </c>
      <c r="H3035" s="11">
        <v>268</v>
      </c>
      <c r="I3035" s="11">
        <v>0</v>
      </c>
      <c r="J3035" s="11">
        <v>0</v>
      </c>
      <c r="K3035" s="11" t="s">
        <v>21</v>
      </c>
      <c r="L3035" s="7">
        <v>40898.383460648147</v>
      </c>
      <c r="M3035" s="12" t="s">
        <v>4794</v>
      </c>
      <c r="N3035" s="12" t="s">
        <v>4795</v>
      </c>
      <c r="O3035" s="10" t="str">
        <f>HYPERLINK("https://pbs.twimg.com/profile_images/3502729434/95675e6f45ad2e1bbc6c5736995ec15c_normal.png","View")</f>
        <v>View</v>
      </c>
      <c r="P3035" s="11"/>
    </row>
    <row r="3036" spans="1:16" ht="12.75" x14ac:dyDescent="0.35">
      <c r="A3036" s="7">
        <v>42484.039479166662</v>
      </c>
      <c r="B3036" s="8" t="str">
        <f>HYPERLINK("https://twitter.com/colbytylerford","@colbytylerford")</f>
        <v>@colbytylerford</v>
      </c>
      <c r="C3036" s="9" t="s">
        <v>4800</v>
      </c>
      <c r="D3036" s="9" t="s">
        <v>5177</v>
      </c>
      <c r="E3036" s="10" t="str">
        <f>HYPERLINK("https://twitter.com/colbytylerford/status/723956317614948354","723956317614948354")</f>
        <v>723956317614948354</v>
      </c>
      <c r="F3036" s="11" t="s">
        <v>222</v>
      </c>
      <c r="G3036" s="11">
        <v>305</v>
      </c>
      <c r="H3036" s="11">
        <v>399</v>
      </c>
      <c r="I3036" s="11">
        <v>0</v>
      </c>
      <c r="J3036" s="11">
        <v>0</v>
      </c>
      <c r="K3036" s="11" t="s">
        <v>21</v>
      </c>
      <c r="L3036" s="7">
        <v>39863.294120370367</v>
      </c>
      <c r="M3036" s="12" t="s">
        <v>4794</v>
      </c>
      <c r="N3036" s="12" t="s">
        <v>4802</v>
      </c>
      <c r="O3036" s="10" t="str">
        <f>HYPERLINK("https://pbs.twimg.com/profile_images/588196149665865728/jmm9bQ6G_normal.jpg","View")</f>
        <v>View</v>
      </c>
      <c r="P3036" s="11"/>
    </row>
    <row r="3037" spans="1:16" ht="12.75" x14ac:dyDescent="0.35">
      <c r="A3037" s="7">
        <v>42484.040208333332</v>
      </c>
      <c r="B3037" s="8" t="str">
        <f>HYPERLINK("https://twitter.com/kat2812","@kat2812")</f>
        <v>@kat2812</v>
      </c>
      <c r="C3037" s="9" t="s">
        <v>4175</v>
      </c>
      <c r="D3037" s="9" t="s">
        <v>5040</v>
      </c>
      <c r="E3037" s="10" t="str">
        <f>HYPERLINK("https://twitter.com/kat2812/status/723956582342635520","723956582342635520")</f>
        <v>723956582342635520</v>
      </c>
      <c r="F3037" s="11" t="s">
        <v>20</v>
      </c>
      <c r="G3037" s="11">
        <v>23</v>
      </c>
      <c r="H3037" s="11">
        <v>172</v>
      </c>
      <c r="I3037" s="11">
        <v>2</v>
      </c>
      <c r="J3037" s="11">
        <v>0</v>
      </c>
      <c r="K3037" s="11" t="s">
        <v>21</v>
      </c>
      <c r="L3037" s="7">
        <v>39883.80405092593</v>
      </c>
      <c r="M3037" s="12"/>
      <c r="N3037" s="12" t="s">
        <v>4177</v>
      </c>
      <c r="O3037" s="10" t="str">
        <f>HYPERLINK("https://pbs.twimg.com/profile_images/2994151206/72e14517d19cb49aa35fe3019df8b048_normal.jpeg","View")</f>
        <v>View</v>
      </c>
      <c r="P3037" s="11"/>
    </row>
    <row r="3038" spans="1:16" ht="12.75" x14ac:dyDescent="0.35">
      <c r="A3038" s="7">
        <v>42484.041689814811</v>
      </c>
      <c r="B3038" s="8" t="str">
        <f>HYPERLINK("https://twitter.com/kommoptimierer","@kommoptimierer")</f>
        <v>@kommoptimierer</v>
      </c>
      <c r="C3038" s="9" t="s">
        <v>270</v>
      </c>
      <c r="D3038" s="9" t="s">
        <v>684</v>
      </c>
      <c r="E3038" s="10" t="str">
        <f>HYPERLINK("https://twitter.com/kommoptimierer/status/723957117967843328","723957117967843328")</f>
        <v>723957117967843328</v>
      </c>
      <c r="F3038" s="11" t="s">
        <v>272</v>
      </c>
      <c r="G3038" s="11">
        <v>1350</v>
      </c>
      <c r="H3038" s="11">
        <v>1753</v>
      </c>
      <c r="I3038" s="11">
        <v>0</v>
      </c>
      <c r="J3038" s="11">
        <v>0</v>
      </c>
      <c r="K3038" s="11" t="s">
        <v>21</v>
      </c>
      <c r="L3038" s="7">
        <v>39986.860358796301</v>
      </c>
      <c r="M3038" s="12" t="s">
        <v>273</v>
      </c>
      <c r="N3038" s="12" t="s">
        <v>274</v>
      </c>
      <c r="O3038" s="10" t="str">
        <f>HYPERLINK("https://pbs.twimg.com/profile_images/541146126158536704/IYardufS_normal.jpeg","View")</f>
        <v>View</v>
      </c>
      <c r="P3038" s="11"/>
    </row>
    <row r="3039" spans="1:16" ht="12.75" x14ac:dyDescent="0.35">
      <c r="A3039" s="7">
        <v>42484.043564814812</v>
      </c>
      <c r="B3039" s="8" t="str">
        <f t="shared" ref="B3039:B3041" si="392">HYPERLINK("https://twitter.com/kat2812","@kat2812")</f>
        <v>@kat2812</v>
      </c>
      <c r="C3039" s="9" t="s">
        <v>4175</v>
      </c>
      <c r="D3039" s="9" t="s">
        <v>4927</v>
      </c>
      <c r="E3039" s="10" t="str">
        <f>HYPERLINK("https://twitter.com/kat2812/status/723957800066494464","723957800066494464")</f>
        <v>723957800066494464</v>
      </c>
      <c r="F3039" s="11" t="s">
        <v>20</v>
      </c>
      <c r="G3039" s="11">
        <v>23</v>
      </c>
      <c r="H3039" s="11">
        <v>173</v>
      </c>
      <c r="I3039" s="11">
        <v>4</v>
      </c>
      <c r="J3039" s="11">
        <v>0</v>
      </c>
      <c r="K3039" s="11" t="s">
        <v>21</v>
      </c>
      <c r="L3039" s="7">
        <v>39883.80405092593</v>
      </c>
      <c r="M3039" s="12"/>
      <c r="N3039" s="12" t="s">
        <v>4177</v>
      </c>
      <c r="O3039" s="10" t="str">
        <f t="shared" ref="O3039:O3041" si="393">HYPERLINK("https://pbs.twimg.com/profile_images/2994151206/72e14517d19cb49aa35fe3019df8b048_normal.jpeg","View")</f>
        <v>View</v>
      </c>
      <c r="P3039" s="11"/>
    </row>
    <row r="3040" spans="1:16" ht="12.75" x14ac:dyDescent="0.35">
      <c r="A3040" s="7">
        <v>42484.044664351852</v>
      </c>
      <c r="B3040" s="8" t="str">
        <f t="shared" si="392"/>
        <v>@kat2812</v>
      </c>
      <c r="C3040" s="9" t="s">
        <v>4175</v>
      </c>
      <c r="D3040" s="9" t="s">
        <v>5086</v>
      </c>
      <c r="E3040" s="10" t="str">
        <f>HYPERLINK("https://twitter.com/kat2812/status/723958195723456513","723958195723456513")</f>
        <v>723958195723456513</v>
      </c>
      <c r="F3040" s="11" t="s">
        <v>20</v>
      </c>
      <c r="G3040" s="11">
        <v>23</v>
      </c>
      <c r="H3040" s="11">
        <v>173</v>
      </c>
      <c r="I3040" s="11">
        <v>11</v>
      </c>
      <c r="J3040" s="11">
        <v>0</v>
      </c>
      <c r="K3040" s="11" t="s">
        <v>21</v>
      </c>
      <c r="L3040" s="7">
        <v>39883.80405092593</v>
      </c>
      <c r="M3040" s="12"/>
      <c r="N3040" s="12" t="s">
        <v>4177</v>
      </c>
      <c r="O3040" s="10" t="str">
        <f t="shared" si="393"/>
        <v>View</v>
      </c>
      <c r="P3040" s="11"/>
    </row>
    <row r="3041" spans="1:16" ht="12.75" x14ac:dyDescent="0.35">
      <c r="A3041" s="7">
        <v>42484.045266203699</v>
      </c>
      <c r="B3041" s="8" t="str">
        <f t="shared" si="392"/>
        <v>@kat2812</v>
      </c>
      <c r="C3041" s="9" t="s">
        <v>4175</v>
      </c>
      <c r="D3041" s="9" t="s">
        <v>5060</v>
      </c>
      <c r="E3041" s="10" t="str">
        <f>HYPERLINK("https://twitter.com/kat2812/status/723958414896992256","723958414896992256")</f>
        <v>723958414896992256</v>
      </c>
      <c r="F3041" s="11" t="s">
        <v>20</v>
      </c>
      <c r="G3041" s="11">
        <v>23</v>
      </c>
      <c r="H3041" s="11">
        <v>173</v>
      </c>
      <c r="I3041" s="11">
        <v>6</v>
      </c>
      <c r="J3041" s="11">
        <v>0</v>
      </c>
      <c r="K3041" s="11" t="s">
        <v>21</v>
      </c>
      <c r="L3041" s="7">
        <v>39883.80405092593</v>
      </c>
      <c r="M3041" s="12"/>
      <c r="N3041" s="12" t="s">
        <v>4177</v>
      </c>
      <c r="O3041" s="10" t="str">
        <f t="shared" si="393"/>
        <v>View</v>
      </c>
      <c r="P3041" s="11"/>
    </row>
    <row r="3042" spans="1:16" ht="12.75" x14ac:dyDescent="0.35">
      <c r="A3042" s="7">
        <v>42484.047326388885</v>
      </c>
      <c r="B3042" s="8" t="str">
        <f>HYPERLINK("https://twitter.com/vemdiearbeitgeb","@vemdiearbeitgeb")</f>
        <v>@vemdiearbeitgeb</v>
      </c>
      <c r="C3042" s="9" t="s">
        <v>3445</v>
      </c>
      <c r="D3042" s="9" t="s">
        <v>4871</v>
      </c>
      <c r="E3042" s="10" t="str">
        <f>HYPERLINK("https://twitter.com/vemdiearbeitgeb/status/723959160522575872","723959160522575872")</f>
        <v>723959160522575872</v>
      </c>
      <c r="F3042" s="11" t="s">
        <v>31</v>
      </c>
      <c r="G3042" s="11">
        <v>776</v>
      </c>
      <c r="H3042" s="11">
        <v>824</v>
      </c>
      <c r="I3042" s="11">
        <v>5</v>
      </c>
      <c r="J3042" s="11">
        <v>0</v>
      </c>
      <c r="K3042" s="11" t="s">
        <v>21</v>
      </c>
      <c r="L3042" s="7">
        <v>40248.606006944443</v>
      </c>
      <c r="M3042" s="12" t="s">
        <v>3446</v>
      </c>
      <c r="N3042" s="12" t="s">
        <v>3447</v>
      </c>
      <c r="O3042" s="10" t="str">
        <f>HYPERLINK("https://pbs.twimg.com/profile_images/1281327600/VEM_LOGO_1101_4c_o_Twitter_normal.jpg","View")</f>
        <v>View</v>
      </c>
      <c r="P3042" s="11"/>
    </row>
    <row r="3043" spans="1:16" ht="12.75" x14ac:dyDescent="0.35">
      <c r="A3043" s="7">
        <v>42484.05263888889</v>
      </c>
      <c r="B3043" s="8" t="str">
        <f>HYPERLINK("https://twitter.com/clemgraf","@clemgraf")</f>
        <v>@clemgraf</v>
      </c>
      <c r="C3043" s="9" t="s">
        <v>5178</v>
      </c>
      <c r="D3043" s="9" t="s">
        <v>5179</v>
      </c>
      <c r="E3043" s="10" t="str">
        <f>HYPERLINK("https://twitter.com/clemgraf/status/723961086525976577","723961086525976577")</f>
        <v>723961086525976577</v>
      </c>
      <c r="F3043" s="11" t="s">
        <v>31</v>
      </c>
      <c r="G3043" s="11">
        <v>46</v>
      </c>
      <c r="H3043" s="11">
        <v>56</v>
      </c>
      <c r="I3043" s="11">
        <v>1</v>
      </c>
      <c r="J3043" s="11">
        <v>0</v>
      </c>
      <c r="K3043" s="11" t="s">
        <v>21</v>
      </c>
      <c r="L3043" s="7">
        <v>40226.585127314815</v>
      </c>
      <c r="M3043" s="12" t="s">
        <v>5180</v>
      </c>
      <c r="N3043" s="12" t="s">
        <v>5181</v>
      </c>
      <c r="O3043" s="10" t="str">
        <f>HYPERLINK("https://pbs.twimg.com/profile_images/502517483262443520/36kKzSvE_normal.jpeg","View")</f>
        <v>View</v>
      </c>
      <c r="P3043" s="11"/>
    </row>
    <row r="3044" spans="1:16" ht="12.75" x14ac:dyDescent="0.35">
      <c r="A3044" s="7">
        <v>42484.065995370373</v>
      </c>
      <c r="B3044" s="8" t="str">
        <f>HYPERLINK("https://twitter.com/kommoptimierer","@kommoptimierer")</f>
        <v>@kommoptimierer</v>
      </c>
      <c r="C3044" s="9" t="s">
        <v>270</v>
      </c>
      <c r="D3044" s="9" t="s">
        <v>691</v>
      </c>
      <c r="E3044" s="10" t="str">
        <f>HYPERLINK("https://twitter.com/kommoptimierer/status/723965926908014592","723965926908014592")</f>
        <v>723965926908014592</v>
      </c>
      <c r="F3044" s="11" t="s">
        <v>272</v>
      </c>
      <c r="G3044" s="11">
        <v>1350</v>
      </c>
      <c r="H3044" s="11">
        <v>1753</v>
      </c>
      <c r="I3044" s="11">
        <v>1</v>
      </c>
      <c r="J3044" s="11">
        <v>0</v>
      </c>
      <c r="K3044" s="11" t="s">
        <v>21</v>
      </c>
      <c r="L3044" s="7">
        <v>39986.860358796301</v>
      </c>
      <c r="M3044" s="12" t="s">
        <v>273</v>
      </c>
      <c r="N3044" s="12" t="s">
        <v>274</v>
      </c>
      <c r="O3044" s="10" t="str">
        <f>HYPERLINK("https://pbs.twimg.com/profile_images/541146126158536704/IYardufS_normal.jpeg","View")</f>
        <v>View</v>
      </c>
      <c r="P3044" s="11"/>
    </row>
    <row r="3045" spans="1:16" ht="12.75" x14ac:dyDescent="0.35">
      <c r="A3045" s="7">
        <v>42484.070254629631</v>
      </c>
      <c r="B3045" s="8" t="str">
        <f>HYPERLINK("https://twitter.com/INDIZbot","@INDIZbot")</f>
        <v>@INDIZbot</v>
      </c>
      <c r="C3045" s="9" t="s">
        <v>61</v>
      </c>
      <c r="D3045" s="9" t="s">
        <v>2035</v>
      </c>
      <c r="E3045" s="10" t="str">
        <f>HYPERLINK("https://twitter.com/INDIZbot/status/723967470193790976","723967470193790976")</f>
        <v>723967470193790976</v>
      </c>
      <c r="F3045" s="11" t="s">
        <v>62</v>
      </c>
      <c r="G3045" s="11">
        <v>1778</v>
      </c>
      <c r="H3045" s="11">
        <v>482</v>
      </c>
      <c r="I3045" s="11">
        <v>1</v>
      </c>
      <c r="J3045" s="11">
        <v>0</v>
      </c>
      <c r="K3045" s="11" t="s">
        <v>21</v>
      </c>
      <c r="L3045" s="7">
        <v>42267.011921296296</v>
      </c>
      <c r="M3045" s="12"/>
      <c r="N3045" s="12" t="s">
        <v>63</v>
      </c>
      <c r="O3045" s="10" t="str">
        <f>HYPERLINK("https://pbs.twimg.com/profile_images/645716711723925506/t5G0qOS6_normal.jpg","View")</f>
        <v>View</v>
      </c>
      <c r="P3045" s="11"/>
    </row>
    <row r="3046" spans="1:16" ht="12.75" x14ac:dyDescent="0.35">
      <c r="A3046" s="7">
        <v>42484.074224537035</v>
      </c>
      <c r="B3046" s="8" t="str">
        <f>HYPERLINK("https://twitter.com/changetokaizen","@changetokaizen")</f>
        <v>@changetokaizen</v>
      </c>
      <c r="C3046" s="9" t="s">
        <v>1398</v>
      </c>
      <c r="D3046" s="9" t="s">
        <v>5182</v>
      </c>
      <c r="E3046" s="10" t="str">
        <f>HYPERLINK("https://twitter.com/changetokaizen/status/723968911994183681","723968911994183681")</f>
        <v>723968911994183681</v>
      </c>
      <c r="F3046" s="11" t="s">
        <v>20</v>
      </c>
      <c r="G3046" s="11">
        <v>152</v>
      </c>
      <c r="H3046" s="11">
        <v>33</v>
      </c>
      <c r="I3046" s="11">
        <v>2</v>
      </c>
      <c r="J3046" s="11">
        <v>0</v>
      </c>
      <c r="K3046" s="11" t="s">
        <v>21</v>
      </c>
      <c r="L3046" s="7">
        <v>41104.815393518518</v>
      </c>
      <c r="M3046" s="12" t="s">
        <v>121</v>
      </c>
      <c r="N3046" s="12" t="s">
        <v>1400</v>
      </c>
      <c r="O3046" s="10" t="str">
        <f>HYPERLINK("https://pbs.twimg.com/profile_images/463005839918247936/Ui2bf9cw_normal.jpeg","View")</f>
        <v>View</v>
      </c>
      <c r="P3046" s="11"/>
    </row>
    <row r="3047" spans="1:16" ht="12.75" x14ac:dyDescent="0.35">
      <c r="A3047" s="7">
        <v>42484.074606481481</v>
      </c>
      <c r="B3047" s="8" t="str">
        <f>HYPERLINK("https://twitter.com/LeanKnowledge","@LeanKnowledge")</f>
        <v>@LeanKnowledge</v>
      </c>
      <c r="C3047" s="9" t="s">
        <v>699</v>
      </c>
      <c r="D3047" s="9" t="s">
        <v>5183</v>
      </c>
      <c r="E3047" s="10" t="str">
        <f>HYPERLINK("https://twitter.com/LeanKnowledge/status/723969048338419712","723969048338419712")</f>
        <v>723969048338419712</v>
      </c>
      <c r="F3047" s="11" t="s">
        <v>20</v>
      </c>
      <c r="G3047" s="11">
        <v>88</v>
      </c>
      <c r="H3047" s="11">
        <v>36</v>
      </c>
      <c r="I3047" s="11">
        <v>2</v>
      </c>
      <c r="J3047" s="11">
        <v>0</v>
      </c>
      <c r="K3047" s="11" t="s">
        <v>21</v>
      </c>
      <c r="L3047" s="7">
        <v>42328.584224537037</v>
      </c>
      <c r="M3047" s="12" t="s">
        <v>92</v>
      </c>
      <c r="N3047" s="12" t="s">
        <v>701</v>
      </c>
      <c r="O3047" s="10" t="str">
        <f>HYPERLINK("https://pbs.twimg.com/profile_images/667622351345950720/HAHOiaMn_normal.jpg","View")</f>
        <v>View</v>
      </c>
      <c r="P3047" s="11"/>
    </row>
    <row r="3048" spans="1:16" ht="12.75" x14ac:dyDescent="0.35">
      <c r="A3048" s="7">
        <v>42484.07503472222</v>
      </c>
      <c r="B3048" s="8" t="str">
        <f>HYPERLINK("https://twitter.com/Plastipolis","@Plastipolis")</f>
        <v>@Plastipolis</v>
      </c>
      <c r="C3048" s="9" t="s">
        <v>5184</v>
      </c>
      <c r="D3048" s="9" t="s">
        <v>5086</v>
      </c>
      <c r="E3048" s="10" t="str">
        <f>HYPERLINK("https://twitter.com/Plastipolis/status/723969203225649153","723969203225649153")</f>
        <v>723969203225649153</v>
      </c>
      <c r="F3048" s="11" t="s">
        <v>25</v>
      </c>
      <c r="G3048" s="11">
        <v>390</v>
      </c>
      <c r="H3048" s="11">
        <v>604</v>
      </c>
      <c r="I3048" s="11">
        <v>12</v>
      </c>
      <c r="J3048" s="11">
        <v>0</v>
      </c>
      <c r="K3048" s="11" t="s">
        <v>21</v>
      </c>
      <c r="L3048" s="7">
        <v>42201.836006944446</v>
      </c>
      <c r="M3048" s="12" t="s">
        <v>5185</v>
      </c>
      <c r="N3048" s="12" t="s">
        <v>5186</v>
      </c>
      <c r="O3048" s="10" t="str">
        <f>HYPERLINK("https://pbs.twimg.com/profile_images/644884377462272000/eEWsazpF_normal.jpg","View")</f>
        <v>View</v>
      </c>
      <c r="P3048" s="11"/>
    </row>
    <row r="3049" spans="1:16" ht="12.75" x14ac:dyDescent="0.35">
      <c r="A3049" s="7">
        <v>42484.07503472222</v>
      </c>
      <c r="B3049" s="8" t="str">
        <f>HYPERLINK("https://twitter.com/_lfactory","@_lfactory")</f>
        <v>@_lfactory</v>
      </c>
      <c r="C3049" s="9" t="s">
        <v>1408</v>
      </c>
      <c r="D3049" s="9" t="s">
        <v>5183</v>
      </c>
      <c r="E3049" s="10" t="str">
        <f>HYPERLINK("https://twitter.com/_lfactory/status/723969203322142721","723969203322142721")</f>
        <v>723969203322142721</v>
      </c>
      <c r="F3049" s="11" t="s">
        <v>20</v>
      </c>
      <c r="G3049" s="11">
        <v>279</v>
      </c>
      <c r="H3049" s="11">
        <v>111</v>
      </c>
      <c r="I3049" s="11">
        <v>2</v>
      </c>
      <c r="J3049" s="11">
        <v>0</v>
      </c>
      <c r="K3049" s="11" t="s">
        <v>21</v>
      </c>
      <c r="L3049" s="7">
        <v>40352.706423611111</v>
      </c>
      <c r="M3049" s="12" t="s">
        <v>121</v>
      </c>
      <c r="N3049" s="12" t="s">
        <v>1409</v>
      </c>
      <c r="O3049" s="10" t="str">
        <f>HYPERLINK("https://pbs.twimg.com/profile_images/3427840995/be9743841a82fcc743ed45c59638edb6_normal.png","View")</f>
        <v>View</v>
      </c>
      <c r="P3049" s="11"/>
    </row>
    <row r="3050" spans="1:16" ht="12.75" x14ac:dyDescent="0.35">
      <c r="A3050" s="7">
        <v>42484.075277777782</v>
      </c>
      <c r="B3050" s="8" t="str">
        <f>HYPERLINK("https://twitter.com/Lean_john","@Lean_john")</f>
        <v>@Lean_john</v>
      </c>
      <c r="C3050" s="9" t="s">
        <v>705</v>
      </c>
      <c r="D3050" s="9" t="s">
        <v>5187</v>
      </c>
      <c r="E3050" s="10" t="str">
        <f>HYPERLINK("https://twitter.com/Lean_john/status/723969292845355008","723969292845355008")</f>
        <v>723969292845355008</v>
      </c>
      <c r="F3050" s="11" t="s">
        <v>222</v>
      </c>
      <c r="G3050" s="11">
        <v>723</v>
      </c>
      <c r="H3050" s="11">
        <v>398</v>
      </c>
      <c r="I3050" s="11">
        <v>0</v>
      </c>
      <c r="J3050" s="11">
        <v>0</v>
      </c>
      <c r="K3050" s="11" t="s">
        <v>21</v>
      </c>
      <c r="L3050" s="7">
        <v>40703.67690972222</v>
      </c>
      <c r="M3050" s="12" t="s">
        <v>162</v>
      </c>
      <c r="N3050" s="12" t="s">
        <v>707</v>
      </c>
      <c r="O3050" s="10" t="str">
        <f>HYPERLINK("https://pbs.twimg.com/profile_images/2181612837/Johann_normal.jpg","View")</f>
        <v>View</v>
      </c>
      <c r="P3050" s="11"/>
    </row>
    <row r="3051" spans="1:16" ht="12.75" x14ac:dyDescent="0.35">
      <c r="A3051" s="7">
        <v>42484.084120370375</v>
      </c>
      <c r="B3051" s="8" t="str">
        <f>HYPERLINK("https://twitter.com/serpil_ozguven","@serpil_ozguven")</f>
        <v>@serpil_ozguven</v>
      </c>
      <c r="C3051" s="9" t="s">
        <v>5188</v>
      </c>
      <c r="D3051" s="9" t="s">
        <v>5086</v>
      </c>
      <c r="E3051" s="10" t="str">
        <f>HYPERLINK("https://twitter.com/serpil_ozguven/status/723972496798691329","723972496798691329")</f>
        <v>723972496798691329</v>
      </c>
      <c r="F3051" s="11" t="s">
        <v>31</v>
      </c>
      <c r="G3051" s="11">
        <v>897</v>
      </c>
      <c r="H3051" s="11">
        <v>5000</v>
      </c>
      <c r="I3051" s="11">
        <v>13</v>
      </c>
      <c r="J3051" s="11">
        <v>0</v>
      </c>
      <c r="K3051" s="11" t="s">
        <v>21</v>
      </c>
      <c r="L3051" s="7">
        <v>42063.979548611111</v>
      </c>
      <c r="M3051" s="12"/>
      <c r="N3051" s="12"/>
      <c r="O3051" s="10" t="str">
        <f>HYPERLINK("https://pbs.twimg.com/profile_images/611187721080602625/r5O9HUl__normal.jpg","View")</f>
        <v>View</v>
      </c>
      <c r="P3051" s="11"/>
    </row>
    <row r="3052" spans="1:16" ht="12.75" x14ac:dyDescent="0.35">
      <c r="A3052" s="7">
        <v>42484.091261574074</v>
      </c>
      <c r="B3052" s="8" t="str">
        <f t="shared" ref="B3052:B3053" si="394">HYPERLINK("https://twitter.com/INDIZbot","@INDIZbot")</f>
        <v>@INDIZbot</v>
      </c>
      <c r="C3052" s="9" t="s">
        <v>61</v>
      </c>
      <c r="D3052" s="9" t="s">
        <v>5189</v>
      </c>
      <c r="E3052" s="10" t="str">
        <f>HYPERLINK("https://twitter.com/INDIZbot/status/723975083652448260","723975083652448260")</f>
        <v>723975083652448260</v>
      </c>
      <c r="F3052" s="11" t="s">
        <v>62</v>
      </c>
      <c r="G3052" s="11">
        <v>1778</v>
      </c>
      <c r="H3052" s="11">
        <v>482</v>
      </c>
      <c r="I3052" s="11">
        <v>1</v>
      </c>
      <c r="J3052" s="11">
        <v>0</v>
      </c>
      <c r="K3052" s="11" t="s">
        <v>21</v>
      </c>
      <c r="L3052" s="7">
        <v>42267.011921296296</v>
      </c>
      <c r="M3052" s="12"/>
      <c r="N3052" s="12" t="s">
        <v>63</v>
      </c>
      <c r="O3052" s="10" t="str">
        <f t="shared" ref="O3052:O3053" si="395">HYPERLINK("https://pbs.twimg.com/profile_images/645716711723925506/t5G0qOS6_normal.jpg","View")</f>
        <v>View</v>
      </c>
      <c r="P3052" s="11"/>
    </row>
    <row r="3053" spans="1:16" ht="12.75" x14ac:dyDescent="0.35">
      <c r="A3053" s="7">
        <v>42484.091631944444</v>
      </c>
      <c r="B3053" s="8" t="str">
        <f t="shared" si="394"/>
        <v>@INDIZbot</v>
      </c>
      <c r="C3053" s="9" t="s">
        <v>61</v>
      </c>
      <c r="D3053" s="9" t="s">
        <v>5183</v>
      </c>
      <c r="E3053" s="10" t="str">
        <f>HYPERLINK("https://twitter.com/INDIZbot/status/723975216729325569","723975216729325569")</f>
        <v>723975216729325569</v>
      </c>
      <c r="F3053" s="11" t="s">
        <v>62</v>
      </c>
      <c r="G3053" s="11">
        <v>1778</v>
      </c>
      <c r="H3053" s="11">
        <v>482</v>
      </c>
      <c r="I3053" s="11">
        <v>3</v>
      </c>
      <c r="J3053" s="11">
        <v>0</v>
      </c>
      <c r="K3053" s="11" t="s">
        <v>21</v>
      </c>
      <c r="L3053" s="7">
        <v>42267.011921296296</v>
      </c>
      <c r="M3053" s="12"/>
      <c r="N3053" s="12" t="s">
        <v>63</v>
      </c>
      <c r="O3053" s="10" t="str">
        <f t="shared" si="395"/>
        <v>View</v>
      </c>
      <c r="P3053" s="11"/>
    </row>
    <row r="3054" spans="1:16" ht="12.75" x14ac:dyDescent="0.35">
      <c r="A3054" s="7">
        <v>42484.093472222223</v>
      </c>
      <c r="B3054" s="8" t="str">
        <f>HYPERLINK("https://twitter.com/OleksiyAntonov","@OleksiyAntonov")</f>
        <v>@OleksiyAntonov</v>
      </c>
      <c r="C3054" s="9" t="s">
        <v>5190</v>
      </c>
      <c r="D3054" s="9" t="s">
        <v>5060</v>
      </c>
      <c r="E3054" s="10" t="str">
        <f>HYPERLINK("https://twitter.com/OleksiyAntonov/status/723975883409752064","723975883409752064")</f>
        <v>723975883409752064</v>
      </c>
      <c r="F3054" s="11" t="s">
        <v>31</v>
      </c>
      <c r="G3054" s="11">
        <v>35</v>
      </c>
      <c r="H3054" s="11">
        <v>226</v>
      </c>
      <c r="I3054" s="11">
        <v>7</v>
      </c>
      <c r="J3054" s="11">
        <v>0</v>
      </c>
      <c r="K3054" s="11" t="s">
        <v>21</v>
      </c>
      <c r="L3054" s="7">
        <v>40596.611087962963</v>
      </c>
      <c r="M3054" s="12" t="s">
        <v>5191</v>
      </c>
      <c r="N3054" s="12"/>
      <c r="O3054" s="10" t="str">
        <f>HYPERLINK("https://abs.twimg.com/sticky/default_profile_images/default_profile_4_normal.png","View")</f>
        <v>View</v>
      </c>
      <c r="P3054" s="11"/>
    </row>
    <row r="3055" spans="1:16" ht="12.75" x14ac:dyDescent="0.35">
      <c r="A3055" s="7">
        <v>42484.094942129625</v>
      </c>
      <c r="B3055" s="8" t="str">
        <f>HYPERLINK("https://twitter.com/karelcrombach","@karelcrombach")</f>
        <v>@karelcrombach</v>
      </c>
      <c r="C3055" s="9" t="s">
        <v>5192</v>
      </c>
      <c r="D3055" s="9" t="s">
        <v>5193</v>
      </c>
      <c r="E3055" s="10" t="str">
        <f>HYPERLINK("https://twitter.com/karelcrombach/status/723976417390764032","723976417390764032")</f>
        <v>723976417390764032</v>
      </c>
      <c r="F3055" s="11" t="s">
        <v>1491</v>
      </c>
      <c r="G3055" s="11">
        <v>72</v>
      </c>
      <c r="H3055" s="11">
        <v>66</v>
      </c>
      <c r="I3055" s="11">
        <v>1</v>
      </c>
      <c r="J3055" s="11">
        <v>0</v>
      </c>
      <c r="K3055" s="11" t="s">
        <v>21</v>
      </c>
      <c r="L3055" s="7">
        <v>40010.75141203704</v>
      </c>
      <c r="M3055" s="12" t="s">
        <v>5194</v>
      </c>
      <c r="N3055" s="12" t="s">
        <v>5195</v>
      </c>
      <c r="O3055" s="10" t="str">
        <f>HYPERLINK("https://pbs.twimg.com/profile_images/3382064129/c8704527a56747df8e78cc48e86c3d9d_normal.jpeg","View")</f>
        <v>View</v>
      </c>
      <c r="P3055" s="11"/>
    </row>
    <row r="3056" spans="1:16" ht="12.75" x14ac:dyDescent="0.35">
      <c r="A3056" s="7">
        <v>42484.108101851853</v>
      </c>
      <c r="B3056" s="8" t="str">
        <f>HYPERLINK("https://twitter.com/db_theblizz","@db_theblizz")</f>
        <v>@db_theblizz</v>
      </c>
      <c r="C3056" s="9" t="s">
        <v>5196</v>
      </c>
      <c r="D3056" s="9" t="s">
        <v>5160</v>
      </c>
      <c r="E3056" s="10" t="str">
        <f>HYPERLINK("https://twitter.com/db_theblizz/status/723981188159946754","723981188159946754")</f>
        <v>723981188159946754</v>
      </c>
      <c r="F3056" s="11" t="s">
        <v>31</v>
      </c>
      <c r="G3056" s="11">
        <v>41</v>
      </c>
      <c r="H3056" s="11">
        <v>98</v>
      </c>
      <c r="I3056" s="11">
        <v>4</v>
      </c>
      <c r="J3056" s="11">
        <v>0</v>
      </c>
      <c r="K3056" s="11" t="s">
        <v>21</v>
      </c>
      <c r="L3056" s="7">
        <v>42355.940254629633</v>
      </c>
      <c r="M3056" s="12" t="s">
        <v>5197</v>
      </c>
      <c r="N3056" s="12" t="s">
        <v>5198</v>
      </c>
      <c r="O3056" s="10" t="str">
        <f>HYPERLINK("https://pbs.twimg.com/profile_images/704353771820859392/r_-n_rEz_normal.jpg","View")</f>
        <v>View</v>
      </c>
      <c r="P3056" s="11"/>
    </row>
    <row r="3057" spans="1:16" ht="12.75" x14ac:dyDescent="0.35">
      <c r="A3057" s="7">
        <v>42484.122604166667</v>
      </c>
      <c r="B3057" s="8" t="str">
        <f>HYPERLINK("https://twitter.com/s_crazyshin","@s_crazyshin")</f>
        <v>@s_crazyshin</v>
      </c>
      <c r="C3057" s="9" t="s">
        <v>5199</v>
      </c>
      <c r="D3057" s="9" t="s">
        <v>5086</v>
      </c>
      <c r="E3057" s="10" t="str">
        <f>HYPERLINK("https://twitter.com/s_crazyshin/status/723986443287314432","723986443287314432")</f>
        <v>723986443287314432</v>
      </c>
      <c r="F3057" s="11" t="s">
        <v>20</v>
      </c>
      <c r="G3057" s="11">
        <v>23</v>
      </c>
      <c r="H3057" s="11">
        <v>95</v>
      </c>
      <c r="I3057" s="11">
        <v>14</v>
      </c>
      <c r="J3057" s="11">
        <v>0</v>
      </c>
      <c r="K3057" s="11" t="s">
        <v>21</v>
      </c>
      <c r="L3057" s="7">
        <v>42461.039641203708</v>
      </c>
      <c r="M3057" s="12" t="s">
        <v>410</v>
      </c>
      <c r="N3057" s="12"/>
      <c r="O3057" s="10" t="str">
        <f>HYPERLINK("https://pbs.twimg.com/profile_images/715622885646344192/KKSRmkdr_normal.jpg","View")</f>
        <v>View</v>
      </c>
      <c r="P3057" s="11"/>
    </row>
    <row r="3058" spans="1:16" ht="12.75" x14ac:dyDescent="0.35">
      <c r="A3058" s="7">
        <v>42484.205196759256</v>
      </c>
      <c r="B3058" s="8" t="str">
        <f>HYPERLINK("https://twitter.com/Lenze_Gruppe","@Lenze_Gruppe")</f>
        <v>@Lenze_Gruppe</v>
      </c>
      <c r="C3058" s="9" t="s">
        <v>882</v>
      </c>
      <c r="D3058" s="9" t="s">
        <v>4962</v>
      </c>
      <c r="E3058" s="10" t="str">
        <f>HYPERLINK("https://twitter.com/Lenze_Gruppe/status/724016372200693760","724016372200693760")</f>
        <v>724016372200693760</v>
      </c>
      <c r="F3058" s="11" t="s">
        <v>20</v>
      </c>
      <c r="G3058" s="11">
        <v>1057</v>
      </c>
      <c r="H3058" s="11">
        <v>218</v>
      </c>
      <c r="I3058" s="11">
        <v>6</v>
      </c>
      <c r="J3058" s="11">
        <v>0</v>
      </c>
      <c r="K3058" s="11" t="s">
        <v>21</v>
      </c>
      <c r="L3058" s="7">
        <v>40659.643807870372</v>
      </c>
      <c r="M3058" s="12" t="s">
        <v>884</v>
      </c>
      <c r="N3058" s="12" t="s">
        <v>885</v>
      </c>
      <c r="O3058" s="10" t="str">
        <f>HYPERLINK("https://pbs.twimg.com/profile_images/1655244498/Lenze_RGB_400x400px_normal.jpg","View")</f>
        <v>View</v>
      </c>
      <c r="P3058" s="11"/>
    </row>
    <row r="3059" spans="1:16" ht="12.75" x14ac:dyDescent="0.35">
      <c r="A3059" s="7">
        <v>42484.228680555556</v>
      </c>
      <c r="B3059" s="8" t="str">
        <f>HYPERLINK("https://twitter.com/NicoletteBarn","@NicoletteBarn")</f>
        <v>@NicoletteBarn</v>
      </c>
      <c r="C3059" s="9" t="s">
        <v>4729</v>
      </c>
      <c r="D3059" s="9" t="s">
        <v>5086</v>
      </c>
      <c r="E3059" s="10" t="str">
        <f>HYPERLINK("https://twitter.com/NicoletteBarn/status/724024882736955393","724024882736955393")</f>
        <v>724024882736955393</v>
      </c>
      <c r="F3059" s="11" t="s">
        <v>29</v>
      </c>
      <c r="G3059" s="11">
        <v>199</v>
      </c>
      <c r="H3059" s="11">
        <v>341</v>
      </c>
      <c r="I3059" s="11">
        <v>15</v>
      </c>
      <c r="J3059" s="11">
        <v>0</v>
      </c>
      <c r="K3059" s="11" t="s">
        <v>21</v>
      </c>
      <c r="L3059" s="7">
        <v>41773.365150462967</v>
      </c>
      <c r="M3059" s="12" t="s">
        <v>4730</v>
      </c>
      <c r="N3059" s="12" t="s">
        <v>4731</v>
      </c>
      <c r="O3059" s="10" t="str">
        <f>HYPERLINK("https://pbs.twimg.com/profile_images/705044001309794304/B3gEcfIM_normal.jpg","View")</f>
        <v>View</v>
      </c>
      <c r="P3059" s="11"/>
    </row>
    <row r="3060" spans="1:16" ht="12.75" x14ac:dyDescent="0.35">
      <c r="A3060" s="7">
        <v>42484.229166666672</v>
      </c>
      <c r="B3060" s="8" t="str">
        <f>HYPERLINK("https://twitter.com/msftmfg","@msftmfg")</f>
        <v>@msftmfg</v>
      </c>
      <c r="C3060" s="9" t="s">
        <v>4788</v>
      </c>
      <c r="D3060" s="9" t="s">
        <v>5200</v>
      </c>
      <c r="E3060" s="10" t="str">
        <f>HYPERLINK("https://twitter.com/msftmfg/status/724025061062115328","724025061062115328")</f>
        <v>724025061062115328</v>
      </c>
      <c r="F3060" s="11" t="s">
        <v>1111</v>
      </c>
      <c r="G3060" s="11">
        <v>3706</v>
      </c>
      <c r="H3060" s="11">
        <v>2697</v>
      </c>
      <c r="I3060" s="11">
        <v>0</v>
      </c>
      <c r="J3060" s="11">
        <v>0</v>
      </c>
      <c r="K3060" s="11" t="s">
        <v>21</v>
      </c>
      <c r="L3060" s="7">
        <v>41985.067094907412</v>
      </c>
      <c r="M3060" s="12" t="s">
        <v>4790</v>
      </c>
      <c r="N3060" s="12" t="s">
        <v>4791</v>
      </c>
      <c r="O3060" s="10" t="str">
        <f>HYPERLINK("https://pbs.twimg.com/profile_images/543161217645178880/JQuBT7KS_normal.png","View")</f>
        <v>View</v>
      </c>
      <c r="P3060" s="11"/>
    </row>
    <row r="3061" spans="1:16" ht="12.75" x14ac:dyDescent="0.35">
      <c r="A3061" s="7">
        <v>42484.233900462961</v>
      </c>
      <c r="B3061" s="8" t="str">
        <f>HYPERLINK("https://twitter.com/sallyafrank","@sallyafrank")</f>
        <v>@sallyafrank</v>
      </c>
      <c r="C3061" s="9" t="s">
        <v>4811</v>
      </c>
      <c r="D3061" s="9" t="s">
        <v>5201</v>
      </c>
      <c r="E3061" s="10" t="str">
        <f>HYPERLINK("https://twitter.com/sallyafrank/status/724026775735508992","724026775735508992")</f>
        <v>724026775735508992</v>
      </c>
      <c r="F3061" s="11" t="s">
        <v>222</v>
      </c>
      <c r="G3061" s="11">
        <v>318</v>
      </c>
      <c r="H3061" s="11">
        <v>170</v>
      </c>
      <c r="I3061" s="11">
        <v>0</v>
      </c>
      <c r="J3061" s="11">
        <v>0</v>
      </c>
      <c r="K3061" s="11" t="s">
        <v>21</v>
      </c>
      <c r="L3061" s="7">
        <v>40399.807766203703</v>
      </c>
      <c r="M3061" s="12" t="s">
        <v>4794</v>
      </c>
      <c r="N3061" s="12" t="s">
        <v>4813</v>
      </c>
      <c r="O3061" s="10" t="str">
        <f>HYPERLINK("https://pbs.twimg.com/profile_images/602304216468738049/_0sb-3oB_normal.jpg","View")</f>
        <v>View</v>
      </c>
      <c r="P3061" s="11"/>
    </row>
    <row r="3062" spans="1:16" ht="12.75" x14ac:dyDescent="0.35">
      <c r="A3062" s="7">
        <v>42484.236168981486</v>
      </c>
      <c r="B3062" s="8" t="str">
        <f>HYPERLINK("https://twitter.com/MarinerLLC","@MarinerLLC")</f>
        <v>@MarinerLLC</v>
      </c>
      <c r="C3062" s="9" t="s">
        <v>4792</v>
      </c>
      <c r="D3062" s="9" t="s">
        <v>5202</v>
      </c>
      <c r="E3062" s="10" t="str">
        <f>HYPERLINK("https://twitter.com/MarinerLLC/status/724027595403202560","724027595403202560")</f>
        <v>724027595403202560</v>
      </c>
      <c r="F3062" s="11" t="s">
        <v>222</v>
      </c>
      <c r="G3062" s="11">
        <v>287</v>
      </c>
      <c r="H3062" s="11">
        <v>268</v>
      </c>
      <c r="I3062" s="11">
        <v>0</v>
      </c>
      <c r="J3062" s="11">
        <v>0</v>
      </c>
      <c r="K3062" s="11" t="s">
        <v>21</v>
      </c>
      <c r="L3062" s="7">
        <v>40898.383460648147</v>
      </c>
      <c r="M3062" s="12" t="s">
        <v>4794</v>
      </c>
      <c r="N3062" s="12" t="s">
        <v>4795</v>
      </c>
      <c r="O3062" s="10" t="str">
        <f>HYPERLINK("https://pbs.twimg.com/profile_images/3502729434/95675e6f45ad2e1bbc6c5736995ec15c_normal.png","View")</f>
        <v>View</v>
      </c>
      <c r="P3062" s="11"/>
    </row>
    <row r="3063" spans="1:16" ht="12.75" x14ac:dyDescent="0.35">
      <c r="A3063" s="7">
        <v>42484.237777777773</v>
      </c>
      <c r="B3063" s="8" t="str">
        <f>HYPERLINK("https://twitter.com/colbytylerford","@colbytylerford")</f>
        <v>@colbytylerford</v>
      </c>
      <c r="C3063" s="9" t="s">
        <v>4800</v>
      </c>
      <c r="D3063" s="9" t="s">
        <v>5203</v>
      </c>
      <c r="E3063" s="10" t="str">
        <f>HYPERLINK("https://twitter.com/colbytylerford/status/724028179816562688","724028179816562688")</f>
        <v>724028179816562688</v>
      </c>
      <c r="F3063" s="11" t="s">
        <v>222</v>
      </c>
      <c r="G3063" s="11">
        <v>309</v>
      </c>
      <c r="H3063" s="11">
        <v>399</v>
      </c>
      <c r="I3063" s="11">
        <v>0</v>
      </c>
      <c r="J3063" s="11">
        <v>0</v>
      </c>
      <c r="K3063" s="11" t="s">
        <v>21</v>
      </c>
      <c r="L3063" s="7">
        <v>39863.294120370367</v>
      </c>
      <c r="M3063" s="12" t="s">
        <v>4794</v>
      </c>
      <c r="N3063" s="12" t="s">
        <v>4802</v>
      </c>
      <c r="O3063" s="10" t="str">
        <f>HYPERLINK("https://pbs.twimg.com/profile_images/588196149665865728/jmm9bQ6G_normal.jpg","View")</f>
        <v>View</v>
      </c>
      <c r="P3063" s="11"/>
    </row>
    <row r="3064" spans="1:16" ht="12.75" x14ac:dyDescent="0.35">
      <c r="A3064" s="7">
        <v>42484.240000000005</v>
      </c>
      <c r="B3064" s="8" t="str">
        <f>HYPERLINK("https://twitter.com/RealJoeGuy","@RealJoeGuy")</f>
        <v>@RealJoeGuy</v>
      </c>
      <c r="C3064" s="9" t="s">
        <v>4806</v>
      </c>
      <c r="D3064" s="9" t="s">
        <v>5204</v>
      </c>
      <c r="E3064" s="10" t="str">
        <f>HYPERLINK("https://twitter.com/RealJoeGuy/status/724028984745402369","724028984745402369")</f>
        <v>724028984745402369</v>
      </c>
      <c r="F3064" s="11" t="s">
        <v>222</v>
      </c>
      <c r="G3064" s="11">
        <v>150</v>
      </c>
      <c r="H3064" s="11">
        <v>141</v>
      </c>
      <c r="I3064" s="11">
        <v>0</v>
      </c>
      <c r="J3064" s="11">
        <v>0</v>
      </c>
      <c r="K3064" s="11" t="s">
        <v>21</v>
      </c>
      <c r="L3064" s="7">
        <v>40887.393495370372</v>
      </c>
      <c r="M3064" s="12" t="s">
        <v>4808</v>
      </c>
      <c r="N3064" s="12" t="s">
        <v>4809</v>
      </c>
      <c r="O3064" s="10" t="str">
        <f>HYPERLINK("https://pbs.twimg.com/profile_images/1684373225/Joe_Guy_normal.jpg","View")</f>
        <v>View</v>
      </c>
      <c r="P3064" s="11"/>
    </row>
    <row r="3065" spans="1:16" ht="12.75" x14ac:dyDescent="0.35">
      <c r="A3065" s="7">
        <v>42484.244722222225</v>
      </c>
      <c r="B3065" s="8" t="str">
        <f>HYPERLINK("https://twitter.com/Philip_W_Morris","@Philip_W_Morris")</f>
        <v>@Philip_W_Morris</v>
      </c>
      <c r="C3065" s="9" t="s">
        <v>4796</v>
      </c>
      <c r="D3065" s="9" t="s">
        <v>5205</v>
      </c>
      <c r="E3065" s="10" t="str">
        <f>HYPERLINK("https://twitter.com/Philip_W_Morris/status/724030694645751808","724030694645751808")</f>
        <v>724030694645751808</v>
      </c>
      <c r="F3065" s="11" t="s">
        <v>222</v>
      </c>
      <c r="G3065" s="11">
        <v>295</v>
      </c>
      <c r="H3065" s="11">
        <v>310</v>
      </c>
      <c r="I3065" s="11">
        <v>0</v>
      </c>
      <c r="J3065" s="11">
        <v>0</v>
      </c>
      <c r="K3065" s="11" t="s">
        <v>21</v>
      </c>
      <c r="L3065" s="7">
        <v>40372.030752314815</v>
      </c>
      <c r="M3065" s="12" t="s">
        <v>4798</v>
      </c>
      <c r="N3065" s="12" t="s">
        <v>4799</v>
      </c>
      <c r="O3065" s="10" t="str">
        <f>HYPERLINK("https://pbs.twimg.com/profile_images/688093545148723201/hCPglEEy_normal.jpg","View")</f>
        <v>View</v>
      </c>
      <c r="P3065" s="11"/>
    </row>
    <row r="3066" spans="1:16" ht="12.75" x14ac:dyDescent="0.35">
      <c r="A3066" s="7">
        <v>42484.252476851849</v>
      </c>
      <c r="B3066" s="8" t="str">
        <f>HYPERLINK("https://twitter.com/RIC_GRANAD0S","@RIC_GRANAD0S")</f>
        <v>@RIC_GRANAD0S</v>
      </c>
      <c r="C3066" s="9" t="s">
        <v>5206</v>
      </c>
      <c r="D3066" s="9" t="s">
        <v>436</v>
      </c>
      <c r="E3066" s="10" t="str">
        <f>HYPERLINK("https://twitter.com/RIC_GRANAD0S/status/724033507450707968","724033507450707968")</f>
        <v>724033507450707968</v>
      </c>
      <c r="F3066" s="11" t="s">
        <v>20</v>
      </c>
      <c r="G3066" s="11">
        <v>4</v>
      </c>
      <c r="H3066" s="11">
        <v>68</v>
      </c>
      <c r="I3066" s="11">
        <v>3</v>
      </c>
      <c r="J3066" s="11">
        <v>0</v>
      </c>
      <c r="K3066" s="11" t="s">
        <v>21</v>
      </c>
      <c r="L3066" s="7">
        <v>42481.863240740742</v>
      </c>
      <c r="M3066" s="12" t="s">
        <v>5207</v>
      </c>
      <c r="N3066" s="12" t="s">
        <v>5208</v>
      </c>
      <c r="O3066" s="10" t="str">
        <f>HYPERLINK("https://pbs.twimg.com/profile_images/723168530204483584/ps-VkHWy_normal.jpg","View")</f>
        <v>View</v>
      </c>
      <c r="P3066" s="11"/>
    </row>
    <row r="3067" spans="1:16" ht="12.75" x14ac:dyDescent="0.35">
      <c r="A3067" s="7">
        <v>42484.257986111115</v>
      </c>
      <c r="B3067" s="8" t="str">
        <f>HYPERLINK("https://twitter.com/MichaelMelzig","@MichaelMelzig")</f>
        <v>@MichaelMelzig</v>
      </c>
      <c r="C3067" s="9" t="s">
        <v>5209</v>
      </c>
      <c r="D3067" s="9" t="s">
        <v>4927</v>
      </c>
      <c r="E3067" s="10" t="str">
        <f>HYPERLINK("https://twitter.com/MichaelMelzig/status/724035500944834560","724035500944834560")</f>
        <v>724035500944834560</v>
      </c>
      <c r="F3067" s="11" t="s">
        <v>29</v>
      </c>
      <c r="G3067" s="11">
        <v>75</v>
      </c>
      <c r="H3067" s="11">
        <v>198</v>
      </c>
      <c r="I3067" s="11">
        <v>5</v>
      </c>
      <c r="J3067" s="11">
        <v>0</v>
      </c>
      <c r="K3067" s="11" t="s">
        <v>21</v>
      </c>
      <c r="L3067" s="7">
        <v>42416.278969907406</v>
      </c>
      <c r="M3067" s="12" t="s">
        <v>236</v>
      </c>
      <c r="N3067" s="12" t="s">
        <v>5210</v>
      </c>
      <c r="O3067" s="10" t="str">
        <f>HYPERLINK("https://pbs.twimg.com/profile_images/699403300773433344/3F0h5APj_normal.jpg","View")</f>
        <v>View</v>
      </c>
      <c r="P3067" s="11"/>
    </row>
    <row r="3068" spans="1:16" ht="12.75" x14ac:dyDescent="0.35">
      <c r="A3068" s="7">
        <v>42484.29519675926</v>
      </c>
      <c r="B3068" s="8" t="str">
        <f>HYPERLINK("https://twitter.com/MfgCareersInc","@MfgCareersInc")</f>
        <v>@MfgCareersInc</v>
      </c>
      <c r="C3068" s="9" t="s">
        <v>5211</v>
      </c>
      <c r="D3068" s="9" t="s">
        <v>5086</v>
      </c>
      <c r="E3068" s="10" t="str">
        <f>HYPERLINK("https://twitter.com/MfgCareersInc/status/724048989209939968","724048989209939968")</f>
        <v>724048989209939968</v>
      </c>
      <c r="F3068" s="11" t="s">
        <v>31</v>
      </c>
      <c r="G3068" s="11">
        <v>902</v>
      </c>
      <c r="H3068" s="11">
        <v>735</v>
      </c>
      <c r="I3068" s="11">
        <v>16</v>
      </c>
      <c r="J3068" s="11">
        <v>0</v>
      </c>
      <c r="K3068" s="11" t="s">
        <v>21</v>
      </c>
      <c r="L3068" s="7">
        <v>40854.098634259259</v>
      </c>
      <c r="M3068" s="12" t="s">
        <v>5212</v>
      </c>
      <c r="N3068" s="12" t="s">
        <v>5213</v>
      </c>
      <c r="O3068" s="10" t="str">
        <f>HYPERLINK("https://pbs.twimg.com/profile_images/716042512972918784/tuj4bcDD_normal.jpg","View")</f>
        <v>View</v>
      </c>
      <c r="P3068" s="11"/>
    </row>
    <row r="3069" spans="1:16" ht="12.75" x14ac:dyDescent="0.35">
      <c r="A3069" s="7">
        <v>42484.395844907413</v>
      </c>
      <c r="B3069" s="8" t="str">
        <f>HYPERLINK("https://twitter.com/quickfindseotip","@quickfindseotip")</f>
        <v>@quickfindseotip</v>
      </c>
      <c r="C3069" s="9" t="s">
        <v>453</v>
      </c>
      <c r="D3069" s="9" t="s">
        <v>3434</v>
      </c>
      <c r="E3069" s="10" t="str">
        <f>HYPERLINK("https://twitter.com/quickfindseotip/status/724085462516662272","724085462516662272")</f>
        <v>724085462516662272</v>
      </c>
      <c r="F3069" s="11" t="s">
        <v>455</v>
      </c>
      <c r="G3069" s="11">
        <v>1665</v>
      </c>
      <c r="H3069" s="11">
        <v>1698</v>
      </c>
      <c r="I3069" s="11">
        <v>0</v>
      </c>
      <c r="J3069" s="11">
        <v>0</v>
      </c>
      <c r="K3069" s="11" t="s">
        <v>21</v>
      </c>
      <c r="L3069" s="7">
        <v>42070.760324074072</v>
      </c>
      <c r="M3069" s="12" t="s">
        <v>456</v>
      </c>
      <c r="N3069" s="12" t="s">
        <v>457</v>
      </c>
      <c r="O3069" s="10" t="str">
        <f>HYPERLINK("https://pbs.twimg.com/profile_images/592208932988264449/bM2abhue_normal.png","View")</f>
        <v>View</v>
      </c>
      <c r="P3069" s="11"/>
    </row>
    <row r="3070" spans="1:16" ht="12.75" x14ac:dyDescent="0.35">
      <c r="A3070" s="7">
        <v>42484.41101851852</v>
      </c>
      <c r="B3070" s="8" t="str">
        <f>HYPERLINK("https://twitter.com/GhadaElAlfi","@GhadaElAlfi")</f>
        <v>@GhadaElAlfi</v>
      </c>
      <c r="C3070" s="9" t="s">
        <v>5214</v>
      </c>
      <c r="D3070" s="9" t="s">
        <v>5060</v>
      </c>
      <c r="E3070" s="10" t="str">
        <f>HYPERLINK("https://twitter.com/GhadaElAlfi/status/724090961903509504","724090961903509504")</f>
        <v>724090961903509504</v>
      </c>
      <c r="F3070" s="11" t="s">
        <v>31</v>
      </c>
      <c r="G3070" s="11">
        <v>9</v>
      </c>
      <c r="H3070" s="11">
        <v>44</v>
      </c>
      <c r="I3070" s="11">
        <v>8</v>
      </c>
      <c r="J3070" s="11">
        <v>0</v>
      </c>
      <c r="K3070" s="11" t="s">
        <v>21</v>
      </c>
      <c r="L3070" s="7">
        <v>40808.99050925926</v>
      </c>
      <c r="M3070" s="12"/>
      <c r="N3070" s="12"/>
      <c r="O3070" s="10" t="str">
        <f>HYPERLINK("https://abs.twimg.com/sticky/default_profile_images/default_profile_1_normal.png","View")</f>
        <v>View</v>
      </c>
      <c r="P3070" s="11"/>
    </row>
    <row r="3071" spans="1:16" ht="12.75" x14ac:dyDescent="0.35">
      <c r="A3071" s="7">
        <v>42484.412511574075</v>
      </c>
      <c r="B3071" s="8" t="str">
        <f>HYPERLINK("https://twitter.com/QuickFindsIn","@QuickFindsIn")</f>
        <v>@QuickFindsIn</v>
      </c>
      <c r="C3071" s="9" t="s">
        <v>208</v>
      </c>
      <c r="D3071" s="9" t="s">
        <v>733</v>
      </c>
      <c r="E3071" s="10" t="str">
        <f>HYPERLINK("https://twitter.com/QuickFindsIn/status/724091501748211713","724091501748211713")</f>
        <v>724091501748211713</v>
      </c>
      <c r="F3071" s="11" t="s">
        <v>210</v>
      </c>
      <c r="G3071" s="11">
        <v>2007</v>
      </c>
      <c r="H3071" s="11">
        <v>2873</v>
      </c>
      <c r="I3071" s="11">
        <v>0</v>
      </c>
      <c r="J3071" s="11">
        <v>0</v>
      </c>
      <c r="K3071" s="11" t="s">
        <v>21</v>
      </c>
      <c r="L3071" s="7">
        <v>42069.582048611112</v>
      </c>
      <c r="M3071" s="12" t="s">
        <v>211</v>
      </c>
      <c r="N3071" s="12" t="s">
        <v>212</v>
      </c>
      <c r="O3071" s="10" t="str">
        <f>HYPERLINK("https://pbs.twimg.com/profile_images/591951396217327616/HbcCX2zX_normal.png","View")</f>
        <v>View</v>
      </c>
      <c r="P3071" s="11"/>
    </row>
    <row r="3072" spans="1:16" ht="12.75" x14ac:dyDescent="0.35">
      <c r="A3072" s="7">
        <v>42484.451284722221</v>
      </c>
      <c r="B3072" s="8" t="str">
        <f t="shared" ref="B3072:B3073" si="396">HYPERLINK("https://twitter.com/MartinGaedt","@MartinGaedt")</f>
        <v>@MartinGaedt</v>
      </c>
      <c r="C3072" s="9" t="s">
        <v>1296</v>
      </c>
      <c r="D3072" s="9" t="s">
        <v>2219</v>
      </c>
      <c r="E3072" s="10" t="str">
        <f>HYPERLINK("https://twitter.com/MartinGaedt/status/724105552041807872","724105552041807872")</f>
        <v>724105552041807872</v>
      </c>
      <c r="F3072" s="11" t="s">
        <v>25</v>
      </c>
      <c r="G3072" s="11">
        <v>5379</v>
      </c>
      <c r="H3072" s="11">
        <v>5917</v>
      </c>
      <c r="I3072" s="11">
        <v>8</v>
      </c>
      <c r="J3072" s="11">
        <v>0</v>
      </c>
      <c r="K3072" s="11" t="s">
        <v>21</v>
      </c>
      <c r="L3072" s="7">
        <v>39938.908993055556</v>
      </c>
      <c r="M3072" s="12" t="s">
        <v>1297</v>
      </c>
      <c r="N3072" s="12" t="s">
        <v>1298</v>
      </c>
      <c r="O3072" s="10" t="str">
        <f t="shared" ref="O3072:O3073" si="397">HYPERLINK("https://pbs.twimg.com/profile_images/709444980553740288/Xds-Aan6_normal.jpg","View")</f>
        <v>View</v>
      </c>
      <c r="P3072" s="11"/>
    </row>
    <row r="3073" spans="1:16" ht="12.75" x14ac:dyDescent="0.35">
      <c r="A3073" s="7">
        <v>42484.451365740737</v>
      </c>
      <c r="B3073" s="8" t="str">
        <f t="shared" si="396"/>
        <v>@MartinGaedt</v>
      </c>
      <c r="C3073" s="9" t="s">
        <v>1296</v>
      </c>
      <c r="D3073" s="9" t="s">
        <v>4328</v>
      </c>
      <c r="E3073" s="10" t="str">
        <f>HYPERLINK("https://twitter.com/MartinGaedt/status/724105579988439040","724105579988439040")</f>
        <v>724105579988439040</v>
      </c>
      <c r="F3073" s="11" t="s">
        <v>25</v>
      </c>
      <c r="G3073" s="11">
        <v>5379</v>
      </c>
      <c r="H3073" s="11">
        <v>5917</v>
      </c>
      <c r="I3073" s="11">
        <v>10</v>
      </c>
      <c r="J3073" s="11">
        <v>0</v>
      </c>
      <c r="K3073" s="11" t="s">
        <v>21</v>
      </c>
      <c r="L3073" s="7">
        <v>39938.908993055556</v>
      </c>
      <c r="M3073" s="12" t="s">
        <v>1297</v>
      </c>
      <c r="N3073" s="12" t="s">
        <v>1298</v>
      </c>
      <c r="O3073" s="10" t="str">
        <f t="shared" si="397"/>
        <v>View</v>
      </c>
      <c r="P3073" s="11"/>
    </row>
    <row r="3074" spans="1:16" ht="12.75" x14ac:dyDescent="0.35">
      <c r="A3074" s="7">
        <v>42484.453599537039</v>
      </c>
      <c r="B3074" s="8" t="str">
        <f>HYPERLINK("https://twitter.com/INDIZbot","@INDIZbot")</f>
        <v>@INDIZbot</v>
      </c>
      <c r="C3074" s="9" t="s">
        <v>61</v>
      </c>
      <c r="D3074" s="9" t="s">
        <v>4328</v>
      </c>
      <c r="E3074" s="10" t="str">
        <f>HYPERLINK("https://twitter.com/INDIZbot/status/724106389837221888","724106389837221888")</f>
        <v>724106389837221888</v>
      </c>
      <c r="F3074" s="11" t="s">
        <v>62</v>
      </c>
      <c r="G3074" s="11">
        <v>1779</v>
      </c>
      <c r="H3074" s="11">
        <v>482</v>
      </c>
      <c r="I3074" s="11">
        <v>10</v>
      </c>
      <c r="J3074" s="11">
        <v>0</v>
      </c>
      <c r="K3074" s="11" t="s">
        <v>21</v>
      </c>
      <c r="L3074" s="7">
        <v>42267.011921296296</v>
      </c>
      <c r="M3074" s="12"/>
      <c r="N3074" s="12" t="s">
        <v>63</v>
      </c>
      <c r="O3074" s="10" t="str">
        <f>HYPERLINK("https://pbs.twimg.com/profile_images/645716711723925506/t5G0qOS6_normal.jpg","View")</f>
        <v>View</v>
      </c>
      <c r="P3074" s="11"/>
    </row>
    <row r="3075" spans="1:16" ht="12.75" x14ac:dyDescent="0.35">
      <c r="A3075" s="7">
        <v>42484.482118055559</v>
      </c>
      <c r="B3075" s="8" t="str">
        <f>HYPERLINK("https://twitter.com/Balluff","@Balluff")</f>
        <v>@Balluff</v>
      </c>
      <c r="C3075" s="9" t="s">
        <v>357</v>
      </c>
      <c r="D3075" s="9" t="s">
        <v>4328</v>
      </c>
      <c r="E3075" s="10" t="str">
        <f>HYPERLINK("https://twitter.com/Balluff/status/724116726326153216","724116726326153216")</f>
        <v>724116726326153216</v>
      </c>
      <c r="F3075" s="11" t="s">
        <v>39</v>
      </c>
      <c r="G3075" s="11">
        <v>1549</v>
      </c>
      <c r="H3075" s="11">
        <v>447</v>
      </c>
      <c r="I3075" s="11">
        <v>11</v>
      </c>
      <c r="J3075" s="11">
        <v>0</v>
      </c>
      <c r="K3075" s="11" t="s">
        <v>21</v>
      </c>
      <c r="L3075" s="7">
        <v>39842.576643518521</v>
      </c>
      <c r="M3075" s="12" t="s">
        <v>359</v>
      </c>
      <c r="N3075" s="12" t="s">
        <v>360</v>
      </c>
      <c r="O3075" s="10" t="str">
        <f>HYPERLINK("https://pbs.twimg.com/profile_images/663668561366245376/2ovYiiJf_normal.jpg","View")</f>
        <v>View</v>
      </c>
      <c r="P3075" s="11"/>
    </row>
    <row r="3076" spans="1:16" ht="12.75" x14ac:dyDescent="0.35">
      <c r="A3076" s="7">
        <v>42484.482673611114</v>
      </c>
      <c r="B3076" s="8" t="str">
        <f>HYPERLINK("https://twitter.com/power4berlin","@power4berlin")</f>
        <v>@power4berlin</v>
      </c>
      <c r="C3076" s="9" t="s">
        <v>5215</v>
      </c>
      <c r="D3076" s="9" t="s">
        <v>5086</v>
      </c>
      <c r="E3076" s="10" t="str">
        <f>HYPERLINK("https://twitter.com/power4berlin/status/724116925274566656","724116925274566656")</f>
        <v>724116925274566656</v>
      </c>
      <c r="F3076" s="11" t="s">
        <v>29</v>
      </c>
      <c r="G3076" s="11">
        <v>20</v>
      </c>
      <c r="H3076" s="11">
        <v>49</v>
      </c>
      <c r="I3076" s="11">
        <v>17</v>
      </c>
      <c r="J3076" s="11">
        <v>0</v>
      </c>
      <c r="K3076" s="11" t="s">
        <v>21</v>
      </c>
      <c r="L3076" s="7">
        <v>42031.42800925926</v>
      </c>
      <c r="M3076" s="12" t="s">
        <v>218</v>
      </c>
      <c r="N3076" s="12" t="s">
        <v>5216</v>
      </c>
      <c r="O3076" s="10" t="str">
        <f>HYPERLINK("https://pbs.twimg.com/profile_images/624872193743290368/WmNWpnpN_normal.jpg","View")</f>
        <v>View</v>
      </c>
      <c r="P3076" s="11"/>
    </row>
    <row r="3077" spans="1:16" ht="12.75" x14ac:dyDescent="0.35">
      <c r="A3077" s="7">
        <v>42484.495138888888</v>
      </c>
      <c r="B3077" s="8" t="str">
        <f>HYPERLINK("https://twitter.com/Angela_Josephs","@Angela_Josephs")</f>
        <v>@Angela_Josephs</v>
      </c>
      <c r="C3077" s="9" t="s">
        <v>1612</v>
      </c>
      <c r="D3077" s="9" t="s">
        <v>5158</v>
      </c>
      <c r="E3077" s="10" t="str">
        <f>HYPERLINK("https://twitter.com/Angela_Josephs/status/724121445308215297","724121445308215297")</f>
        <v>724121445308215297</v>
      </c>
      <c r="F3077" s="11" t="s">
        <v>31</v>
      </c>
      <c r="G3077" s="11">
        <v>174</v>
      </c>
      <c r="H3077" s="11">
        <v>83</v>
      </c>
      <c r="I3077" s="11">
        <v>2</v>
      </c>
      <c r="J3077" s="11">
        <v>0</v>
      </c>
      <c r="K3077" s="11" t="s">
        <v>21</v>
      </c>
      <c r="L3077" s="7">
        <v>41954.653541666667</v>
      </c>
      <c r="M3077" s="12" t="s">
        <v>1273</v>
      </c>
      <c r="N3077" s="12" t="s">
        <v>1614</v>
      </c>
      <c r="O3077" s="10" t="str">
        <f>HYPERLINK("https://pbs.twimg.com/profile_images/649572788148285440/Sxl5vTa3_normal.jpg","View")</f>
        <v>View</v>
      </c>
      <c r="P3077" s="11"/>
    </row>
    <row r="3078" spans="1:16" ht="12.75" x14ac:dyDescent="0.35">
      <c r="A3078" s="7">
        <v>42484.500520833331</v>
      </c>
      <c r="B3078" s="8" t="str">
        <f>HYPERLINK("https://twitter.com/David__DaSilva","@David__DaSilva")</f>
        <v>@David__DaSilva</v>
      </c>
      <c r="C3078" s="9" t="s">
        <v>5217</v>
      </c>
      <c r="D3078" s="9" t="s">
        <v>5060</v>
      </c>
      <c r="E3078" s="10" t="str">
        <f>HYPERLINK("https://twitter.com/David__DaSilva/status/724123394132840448","724123394132840448")</f>
        <v>724123394132840448</v>
      </c>
      <c r="F3078" s="11" t="s">
        <v>84</v>
      </c>
      <c r="G3078" s="11">
        <v>24</v>
      </c>
      <c r="H3078" s="11">
        <v>130</v>
      </c>
      <c r="I3078" s="11">
        <v>9</v>
      </c>
      <c r="J3078" s="11">
        <v>0</v>
      </c>
      <c r="K3078" s="11" t="s">
        <v>21</v>
      </c>
      <c r="L3078" s="7">
        <v>40034.061909722222</v>
      </c>
      <c r="M3078" s="12" t="s">
        <v>88</v>
      </c>
      <c r="N3078" s="12"/>
      <c r="O3078" s="10" t="str">
        <f>HYPERLINK("https://pbs.twimg.com/profile_images/690464337526394880/dGzfOiEx_normal.jpg","View")</f>
        <v>View</v>
      </c>
      <c r="P3078" s="11"/>
    </row>
    <row r="3079" spans="1:16" ht="12.75" x14ac:dyDescent="0.35">
      <c r="A3079" s="7">
        <v>42484.500798611116</v>
      </c>
      <c r="B3079" s="8" t="str">
        <f>HYPERLINK("https://twitter.com/INDIZbot","@INDIZbot")</f>
        <v>@INDIZbot</v>
      </c>
      <c r="C3079" s="9" t="s">
        <v>61</v>
      </c>
      <c r="D3079" s="9" t="s">
        <v>5158</v>
      </c>
      <c r="E3079" s="10" t="str">
        <f>HYPERLINK("https://twitter.com/INDIZbot/status/724123494372528128","724123494372528128")</f>
        <v>724123494372528128</v>
      </c>
      <c r="F3079" s="11" t="s">
        <v>62</v>
      </c>
      <c r="G3079" s="11">
        <v>1779</v>
      </c>
      <c r="H3079" s="11">
        <v>482</v>
      </c>
      <c r="I3079" s="11">
        <v>3</v>
      </c>
      <c r="J3079" s="11">
        <v>0</v>
      </c>
      <c r="K3079" s="11" t="s">
        <v>21</v>
      </c>
      <c r="L3079" s="7">
        <v>42267.011921296296</v>
      </c>
      <c r="M3079" s="12"/>
      <c r="N3079" s="12" t="s">
        <v>63</v>
      </c>
      <c r="O3079" s="10" t="str">
        <f>HYPERLINK("https://pbs.twimg.com/profile_images/645716711723925506/t5G0qOS6_normal.jpg","View")</f>
        <v>View</v>
      </c>
      <c r="P3079" s="11"/>
    </row>
    <row r="3080" spans="1:16" ht="12.75" x14ac:dyDescent="0.35">
      <c r="A3080" s="7">
        <v>42484.511400462958</v>
      </c>
      <c r="B3080" s="8" t="str">
        <f>HYPERLINK("https://twitter.com/DoreenJacobi1","@DoreenJacobi1")</f>
        <v>@DoreenJacobi1</v>
      </c>
      <c r="C3080" s="9" t="s">
        <v>2708</v>
      </c>
      <c r="D3080" s="9" t="s">
        <v>4933</v>
      </c>
      <c r="E3080" s="10" t="str">
        <f>HYPERLINK("https://twitter.com/DoreenJacobi1/status/724127338305302528","724127338305302528")</f>
        <v>724127338305302528</v>
      </c>
      <c r="F3080" s="11" t="s">
        <v>31</v>
      </c>
      <c r="G3080" s="11">
        <v>1151</v>
      </c>
      <c r="H3080" s="11">
        <v>1822</v>
      </c>
      <c r="I3080" s="11">
        <v>6</v>
      </c>
      <c r="J3080" s="11">
        <v>0</v>
      </c>
      <c r="K3080" s="11" t="s">
        <v>21</v>
      </c>
      <c r="L3080" s="7">
        <v>41767.873749999999</v>
      </c>
      <c r="M3080" s="12" t="s">
        <v>2710</v>
      </c>
      <c r="N3080" s="12" t="s">
        <v>2711</v>
      </c>
      <c r="O3080" s="10" t="str">
        <f>HYPERLINK("https://pbs.twimg.com/profile_images/477208957602119680/8QlGcAVc_normal.jpeg","View")</f>
        <v>View</v>
      </c>
      <c r="P3080" s="11"/>
    </row>
    <row r="3081" spans="1:16" ht="12.75" x14ac:dyDescent="0.35">
      <c r="A3081" s="7">
        <v>42484.513113425928</v>
      </c>
      <c r="B3081" s="8" t="str">
        <f>HYPERLINK("https://twitter.com/kosubk","@kosubk")</f>
        <v>@kosubk</v>
      </c>
      <c r="C3081" s="9" t="s">
        <v>5218</v>
      </c>
      <c r="D3081" s="9" t="s">
        <v>5219</v>
      </c>
      <c r="E3081" s="10" t="str">
        <f>HYPERLINK("https://twitter.com/kosubk/status/724127959326531584","724127959326531584")</f>
        <v>724127959326531584</v>
      </c>
      <c r="F3081" s="11" t="s">
        <v>31</v>
      </c>
      <c r="G3081" s="11">
        <v>15</v>
      </c>
      <c r="H3081" s="11">
        <v>80</v>
      </c>
      <c r="I3081" s="11">
        <v>0</v>
      </c>
      <c r="J3081" s="11">
        <v>0</v>
      </c>
      <c r="K3081" s="11" t="s">
        <v>21</v>
      </c>
      <c r="L3081" s="7">
        <v>40152.037453703706</v>
      </c>
      <c r="M3081" s="12" t="s">
        <v>5220</v>
      </c>
      <c r="N3081" s="12" t="s">
        <v>5221</v>
      </c>
      <c r="O3081" s="10" t="str">
        <f>HYPERLINK("https://pbs.twimg.com/profile_images/686576920461488130/S-nUCu2W_normal.png","View")</f>
        <v>View</v>
      </c>
      <c r="P3081" s="11"/>
    </row>
    <row r="3082" spans="1:16" ht="12.75" x14ac:dyDescent="0.35">
      <c r="A3082" s="7">
        <v>42484.515138888892</v>
      </c>
      <c r="B3082" s="8" t="str">
        <f>HYPERLINK("https://twitter.com/INDIZbot","@INDIZbot")</f>
        <v>@INDIZbot</v>
      </c>
      <c r="C3082" s="9" t="s">
        <v>61</v>
      </c>
      <c r="D3082" s="9" t="s">
        <v>4933</v>
      </c>
      <c r="E3082" s="10" t="str">
        <f>HYPERLINK("https://twitter.com/INDIZbot/status/724128691186442240","724128691186442240")</f>
        <v>724128691186442240</v>
      </c>
      <c r="F3082" s="11" t="s">
        <v>62</v>
      </c>
      <c r="G3082" s="11">
        <v>1778</v>
      </c>
      <c r="H3082" s="11">
        <v>482</v>
      </c>
      <c r="I3082" s="11">
        <v>6</v>
      </c>
      <c r="J3082" s="11">
        <v>0</v>
      </c>
      <c r="K3082" s="11" t="s">
        <v>21</v>
      </c>
      <c r="L3082" s="7">
        <v>42267.011921296296</v>
      </c>
      <c r="M3082" s="12"/>
      <c r="N3082" s="12" t="s">
        <v>63</v>
      </c>
      <c r="O3082" s="10" t="str">
        <f>HYPERLINK("https://pbs.twimg.com/profile_images/645716711723925506/t5G0qOS6_normal.jpg","View")</f>
        <v>View</v>
      </c>
      <c r="P3082" s="11"/>
    </row>
    <row r="3083" spans="1:16" ht="12.75" x14ac:dyDescent="0.35">
      <c r="A3083" s="7">
        <v>42484.519803240742</v>
      </c>
      <c r="B3083" s="8" t="str">
        <f>HYPERLINK("https://twitter.com/tecomschweiz","@tecomschweiz")</f>
        <v>@tecomschweiz</v>
      </c>
      <c r="C3083" s="9" t="s">
        <v>5222</v>
      </c>
      <c r="D3083" s="9" t="s">
        <v>5223</v>
      </c>
      <c r="E3083" s="10" t="str">
        <f>HYPERLINK("https://twitter.com/tecomschweiz/status/724130382434734081","724130382434734081")</f>
        <v>724130382434734081</v>
      </c>
      <c r="F3083" s="11" t="s">
        <v>31</v>
      </c>
      <c r="G3083" s="11">
        <v>222</v>
      </c>
      <c r="H3083" s="11">
        <v>113</v>
      </c>
      <c r="I3083" s="11">
        <v>1</v>
      </c>
      <c r="J3083" s="11">
        <v>0</v>
      </c>
      <c r="K3083" s="11" t="s">
        <v>21</v>
      </c>
      <c r="L3083" s="7">
        <v>40087.628206018519</v>
      </c>
      <c r="M3083" s="12" t="s">
        <v>3950</v>
      </c>
      <c r="N3083" s="12" t="s">
        <v>5224</v>
      </c>
      <c r="O3083" s="10" t="str">
        <f>HYPERLINK("https://pbs.twimg.com/profile_images/715293247459966976/SBJUyfDj_normal.jpg","View")</f>
        <v>View</v>
      </c>
      <c r="P3083" s="11"/>
    </row>
    <row r="3084" spans="1:16" ht="12.75" x14ac:dyDescent="0.35">
      <c r="A3084" s="7">
        <v>42484.521631944444</v>
      </c>
      <c r="B3084" s="8" t="str">
        <f>HYPERLINK("https://twitter.com/INDIZbot","@INDIZbot")</f>
        <v>@INDIZbot</v>
      </c>
      <c r="C3084" s="9" t="s">
        <v>61</v>
      </c>
      <c r="D3084" s="9" t="s">
        <v>5223</v>
      </c>
      <c r="E3084" s="10" t="str">
        <f>HYPERLINK("https://twitter.com/INDIZbot/status/724131044170014722","724131044170014722")</f>
        <v>724131044170014722</v>
      </c>
      <c r="F3084" s="11" t="s">
        <v>62</v>
      </c>
      <c r="G3084" s="11">
        <v>1778</v>
      </c>
      <c r="H3084" s="11">
        <v>482</v>
      </c>
      <c r="I3084" s="11">
        <v>2</v>
      </c>
      <c r="J3084" s="11">
        <v>0</v>
      </c>
      <c r="K3084" s="11" t="s">
        <v>21</v>
      </c>
      <c r="L3084" s="7">
        <v>42267.011921296296</v>
      </c>
      <c r="M3084" s="12"/>
      <c r="N3084" s="12" t="s">
        <v>63</v>
      </c>
      <c r="O3084" s="10" t="str">
        <f>HYPERLINK("https://pbs.twimg.com/profile_images/645716711723925506/t5G0qOS6_normal.jpg","View")</f>
        <v>View</v>
      </c>
      <c r="P3084" s="11"/>
    </row>
    <row r="3085" spans="1:16" ht="12.75" x14ac:dyDescent="0.35">
      <c r="A3085" s="7">
        <v>42484.52443287037</v>
      </c>
      <c r="B3085" s="8" t="str">
        <f>HYPERLINK("https://twitter.com/knowhowag","@knowhowag")</f>
        <v>@knowhowag</v>
      </c>
      <c r="C3085" s="9" t="s">
        <v>5225</v>
      </c>
      <c r="D3085" s="9" t="s">
        <v>5226</v>
      </c>
      <c r="E3085" s="10" t="str">
        <f>HYPERLINK("https://twitter.com/knowhowag/status/724132060709969921","724132060709969921")</f>
        <v>724132060709969921</v>
      </c>
      <c r="F3085" s="11" t="s">
        <v>39</v>
      </c>
      <c r="G3085" s="11">
        <v>1115</v>
      </c>
      <c r="H3085" s="11">
        <v>910</v>
      </c>
      <c r="I3085" s="11">
        <v>1</v>
      </c>
      <c r="J3085" s="11">
        <v>0</v>
      </c>
      <c r="K3085" s="11" t="s">
        <v>21</v>
      </c>
      <c r="L3085" s="7">
        <v>40249.823530092595</v>
      </c>
      <c r="M3085" s="12" t="s">
        <v>5227</v>
      </c>
      <c r="N3085" s="12" t="s">
        <v>5228</v>
      </c>
      <c r="O3085" s="10" t="str">
        <f>HYPERLINK("https://pbs.twimg.com/profile_images/378800000109288008/2974a4a19e33d0106f232f48d87756ef_normal.jpeg","View")</f>
        <v>View</v>
      </c>
      <c r="P3085" s="11"/>
    </row>
    <row r="3086" spans="1:16" ht="12.75" x14ac:dyDescent="0.35">
      <c r="A3086" s="7">
        <v>42484.525138888886</v>
      </c>
      <c r="B3086" s="8" t="str">
        <f>HYPERLINK("https://twitter.com/kommoptimierer","@kommoptimierer")</f>
        <v>@kommoptimierer</v>
      </c>
      <c r="C3086" s="9" t="s">
        <v>270</v>
      </c>
      <c r="D3086" s="9" t="s">
        <v>5229</v>
      </c>
      <c r="E3086" s="10" t="str">
        <f>HYPERLINK("https://twitter.com/kommoptimierer/status/724132315698483200","724132315698483200")</f>
        <v>724132315698483200</v>
      </c>
      <c r="F3086" s="11" t="s">
        <v>31</v>
      </c>
      <c r="G3086" s="11">
        <v>1348</v>
      </c>
      <c r="H3086" s="11">
        <v>1754</v>
      </c>
      <c r="I3086" s="11">
        <v>1</v>
      </c>
      <c r="J3086" s="11">
        <v>1</v>
      </c>
      <c r="K3086" s="11" t="s">
        <v>21</v>
      </c>
      <c r="L3086" s="7">
        <v>39986.860358796301</v>
      </c>
      <c r="M3086" s="12" t="s">
        <v>273</v>
      </c>
      <c r="N3086" s="12" t="s">
        <v>274</v>
      </c>
      <c r="O3086" s="10" t="str">
        <f>HYPERLINK("https://pbs.twimg.com/profile_images/541146126158536704/IYardufS_normal.jpeg","View")</f>
        <v>View</v>
      </c>
      <c r="P3086" s="11"/>
    </row>
    <row r="3087" spans="1:16" ht="12.75" x14ac:dyDescent="0.35">
      <c r="A3087" s="7">
        <v>42484.52857638889</v>
      </c>
      <c r="B3087" s="8" t="str">
        <f t="shared" ref="B3087:B3088" si="398">HYPERLINK("https://twitter.com/INDIZbot","@INDIZbot")</f>
        <v>@INDIZbot</v>
      </c>
      <c r="C3087" s="9" t="s">
        <v>61</v>
      </c>
      <c r="D3087" s="9" t="s">
        <v>5230</v>
      </c>
      <c r="E3087" s="10" t="str">
        <f>HYPERLINK("https://twitter.com/INDIZbot/status/724133561998147584","724133561998147584")</f>
        <v>724133561998147584</v>
      </c>
      <c r="F3087" s="11" t="s">
        <v>62</v>
      </c>
      <c r="G3087" s="11">
        <v>1778</v>
      </c>
      <c r="H3087" s="11">
        <v>482</v>
      </c>
      <c r="I3087" s="11">
        <v>1</v>
      </c>
      <c r="J3087" s="11">
        <v>0</v>
      </c>
      <c r="K3087" s="11" t="s">
        <v>21</v>
      </c>
      <c r="L3087" s="7">
        <v>42267.011921296296</v>
      </c>
      <c r="M3087" s="12"/>
      <c r="N3087" s="12" t="s">
        <v>63</v>
      </c>
      <c r="O3087" s="10" t="str">
        <f t="shared" ref="O3087:O3088" si="399">HYPERLINK("https://pbs.twimg.com/profile_images/645716711723925506/t5G0qOS6_normal.jpg","View")</f>
        <v>View</v>
      </c>
      <c r="P3087" s="11"/>
    </row>
    <row r="3088" spans="1:16" ht="12.75" x14ac:dyDescent="0.35">
      <c r="A3088" s="7">
        <v>42484.528935185182</v>
      </c>
      <c r="B3088" s="8" t="str">
        <f t="shared" si="398"/>
        <v>@INDIZbot</v>
      </c>
      <c r="C3088" s="9" t="s">
        <v>61</v>
      </c>
      <c r="D3088" s="9" t="s">
        <v>5231</v>
      </c>
      <c r="E3088" s="10" t="str">
        <f>HYPERLINK("https://twitter.com/INDIZbot/status/724133692327731200","724133692327731200")</f>
        <v>724133692327731200</v>
      </c>
      <c r="F3088" s="11" t="s">
        <v>62</v>
      </c>
      <c r="G3088" s="11">
        <v>1778</v>
      </c>
      <c r="H3088" s="11">
        <v>482</v>
      </c>
      <c r="I3088" s="11">
        <v>1</v>
      </c>
      <c r="J3088" s="11">
        <v>0</v>
      </c>
      <c r="K3088" s="11" t="s">
        <v>21</v>
      </c>
      <c r="L3088" s="7">
        <v>42267.011921296296</v>
      </c>
      <c r="M3088" s="12"/>
      <c r="N3088" s="12" t="s">
        <v>63</v>
      </c>
      <c r="O3088" s="10" t="str">
        <f t="shared" si="399"/>
        <v>View</v>
      </c>
      <c r="P3088" s="11"/>
    </row>
    <row r="3089" spans="1:16" ht="12.75" x14ac:dyDescent="0.35">
      <c r="A3089" s="7">
        <v>42484.534444444449</v>
      </c>
      <c r="B3089" s="8" t="str">
        <f>HYPERLINK("https://twitter.com/derdawoso","@derdawoso")</f>
        <v>@derdawoso</v>
      </c>
      <c r="C3089" s="9" t="s">
        <v>5232</v>
      </c>
      <c r="D3089" s="9" t="s">
        <v>5233</v>
      </c>
      <c r="E3089" s="10" t="str">
        <f>HYPERLINK("https://twitter.com/derdawoso/status/724135686421536768","724135686421536768")</f>
        <v>724135686421536768</v>
      </c>
      <c r="F3089" s="11" t="s">
        <v>20</v>
      </c>
      <c r="G3089" s="11">
        <v>2</v>
      </c>
      <c r="H3089" s="11">
        <v>48</v>
      </c>
      <c r="I3089" s="11">
        <v>1</v>
      </c>
      <c r="J3089" s="11">
        <v>0</v>
      </c>
      <c r="K3089" s="11" t="s">
        <v>21</v>
      </c>
      <c r="L3089" s="7">
        <v>41809.461261574077</v>
      </c>
      <c r="M3089" s="12"/>
      <c r="N3089" s="12" t="s">
        <v>5234</v>
      </c>
      <c r="O3089" s="10" t="str">
        <f>HYPERLINK("https://pbs.twimg.com/profile_images/722146752057487360/wkdN1AEV_normal.jpg","View")</f>
        <v>View</v>
      </c>
      <c r="P3089" s="11"/>
    </row>
    <row r="3090" spans="1:16" ht="12.75" x14ac:dyDescent="0.35">
      <c r="A3090" s="7">
        <v>42484.535520833335</v>
      </c>
      <c r="B3090" s="8" t="str">
        <f>HYPERLINK("https://twitter.com/INDIZbot","@INDIZbot")</f>
        <v>@INDIZbot</v>
      </c>
      <c r="C3090" s="9" t="s">
        <v>61</v>
      </c>
      <c r="D3090" s="9" t="s">
        <v>5235</v>
      </c>
      <c r="E3090" s="10" t="str">
        <f>HYPERLINK("https://twitter.com/INDIZbot/status/724136077649387520","724136077649387520")</f>
        <v>724136077649387520</v>
      </c>
      <c r="F3090" s="11" t="s">
        <v>62</v>
      </c>
      <c r="G3090" s="11">
        <v>1778</v>
      </c>
      <c r="H3090" s="11">
        <v>482</v>
      </c>
      <c r="I3090" s="11">
        <v>1</v>
      </c>
      <c r="J3090" s="11">
        <v>0</v>
      </c>
      <c r="K3090" s="11" t="s">
        <v>21</v>
      </c>
      <c r="L3090" s="7">
        <v>42267.011921296296</v>
      </c>
      <c r="M3090" s="12"/>
      <c r="N3090" s="12" t="s">
        <v>63</v>
      </c>
      <c r="O3090" s="10" t="str">
        <f>HYPERLINK("https://pbs.twimg.com/profile_images/645716711723925506/t5G0qOS6_normal.jpg","View")</f>
        <v>View</v>
      </c>
      <c r="P3090" s="11"/>
    </row>
    <row r="3091" spans="1:16" ht="12.75" x14ac:dyDescent="0.35">
      <c r="A3091" s="7">
        <v>42484.541666666672</v>
      </c>
      <c r="B3091" s="8" t="str">
        <f>HYPERLINK("https://twitter.com/sas_d","@sas_d")</f>
        <v>@sas_d</v>
      </c>
      <c r="C3091" s="9" t="s">
        <v>5236</v>
      </c>
      <c r="D3091" s="9" t="s">
        <v>5237</v>
      </c>
      <c r="E3091" s="10" t="str">
        <f>HYPERLINK("https://twitter.com/sas_d/status/724138305147813888","724138305147813888")</f>
        <v>724138305147813888</v>
      </c>
      <c r="F3091" s="11" t="s">
        <v>1111</v>
      </c>
      <c r="G3091" s="11">
        <v>2749</v>
      </c>
      <c r="H3091" s="11">
        <v>1190</v>
      </c>
      <c r="I3091" s="11">
        <v>0</v>
      </c>
      <c r="J3091" s="11">
        <v>0</v>
      </c>
      <c r="K3091" s="11" t="s">
        <v>21</v>
      </c>
      <c r="L3091" s="7">
        <v>40080.555972222224</v>
      </c>
      <c r="M3091" s="12" t="s">
        <v>121</v>
      </c>
      <c r="N3091" s="12" t="s">
        <v>5238</v>
      </c>
      <c r="O3091" s="10" t="str">
        <f>HYPERLINK("https://pbs.twimg.com/profile_images/722718227646803968/HVM2dokU_normal.jpg","View")</f>
        <v>View</v>
      </c>
      <c r="P3091" s="11"/>
    </row>
    <row r="3092" spans="1:16" ht="12.75" x14ac:dyDescent="0.35">
      <c r="A3092" s="7">
        <v>42484.542476851857</v>
      </c>
      <c r="B3092" s="8" t="str">
        <f>HYPERLINK("https://twitter.com/INDIZbot","@INDIZbot")</f>
        <v>@INDIZbot</v>
      </c>
      <c r="C3092" s="9" t="s">
        <v>61</v>
      </c>
      <c r="D3092" s="9" t="s">
        <v>5239</v>
      </c>
      <c r="E3092" s="10" t="str">
        <f>HYPERLINK("https://twitter.com/INDIZbot/status/724138597188808705","724138597188808705")</f>
        <v>724138597188808705</v>
      </c>
      <c r="F3092" s="11" t="s">
        <v>62</v>
      </c>
      <c r="G3092" s="11">
        <v>1778</v>
      </c>
      <c r="H3092" s="11">
        <v>482</v>
      </c>
      <c r="I3092" s="11">
        <v>1</v>
      </c>
      <c r="J3092" s="11">
        <v>0</v>
      </c>
      <c r="K3092" s="11" t="s">
        <v>21</v>
      </c>
      <c r="L3092" s="7">
        <v>42267.011921296296</v>
      </c>
      <c r="M3092" s="12"/>
      <c r="N3092" s="12" t="s">
        <v>63</v>
      </c>
      <c r="O3092" s="10" t="str">
        <f>HYPERLINK("https://pbs.twimg.com/profile_images/645716711723925506/t5G0qOS6_normal.jpg","View")</f>
        <v>View</v>
      </c>
      <c r="P3092" s="11"/>
    </row>
    <row r="3093" spans="1:16" ht="12.75" x14ac:dyDescent="0.35">
      <c r="A3093" s="7">
        <v>42484.545393518521</v>
      </c>
      <c r="B3093" s="8" t="str">
        <f>HYPERLINK("https://twitter.com/ClaudiaFeusi","@ClaudiaFeusi")</f>
        <v>@ClaudiaFeusi</v>
      </c>
      <c r="C3093" s="9" t="s">
        <v>2050</v>
      </c>
      <c r="D3093" s="9" t="s">
        <v>2924</v>
      </c>
      <c r="E3093" s="10" t="str">
        <f>HYPERLINK("https://twitter.com/ClaudiaFeusi/status/724139656690950144","724139656690950144")</f>
        <v>724139656690950144</v>
      </c>
      <c r="F3093" s="11" t="s">
        <v>31</v>
      </c>
      <c r="G3093" s="11">
        <v>30</v>
      </c>
      <c r="H3093" s="11">
        <v>69</v>
      </c>
      <c r="I3093" s="11">
        <v>4</v>
      </c>
      <c r="J3093" s="11">
        <v>0</v>
      </c>
      <c r="K3093" s="11" t="s">
        <v>21</v>
      </c>
      <c r="L3093" s="7">
        <v>40329.624108796299</v>
      </c>
      <c r="M3093" s="12" t="s">
        <v>2051</v>
      </c>
      <c r="N3093" s="12" t="s">
        <v>2052</v>
      </c>
      <c r="O3093" s="10" t="str">
        <f>HYPERLINK("https://pbs.twimg.com/profile_images/647154695891496960/SRHGbk0s_normal.jpg","View")</f>
        <v>View</v>
      </c>
      <c r="P3093" s="11"/>
    </row>
    <row r="3094" spans="1:16" ht="12.75" x14ac:dyDescent="0.35">
      <c r="A3094" s="7">
        <v>42484.555706018524</v>
      </c>
      <c r="B3094" s="8" t="str">
        <f>HYPERLINK("https://twitter.com/reanvent","@reanvent")</f>
        <v>@reanvent</v>
      </c>
      <c r="C3094" s="9" t="s">
        <v>1630</v>
      </c>
      <c r="D3094" s="9" t="s">
        <v>5240</v>
      </c>
      <c r="E3094" s="10" t="str">
        <f>HYPERLINK("https://twitter.com/reanvent/status/724143392012251137","724143392012251137")</f>
        <v>724143392012251137</v>
      </c>
      <c r="F3094" s="11" t="s">
        <v>39</v>
      </c>
      <c r="G3094" s="11">
        <v>45</v>
      </c>
      <c r="H3094" s="11">
        <v>73</v>
      </c>
      <c r="I3094" s="11">
        <v>1</v>
      </c>
      <c r="J3094" s="11">
        <v>0</v>
      </c>
      <c r="K3094" s="11" t="s">
        <v>21</v>
      </c>
      <c r="L3094" s="7">
        <v>41114.744502314818</v>
      </c>
      <c r="M3094" s="12" t="s">
        <v>121</v>
      </c>
      <c r="N3094" s="12" t="s">
        <v>1632</v>
      </c>
      <c r="O3094" s="10" t="str">
        <f>HYPERLINK("https://pbs.twimg.com/profile_images/698748740811821056/qse_j83N_normal.jpg","View")</f>
        <v>View</v>
      </c>
      <c r="P3094" s="11"/>
    </row>
    <row r="3095" spans="1:16" ht="12.75" x14ac:dyDescent="0.35">
      <c r="A3095" s="7">
        <v>42484.55636574074</v>
      </c>
      <c r="B3095" s="8" t="str">
        <f>HYPERLINK("https://twitter.com/INDIZbot","@INDIZbot")</f>
        <v>@INDIZbot</v>
      </c>
      <c r="C3095" s="9" t="s">
        <v>61</v>
      </c>
      <c r="D3095" s="9" t="s">
        <v>5241</v>
      </c>
      <c r="E3095" s="10" t="str">
        <f>HYPERLINK("https://twitter.com/INDIZbot/status/724143633167949824","724143633167949824")</f>
        <v>724143633167949824</v>
      </c>
      <c r="F3095" s="11" t="s">
        <v>62</v>
      </c>
      <c r="G3095" s="11">
        <v>1778</v>
      </c>
      <c r="H3095" s="11">
        <v>482</v>
      </c>
      <c r="I3095" s="11">
        <v>1</v>
      </c>
      <c r="J3095" s="11">
        <v>0</v>
      </c>
      <c r="K3095" s="11" t="s">
        <v>21</v>
      </c>
      <c r="L3095" s="7">
        <v>42267.011921296296</v>
      </c>
      <c r="M3095" s="12"/>
      <c r="N3095" s="12" t="s">
        <v>63</v>
      </c>
      <c r="O3095" s="10" t="str">
        <f>HYPERLINK("https://pbs.twimg.com/profile_images/645716711723925506/t5G0qOS6_normal.jpg","View")</f>
        <v>View</v>
      </c>
      <c r="P3095" s="11"/>
    </row>
    <row r="3096" spans="1:16" ht="12.75" x14ac:dyDescent="0.35">
      <c r="A3096" s="7">
        <v>42484.563043981485</v>
      </c>
      <c r="B3096" s="8" t="str">
        <f>HYPERLINK("https://twitter.com/KUKA_RoboticsDE","@KUKA_RoboticsDE")</f>
        <v>@KUKA_RoboticsDE</v>
      </c>
      <c r="C3096" s="9" t="s">
        <v>4495</v>
      </c>
      <c r="D3096" s="9" t="s">
        <v>5242</v>
      </c>
      <c r="E3096" s="10" t="str">
        <f>HYPERLINK("https://twitter.com/KUKA_RoboticsDE/status/724146054044758016","724146054044758016")</f>
        <v>724146054044758016</v>
      </c>
      <c r="F3096" s="11" t="s">
        <v>39</v>
      </c>
      <c r="G3096" s="11">
        <v>4571</v>
      </c>
      <c r="H3096" s="11">
        <v>284</v>
      </c>
      <c r="I3096" s="11">
        <v>2</v>
      </c>
      <c r="J3096" s="11">
        <v>1</v>
      </c>
      <c r="K3096" s="11" t="s">
        <v>21</v>
      </c>
      <c r="L3096" s="7">
        <v>40114.864803240736</v>
      </c>
      <c r="M3096" s="12" t="s">
        <v>102</v>
      </c>
      <c r="N3096" s="12" t="s">
        <v>4497</v>
      </c>
      <c r="O3096" s="10" t="str">
        <f>HYPERLINK("https://pbs.twimg.com/profile_images/704767814406643712/VcnCdfke_normal.jpg","View")</f>
        <v>View</v>
      </c>
      <c r="P3096" s="11"/>
    </row>
    <row r="3097" spans="1:16" ht="12.75" x14ac:dyDescent="0.35">
      <c r="A3097" s="7">
        <v>42484.563159722224</v>
      </c>
      <c r="B3097" s="8" t="str">
        <f>HYPERLINK("https://twitter.com/konsultwerk","@konsultwerk")</f>
        <v>@konsultwerk</v>
      </c>
      <c r="C3097" s="9" t="s">
        <v>3176</v>
      </c>
      <c r="D3097" s="9" t="s">
        <v>5243</v>
      </c>
      <c r="E3097" s="10" t="str">
        <f>HYPERLINK("https://twitter.com/konsultwerk/status/724146095929065472","724146095929065472")</f>
        <v>724146095929065472</v>
      </c>
      <c r="F3097" s="11" t="s">
        <v>39</v>
      </c>
      <c r="G3097" s="11">
        <v>36</v>
      </c>
      <c r="H3097" s="11">
        <v>60</v>
      </c>
      <c r="I3097" s="11">
        <v>1</v>
      </c>
      <c r="J3097" s="11">
        <v>0</v>
      </c>
      <c r="K3097" s="11" t="s">
        <v>21</v>
      </c>
      <c r="L3097" s="7">
        <v>39979.91646990741</v>
      </c>
      <c r="M3097" s="12" t="s">
        <v>1148</v>
      </c>
      <c r="N3097" s="12" t="s">
        <v>3178</v>
      </c>
      <c r="O3097" s="10" t="str">
        <f>HYPERLINK("https://pbs.twimg.com/profile_images/1539645084/FB-KWlogo.004_normal.png","View")</f>
        <v>View</v>
      </c>
      <c r="P3097" s="11"/>
    </row>
    <row r="3098" spans="1:16" ht="12.75" x14ac:dyDescent="0.35">
      <c r="A3098" s="7">
        <v>42484.563252314816</v>
      </c>
      <c r="B3098" s="8" t="str">
        <f>HYPERLINK("https://twitter.com/TUslaender","@TUslaender")</f>
        <v>@TUslaender</v>
      </c>
      <c r="C3098" s="9" t="s">
        <v>679</v>
      </c>
      <c r="D3098" s="9" t="s">
        <v>5244</v>
      </c>
      <c r="E3098" s="10" t="str">
        <f>HYPERLINK("https://twitter.com/TUslaender/status/724146127193432064","724146127193432064")</f>
        <v>724146127193432064</v>
      </c>
      <c r="F3098" s="11" t="s">
        <v>25</v>
      </c>
      <c r="G3098" s="11">
        <v>32</v>
      </c>
      <c r="H3098" s="11">
        <v>22</v>
      </c>
      <c r="I3098" s="11">
        <v>0</v>
      </c>
      <c r="J3098" s="11">
        <v>0</v>
      </c>
      <c r="K3098" s="11" t="s">
        <v>21</v>
      </c>
      <c r="L3098" s="7">
        <v>41372.877152777779</v>
      </c>
      <c r="M3098" s="12"/>
      <c r="N3098" s="12"/>
      <c r="O3098" s="10" t="str">
        <f>HYPERLINK("https://pbs.twimg.com/profile_images/504569405494161410/4CpoyfPM_normal.jpeg","View")</f>
        <v>View</v>
      </c>
      <c r="P3098" s="11"/>
    </row>
    <row r="3099" spans="1:16" ht="12.75" x14ac:dyDescent="0.35">
      <c r="A3099" s="7">
        <v>42484.567719907413</v>
      </c>
      <c r="B3099" s="8" t="str">
        <f>HYPERLINK("https://twitter.com/5t0ll1","@5t0ll1")</f>
        <v>@5t0ll1</v>
      </c>
      <c r="C3099" s="9" t="s">
        <v>5245</v>
      </c>
      <c r="D3099" s="9" t="s">
        <v>5246</v>
      </c>
      <c r="E3099" s="10" t="str">
        <f>HYPERLINK("https://twitter.com/5t0ll1/status/724147747541127168","724147747541127168")</f>
        <v>724147747541127168</v>
      </c>
      <c r="F3099" s="11" t="s">
        <v>1491</v>
      </c>
      <c r="G3099" s="11">
        <v>9</v>
      </c>
      <c r="H3099" s="11">
        <v>38</v>
      </c>
      <c r="I3099" s="11">
        <v>2</v>
      </c>
      <c r="J3099" s="11">
        <v>0</v>
      </c>
      <c r="K3099" s="11" t="s">
        <v>21</v>
      </c>
      <c r="L3099" s="7">
        <v>42303.102546296301</v>
      </c>
      <c r="M3099" s="12"/>
      <c r="N3099" s="12"/>
      <c r="O3099" s="10" t="str">
        <f>HYPERLINK("https://pbs.twimg.com/profile_images/659449984572641280/UPBR3or__normal.jpg","View")</f>
        <v>View</v>
      </c>
      <c r="P3099" s="11"/>
    </row>
    <row r="3100" spans="1:16" ht="12.75" x14ac:dyDescent="0.35">
      <c r="A3100" s="7">
        <v>42484.570636574077</v>
      </c>
      <c r="B3100" s="8" t="str">
        <f t="shared" ref="B3100:B3101" si="400">HYPERLINK("https://twitter.com/INDIZbot","@INDIZbot")</f>
        <v>@INDIZbot</v>
      </c>
      <c r="C3100" s="9" t="s">
        <v>61</v>
      </c>
      <c r="D3100" s="9" t="s">
        <v>5246</v>
      </c>
      <c r="E3100" s="10" t="str">
        <f>HYPERLINK("https://twitter.com/INDIZbot/status/724148801699762178","724148801699762178")</f>
        <v>724148801699762178</v>
      </c>
      <c r="F3100" s="11" t="s">
        <v>62</v>
      </c>
      <c r="G3100" s="11">
        <v>1779</v>
      </c>
      <c r="H3100" s="11">
        <v>482</v>
      </c>
      <c r="I3100" s="11">
        <v>2</v>
      </c>
      <c r="J3100" s="11">
        <v>0</v>
      </c>
      <c r="K3100" s="11" t="s">
        <v>21</v>
      </c>
      <c r="L3100" s="7">
        <v>42267.011921296296</v>
      </c>
      <c r="M3100" s="12"/>
      <c r="N3100" s="12" t="s">
        <v>63</v>
      </c>
      <c r="O3100" s="10" t="str">
        <f t="shared" ref="O3100:O3101" si="401">HYPERLINK("https://pbs.twimg.com/profile_images/645716711723925506/t5G0qOS6_normal.jpg","View")</f>
        <v>View</v>
      </c>
      <c r="P3100" s="11"/>
    </row>
    <row r="3101" spans="1:16" ht="12.75" x14ac:dyDescent="0.35">
      <c r="A3101" s="7">
        <v>42484.570879629631</v>
      </c>
      <c r="B3101" s="8" t="str">
        <f t="shared" si="400"/>
        <v>@INDIZbot</v>
      </c>
      <c r="C3101" s="9" t="s">
        <v>61</v>
      </c>
      <c r="D3101" s="9" t="s">
        <v>5247</v>
      </c>
      <c r="E3101" s="10" t="str">
        <f>HYPERLINK("https://twitter.com/INDIZbot/status/724148891873107969","724148891873107969")</f>
        <v>724148891873107969</v>
      </c>
      <c r="F3101" s="11" t="s">
        <v>62</v>
      </c>
      <c r="G3101" s="11">
        <v>1779</v>
      </c>
      <c r="H3101" s="11">
        <v>482</v>
      </c>
      <c r="I3101" s="11">
        <v>1</v>
      </c>
      <c r="J3101" s="11">
        <v>0</v>
      </c>
      <c r="K3101" s="11" t="s">
        <v>21</v>
      </c>
      <c r="L3101" s="7">
        <v>42267.011921296296</v>
      </c>
      <c r="M3101" s="12"/>
      <c r="N3101" s="12" t="s">
        <v>63</v>
      </c>
      <c r="O3101" s="10" t="str">
        <f t="shared" si="401"/>
        <v>View</v>
      </c>
      <c r="P3101" s="11"/>
    </row>
    <row r="3102" spans="1:16" ht="12.75" x14ac:dyDescent="0.35">
      <c r="A3102" s="7">
        <v>42484.57309027778</v>
      </c>
      <c r="B3102" s="8" t="str">
        <f>HYPERLINK("https://twitter.com/GTAI_com","@GTAI_com")</f>
        <v>@GTAI_com</v>
      </c>
      <c r="C3102" s="9" t="s">
        <v>3393</v>
      </c>
      <c r="D3102" s="9" t="s">
        <v>5248</v>
      </c>
      <c r="E3102" s="10" t="str">
        <f>HYPERLINK("https://twitter.com/GTAI_com/status/724149693396205568","724149693396205568")</f>
        <v>724149693396205568</v>
      </c>
      <c r="F3102" s="11" t="s">
        <v>39</v>
      </c>
      <c r="G3102" s="11">
        <v>6149</v>
      </c>
      <c r="H3102" s="11">
        <v>518</v>
      </c>
      <c r="I3102" s="11">
        <v>0</v>
      </c>
      <c r="J3102" s="11">
        <v>0</v>
      </c>
      <c r="K3102" s="11" t="s">
        <v>21</v>
      </c>
      <c r="L3102" s="7">
        <v>40855.83326388889</v>
      </c>
      <c r="M3102" s="12" t="s">
        <v>218</v>
      </c>
      <c r="N3102" s="12" t="s">
        <v>3395</v>
      </c>
      <c r="O3102" s="10" t="str">
        <f>HYPERLINK("https://pbs.twimg.com/profile_images/716977461079179268/JVN5NZO8_normal.jpg","View")</f>
        <v>View</v>
      </c>
      <c r="P3102" s="11"/>
    </row>
    <row r="3103" spans="1:16" ht="12.75" x14ac:dyDescent="0.35">
      <c r="A3103" s="7">
        <v>42484.586145833338</v>
      </c>
      <c r="B3103" s="8" t="str">
        <f>HYPERLINK("https://twitter.com/cybus_io","@cybus_io")</f>
        <v>@cybus_io</v>
      </c>
      <c r="C3103" s="9" t="s">
        <v>4609</v>
      </c>
      <c r="D3103" s="9" t="s">
        <v>5160</v>
      </c>
      <c r="E3103" s="10" t="str">
        <f>HYPERLINK("https://twitter.com/cybus_io/status/724154423073738752","724154423073738752")</f>
        <v>724154423073738752</v>
      </c>
      <c r="F3103" s="11" t="s">
        <v>31</v>
      </c>
      <c r="G3103" s="11">
        <v>173</v>
      </c>
      <c r="H3103" s="11">
        <v>108</v>
      </c>
      <c r="I3103" s="11">
        <v>5</v>
      </c>
      <c r="J3103" s="11">
        <v>0</v>
      </c>
      <c r="K3103" s="11" t="s">
        <v>21</v>
      </c>
      <c r="L3103" s="7">
        <v>41892.725914351853</v>
      </c>
      <c r="M3103" s="12" t="s">
        <v>549</v>
      </c>
      <c r="N3103" s="12" t="s">
        <v>4611</v>
      </c>
      <c r="O3103" s="10" t="str">
        <f>HYPERLINK("https://pbs.twimg.com/profile_images/673122571731251200/Rcblg7bz_normal.png","View")</f>
        <v>View</v>
      </c>
      <c r="P3103" s="11"/>
    </row>
    <row r="3104" spans="1:16" ht="12.75" x14ac:dyDescent="0.35">
      <c r="A3104" s="7">
        <v>42484.589826388888</v>
      </c>
      <c r="B3104" s="8" t="str">
        <f>HYPERLINK("https://twitter.com/drwissing","@drwissing")</f>
        <v>@drwissing</v>
      </c>
      <c r="C3104" s="9" t="s">
        <v>5249</v>
      </c>
      <c r="D3104" s="9" t="s">
        <v>4689</v>
      </c>
      <c r="E3104" s="10" t="str">
        <f>HYPERLINK("https://twitter.com/drwissing/status/724155757751635968","724155757751635968")</f>
        <v>724155757751635968</v>
      </c>
      <c r="F3104" s="11" t="s">
        <v>31</v>
      </c>
      <c r="G3104" s="11">
        <v>28</v>
      </c>
      <c r="H3104" s="11">
        <v>131</v>
      </c>
      <c r="I3104" s="11">
        <v>2</v>
      </c>
      <c r="J3104" s="11">
        <v>0</v>
      </c>
      <c r="K3104" s="11" t="s">
        <v>21</v>
      </c>
      <c r="L3104" s="7">
        <v>42330.596122685187</v>
      </c>
      <c r="M3104" s="12" t="s">
        <v>116</v>
      </c>
      <c r="N3104" s="12" t="s">
        <v>5250</v>
      </c>
      <c r="O3104" s="10" t="str">
        <f>HYPERLINK("https://pbs.twimg.com/profile_images/668353815469555712/KWTVVgWw_normal.jpg","View")</f>
        <v>View</v>
      </c>
      <c r="P3104" s="11"/>
    </row>
    <row r="3105" spans="1:16" ht="12.75" x14ac:dyDescent="0.35">
      <c r="A3105" s="7">
        <v>42484.590289351851</v>
      </c>
      <c r="B3105" s="8" t="str">
        <f>HYPERLINK("https://twitter.com/kommoptimierer","@kommoptimierer")</f>
        <v>@kommoptimierer</v>
      </c>
      <c r="C3105" s="9" t="s">
        <v>270</v>
      </c>
      <c r="D3105" s="9" t="s">
        <v>684</v>
      </c>
      <c r="E3105" s="10" t="str">
        <f>HYPERLINK("https://twitter.com/kommoptimierer/status/724155927511838720","724155927511838720")</f>
        <v>724155927511838720</v>
      </c>
      <c r="F3105" s="11" t="s">
        <v>272</v>
      </c>
      <c r="G3105" s="11">
        <v>1348</v>
      </c>
      <c r="H3105" s="11">
        <v>1754</v>
      </c>
      <c r="I3105" s="11">
        <v>0</v>
      </c>
      <c r="J3105" s="11">
        <v>0</v>
      </c>
      <c r="K3105" s="11" t="s">
        <v>21</v>
      </c>
      <c r="L3105" s="7">
        <v>39986.860358796301</v>
      </c>
      <c r="M3105" s="12" t="s">
        <v>273</v>
      </c>
      <c r="N3105" s="12" t="s">
        <v>274</v>
      </c>
      <c r="O3105" s="10" t="str">
        <f>HYPERLINK("https://pbs.twimg.com/profile_images/541146126158536704/IYardufS_normal.jpeg","View")</f>
        <v>View</v>
      </c>
      <c r="P3105" s="11"/>
    </row>
    <row r="3106" spans="1:16" ht="12.75" x14ac:dyDescent="0.35">
      <c r="A3106" s="7">
        <v>42484.59438657407</v>
      </c>
      <c r="B3106" s="8" t="str">
        <f>HYPERLINK("https://twitter.com/induux_de","@induux_de")</f>
        <v>@induux_de</v>
      </c>
      <c r="C3106" s="9" t="s">
        <v>349</v>
      </c>
      <c r="D3106" s="9" t="s">
        <v>5246</v>
      </c>
      <c r="E3106" s="10" t="str">
        <f>HYPERLINK("https://twitter.com/induux_de/status/724157408826810368","724157408826810368")</f>
        <v>724157408826810368</v>
      </c>
      <c r="F3106" s="11" t="s">
        <v>31</v>
      </c>
      <c r="G3106" s="11">
        <v>1754</v>
      </c>
      <c r="H3106" s="11">
        <v>2360</v>
      </c>
      <c r="I3106" s="11">
        <v>3</v>
      </c>
      <c r="J3106" s="11">
        <v>0</v>
      </c>
      <c r="K3106" s="11" t="s">
        <v>21</v>
      </c>
      <c r="L3106" s="7">
        <v>40222.837696759263</v>
      </c>
      <c r="M3106" s="12" t="s">
        <v>351</v>
      </c>
      <c r="N3106" s="12" t="s">
        <v>352</v>
      </c>
      <c r="O3106" s="10" t="str">
        <f>HYPERLINK("https://pbs.twimg.com/profile_images/455629070454116352/ujZ3h7Ww_normal.png","View")</f>
        <v>View</v>
      </c>
      <c r="P3106" s="11"/>
    </row>
    <row r="3107" spans="1:16" ht="12.75" x14ac:dyDescent="0.35">
      <c r="A3107" s="7">
        <v>42484.596064814818</v>
      </c>
      <c r="B3107" s="8" t="str">
        <f>HYPERLINK("https://twitter.com/JeffRConnolly","@JeffRConnolly")</f>
        <v>@JeffRConnolly</v>
      </c>
      <c r="C3107" s="9" t="s">
        <v>1459</v>
      </c>
      <c r="D3107" s="9" t="s">
        <v>4345</v>
      </c>
      <c r="E3107" s="10" t="str">
        <f>HYPERLINK("https://twitter.com/JeffRConnolly/status/724158020154855426","724158020154855426")</f>
        <v>724158020154855426</v>
      </c>
      <c r="F3107" s="11" t="s">
        <v>31</v>
      </c>
      <c r="G3107" s="11">
        <v>492</v>
      </c>
      <c r="H3107" s="11">
        <v>220</v>
      </c>
      <c r="I3107" s="11">
        <v>12</v>
      </c>
      <c r="J3107" s="11">
        <v>0</v>
      </c>
      <c r="K3107" s="11" t="s">
        <v>21</v>
      </c>
      <c r="L3107" s="7">
        <v>41680.69259259259</v>
      </c>
      <c r="M3107" s="12" t="s">
        <v>1461</v>
      </c>
      <c r="N3107" s="12" t="s">
        <v>1462</v>
      </c>
      <c r="O3107" s="10" t="str">
        <f>HYPERLINK("https://pbs.twimg.com/profile_images/444069537869094912/Oh8ZB7sl_normal.jpeg","View")</f>
        <v>View</v>
      </c>
      <c r="P3107" s="11"/>
    </row>
    <row r="3108" spans="1:16" ht="12.75" x14ac:dyDescent="0.35">
      <c r="A3108" s="7">
        <v>42484.596608796295</v>
      </c>
      <c r="B3108" s="8" t="str">
        <f>HYPERLINK("https://twitter.com/SlavisaTavic","@SlavisaTavic")</f>
        <v>@SlavisaTavic</v>
      </c>
      <c r="C3108" s="9" t="s">
        <v>5251</v>
      </c>
      <c r="D3108" s="9" t="s">
        <v>5252</v>
      </c>
      <c r="E3108" s="10" t="str">
        <f>HYPERLINK("https://twitter.com/SlavisaTavic/status/724158215697608704","724158215697608704")</f>
        <v>724158215697608704</v>
      </c>
      <c r="F3108" s="11" t="s">
        <v>25</v>
      </c>
      <c r="G3108" s="11">
        <v>1080</v>
      </c>
      <c r="H3108" s="11">
        <v>4986</v>
      </c>
      <c r="I3108" s="11">
        <v>5</v>
      </c>
      <c r="J3108" s="11">
        <v>0</v>
      </c>
      <c r="K3108" s="11" t="s">
        <v>21</v>
      </c>
      <c r="L3108" s="7">
        <v>42367.031469907408</v>
      </c>
      <c r="M3108" s="12" t="s">
        <v>5253</v>
      </c>
      <c r="N3108" s="12" t="s">
        <v>5254</v>
      </c>
      <c r="O3108" s="10" t="str">
        <f>HYPERLINK("https://pbs.twimg.com/profile_images/681554816389279744/ZcdsVGAl_normal.jpg","View")</f>
        <v>View</v>
      </c>
      <c r="P3108" s="11"/>
    </row>
    <row r="3109" spans="1:16" ht="12.75" x14ac:dyDescent="0.35">
      <c r="A3109" s="7">
        <v>42484.604317129633</v>
      </c>
      <c r="B3109" s="8" t="str">
        <f>HYPERLINK("https://twitter.com/verlinked","@verlinked")</f>
        <v>@verlinked</v>
      </c>
      <c r="C3109" s="9" t="s">
        <v>263</v>
      </c>
      <c r="D3109" s="9" t="s">
        <v>5255</v>
      </c>
      <c r="E3109" s="10" t="str">
        <f>HYPERLINK("https://twitter.com/verlinked/status/724161010827857921","724161010827857921")</f>
        <v>724161010827857921</v>
      </c>
      <c r="F3109" s="11" t="s">
        <v>115</v>
      </c>
      <c r="G3109" s="11">
        <v>606</v>
      </c>
      <c r="H3109" s="11">
        <v>1203</v>
      </c>
      <c r="I3109" s="11">
        <v>0</v>
      </c>
      <c r="J3109" s="11">
        <v>0</v>
      </c>
      <c r="K3109" s="11" t="s">
        <v>21</v>
      </c>
      <c r="L3109" s="7">
        <v>41463.077627314815</v>
      </c>
      <c r="M3109" s="12" t="s">
        <v>265</v>
      </c>
      <c r="N3109" s="12" t="s">
        <v>266</v>
      </c>
      <c r="O3109" s="10" t="str">
        <f>HYPERLINK("https://pbs.twimg.com/profile_images/722385992343285760/ww8YLZ2q_normal.jpg","View")</f>
        <v>View</v>
      </c>
      <c r="P3109" s="11"/>
    </row>
    <row r="3110" spans="1:16" ht="12.75" x14ac:dyDescent="0.35">
      <c r="A3110" s="7">
        <v>42484.604456018518</v>
      </c>
      <c r="B3110" s="8" t="str">
        <f>HYPERLINK("https://twitter.com/karelcrombach","@karelcrombach")</f>
        <v>@karelcrombach</v>
      </c>
      <c r="C3110" s="9" t="s">
        <v>5192</v>
      </c>
      <c r="D3110" s="9" t="s">
        <v>5256</v>
      </c>
      <c r="E3110" s="10" t="str">
        <f>HYPERLINK("https://twitter.com/karelcrombach/status/724161058148106240","724161058148106240")</f>
        <v>724161058148106240</v>
      </c>
      <c r="F3110" s="11" t="s">
        <v>1491</v>
      </c>
      <c r="G3110" s="11">
        <v>72</v>
      </c>
      <c r="H3110" s="11">
        <v>66</v>
      </c>
      <c r="I3110" s="11">
        <v>1</v>
      </c>
      <c r="J3110" s="11">
        <v>0</v>
      </c>
      <c r="K3110" s="11" t="s">
        <v>21</v>
      </c>
      <c r="L3110" s="7">
        <v>40010.75141203704</v>
      </c>
      <c r="M3110" s="12" t="s">
        <v>5194</v>
      </c>
      <c r="N3110" s="12" t="s">
        <v>5195</v>
      </c>
      <c r="O3110" s="10" t="str">
        <f>HYPERLINK("https://pbs.twimg.com/profile_images/3382064129/c8704527a56747df8e78cc48e86c3d9d_normal.jpeg","View")</f>
        <v>View</v>
      </c>
      <c r="P3110" s="11"/>
    </row>
    <row r="3111" spans="1:16" ht="12.75" x14ac:dyDescent="0.35">
      <c r="A3111" s="7">
        <v>42484.605798611112</v>
      </c>
      <c r="B3111" s="8" t="str">
        <f>HYPERLINK("https://twitter.com/indiameetsurope","@indiameetsurope")</f>
        <v>@indiameetsurope</v>
      </c>
      <c r="C3111" s="9" t="s">
        <v>5257</v>
      </c>
      <c r="D3111" s="9" t="s">
        <v>5258</v>
      </c>
      <c r="E3111" s="10" t="str">
        <f>HYPERLINK("https://twitter.com/indiameetsurope/status/724161545664663552","724161545664663552")</f>
        <v>724161545664663552</v>
      </c>
      <c r="F3111" s="11" t="s">
        <v>20</v>
      </c>
      <c r="G3111" s="11">
        <v>131</v>
      </c>
      <c r="H3111" s="11">
        <v>464</v>
      </c>
      <c r="I3111" s="11">
        <v>1</v>
      </c>
      <c r="J3111" s="11">
        <v>0</v>
      </c>
      <c r="K3111" s="11" t="s">
        <v>21</v>
      </c>
      <c r="L3111" s="7">
        <v>41177.113240740742</v>
      </c>
      <c r="M3111" s="12" t="s">
        <v>5259</v>
      </c>
      <c r="N3111" s="12" t="s">
        <v>5260</v>
      </c>
      <c r="O3111" s="10" t="str">
        <f>HYPERLINK("https://pbs.twimg.com/profile_images/378800000106302626/31311e4d113bdaef750ff4784f301c13_normal.jpeg","View")</f>
        <v>View</v>
      </c>
      <c r="P3111" s="11"/>
    </row>
    <row r="3112" spans="1:16" ht="12.75" x14ac:dyDescent="0.35">
      <c r="A3112" s="7">
        <v>42484.612118055556</v>
      </c>
      <c r="B3112" s="8" t="str">
        <f>HYPERLINK("https://twitter.com/INDIZbot","@INDIZbot")</f>
        <v>@INDIZbot</v>
      </c>
      <c r="C3112" s="9" t="s">
        <v>61</v>
      </c>
      <c r="D3112" s="9" t="s">
        <v>5261</v>
      </c>
      <c r="E3112" s="10" t="str">
        <f>HYPERLINK("https://twitter.com/INDIZbot/status/724163837268754432","724163837268754432")</f>
        <v>724163837268754432</v>
      </c>
      <c r="F3112" s="11" t="s">
        <v>62</v>
      </c>
      <c r="G3112" s="11">
        <v>1779</v>
      </c>
      <c r="H3112" s="11">
        <v>482</v>
      </c>
      <c r="I3112" s="11">
        <v>1</v>
      </c>
      <c r="J3112" s="11">
        <v>0</v>
      </c>
      <c r="K3112" s="11" t="s">
        <v>21</v>
      </c>
      <c r="L3112" s="7">
        <v>42267.011921296296</v>
      </c>
      <c r="M3112" s="12"/>
      <c r="N3112" s="12" t="s">
        <v>63</v>
      </c>
      <c r="O3112" s="10" t="str">
        <f>HYPERLINK("https://pbs.twimg.com/profile_images/645716711723925506/t5G0qOS6_normal.jpg","View")</f>
        <v>View</v>
      </c>
      <c r="P3112" s="11"/>
    </row>
    <row r="3113" spans="1:16" ht="12.75" x14ac:dyDescent="0.35">
      <c r="A3113" s="7">
        <v>42484.615069444444</v>
      </c>
      <c r="B3113" s="8" t="str">
        <f>HYPERLINK("https://twitter.com/HGelis","@HGelis")</f>
        <v>@HGelis</v>
      </c>
      <c r="C3113" s="9" t="s">
        <v>5262</v>
      </c>
      <c r="D3113" s="9" t="s">
        <v>4345</v>
      </c>
      <c r="E3113" s="10" t="str">
        <f>HYPERLINK("https://twitter.com/HGelis/status/724164906585608192","724164906585608192")</f>
        <v>724164906585608192</v>
      </c>
      <c r="F3113" s="11" t="s">
        <v>20</v>
      </c>
      <c r="G3113" s="11">
        <v>1828</v>
      </c>
      <c r="H3113" s="11">
        <v>39</v>
      </c>
      <c r="I3113" s="11">
        <v>13</v>
      </c>
      <c r="J3113" s="11">
        <v>0</v>
      </c>
      <c r="K3113" s="11" t="s">
        <v>21</v>
      </c>
      <c r="L3113" s="7">
        <v>40560.456550925926</v>
      </c>
      <c r="M3113" s="12" t="s">
        <v>5263</v>
      </c>
      <c r="N3113" s="12" t="s">
        <v>5264</v>
      </c>
      <c r="O3113" s="10" t="str">
        <f>HYPERLINK("https://pbs.twimg.com/profile_images/378800000513916505/dee0d0a076c3dc398742830ffa73e849_normal.jpeg","View")</f>
        <v>View</v>
      </c>
      <c r="P3113" s="11"/>
    </row>
    <row r="3114" spans="1:16" ht="12.75" x14ac:dyDescent="0.35">
      <c r="A3114" s="7">
        <v>42484.627129629633</v>
      </c>
      <c r="B3114" s="8" t="str">
        <f>HYPERLINK("https://twitter.com/Bitkom_I40","@Bitkom_I40")</f>
        <v>@Bitkom_I40</v>
      </c>
      <c r="C3114" s="9" t="s">
        <v>1857</v>
      </c>
      <c r="D3114" s="9" t="s">
        <v>5265</v>
      </c>
      <c r="E3114" s="10" t="str">
        <f>HYPERLINK("https://twitter.com/Bitkom_I40/status/724169277603864579","724169277603864579")</f>
        <v>724169277603864579</v>
      </c>
      <c r="F3114" s="11" t="s">
        <v>115</v>
      </c>
      <c r="G3114" s="11">
        <v>766</v>
      </c>
      <c r="H3114" s="11">
        <v>44</v>
      </c>
      <c r="I3114" s="11">
        <v>2</v>
      </c>
      <c r="J3114" s="11">
        <v>1</v>
      </c>
      <c r="K3114" s="11" t="s">
        <v>21</v>
      </c>
      <c r="L3114" s="7">
        <v>41613.773194444446</v>
      </c>
      <c r="M3114" s="12" t="s">
        <v>218</v>
      </c>
      <c r="N3114" s="12" t="s">
        <v>1860</v>
      </c>
      <c r="O3114" s="10" t="str">
        <f>HYPERLINK("https://pbs.twimg.com/profile_images/723407487395713024/0hZv7R8S_normal.jpg","View")</f>
        <v>View</v>
      </c>
      <c r="P3114" s="11"/>
    </row>
    <row r="3115" spans="1:16" ht="12.75" x14ac:dyDescent="0.35">
      <c r="A3115" s="7">
        <v>42484.631770833337</v>
      </c>
      <c r="B3115" s="8" t="str">
        <f>HYPERLINK("https://twitter.com/IFCEBERT","@IFCEBERT")</f>
        <v>@IFCEBERT</v>
      </c>
      <c r="C3115" s="9" t="s">
        <v>5266</v>
      </c>
      <c r="D3115" s="9" t="s">
        <v>5231</v>
      </c>
      <c r="E3115" s="10" t="str">
        <f>HYPERLINK("https://twitter.com/IFCEBERT/status/724170959670906880","724170959670906880")</f>
        <v>724170959670906880</v>
      </c>
      <c r="F3115" s="11" t="s">
        <v>25</v>
      </c>
      <c r="G3115" s="11">
        <v>145</v>
      </c>
      <c r="H3115" s="11">
        <v>151</v>
      </c>
      <c r="I3115" s="11">
        <v>2</v>
      </c>
      <c r="J3115" s="11">
        <v>0</v>
      </c>
      <c r="K3115" s="11" t="s">
        <v>21</v>
      </c>
      <c r="L3115" s="7">
        <v>39995.910324074073</v>
      </c>
      <c r="M3115" s="12" t="s">
        <v>5267</v>
      </c>
      <c r="N3115" s="12" t="s">
        <v>5268</v>
      </c>
      <c r="O3115" s="10" t="str">
        <f>HYPERLINK("https://pbs.twimg.com/profile_images/378800000250647928/75cc085472c8fd6d2d0ba41fbcffe479_normal.jpeg","View")</f>
        <v>View</v>
      </c>
      <c r="P3115" s="11"/>
    </row>
    <row r="3116" spans="1:16" ht="12.75" x14ac:dyDescent="0.35">
      <c r="A3116" s="7">
        <v>42484.632662037038</v>
      </c>
      <c r="B3116" s="8" t="str">
        <f>HYPERLINK("https://twitter.com/BigDataTweetBot","@BigDataTweetBot")</f>
        <v>@BigDataTweetBot</v>
      </c>
      <c r="C3116" s="9" t="s">
        <v>1660</v>
      </c>
      <c r="D3116" s="9" t="s">
        <v>5269</v>
      </c>
      <c r="E3116" s="10" t="str">
        <f>HYPERLINK("https://twitter.com/BigDataTweetBot/status/724171282699440128","724171282699440128")</f>
        <v>724171282699440128</v>
      </c>
      <c r="F3116" s="11" t="s">
        <v>1662</v>
      </c>
      <c r="G3116" s="11">
        <v>11422</v>
      </c>
      <c r="H3116" s="11">
        <v>239</v>
      </c>
      <c r="I3116" s="11">
        <v>2</v>
      </c>
      <c r="J3116" s="11">
        <v>0</v>
      </c>
      <c r="K3116" s="11" t="s">
        <v>21</v>
      </c>
      <c r="L3116" s="7">
        <v>42188.291898148149</v>
      </c>
      <c r="M3116" s="12"/>
      <c r="N3116" s="12" t="s">
        <v>1663</v>
      </c>
      <c r="O3116" s="10" t="str">
        <f>HYPERLINK("https://pbs.twimg.com/profile_images/616793252524650496/bQbxJqmz_normal.jpg","View")</f>
        <v>View</v>
      </c>
      <c r="P3116" s="11"/>
    </row>
    <row r="3117" spans="1:16" ht="12.75" x14ac:dyDescent="0.35">
      <c r="A3117" s="7">
        <v>42484.633726851855</v>
      </c>
      <c r="B3117" s="8" t="str">
        <f>HYPERLINK("https://twitter.com/INDIZbot","@INDIZbot")</f>
        <v>@INDIZbot</v>
      </c>
      <c r="C3117" s="9" t="s">
        <v>61</v>
      </c>
      <c r="D3117" s="9" t="s">
        <v>5269</v>
      </c>
      <c r="E3117" s="10" t="str">
        <f>HYPERLINK("https://twitter.com/INDIZbot/status/724171666230751232","724171666230751232")</f>
        <v>724171666230751232</v>
      </c>
      <c r="F3117" s="11" t="s">
        <v>62</v>
      </c>
      <c r="G3117" s="11">
        <v>1782</v>
      </c>
      <c r="H3117" s="11">
        <v>482</v>
      </c>
      <c r="I3117" s="11">
        <v>2</v>
      </c>
      <c r="J3117" s="11">
        <v>0</v>
      </c>
      <c r="K3117" s="11" t="s">
        <v>21</v>
      </c>
      <c r="L3117" s="7">
        <v>42267.011921296296</v>
      </c>
      <c r="M3117" s="12"/>
      <c r="N3117" s="12" t="s">
        <v>63</v>
      </c>
      <c r="O3117" s="10" t="str">
        <f>HYPERLINK("https://pbs.twimg.com/profile_images/645716711723925506/t5G0qOS6_normal.jpg","View")</f>
        <v>View</v>
      </c>
      <c r="P3117" s="11"/>
    </row>
    <row r="3118" spans="1:16" ht="12.75" x14ac:dyDescent="0.35">
      <c r="A3118" s="7">
        <v>42484.634513888886</v>
      </c>
      <c r="B3118" s="8" t="str">
        <f>HYPERLINK("https://twitter.com/germanchassis","@germanchassis")</f>
        <v>@germanchassis</v>
      </c>
      <c r="C3118" s="9" t="s">
        <v>5270</v>
      </c>
      <c r="D3118" s="9" t="s">
        <v>4258</v>
      </c>
      <c r="E3118" s="10" t="str">
        <f>HYPERLINK("https://twitter.com/germanchassis/status/724171951351160833","724171951351160833")</f>
        <v>724171951351160833</v>
      </c>
      <c r="F3118" s="11" t="s">
        <v>31</v>
      </c>
      <c r="G3118" s="11">
        <v>255</v>
      </c>
      <c r="H3118" s="11">
        <v>247</v>
      </c>
      <c r="I3118" s="11">
        <v>2</v>
      </c>
      <c r="J3118" s="11">
        <v>0</v>
      </c>
      <c r="K3118" s="11" t="s">
        <v>21</v>
      </c>
      <c r="L3118" s="7">
        <v>40918.028240740743</v>
      </c>
      <c r="M3118" s="12" t="s">
        <v>121</v>
      </c>
      <c r="N3118" s="12" t="s">
        <v>5271</v>
      </c>
      <c r="O3118" s="10" t="str">
        <f>HYPERLINK("https://pbs.twimg.com/profile_images/710688028063358977/d6NX_uKt_normal.jpg","View")</f>
        <v>View</v>
      </c>
      <c r="P3118" s="11"/>
    </row>
    <row r="3119" spans="1:16" ht="12.75" x14ac:dyDescent="0.35">
      <c r="A3119" s="7">
        <v>42484.63559027778</v>
      </c>
      <c r="B3119" s="8" t="str">
        <f>HYPERLINK("https://twitter.com/ImTunnel","@ImTunnel")</f>
        <v>@ImTunnel</v>
      </c>
      <c r="C3119" s="9" t="s">
        <v>5272</v>
      </c>
      <c r="D3119" s="9" t="s">
        <v>5273</v>
      </c>
      <c r="E3119" s="10" t="str">
        <f>HYPERLINK("https://twitter.com/ImTunnel/status/724172340175753216","724172340175753216")</f>
        <v>724172340175753216</v>
      </c>
      <c r="F3119" s="11" t="s">
        <v>25</v>
      </c>
      <c r="G3119" s="11">
        <v>2557</v>
      </c>
      <c r="H3119" s="11">
        <v>18</v>
      </c>
      <c r="I3119" s="11">
        <v>0</v>
      </c>
      <c r="J3119" s="11">
        <v>0</v>
      </c>
      <c r="K3119" s="11" t="s">
        <v>21</v>
      </c>
      <c r="L3119" s="7">
        <v>40843.076145833329</v>
      </c>
      <c r="M3119" s="12" t="s">
        <v>5274</v>
      </c>
      <c r="N3119" s="12" t="s">
        <v>5275</v>
      </c>
      <c r="O3119" s="10" t="str">
        <f>HYPERLINK("https://pbs.twimg.com/profile_images/604981038096498688/MtnTCGY__normal.png","View")</f>
        <v>View</v>
      </c>
      <c r="P3119" s="11"/>
    </row>
    <row r="3120" spans="1:16" ht="12.75" x14ac:dyDescent="0.35">
      <c r="A3120" s="7">
        <v>42484.636643518519</v>
      </c>
      <c r="B3120" s="8" t="str">
        <f>HYPERLINK("https://twitter.com/akwyz","@akwyz")</f>
        <v>@akwyz</v>
      </c>
      <c r="C3120" s="9" t="s">
        <v>2736</v>
      </c>
      <c r="D3120" s="9" t="s">
        <v>5086</v>
      </c>
      <c r="E3120" s="10" t="str">
        <f>HYPERLINK("https://twitter.com/akwyz/status/724172725242224640","724172725242224640")</f>
        <v>724172725242224640</v>
      </c>
      <c r="F3120" s="11" t="s">
        <v>31</v>
      </c>
      <c r="G3120" s="11">
        <v>19052</v>
      </c>
      <c r="H3120" s="11">
        <v>14771</v>
      </c>
      <c r="I3120" s="11">
        <v>19</v>
      </c>
      <c r="J3120" s="11">
        <v>0</v>
      </c>
      <c r="K3120" s="11" t="s">
        <v>21</v>
      </c>
      <c r="L3120" s="7">
        <v>39838.729930555557</v>
      </c>
      <c r="M3120" s="12" t="s">
        <v>2737</v>
      </c>
      <c r="N3120" s="12" t="s">
        <v>2738</v>
      </c>
      <c r="O3120" s="10" t="str">
        <f>HYPERLINK("https://pbs.twimg.com/profile_images/721423009114931200/0w9BDsO3_normal.jpg","View")</f>
        <v>View</v>
      </c>
      <c r="P3120" s="11"/>
    </row>
    <row r="3121" spans="1:16" ht="12.75" x14ac:dyDescent="0.35">
      <c r="A3121" s="7">
        <v>42484.637557870374</v>
      </c>
      <c r="B3121" s="8" t="str">
        <f>HYPERLINK("https://twitter.com/renaschwarting","@renaschwarting")</f>
        <v>@renaschwarting</v>
      </c>
      <c r="C3121" s="9" t="s">
        <v>5276</v>
      </c>
      <c r="D3121" s="9" t="s">
        <v>5277</v>
      </c>
      <c r="E3121" s="10" t="str">
        <f>HYPERLINK("https://twitter.com/renaschwarting/status/724173053329084417","724173053329084417")</f>
        <v>724173053329084417</v>
      </c>
      <c r="F3121" s="11" t="s">
        <v>20</v>
      </c>
      <c r="G3121" s="11">
        <v>511</v>
      </c>
      <c r="H3121" s="11">
        <v>598</v>
      </c>
      <c r="I3121" s="11">
        <v>3</v>
      </c>
      <c r="J3121" s="11">
        <v>0</v>
      </c>
      <c r="K3121" s="11" t="s">
        <v>21</v>
      </c>
      <c r="L3121" s="7">
        <v>40803.937719907408</v>
      </c>
      <c r="M3121" s="12" t="s">
        <v>116</v>
      </c>
      <c r="N3121" s="12" t="s">
        <v>5278</v>
      </c>
      <c r="O3121" s="10" t="str">
        <f>HYPERLINK("https://pbs.twimg.com/profile_images/676499592674975745/Z-ThYeOX_normal.jpg","View")</f>
        <v>View</v>
      </c>
      <c r="P3121" s="11"/>
    </row>
    <row r="3122" spans="1:16" ht="12.75" x14ac:dyDescent="0.35">
      <c r="A3122" s="7">
        <v>42484.637673611112</v>
      </c>
      <c r="B3122" s="8" t="str">
        <f>HYPERLINK("https://twitter.com/sms2sms","@sms2sms")</f>
        <v>@sms2sms</v>
      </c>
      <c r="C3122" s="9" t="s">
        <v>5279</v>
      </c>
      <c r="D3122" s="9" t="s">
        <v>5277</v>
      </c>
      <c r="E3122" s="10" t="str">
        <f>HYPERLINK("https://twitter.com/sms2sms/status/724173098564591616","724173098564591616")</f>
        <v>724173098564591616</v>
      </c>
      <c r="F3122" s="11" t="s">
        <v>20</v>
      </c>
      <c r="G3122" s="11">
        <v>1381</v>
      </c>
      <c r="H3122" s="11">
        <v>34</v>
      </c>
      <c r="I3122" s="11">
        <v>3</v>
      </c>
      <c r="J3122" s="11">
        <v>0</v>
      </c>
      <c r="K3122" s="11" t="s">
        <v>21</v>
      </c>
      <c r="L3122" s="7">
        <v>39489.742650462962</v>
      </c>
      <c r="M3122" s="12" t="s">
        <v>5280</v>
      </c>
      <c r="N3122" s="12" t="s">
        <v>5281</v>
      </c>
      <c r="O3122" s="10" t="str">
        <f>HYPERLINK("https://pbs.twimg.com/profile_images/654019682811408384/80tMWtJJ_normal.png","View")</f>
        <v>View</v>
      </c>
      <c r="P3122" s="11"/>
    </row>
    <row r="3123" spans="1:16" ht="12.75" x14ac:dyDescent="0.35">
      <c r="A3123" s="7">
        <v>42484.637731481482</v>
      </c>
      <c r="B3123" s="8" t="str">
        <f>HYPERLINK("https://twitter.com/Vuillermoz_P","@Vuillermoz_P")</f>
        <v>@Vuillermoz_P</v>
      </c>
      <c r="C3123" s="9" t="s">
        <v>5282</v>
      </c>
      <c r="D3123" s="9" t="s">
        <v>5086</v>
      </c>
      <c r="E3123" s="10" t="str">
        <f>HYPERLINK("https://twitter.com/Vuillermoz_P/status/724173116453314561","724173116453314561")</f>
        <v>724173116453314561</v>
      </c>
      <c r="F3123" s="11" t="s">
        <v>31</v>
      </c>
      <c r="G3123" s="11">
        <v>205</v>
      </c>
      <c r="H3123" s="11">
        <v>303</v>
      </c>
      <c r="I3123" s="11">
        <v>19</v>
      </c>
      <c r="J3123" s="11">
        <v>0</v>
      </c>
      <c r="K3123" s="11" t="s">
        <v>21</v>
      </c>
      <c r="L3123" s="7">
        <v>42201.823391203703</v>
      </c>
      <c r="M3123" s="12"/>
      <c r="N3123" s="12" t="s">
        <v>5283</v>
      </c>
      <c r="O3123" s="10" t="str">
        <f>HYPERLINK("https://pbs.twimg.com/profile_images/621685340332498944/z50_SzqE_normal.jpg","View")</f>
        <v>View</v>
      </c>
      <c r="P3123" s="11"/>
    </row>
    <row r="3124" spans="1:16" ht="12.75" x14ac:dyDescent="0.35">
      <c r="A3124" s="7">
        <v>42484.638020833328</v>
      </c>
      <c r="B3124" s="8" t="str">
        <f t="shared" ref="B3124:B3125" si="402">HYPERLINK("https://twitter.com/slxlearning","@slxlearning")</f>
        <v>@slxlearning</v>
      </c>
      <c r="C3124" s="9" t="s">
        <v>5284</v>
      </c>
      <c r="D3124" s="9" t="s">
        <v>5285</v>
      </c>
      <c r="E3124" s="10" t="str">
        <f>HYPERLINK("https://twitter.com/slxlearning/status/724173221289955329","724173221289955329")</f>
        <v>724173221289955329</v>
      </c>
      <c r="F3124" s="11" t="s">
        <v>31</v>
      </c>
      <c r="G3124" s="11">
        <v>193</v>
      </c>
      <c r="H3124" s="11">
        <v>1223</v>
      </c>
      <c r="I3124" s="11">
        <v>2</v>
      </c>
      <c r="J3124" s="11">
        <v>0</v>
      </c>
      <c r="K3124" s="11" t="s">
        <v>21</v>
      </c>
      <c r="L3124" s="7">
        <v>42422.721354166672</v>
      </c>
      <c r="M3124" s="12" t="s">
        <v>5286</v>
      </c>
      <c r="N3124" s="12" t="s">
        <v>5287</v>
      </c>
      <c r="O3124" s="10" t="str">
        <f t="shared" ref="O3124:O3125" si="403">HYPERLINK("https://pbs.twimg.com/profile_images/703543205543997440/qXoxbiY7_normal.jpg","View")</f>
        <v>View</v>
      </c>
      <c r="P3124" s="11"/>
    </row>
    <row r="3125" spans="1:16" ht="12.75" x14ac:dyDescent="0.35">
      <c r="A3125" s="7">
        <v>42484.638067129628</v>
      </c>
      <c r="B3125" s="8" t="str">
        <f t="shared" si="402"/>
        <v>@slxlearning</v>
      </c>
      <c r="C3125" s="9" t="s">
        <v>5284</v>
      </c>
      <c r="D3125" s="9" t="s">
        <v>5288</v>
      </c>
      <c r="E3125" s="10" t="str">
        <f>HYPERLINK("https://twitter.com/slxlearning/status/724173240168411136","724173240168411136")</f>
        <v>724173240168411136</v>
      </c>
      <c r="F3125" s="11" t="s">
        <v>1712</v>
      </c>
      <c r="G3125" s="11">
        <v>193</v>
      </c>
      <c r="H3125" s="11">
        <v>1223</v>
      </c>
      <c r="I3125" s="11">
        <v>1</v>
      </c>
      <c r="J3125" s="11">
        <v>0</v>
      </c>
      <c r="K3125" s="11" t="s">
        <v>21</v>
      </c>
      <c r="L3125" s="7">
        <v>42422.721354166672</v>
      </c>
      <c r="M3125" s="12" t="s">
        <v>5286</v>
      </c>
      <c r="N3125" s="12" t="s">
        <v>5287</v>
      </c>
      <c r="O3125" s="10" t="str">
        <f t="shared" si="403"/>
        <v>View</v>
      </c>
      <c r="P3125" s="11"/>
    </row>
    <row r="3126" spans="1:16" ht="12.75" x14ac:dyDescent="0.35">
      <c r="A3126" s="7">
        <v>42484.640208333338</v>
      </c>
      <c r="B3126" s="8" t="str">
        <f t="shared" ref="B3126:B3128" si="404">HYPERLINK("https://twitter.com/INDIZbot","@INDIZbot")</f>
        <v>@INDIZbot</v>
      </c>
      <c r="C3126" s="9" t="s">
        <v>61</v>
      </c>
      <c r="D3126" s="9" t="s">
        <v>5289</v>
      </c>
      <c r="E3126" s="10" t="str">
        <f>HYPERLINK("https://twitter.com/INDIZbot/status/724174014449639424","724174014449639424")</f>
        <v>724174014449639424</v>
      </c>
      <c r="F3126" s="11" t="s">
        <v>62</v>
      </c>
      <c r="G3126" s="11">
        <v>1781</v>
      </c>
      <c r="H3126" s="11">
        <v>482</v>
      </c>
      <c r="I3126" s="11">
        <v>1</v>
      </c>
      <c r="J3126" s="11">
        <v>0</v>
      </c>
      <c r="K3126" s="11" t="s">
        <v>21</v>
      </c>
      <c r="L3126" s="7">
        <v>42267.011921296296</v>
      </c>
      <c r="M3126" s="12"/>
      <c r="N3126" s="12" t="s">
        <v>63</v>
      </c>
      <c r="O3126" s="10" t="str">
        <f t="shared" ref="O3126:O3128" si="405">HYPERLINK("https://pbs.twimg.com/profile_images/645716711723925506/t5G0qOS6_normal.jpg","View")</f>
        <v>View</v>
      </c>
      <c r="P3126" s="11"/>
    </row>
    <row r="3127" spans="1:16" ht="12.75" x14ac:dyDescent="0.35">
      <c r="A3127" s="7">
        <v>42484.6403587963</v>
      </c>
      <c r="B3127" s="8" t="str">
        <f t="shared" si="404"/>
        <v>@INDIZbot</v>
      </c>
      <c r="C3127" s="9" t="s">
        <v>61</v>
      </c>
      <c r="D3127" s="9" t="s">
        <v>5285</v>
      </c>
      <c r="E3127" s="10" t="str">
        <f>HYPERLINK("https://twitter.com/INDIZbot/status/724174070430994432","724174070430994432")</f>
        <v>724174070430994432</v>
      </c>
      <c r="F3127" s="11" t="s">
        <v>62</v>
      </c>
      <c r="G3127" s="11">
        <v>1781</v>
      </c>
      <c r="H3127" s="11">
        <v>482</v>
      </c>
      <c r="I3127" s="11">
        <v>2</v>
      </c>
      <c r="J3127" s="11">
        <v>0</v>
      </c>
      <c r="K3127" s="11" t="s">
        <v>21</v>
      </c>
      <c r="L3127" s="7">
        <v>42267.011921296296</v>
      </c>
      <c r="M3127" s="12"/>
      <c r="N3127" s="12" t="s">
        <v>63</v>
      </c>
      <c r="O3127" s="10" t="str">
        <f t="shared" si="405"/>
        <v>View</v>
      </c>
      <c r="P3127" s="11"/>
    </row>
    <row r="3128" spans="1:16" ht="12.75" x14ac:dyDescent="0.35">
      <c r="A3128" s="7">
        <v>42484.64063657407</v>
      </c>
      <c r="B3128" s="8" t="str">
        <f t="shared" si="404"/>
        <v>@INDIZbot</v>
      </c>
      <c r="C3128" s="9" t="s">
        <v>61</v>
      </c>
      <c r="D3128" s="9" t="s">
        <v>5277</v>
      </c>
      <c r="E3128" s="10" t="str">
        <f>HYPERLINK("https://twitter.com/INDIZbot/status/724174170549002240","724174170549002240")</f>
        <v>724174170549002240</v>
      </c>
      <c r="F3128" s="11" t="s">
        <v>62</v>
      </c>
      <c r="G3128" s="11">
        <v>1781</v>
      </c>
      <c r="H3128" s="11">
        <v>482</v>
      </c>
      <c r="I3128" s="11">
        <v>3</v>
      </c>
      <c r="J3128" s="11">
        <v>0</v>
      </c>
      <c r="K3128" s="11" t="s">
        <v>21</v>
      </c>
      <c r="L3128" s="7">
        <v>42267.011921296296</v>
      </c>
      <c r="M3128" s="12"/>
      <c r="N3128" s="12" t="s">
        <v>63</v>
      </c>
      <c r="O3128" s="10" t="str">
        <f t="shared" si="405"/>
        <v>View</v>
      </c>
      <c r="P3128" s="11"/>
    </row>
    <row r="3129" spans="1:16" ht="12.75" x14ac:dyDescent="0.35">
      <c r="A3129" s="7">
        <v>42484.640856481477</v>
      </c>
      <c r="B3129" s="8" t="str">
        <f t="shared" ref="B3129:B3130" si="406">HYPERLINK("https://twitter.com/kommunikationsm","@kommunikationsm")</f>
        <v>@kommunikationsm</v>
      </c>
      <c r="C3129" s="9" t="s">
        <v>2242</v>
      </c>
      <c r="D3129" s="9" t="s">
        <v>2126</v>
      </c>
      <c r="E3129" s="10" t="str">
        <f>HYPERLINK("https://twitter.com/kommunikationsm/status/724174249259356160","724174249259356160")</f>
        <v>724174249259356160</v>
      </c>
      <c r="F3129" s="11" t="s">
        <v>29</v>
      </c>
      <c r="G3129" s="11">
        <v>1828</v>
      </c>
      <c r="H3129" s="11">
        <v>2306</v>
      </c>
      <c r="I3129" s="11">
        <v>4</v>
      </c>
      <c r="J3129" s="11">
        <v>0</v>
      </c>
      <c r="K3129" s="11" t="s">
        <v>21</v>
      </c>
      <c r="L3129" s="7">
        <v>39843.910439814819</v>
      </c>
      <c r="M3129" s="12" t="s">
        <v>121</v>
      </c>
      <c r="N3129" s="12" t="s">
        <v>2243</v>
      </c>
      <c r="O3129" s="10" t="str">
        <f t="shared" ref="O3129:O3130" si="407">HYPERLINK("https://pbs.twimg.com/profile_images/619614759370014720/AS__iYuZ_normal.jpg","View")</f>
        <v>View</v>
      </c>
      <c r="P3129" s="11"/>
    </row>
    <row r="3130" spans="1:16" ht="12.75" x14ac:dyDescent="0.35">
      <c r="A3130" s="7">
        <v>42484.642546296294</v>
      </c>
      <c r="B3130" s="8" t="str">
        <f t="shared" si="406"/>
        <v>@kommunikationsm</v>
      </c>
      <c r="C3130" s="9" t="s">
        <v>2242</v>
      </c>
      <c r="D3130" s="9" t="s">
        <v>5290</v>
      </c>
      <c r="E3130" s="10" t="str">
        <f>HYPERLINK("https://twitter.com/kommunikationsm/status/724174861715820544","724174861715820544")</f>
        <v>724174861715820544</v>
      </c>
      <c r="F3130" s="11" t="s">
        <v>29</v>
      </c>
      <c r="G3130" s="11">
        <v>1828</v>
      </c>
      <c r="H3130" s="11">
        <v>2306</v>
      </c>
      <c r="I3130" s="11">
        <v>0</v>
      </c>
      <c r="J3130" s="11">
        <v>0</v>
      </c>
      <c r="K3130" s="11" t="s">
        <v>21</v>
      </c>
      <c r="L3130" s="7">
        <v>39843.910439814819</v>
      </c>
      <c r="M3130" s="12" t="s">
        <v>121</v>
      </c>
      <c r="N3130" s="12" t="s">
        <v>2243</v>
      </c>
      <c r="O3130" s="10" t="str">
        <f t="shared" si="407"/>
        <v>View</v>
      </c>
      <c r="P3130" s="11"/>
    </row>
    <row r="3131" spans="1:16" ht="12.75" x14ac:dyDescent="0.35">
      <c r="A3131" s="7">
        <v>42484.643020833333</v>
      </c>
      <c r="B3131" s="8" t="str">
        <f>HYPERLINK("https://twitter.com/BOLDLYGO_FFM","@BOLDLYGO_FFM")</f>
        <v>@BOLDLYGO_FFM</v>
      </c>
      <c r="C3131" s="9" t="s">
        <v>3524</v>
      </c>
      <c r="D3131" s="9" t="s">
        <v>5291</v>
      </c>
      <c r="E3131" s="10" t="str">
        <f>HYPERLINK("https://twitter.com/BOLDLYGO_FFM/status/724175035313848320","724175035313848320")</f>
        <v>724175035313848320</v>
      </c>
      <c r="F3131" s="11" t="s">
        <v>20</v>
      </c>
      <c r="G3131" s="11">
        <v>132</v>
      </c>
      <c r="H3131" s="11">
        <v>374</v>
      </c>
      <c r="I3131" s="11">
        <v>1</v>
      </c>
      <c r="J3131" s="11">
        <v>0</v>
      </c>
      <c r="K3131" s="11" t="s">
        <v>21</v>
      </c>
      <c r="L3131" s="7">
        <v>42211.596736111111</v>
      </c>
      <c r="M3131" s="12" t="s">
        <v>79</v>
      </c>
      <c r="N3131" s="12" t="s">
        <v>3526</v>
      </c>
      <c r="O3131" s="10" t="str">
        <f>HYPERLINK("https://pbs.twimg.com/profile_images/636836616263311360/-akWmcev_normal.png","View")</f>
        <v>View</v>
      </c>
      <c r="P3131" s="11"/>
    </row>
    <row r="3132" spans="1:16" ht="12.75" x14ac:dyDescent="0.35">
      <c r="A3132" s="7">
        <v>42484.64340277778</v>
      </c>
      <c r="B3132" s="8" t="str">
        <f t="shared" ref="B3132:B3133" si="408">HYPERLINK("https://twitter.com/patriciaduques4","@patriciaduques4")</f>
        <v>@patriciaduques4</v>
      </c>
      <c r="C3132" s="9" t="s">
        <v>5292</v>
      </c>
      <c r="D3132" s="9" t="s">
        <v>5160</v>
      </c>
      <c r="E3132" s="10" t="str">
        <f>HYPERLINK("https://twitter.com/patriciaduques4/status/724175173939802112","724175173939802112")</f>
        <v>724175173939802112</v>
      </c>
      <c r="F3132" s="11" t="s">
        <v>20</v>
      </c>
      <c r="G3132" s="11">
        <v>17</v>
      </c>
      <c r="H3132" s="11">
        <v>345</v>
      </c>
      <c r="I3132" s="11">
        <v>6</v>
      </c>
      <c r="J3132" s="11">
        <v>0</v>
      </c>
      <c r="K3132" s="11" t="s">
        <v>21</v>
      </c>
      <c r="L3132" s="7">
        <v>42474.98673611111</v>
      </c>
      <c r="M3132" s="12"/>
      <c r="N3132" s="12"/>
      <c r="O3132" s="10" t="str">
        <f t="shared" ref="O3132:O3133" si="409">HYPERLINK("https://abs.twimg.com/sticky/default_profile_images/default_profile_3_normal.png","View")</f>
        <v>View</v>
      </c>
      <c r="P3132" s="11"/>
    </row>
    <row r="3133" spans="1:16" ht="12.75" x14ac:dyDescent="0.35">
      <c r="A3133" s="7">
        <v>42484.643460648149</v>
      </c>
      <c r="B3133" s="8" t="str">
        <f t="shared" si="408"/>
        <v>@patriciaduques4</v>
      </c>
      <c r="C3133" s="9" t="s">
        <v>5292</v>
      </c>
      <c r="D3133" s="9" t="s">
        <v>5159</v>
      </c>
      <c r="E3133" s="10" t="str">
        <f>HYPERLINK("https://twitter.com/patriciaduques4/status/724175196207353857","724175196207353857")</f>
        <v>724175196207353857</v>
      </c>
      <c r="F3133" s="11" t="s">
        <v>20</v>
      </c>
      <c r="G3133" s="11">
        <v>17</v>
      </c>
      <c r="H3133" s="11">
        <v>345</v>
      </c>
      <c r="I3133" s="11">
        <v>3</v>
      </c>
      <c r="J3133" s="11">
        <v>0</v>
      </c>
      <c r="K3133" s="11" t="s">
        <v>21</v>
      </c>
      <c r="L3133" s="7">
        <v>42474.98673611111</v>
      </c>
      <c r="M3133" s="12"/>
      <c r="N3133" s="12"/>
      <c r="O3133" s="10" t="str">
        <f t="shared" si="409"/>
        <v>View</v>
      </c>
      <c r="P3133" s="11"/>
    </row>
    <row r="3134" spans="1:16" ht="12.75" x14ac:dyDescent="0.35">
      <c r="A3134" s="7">
        <v>42484.644525462965</v>
      </c>
      <c r="B3134" s="8" t="str">
        <f>HYPERLINK("https://twitter.com/markus_boehm_","@markus_boehm_")</f>
        <v>@markus_boehm_</v>
      </c>
      <c r="C3134" s="9" t="s">
        <v>4923</v>
      </c>
      <c r="D3134" s="9" t="s">
        <v>5293</v>
      </c>
      <c r="E3134" s="10" t="str">
        <f>HYPERLINK("https://twitter.com/markus_boehm_/status/724175579042463744","724175579042463744")</f>
        <v>724175579042463744</v>
      </c>
      <c r="F3134" s="11" t="s">
        <v>20</v>
      </c>
      <c r="G3134" s="11">
        <v>423</v>
      </c>
      <c r="H3134" s="11">
        <v>549</v>
      </c>
      <c r="I3134" s="11">
        <v>1</v>
      </c>
      <c r="J3134" s="11">
        <v>0</v>
      </c>
      <c r="K3134" s="11" t="s">
        <v>21</v>
      </c>
      <c r="L3134" s="7">
        <v>40170.63590277778</v>
      </c>
      <c r="M3134" s="12" t="s">
        <v>121</v>
      </c>
      <c r="N3134" s="12" t="s">
        <v>4925</v>
      </c>
      <c r="O3134" s="10" t="str">
        <f>HYPERLINK("https://pbs.twimg.com/profile_images/588663919/IMGP2781_normal.JPG","View")</f>
        <v>View</v>
      </c>
      <c r="P3134" s="11"/>
    </row>
    <row r="3135" spans="1:16" ht="12.75" x14ac:dyDescent="0.35">
      <c r="A3135" s="7">
        <v>42484.647060185191</v>
      </c>
      <c r="B3135" s="8" t="str">
        <f t="shared" ref="B3135:B3136" si="410">HYPERLINK("https://twitter.com/INDIZbot","@INDIZbot")</f>
        <v>@INDIZbot</v>
      </c>
      <c r="C3135" s="9" t="s">
        <v>61</v>
      </c>
      <c r="D3135" s="9" t="s">
        <v>5294</v>
      </c>
      <c r="E3135" s="10" t="str">
        <f>HYPERLINK("https://twitter.com/INDIZbot/status/724176497993482240","724176497993482240")</f>
        <v>724176497993482240</v>
      </c>
      <c r="F3135" s="11" t="s">
        <v>62</v>
      </c>
      <c r="G3135" s="11">
        <v>1781</v>
      </c>
      <c r="H3135" s="11">
        <v>482</v>
      </c>
      <c r="I3135" s="11">
        <v>1</v>
      </c>
      <c r="J3135" s="11">
        <v>0</v>
      </c>
      <c r="K3135" s="11" t="s">
        <v>21</v>
      </c>
      <c r="L3135" s="7">
        <v>42267.011921296296</v>
      </c>
      <c r="M3135" s="12"/>
      <c r="N3135" s="12" t="s">
        <v>63</v>
      </c>
      <c r="O3135" s="10" t="str">
        <f t="shared" ref="O3135:O3136" si="411">HYPERLINK("https://pbs.twimg.com/profile_images/645716711723925506/t5G0qOS6_normal.jpg","View")</f>
        <v>View</v>
      </c>
      <c r="P3135" s="11"/>
    </row>
    <row r="3136" spans="1:16" ht="12.75" x14ac:dyDescent="0.35">
      <c r="A3136" s="7">
        <v>42484.647453703699</v>
      </c>
      <c r="B3136" s="8" t="str">
        <f t="shared" si="410"/>
        <v>@INDIZbot</v>
      </c>
      <c r="C3136" s="9" t="s">
        <v>61</v>
      </c>
      <c r="D3136" s="9" t="s">
        <v>2126</v>
      </c>
      <c r="E3136" s="10" t="str">
        <f>HYPERLINK("https://twitter.com/INDIZbot/status/724176641841344513","724176641841344513")</f>
        <v>724176641841344513</v>
      </c>
      <c r="F3136" s="11" t="s">
        <v>62</v>
      </c>
      <c r="G3136" s="11">
        <v>1781</v>
      </c>
      <c r="H3136" s="11">
        <v>482</v>
      </c>
      <c r="I3136" s="11">
        <v>5</v>
      </c>
      <c r="J3136" s="11">
        <v>0</v>
      </c>
      <c r="K3136" s="11" t="s">
        <v>21</v>
      </c>
      <c r="L3136" s="7">
        <v>42267.011921296296</v>
      </c>
      <c r="M3136" s="12"/>
      <c r="N3136" s="12" t="s">
        <v>63</v>
      </c>
      <c r="O3136" s="10" t="str">
        <f t="shared" si="411"/>
        <v>View</v>
      </c>
      <c r="P3136" s="11"/>
    </row>
    <row r="3137" spans="1:16" ht="12.75" x14ac:dyDescent="0.35">
      <c r="A3137" s="7">
        <v>42484.647928240738</v>
      </c>
      <c r="B3137" s="8" t="str">
        <f t="shared" ref="B3137:B3138" si="412">HYPERLINK("https://twitter.com/MartinGaedt","@MartinGaedt")</f>
        <v>@MartinGaedt</v>
      </c>
      <c r="C3137" s="9" t="s">
        <v>1296</v>
      </c>
      <c r="D3137" s="9" t="s">
        <v>5295</v>
      </c>
      <c r="E3137" s="10" t="str">
        <f>HYPERLINK("https://twitter.com/MartinGaedt/status/724176814390829056","724176814390829056")</f>
        <v>724176814390829056</v>
      </c>
      <c r="F3137" s="11" t="s">
        <v>25</v>
      </c>
      <c r="G3137" s="11">
        <v>5377</v>
      </c>
      <c r="H3137" s="11">
        <v>5914</v>
      </c>
      <c r="I3137" s="11">
        <v>1</v>
      </c>
      <c r="J3137" s="11">
        <v>0</v>
      </c>
      <c r="K3137" s="11" t="s">
        <v>21</v>
      </c>
      <c r="L3137" s="7">
        <v>39938.908993055556</v>
      </c>
      <c r="M3137" s="12" t="s">
        <v>1297</v>
      </c>
      <c r="N3137" s="12" t="s">
        <v>1298</v>
      </c>
      <c r="O3137" s="10" t="str">
        <f t="shared" ref="O3137:O3138" si="413">HYPERLINK("https://pbs.twimg.com/profile_images/709444980553740288/Xds-Aan6_normal.jpg","View")</f>
        <v>View</v>
      </c>
      <c r="P3137" s="11"/>
    </row>
    <row r="3138" spans="1:16" ht="12.75" x14ac:dyDescent="0.35">
      <c r="A3138" s="7">
        <v>42484.650254629625</v>
      </c>
      <c r="B3138" s="8" t="str">
        <f t="shared" si="412"/>
        <v>@MartinGaedt</v>
      </c>
      <c r="C3138" s="9" t="s">
        <v>1296</v>
      </c>
      <c r="D3138" s="9" t="s">
        <v>1145</v>
      </c>
      <c r="E3138" s="10" t="str">
        <f>HYPERLINK("https://twitter.com/MartinGaedt/status/724177655881412609","724177655881412609")</f>
        <v>724177655881412609</v>
      </c>
      <c r="F3138" s="11" t="s">
        <v>25</v>
      </c>
      <c r="G3138" s="11">
        <v>5377</v>
      </c>
      <c r="H3138" s="11">
        <v>5914</v>
      </c>
      <c r="I3138" s="11">
        <v>5</v>
      </c>
      <c r="J3138" s="11">
        <v>0</v>
      </c>
      <c r="K3138" s="11" t="s">
        <v>21</v>
      </c>
      <c r="L3138" s="7">
        <v>39938.908993055556</v>
      </c>
      <c r="M3138" s="12" t="s">
        <v>1297</v>
      </c>
      <c r="N3138" s="12" t="s">
        <v>1298</v>
      </c>
      <c r="O3138" s="10" t="str">
        <f t="shared" si="413"/>
        <v>View</v>
      </c>
      <c r="P3138" s="11"/>
    </row>
    <row r="3139" spans="1:16" ht="12.75" x14ac:dyDescent="0.35">
      <c r="A3139" s="7">
        <v>42484.655509259261</v>
      </c>
      <c r="B3139" s="8" t="str">
        <f>HYPERLINK("https://twitter.com/charisma_expert","@charisma_expert")</f>
        <v>@charisma_expert</v>
      </c>
      <c r="C3139" s="9" t="s">
        <v>2569</v>
      </c>
      <c r="D3139" s="9" t="s">
        <v>5296</v>
      </c>
      <c r="E3139" s="10" t="str">
        <f>HYPERLINK("https://twitter.com/charisma_expert/status/724179560372277253","724179560372277253")</f>
        <v>724179560372277253</v>
      </c>
      <c r="F3139" s="11" t="s">
        <v>25</v>
      </c>
      <c r="G3139" s="11">
        <v>95</v>
      </c>
      <c r="H3139" s="11">
        <v>49</v>
      </c>
      <c r="I3139" s="11">
        <v>0</v>
      </c>
      <c r="J3139" s="11">
        <v>1</v>
      </c>
      <c r="K3139" s="11" t="s">
        <v>21</v>
      </c>
      <c r="L3139" s="7">
        <v>42271.139409722222</v>
      </c>
      <c r="M3139" s="12" t="s">
        <v>440</v>
      </c>
      <c r="N3139" s="12" t="s">
        <v>2571</v>
      </c>
      <c r="O3139" s="10" t="str">
        <f>HYPERLINK("https://pbs.twimg.com/profile_images/718892133357330432/9mvpJR26_normal.jpg","View")</f>
        <v>View</v>
      </c>
      <c r="P3139" s="11"/>
    </row>
    <row r="3140" spans="1:16" ht="12.75" x14ac:dyDescent="0.35">
      <c r="A3140" s="7">
        <v>42484.661354166667</v>
      </c>
      <c r="B3140" s="8" t="str">
        <f>HYPERLINK("https://twitter.com/INDIZbot","@INDIZbot")</f>
        <v>@INDIZbot</v>
      </c>
      <c r="C3140" s="9" t="s">
        <v>61</v>
      </c>
      <c r="D3140" s="9" t="s">
        <v>5297</v>
      </c>
      <c r="E3140" s="10" t="str">
        <f>HYPERLINK("https://twitter.com/INDIZbot/status/724181679053651968","724181679053651968")</f>
        <v>724181679053651968</v>
      </c>
      <c r="F3140" s="11" t="s">
        <v>62</v>
      </c>
      <c r="G3140" s="11">
        <v>1781</v>
      </c>
      <c r="H3140" s="11">
        <v>482</v>
      </c>
      <c r="I3140" s="11">
        <v>1</v>
      </c>
      <c r="J3140" s="11">
        <v>0</v>
      </c>
      <c r="K3140" s="11" t="s">
        <v>21</v>
      </c>
      <c r="L3140" s="7">
        <v>42267.011921296296</v>
      </c>
      <c r="M3140" s="12"/>
      <c r="N3140" s="12" t="s">
        <v>63</v>
      </c>
      <c r="O3140" s="10" t="str">
        <f>HYPERLINK("https://pbs.twimg.com/profile_images/645716711723925506/t5G0qOS6_normal.jpg","View")</f>
        <v>View</v>
      </c>
      <c r="P3140" s="11"/>
    </row>
    <row r="3141" spans="1:16" ht="12.75" x14ac:dyDescent="0.35">
      <c r="A3141" s="7">
        <v>42484.662407407406</v>
      </c>
      <c r="B3141" s="8" t="str">
        <f>HYPERLINK("https://twitter.com/MartinGaedt","@MartinGaedt")</f>
        <v>@MartinGaedt</v>
      </c>
      <c r="C3141" s="9" t="s">
        <v>1296</v>
      </c>
      <c r="D3141" s="9" t="s">
        <v>2722</v>
      </c>
      <c r="E3141" s="10" t="str">
        <f>HYPERLINK("https://twitter.com/MartinGaedt/status/724182058671681537","724182058671681537")</f>
        <v>724182058671681537</v>
      </c>
      <c r="F3141" s="11" t="s">
        <v>25</v>
      </c>
      <c r="G3141" s="11">
        <v>5377</v>
      </c>
      <c r="H3141" s="11">
        <v>5914</v>
      </c>
      <c r="I3141" s="11">
        <v>2</v>
      </c>
      <c r="J3141" s="11">
        <v>0</v>
      </c>
      <c r="K3141" s="11" t="s">
        <v>21</v>
      </c>
      <c r="L3141" s="7">
        <v>39938.908993055556</v>
      </c>
      <c r="M3141" s="12" t="s">
        <v>1297</v>
      </c>
      <c r="N3141" s="12" t="s">
        <v>1298</v>
      </c>
      <c r="O3141" s="10" t="str">
        <f>HYPERLINK("https://pbs.twimg.com/profile_images/709444980553740288/Xds-Aan6_normal.jpg","View")</f>
        <v>View</v>
      </c>
      <c r="P3141" s="11"/>
    </row>
    <row r="3142" spans="1:16" ht="12.75" x14ac:dyDescent="0.35">
      <c r="A3142" s="7">
        <v>42484.672673611116</v>
      </c>
      <c r="B3142" s="8" t="str">
        <f t="shared" ref="B3142:B3144" si="414">HYPERLINK("https://twitter.com/tuevnordpolitik","@tuevnordpolitik")</f>
        <v>@tuevnordpolitik</v>
      </c>
      <c r="C3142" s="9" t="s">
        <v>2372</v>
      </c>
      <c r="D3142" s="9" t="s">
        <v>4927</v>
      </c>
      <c r="E3142" s="10" t="str">
        <f>HYPERLINK("https://twitter.com/tuevnordpolitik/status/724185781540163584","724185781540163584")</f>
        <v>724185781540163584</v>
      </c>
      <c r="F3142" s="11" t="s">
        <v>31</v>
      </c>
      <c r="G3142" s="11">
        <v>320</v>
      </c>
      <c r="H3142" s="11">
        <v>1021</v>
      </c>
      <c r="I3142" s="11">
        <v>6</v>
      </c>
      <c r="J3142" s="11">
        <v>0</v>
      </c>
      <c r="K3142" s="11" t="s">
        <v>21</v>
      </c>
      <c r="L3142" s="7">
        <v>41645.863229166665</v>
      </c>
      <c r="M3142" s="12" t="s">
        <v>2374</v>
      </c>
      <c r="N3142" s="12" t="s">
        <v>2375</v>
      </c>
      <c r="O3142" s="10" t="str">
        <f t="shared" ref="O3142:O3144" si="415">HYPERLINK("https://pbs.twimg.com/profile_images/420844205607362560/p085f4o7_normal.png","View")</f>
        <v>View</v>
      </c>
      <c r="P3142" s="11"/>
    </row>
    <row r="3143" spans="1:16" ht="12.75" x14ac:dyDescent="0.35">
      <c r="A3143" s="7">
        <v>42484.672916666663</v>
      </c>
      <c r="B3143" s="8" t="str">
        <f t="shared" si="414"/>
        <v>@tuevnordpolitik</v>
      </c>
      <c r="C3143" s="9" t="s">
        <v>2372</v>
      </c>
      <c r="D3143" s="9" t="s">
        <v>2938</v>
      </c>
      <c r="E3143" s="10" t="str">
        <f>HYPERLINK("https://twitter.com/tuevnordpolitik/status/724185868890705920","724185868890705920")</f>
        <v>724185868890705920</v>
      </c>
      <c r="F3143" s="11" t="s">
        <v>31</v>
      </c>
      <c r="G3143" s="11">
        <v>320</v>
      </c>
      <c r="H3143" s="11">
        <v>1021</v>
      </c>
      <c r="I3143" s="11">
        <v>15</v>
      </c>
      <c r="J3143" s="11">
        <v>0</v>
      </c>
      <c r="K3143" s="11" t="s">
        <v>21</v>
      </c>
      <c r="L3143" s="7">
        <v>41645.863229166665</v>
      </c>
      <c r="M3143" s="12" t="s">
        <v>2374</v>
      </c>
      <c r="N3143" s="12" t="s">
        <v>2375</v>
      </c>
      <c r="O3143" s="10" t="str">
        <f t="shared" si="415"/>
        <v>View</v>
      </c>
      <c r="P3143" s="11"/>
    </row>
    <row r="3144" spans="1:16" ht="12.75" x14ac:dyDescent="0.35">
      <c r="A3144" s="7">
        <v>42484.673715277779</v>
      </c>
      <c r="B3144" s="8" t="str">
        <f t="shared" si="414"/>
        <v>@tuevnordpolitik</v>
      </c>
      <c r="C3144" s="9" t="s">
        <v>2372</v>
      </c>
      <c r="D3144" s="9" t="s">
        <v>5298</v>
      </c>
      <c r="E3144" s="10" t="str">
        <f>HYPERLINK("https://twitter.com/tuevnordpolitik/status/724186158750638081","724186158750638081")</f>
        <v>724186158750638081</v>
      </c>
      <c r="F3144" s="11" t="s">
        <v>31</v>
      </c>
      <c r="G3144" s="11">
        <v>320</v>
      </c>
      <c r="H3144" s="11">
        <v>1021</v>
      </c>
      <c r="I3144" s="11">
        <v>2</v>
      </c>
      <c r="J3144" s="11">
        <v>0</v>
      </c>
      <c r="K3144" s="11" t="s">
        <v>21</v>
      </c>
      <c r="L3144" s="7">
        <v>41645.863229166665</v>
      </c>
      <c r="M3144" s="12" t="s">
        <v>2374</v>
      </c>
      <c r="N3144" s="12" t="s">
        <v>2375</v>
      </c>
      <c r="O3144" s="10" t="str">
        <f t="shared" si="415"/>
        <v>View</v>
      </c>
      <c r="P3144" s="11"/>
    </row>
    <row r="3145" spans="1:16" ht="12.75" x14ac:dyDescent="0.35">
      <c r="A3145" s="7">
        <v>42484.673842592594</v>
      </c>
      <c r="B3145" s="8" t="str">
        <f>HYPERLINK("https://twitter.com/induux_de","@induux_de")</f>
        <v>@induux_de</v>
      </c>
      <c r="C3145" s="9" t="s">
        <v>349</v>
      </c>
      <c r="D3145" s="9" t="s">
        <v>5299</v>
      </c>
      <c r="E3145" s="10" t="str">
        <f>HYPERLINK("https://twitter.com/induux_de/status/724186202270765056","724186202270765056")</f>
        <v>724186202270765056</v>
      </c>
      <c r="F3145" s="11" t="s">
        <v>31</v>
      </c>
      <c r="G3145" s="11">
        <v>1756</v>
      </c>
      <c r="H3145" s="11">
        <v>2361</v>
      </c>
      <c r="I3145" s="11">
        <v>1</v>
      </c>
      <c r="J3145" s="11">
        <v>0</v>
      </c>
      <c r="K3145" s="11" t="s">
        <v>21</v>
      </c>
      <c r="L3145" s="7">
        <v>40222.837696759263</v>
      </c>
      <c r="M3145" s="12" t="s">
        <v>351</v>
      </c>
      <c r="N3145" s="12" t="s">
        <v>352</v>
      </c>
      <c r="O3145" s="10" t="str">
        <f>HYPERLINK("https://pbs.twimg.com/profile_images/455629070454116352/ujZ3h7Ww_normal.png","View")</f>
        <v>View</v>
      </c>
      <c r="P3145" s="11"/>
    </row>
    <row r="3146" spans="1:16" ht="12.75" x14ac:dyDescent="0.35">
      <c r="A3146" s="7">
        <v>42484.674421296295</v>
      </c>
      <c r="B3146" s="8" t="str">
        <f t="shared" ref="B3146:B3147" si="416">HYPERLINK("https://twitter.com/INDIZbot","@INDIZbot")</f>
        <v>@INDIZbot</v>
      </c>
      <c r="C3146" s="9" t="s">
        <v>61</v>
      </c>
      <c r="D3146" s="9" t="s">
        <v>5300</v>
      </c>
      <c r="E3146" s="10" t="str">
        <f>HYPERLINK("https://twitter.com/INDIZbot/status/724186415584690176","724186415584690176")</f>
        <v>724186415584690176</v>
      </c>
      <c r="F3146" s="11" t="s">
        <v>62</v>
      </c>
      <c r="G3146" s="11">
        <v>1782</v>
      </c>
      <c r="H3146" s="11">
        <v>482</v>
      </c>
      <c r="I3146" s="11">
        <v>1</v>
      </c>
      <c r="J3146" s="11">
        <v>0</v>
      </c>
      <c r="K3146" s="11" t="s">
        <v>21</v>
      </c>
      <c r="L3146" s="7">
        <v>42267.011921296296</v>
      </c>
      <c r="M3146" s="12"/>
      <c r="N3146" s="12" t="s">
        <v>63</v>
      </c>
      <c r="O3146" s="10" t="str">
        <f t="shared" ref="O3146:O3147" si="417">HYPERLINK("https://pbs.twimg.com/profile_images/645716711723925506/t5G0qOS6_normal.jpg","View")</f>
        <v>View</v>
      </c>
      <c r="P3146" s="11"/>
    </row>
    <row r="3147" spans="1:16" ht="12.75" x14ac:dyDescent="0.35">
      <c r="A3147" s="7">
        <v>42484.674641203703</v>
      </c>
      <c r="B3147" s="8" t="str">
        <f t="shared" si="416"/>
        <v>@INDIZbot</v>
      </c>
      <c r="C3147" s="9" t="s">
        <v>61</v>
      </c>
      <c r="D3147" s="9" t="s">
        <v>5298</v>
      </c>
      <c r="E3147" s="10" t="str">
        <f>HYPERLINK("https://twitter.com/INDIZbot/status/724186494831869953","724186494831869953")</f>
        <v>724186494831869953</v>
      </c>
      <c r="F3147" s="11" t="s">
        <v>62</v>
      </c>
      <c r="G3147" s="11">
        <v>1782</v>
      </c>
      <c r="H3147" s="11">
        <v>482</v>
      </c>
      <c r="I3147" s="11">
        <v>2</v>
      </c>
      <c r="J3147" s="11">
        <v>0</v>
      </c>
      <c r="K3147" s="11" t="s">
        <v>21</v>
      </c>
      <c r="L3147" s="7">
        <v>42267.011921296296</v>
      </c>
      <c r="M3147" s="12"/>
      <c r="N3147" s="12" t="s">
        <v>63</v>
      </c>
      <c r="O3147" s="10" t="str">
        <f t="shared" si="417"/>
        <v>View</v>
      </c>
      <c r="P3147" s="11"/>
    </row>
    <row r="3148" spans="1:16" ht="12.75" x14ac:dyDescent="0.35">
      <c r="A3148" s="7">
        <v>42484.684120370366</v>
      </c>
      <c r="B3148" s="8" t="str">
        <f>HYPERLINK("https://twitter.com/Gruendercoaches","@Gruendercoaches")</f>
        <v>@Gruendercoaches</v>
      </c>
      <c r="C3148" s="9" t="s">
        <v>987</v>
      </c>
      <c r="D3148" s="9" t="s">
        <v>5301</v>
      </c>
      <c r="E3148" s="10" t="str">
        <f>HYPERLINK("https://twitter.com/Gruendercoaches/status/724189928435945473","724189928435945473")</f>
        <v>724189928435945473</v>
      </c>
      <c r="F3148" s="11" t="s">
        <v>39</v>
      </c>
      <c r="G3148" s="11">
        <v>4963</v>
      </c>
      <c r="H3148" s="11">
        <v>1607</v>
      </c>
      <c r="I3148" s="11">
        <v>0</v>
      </c>
      <c r="J3148" s="11">
        <v>0</v>
      </c>
      <c r="K3148" s="11" t="s">
        <v>21</v>
      </c>
      <c r="L3148" s="7">
        <v>40865.780300925922</v>
      </c>
      <c r="M3148" s="12" t="s">
        <v>218</v>
      </c>
      <c r="N3148" s="12" t="s">
        <v>988</v>
      </c>
      <c r="O3148" s="10" t="str">
        <f>HYPERLINK("https://pbs.twimg.com/profile_images/561208179355185153/11KDu7Gt_normal.png","View")</f>
        <v>View</v>
      </c>
      <c r="P3148" s="11"/>
    </row>
    <row r="3149" spans="1:16" ht="12.75" x14ac:dyDescent="0.35">
      <c r="A3149" s="7">
        <v>42484.685254629629</v>
      </c>
      <c r="B3149" s="8" t="str">
        <f>HYPERLINK("https://twitter.com/bastihollmann","@bastihollmann")</f>
        <v>@bastihollmann</v>
      </c>
      <c r="C3149" s="9" t="s">
        <v>750</v>
      </c>
      <c r="D3149" s="9" t="s">
        <v>5302</v>
      </c>
      <c r="E3149" s="10" t="str">
        <f>HYPERLINK("https://twitter.com/bastihollmann/status/724190338974388224","724190338974388224")</f>
        <v>724190338974388224</v>
      </c>
      <c r="F3149" s="11" t="s">
        <v>31</v>
      </c>
      <c r="G3149" s="11">
        <v>286</v>
      </c>
      <c r="H3149" s="11">
        <v>175</v>
      </c>
      <c r="I3149" s="11">
        <v>0</v>
      </c>
      <c r="J3149" s="11">
        <v>0</v>
      </c>
      <c r="K3149" s="11" t="s">
        <v>21</v>
      </c>
      <c r="L3149" s="7">
        <v>40487.681481481479</v>
      </c>
      <c r="M3149" s="12" t="s">
        <v>752</v>
      </c>
      <c r="N3149" s="12" t="s">
        <v>753</v>
      </c>
      <c r="O3149" s="10" t="str">
        <f>HYPERLINK("https://pbs.twimg.com/profile_images/593054907936186369/zjxLhMTm_normal.jpg","View")</f>
        <v>View</v>
      </c>
      <c r="P3149" s="11"/>
    </row>
    <row r="3150" spans="1:16" ht="12.75" x14ac:dyDescent="0.35">
      <c r="A3150" s="7">
        <v>42484.687291666662</v>
      </c>
      <c r="B3150" s="8" t="str">
        <f t="shared" ref="B3150:B3151" si="418">HYPERLINK("https://twitter.com/db_theblizz","@db_theblizz")</f>
        <v>@db_theblizz</v>
      </c>
      <c r="C3150" s="9" t="s">
        <v>5196</v>
      </c>
      <c r="D3150" s="9" t="s">
        <v>5277</v>
      </c>
      <c r="E3150" s="10" t="str">
        <f>HYPERLINK("https://twitter.com/db_theblizz/status/724191076110749696","724191076110749696")</f>
        <v>724191076110749696</v>
      </c>
      <c r="F3150" s="11" t="s">
        <v>31</v>
      </c>
      <c r="G3150" s="11">
        <v>42</v>
      </c>
      <c r="H3150" s="11">
        <v>98</v>
      </c>
      <c r="I3150" s="11">
        <v>4</v>
      </c>
      <c r="J3150" s="11">
        <v>0</v>
      </c>
      <c r="K3150" s="11" t="s">
        <v>21</v>
      </c>
      <c r="L3150" s="7">
        <v>42355.940254629633</v>
      </c>
      <c r="M3150" s="12" t="s">
        <v>5197</v>
      </c>
      <c r="N3150" s="12" t="s">
        <v>5198</v>
      </c>
      <c r="O3150" s="10" t="str">
        <f t="shared" ref="O3150:O3151" si="419">HYPERLINK("https://pbs.twimg.com/profile_images/704353771820859392/r_-n_rEz_normal.jpg","View")</f>
        <v>View</v>
      </c>
      <c r="P3150" s="11"/>
    </row>
    <row r="3151" spans="1:16" ht="12.75" x14ac:dyDescent="0.35">
      <c r="A3151" s="7">
        <v>42484.687743055554</v>
      </c>
      <c r="B3151" s="8" t="str">
        <f t="shared" si="418"/>
        <v>@db_theblizz</v>
      </c>
      <c r="C3151" s="9" t="s">
        <v>5196</v>
      </c>
      <c r="D3151" s="9" t="s">
        <v>5297</v>
      </c>
      <c r="E3151" s="10" t="str">
        <f>HYPERLINK("https://twitter.com/db_theblizz/status/724191240040910851","724191240040910851")</f>
        <v>724191240040910851</v>
      </c>
      <c r="F3151" s="11" t="s">
        <v>31</v>
      </c>
      <c r="G3151" s="11">
        <v>42</v>
      </c>
      <c r="H3151" s="11">
        <v>98</v>
      </c>
      <c r="I3151" s="11">
        <v>2</v>
      </c>
      <c r="J3151" s="11">
        <v>0</v>
      </c>
      <c r="K3151" s="11" t="s">
        <v>21</v>
      </c>
      <c r="L3151" s="7">
        <v>42355.940254629633</v>
      </c>
      <c r="M3151" s="12" t="s">
        <v>5197</v>
      </c>
      <c r="N3151" s="12" t="s">
        <v>5198</v>
      </c>
      <c r="O3151" s="10" t="str">
        <f t="shared" si="419"/>
        <v>View</v>
      </c>
      <c r="P3151" s="11"/>
    </row>
    <row r="3152" spans="1:16" ht="12.75" x14ac:dyDescent="0.35">
      <c r="A3152" s="7">
        <v>42484.687881944439</v>
      </c>
      <c r="B3152" s="8" t="str">
        <f>HYPERLINK("https://twitter.com/PortalAlemania","@PortalAlemania")</f>
        <v>@PortalAlemania</v>
      </c>
      <c r="C3152" s="9" t="s">
        <v>2256</v>
      </c>
      <c r="D3152" s="9" t="s">
        <v>5303</v>
      </c>
      <c r="E3152" s="10" t="str">
        <f>HYPERLINK("https://twitter.com/PortalAlemania/status/724191292541009920","724191292541009920")</f>
        <v>724191292541009920</v>
      </c>
      <c r="F3152" s="11" t="s">
        <v>25</v>
      </c>
      <c r="G3152" s="11">
        <v>5471</v>
      </c>
      <c r="H3152" s="11">
        <v>5915</v>
      </c>
      <c r="I3152" s="11">
        <v>0</v>
      </c>
      <c r="J3152" s="11">
        <v>0</v>
      </c>
      <c r="K3152" s="11" t="s">
        <v>21</v>
      </c>
      <c r="L3152" s="7">
        <v>41306.767233796294</v>
      </c>
      <c r="M3152" s="12" t="s">
        <v>2258</v>
      </c>
      <c r="N3152" s="12" t="s">
        <v>2259</v>
      </c>
      <c r="O3152" s="10" t="str">
        <f>HYPERLINK("https://pbs.twimg.com/profile_images/667101652479029249/acksmKgE_normal.png","View")</f>
        <v>View</v>
      </c>
      <c r="P3152" s="11"/>
    </row>
    <row r="3153" spans="1:16" ht="12.75" x14ac:dyDescent="0.35">
      <c r="A3153" s="7">
        <v>42484.690671296295</v>
      </c>
      <c r="B3153" s="8" t="str">
        <f>HYPERLINK("https://twitter.com/Andrew_c_hughes","@Andrew_c_hughes")</f>
        <v>@Andrew_c_hughes</v>
      </c>
      <c r="C3153" s="9" t="s">
        <v>5304</v>
      </c>
      <c r="D3153" s="9" t="s">
        <v>5305</v>
      </c>
      <c r="E3153" s="10" t="str">
        <f>HYPERLINK("https://twitter.com/Andrew_c_hughes/status/724192302512648192","724192302512648192")</f>
        <v>724192302512648192</v>
      </c>
      <c r="F3153" s="11" t="s">
        <v>25</v>
      </c>
      <c r="G3153" s="11">
        <v>96</v>
      </c>
      <c r="H3153" s="11">
        <v>42</v>
      </c>
      <c r="I3153" s="11">
        <v>0</v>
      </c>
      <c r="J3153" s="11">
        <v>0</v>
      </c>
      <c r="K3153" s="11" t="s">
        <v>21</v>
      </c>
      <c r="L3153" s="7">
        <v>39729.565266203703</v>
      </c>
      <c r="M3153" s="12" t="s">
        <v>1797</v>
      </c>
      <c r="N3153" s="12" t="s">
        <v>5306</v>
      </c>
      <c r="O3153" s="10" t="str">
        <f>HYPERLINK("https://pbs.twimg.com/profile_images/603901794952081408/RIhnPuaN_normal.jpg","View")</f>
        <v>View</v>
      </c>
      <c r="P3153" s="11"/>
    </row>
    <row r="3154" spans="1:16" ht="12.75" x14ac:dyDescent="0.35">
      <c r="A3154" s="7">
        <v>42484.691412037035</v>
      </c>
      <c r="B3154" s="8" t="str">
        <f>HYPERLINK("https://twitter.com/startupkanal","@startupkanal")</f>
        <v>@startupkanal</v>
      </c>
      <c r="C3154" s="9" t="s">
        <v>5171</v>
      </c>
      <c r="D3154" s="9" t="s">
        <v>5307</v>
      </c>
      <c r="E3154" s="10" t="str">
        <f>HYPERLINK("https://twitter.com/startupkanal/status/724192571724038148","724192571724038148")</f>
        <v>724192571724038148</v>
      </c>
      <c r="F3154" s="11" t="s">
        <v>222</v>
      </c>
      <c r="G3154" s="11">
        <v>47</v>
      </c>
      <c r="H3154" s="11">
        <v>5</v>
      </c>
      <c r="I3154" s="11">
        <v>0</v>
      </c>
      <c r="J3154" s="11">
        <v>0</v>
      </c>
      <c r="K3154" s="11" t="s">
        <v>21</v>
      </c>
      <c r="L3154" s="7">
        <v>41936.630011574074</v>
      </c>
      <c r="M3154" s="12" t="s">
        <v>79</v>
      </c>
      <c r="N3154" s="12" t="s">
        <v>5173</v>
      </c>
      <c r="O3154" s="10" t="str">
        <f>HYPERLINK("https://abs.twimg.com/sticky/default_profile_images/default_profile_3_normal.png","View")</f>
        <v>View</v>
      </c>
      <c r="P3154" s="11"/>
    </row>
    <row r="3155" spans="1:16" ht="12.75" x14ac:dyDescent="0.35">
      <c r="A3155" s="7">
        <v>42484.693819444445</v>
      </c>
      <c r="B3155" s="8" t="str">
        <f>HYPERLINK("https://twitter.com/RussellKMills","@RussellKMills")</f>
        <v>@RussellKMills</v>
      </c>
      <c r="C3155" s="9" t="s">
        <v>5308</v>
      </c>
      <c r="D3155" s="9" t="s">
        <v>4816</v>
      </c>
      <c r="E3155" s="10" t="str">
        <f>HYPERLINK("https://twitter.com/RussellKMills/status/724193442193129472","724193442193129472")</f>
        <v>724193442193129472</v>
      </c>
      <c r="F3155" s="11" t="s">
        <v>31</v>
      </c>
      <c r="G3155" s="11">
        <v>2461</v>
      </c>
      <c r="H3155" s="11">
        <v>4189</v>
      </c>
      <c r="I3155" s="11">
        <v>5</v>
      </c>
      <c r="J3155" s="11">
        <v>0</v>
      </c>
      <c r="K3155" s="11" t="s">
        <v>21</v>
      </c>
      <c r="L3155" s="7">
        <v>41776.096689814818</v>
      </c>
      <c r="M3155" s="12" t="s">
        <v>5309</v>
      </c>
      <c r="N3155" s="12" t="s">
        <v>5310</v>
      </c>
      <c r="O3155" s="10" t="str">
        <f>HYPERLINK("https://pbs.twimg.com/profile_images/596548379880062977/eUtFjQxd_normal.jpg","View")</f>
        <v>View</v>
      </c>
      <c r="P3155" s="11"/>
    </row>
    <row r="3156" spans="1:16" ht="12.75" x14ac:dyDescent="0.35">
      <c r="A3156" s="7">
        <v>42484.694062499999</v>
      </c>
      <c r="B3156" s="8" t="str">
        <f>HYPERLINK("https://twitter.com/EmaxSystemsLtd","@EmaxSystemsLtd")</f>
        <v>@EmaxSystemsLtd</v>
      </c>
      <c r="C3156" s="9" t="s">
        <v>5311</v>
      </c>
      <c r="D3156" s="9" t="s">
        <v>4816</v>
      </c>
      <c r="E3156" s="10" t="str">
        <f>HYPERLINK("https://twitter.com/EmaxSystemsLtd/status/724193532186116097","724193532186116097")</f>
        <v>724193532186116097</v>
      </c>
      <c r="F3156" s="11" t="s">
        <v>31</v>
      </c>
      <c r="G3156" s="11">
        <v>2850</v>
      </c>
      <c r="H3156" s="11">
        <v>2410</v>
      </c>
      <c r="I3156" s="11">
        <v>5</v>
      </c>
      <c r="J3156" s="11">
        <v>0</v>
      </c>
      <c r="K3156" s="11" t="s">
        <v>21</v>
      </c>
      <c r="L3156" s="7">
        <v>41067.683599537035</v>
      </c>
      <c r="M3156" s="12" t="s">
        <v>5312</v>
      </c>
      <c r="N3156" s="12" t="s">
        <v>5313</v>
      </c>
      <c r="O3156" s="10" t="str">
        <f>HYPERLINK("https://pbs.twimg.com/profile_images/378800000213941474/08fa8e4c8019e684b4c0868e952facbf_normal.jpeg","View")</f>
        <v>View</v>
      </c>
      <c r="P3156" s="11"/>
    </row>
    <row r="3157" spans="1:16" ht="12.75" x14ac:dyDescent="0.35">
      <c r="A3157" s="7">
        <v>42484.694432870368</v>
      </c>
      <c r="B3157" s="8" t="str">
        <f>HYPERLINK("https://twitter.com/NoreigaEmelia","@NoreigaEmelia")</f>
        <v>@NoreigaEmelia</v>
      </c>
      <c r="C3157" s="9" t="s">
        <v>5314</v>
      </c>
      <c r="D3157" s="9" t="s">
        <v>4816</v>
      </c>
      <c r="E3157" s="10" t="str">
        <f>HYPERLINK("https://twitter.com/NoreigaEmelia/status/724193665921388545","724193665921388545")</f>
        <v>724193665921388545</v>
      </c>
      <c r="F3157" s="11" t="s">
        <v>1997</v>
      </c>
      <c r="G3157" s="11">
        <v>1</v>
      </c>
      <c r="H3157" s="11">
        <v>0</v>
      </c>
      <c r="I3157" s="11">
        <v>5</v>
      </c>
      <c r="J3157" s="11">
        <v>0</v>
      </c>
      <c r="K3157" s="11" t="s">
        <v>21</v>
      </c>
      <c r="L3157" s="7">
        <v>42484.692615740743</v>
      </c>
      <c r="M3157" s="12" t="s">
        <v>5315</v>
      </c>
      <c r="N3157" s="12" t="s">
        <v>5316</v>
      </c>
      <c r="O3157" s="10" t="str">
        <f>HYPERLINK("https://abs.twimg.com/sticky/default_profile_images/default_profile_3_normal.png","View")</f>
        <v>View</v>
      </c>
      <c r="P3157" s="11"/>
    </row>
    <row r="3158" spans="1:16" ht="12.75" x14ac:dyDescent="0.35">
      <c r="A3158" s="7">
        <v>42484.694502314815</v>
      </c>
      <c r="B3158" s="8" t="str">
        <f>HYPERLINK("https://twitter.com/PASSnews","@PASSnews")</f>
        <v>@PASSnews</v>
      </c>
      <c r="C3158" s="9" t="s">
        <v>261</v>
      </c>
      <c r="D3158" s="9" t="s">
        <v>2808</v>
      </c>
      <c r="E3158" s="10" t="str">
        <f>HYPERLINK("https://twitter.com/PASSnews/status/724193689338187777","724193689338187777")</f>
        <v>724193689338187777</v>
      </c>
      <c r="F3158" s="11" t="s">
        <v>115</v>
      </c>
      <c r="G3158" s="11">
        <v>684</v>
      </c>
      <c r="H3158" s="11">
        <v>666</v>
      </c>
      <c r="I3158" s="11">
        <v>0</v>
      </c>
      <c r="J3158" s="11">
        <v>1</v>
      </c>
      <c r="K3158" s="11" t="s">
        <v>21</v>
      </c>
      <c r="L3158" s="7">
        <v>39990.109155092592</v>
      </c>
      <c r="M3158" s="12" t="s">
        <v>121</v>
      </c>
      <c r="N3158" s="12" t="s">
        <v>262</v>
      </c>
      <c r="O3158" s="10" t="str">
        <f>HYPERLINK("https://pbs.twimg.com/profile_images/378800000181509745/cc2ac55b1f8cf6de6ab7c9ea96eae6fa_normal.png","View")</f>
        <v>View</v>
      </c>
      <c r="P3158" s="11"/>
    </row>
    <row r="3159" spans="1:16" ht="12.75" x14ac:dyDescent="0.35">
      <c r="A3159" s="7">
        <v>42484.6953125</v>
      </c>
      <c r="B3159" s="8" t="str">
        <f>HYPERLINK("https://twitter.com/nicolaikr","@nicolaikr")</f>
        <v>@nicolaikr</v>
      </c>
      <c r="C3159" s="9" t="s">
        <v>761</v>
      </c>
      <c r="D3159" s="9" t="s">
        <v>5317</v>
      </c>
      <c r="E3159" s="10" t="str">
        <f>HYPERLINK("https://twitter.com/nicolaikr/status/724193984667619328","724193984667619328")</f>
        <v>724193984667619328</v>
      </c>
      <c r="F3159" s="11" t="s">
        <v>20</v>
      </c>
      <c r="G3159" s="11">
        <v>581</v>
      </c>
      <c r="H3159" s="11">
        <v>335</v>
      </c>
      <c r="I3159" s="11">
        <v>1</v>
      </c>
      <c r="J3159" s="11">
        <v>0</v>
      </c>
      <c r="K3159" s="11" t="s">
        <v>21</v>
      </c>
      <c r="L3159" s="7">
        <v>40015.864930555559</v>
      </c>
      <c r="M3159" s="12" t="s">
        <v>762</v>
      </c>
      <c r="N3159" s="12" t="s">
        <v>763</v>
      </c>
      <c r="O3159" s="10" t="str">
        <f>HYPERLINK("https://pbs.twimg.com/profile_images/709356351768686592/BWnChYSq_normal.jpg","View")</f>
        <v>View</v>
      </c>
      <c r="P3159" s="11"/>
    </row>
    <row r="3160" spans="1:16" ht="12.75" x14ac:dyDescent="0.35">
      <c r="A3160" s="7">
        <v>42484.696018518516</v>
      </c>
      <c r="B3160" s="8" t="str">
        <f>HYPERLINK("https://twitter.com/wirtschaft_msl","@wirtschaft_msl")</f>
        <v>@wirtschaft_msl</v>
      </c>
      <c r="C3160" s="9" t="s">
        <v>5318</v>
      </c>
      <c r="D3160" s="9" t="s">
        <v>5319</v>
      </c>
      <c r="E3160" s="10" t="str">
        <f>HYPERLINK("https://twitter.com/wirtschaft_msl/status/724194240494993408","724194240494993408")</f>
        <v>724194240494993408</v>
      </c>
      <c r="F3160" s="11" t="s">
        <v>25</v>
      </c>
      <c r="G3160" s="11">
        <v>29</v>
      </c>
      <c r="H3160" s="11">
        <v>43</v>
      </c>
      <c r="I3160" s="11">
        <v>0</v>
      </c>
      <c r="J3160" s="11">
        <v>0</v>
      </c>
      <c r="K3160" s="11" t="s">
        <v>21</v>
      </c>
      <c r="L3160" s="7">
        <v>40577.800613425927</v>
      </c>
      <c r="M3160" s="12" t="s">
        <v>5320</v>
      </c>
      <c r="N3160" s="12" t="s">
        <v>5321</v>
      </c>
      <c r="O3160" s="10" t="str">
        <f>HYPERLINK("https://pbs.twimg.com/profile_images/717312614456500224/5vZuHX_n_normal.jpg","View")</f>
        <v>View</v>
      </c>
      <c r="P3160" s="11"/>
    </row>
    <row r="3161" spans="1:16" ht="12.75" x14ac:dyDescent="0.35">
      <c r="A3161" s="7">
        <v>42484.697569444441</v>
      </c>
      <c r="B3161" s="8" t="str">
        <f>HYPERLINK("https://twitter.com/KPMG_DE","@KPMG_DE")</f>
        <v>@KPMG_DE</v>
      </c>
      <c r="C3161" s="9" t="s">
        <v>129</v>
      </c>
      <c r="D3161" s="9" t="s">
        <v>5322</v>
      </c>
      <c r="E3161" s="10" t="str">
        <f>HYPERLINK("https://twitter.com/KPMG_DE/status/724194801906802689","724194801906802689")</f>
        <v>724194801906802689</v>
      </c>
      <c r="F3161" s="11" t="s">
        <v>31</v>
      </c>
      <c r="G3161" s="11">
        <v>7635</v>
      </c>
      <c r="H3161" s="11">
        <v>1310</v>
      </c>
      <c r="I3161" s="11">
        <v>1</v>
      </c>
      <c r="J3161" s="11">
        <v>0</v>
      </c>
      <c r="K3161" s="11" t="s">
        <v>21</v>
      </c>
      <c r="L3161" s="7">
        <v>39937.687476851854</v>
      </c>
      <c r="M3161" s="12" t="s">
        <v>92</v>
      </c>
      <c r="N3161" s="12" t="s">
        <v>131</v>
      </c>
      <c r="O3161" s="10" t="str">
        <f>HYPERLINK("https://pbs.twimg.com/profile_images/672817485134045185/q-VTXmOg_normal.jpg","View")</f>
        <v>View</v>
      </c>
      <c r="P3161" s="11"/>
    </row>
    <row r="3162" spans="1:16" ht="12.75" x14ac:dyDescent="0.35">
      <c r="A3162" s="7">
        <v>42484.697731481487</v>
      </c>
      <c r="B3162" s="8" t="str">
        <f>HYPERLINK("https://twitter.com/herg4711","@herg4711")</f>
        <v>@herg4711</v>
      </c>
      <c r="C3162" s="9" t="s">
        <v>5323</v>
      </c>
      <c r="D3162" s="9" t="s">
        <v>4973</v>
      </c>
      <c r="E3162" s="10" t="str">
        <f>HYPERLINK("https://twitter.com/herg4711/status/724194863298818048","724194863298818048")</f>
        <v>724194863298818048</v>
      </c>
      <c r="F3162" s="11" t="s">
        <v>31</v>
      </c>
      <c r="G3162" s="11">
        <v>452</v>
      </c>
      <c r="H3162" s="11">
        <v>368</v>
      </c>
      <c r="I3162" s="11">
        <v>3</v>
      </c>
      <c r="J3162" s="11">
        <v>0</v>
      </c>
      <c r="K3162" s="11" t="s">
        <v>21</v>
      </c>
      <c r="L3162" s="7">
        <v>39920.706273148149</v>
      </c>
      <c r="M3162" s="12" t="s">
        <v>5324</v>
      </c>
      <c r="N3162" s="12" t="s">
        <v>5325</v>
      </c>
      <c r="O3162" s="10" t="str">
        <f>HYPERLINK("https://pbs.twimg.com/profile_images/720258876004777984/WWMnLPCN_normal.jpg","View")</f>
        <v>View</v>
      </c>
      <c r="P3162" s="11"/>
    </row>
    <row r="3163" spans="1:16" ht="12.75" x14ac:dyDescent="0.35">
      <c r="A3163" s="7">
        <v>42484.698078703703</v>
      </c>
      <c r="B3163" s="8" t="str">
        <f>HYPERLINK("https://twitter.com/FERCHAU","@FERCHAU")</f>
        <v>@FERCHAU</v>
      </c>
      <c r="C3163" s="9" t="s">
        <v>4114</v>
      </c>
      <c r="D3163" s="9" t="s">
        <v>5326</v>
      </c>
      <c r="E3163" s="10" t="str">
        <f>HYPERLINK("https://twitter.com/FERCHAU/status/724194986607161344","724194986607161344")</f>
        <v>724194986607161344</v>
      </c>
      <c r="F3163" s="11" t="s">
        <v>39</v>
      </c>
      <c r="G3163" s="11">
        <v>4451</v>
      </c>
      <c r="H3163" s="11">
        <v>1006</v>
      </c>
      <c r="I3163" s="11">
        <v>0</v>
      </c>
      <c r="J3163" s="11">
        <v>0</v>
      </c>
      <c r="K3163" s="11" t="s">
        <v>21</v>
      </c>
      <c r="L3163" s="7">
        <v>39913.98238425926</v>
      </c>
      <c r="M3163" s="12" t="s">
        <v>92</v>
      </c>
      <c r="N3163" s="12" t="s">
        <v>4116</v>
      </c>
      <c r="O3163" s="10" t="str">
        <f>HYPERLINK("https://pbs.twimg.com/profile_images/473462374200909824/EVvRwnqG_normal.jpeg","View")</f>
        <v>View</v>
      </c>
      <c r="P3163" s="11"/>
    </row>
    <row r="3164" spans="1:16" ht="12.75" x14ac:dyDescent="0.35">
      <c r="A3164" s="7">
        <v>42484.699328703704</v>
      </c>
      <c r="B3164" s="8" t="str">
        <f>HYPERLINK("https://twitter.com/BoschGlobal","@BoschGlobal")</f>
        <v>@BoschGlobal</v>
      </c>
      <c r="C3164" s="9" t="s">
        <v>1900</v>
      </c>
      <c r="D3164" s="9" t="s">
        <v>5327</v>
      </c>
      <c r="E3164" s="10" t="str">
        <f>HYPERLINK("https://twitter.com/BoschGlobal/status/724195442288775168","724195442288775168")</f>
        <v>724195442288775168</v>
      </c>
      <c r="F3164" s="11" t="s">
        <v>115</v>
      </c>
      <c r="G3164" s="11">
        <v>127909</v>
      </c>
      <c r="H3164" s="11">
        <v>274</v>
      </c>
      <c r="I3164" s="11">
        <v>2</v>
      </c>
      <c r="J3164" s="11">
        <v>1</v>
      </c>
      <c r="K3164" s="11" t="s">
        <v>21</v>
      </c>
      <c r="L3164" s="7">
        <v>40500.720520833333</v>
      </c>
      <c r="M3164" s="12" t="s">
        <v>162</v>
      </c>
      <c r="N3164" s="12" t="s">
        <v>1902</v>
      </c>
      <c r="O3164" s="10" t="str">
        <f>HYPERLINK("https://pbs.twimg.com/profile_images/1521890851/logo_normal.jpg","View")</f>
        <v>View</v>
      </c>
      <c r="P3164" s="11"/>
    </row>
    <row r="3165" spans="1:16" ht="12.75" x14ac:dyDescent="0.35">
      <c r="A3165" s="7">
        <v>42484.700798611113</v>
      </c>
      <c r="B3165" s="8" t="str">
        <f>HYPERLINK("https://twitter.com/Dzianis_Yf","@Dzianis_Yf")</f>
        <v>@Dzianis_Yf</v>
      </c>
      <c r="C3165" s="9" t="s">
        <v>5328</v>
      </c>
      <c r="D3165" s="9" t="s">
        <v>5329</v>
      </c>
      <c r="E3165" s="10" t="str">
        <f>HYPERLINK("https://twitter.com/Dzianis_Yf/status/724195973292036096","724195973292036096")</f>
        <v>724195973292036096</v>
      </c>
      <c r="F3165" s="11" t="s">
        <v>25</v>
      </c>
      <c r="G3165" s="11">
        <v>744</v>
      </c>
      <c r="H3165" s="11">
        <v>1012</v>
      </c>
      <c r="I3165" s="11">
        <v>2</v>
      </c>
      <c r="J3165" s="11">
        <v>0</v>
      </c>
      <c r="K3165" s="11" t="s">
        <v>21</v>
      </c>
      <c r="L3165" s="7">
        <v>42464.625763888893</v>
      </c>
      <c r="M3165" s="12" t="s">
        <v>5330</v>
      </c>
      <c r="N3165" s="12" t="s">
        <v>5331</v>
      </c>
      <c r="O3165" s="10" t="str">
        <f>HYPERLINK("https://pbs.twimg.com/profile_images/716922653823533056/KQM-iyE__normal.jpg","View")</f>
        <v>View</v>
      </c>
      <c r="P3165" s="11"/>
    </row>
    <row r="3166" spans="1:16" ht="12.75" x14ac:dyDescent="0.35">
      <c r="A3166" s="7">
        <v>42484.70521990741</v>
      </c>
      <c r="B3166" s="8" t="str">
        <f>HYPERLINK("https://twitter.com/H_IT_D","@H_IT_D")</f>
        <v>@H_IT_D</v>
      </c>
      <c r="C3166" s="9" t="s">
        <v>159</v>
      </c>
      <c r="D3166" s="9" t="s">
        <v>5332</v>
      </c>
      <c r="E3166" s="10" t="str">
        <f>HYPERLINK("https://twitter.com/H_IT_D/status/724197574861692929","724197574861692929")</f>
        <v>724197574861692929</v>
      </c>
      <c r="F3166" s="11" t="s">
        <v>161</v>
      </c>
      <c r="G3166" s="11">
        <v>473</v>
      </c>
      <c r="H3166" s="11">
        <v>466</v>
      </c>
      <c r="I3166" s="11">
        <v>0</v>
      </c>
      <c r="J3166" s="11">
        <v>0</v>
      </c>
      <c r="K3166" s="11" t="s">
        <v>21</v>
      </c>
      <c r="L3166" s="7">
        <v>40723.867673611108</v>
      </c>
      <c r="M3166" s="12" t="s">
        <v>162</v>
      </c>
      <c r="N3166" s="12" t="s">
        <v>163</v>
      </c>
      <c r="O3166" s="10" t="str">
        <f>HYPERLINK("https://pbs.twimg.com/profile_images/662723326096224256/5V4KH9_O_normal.jpg","View")</f>
        <v>View</v>
      </c>
      <c r="P3166" s="11"/>
    </row>
    <row r="3167" spans="1:16" ht="12.75" x14ac:dyDescent="0.35">
      <c r="A3167" s="7">
        <v>42484.711655092593</v>
      </c>
      <c r="B3167" s="8" t="str">
        <f>HYPERLINK("https://twitter.com/Motorious_Cafe","@Motorious_Cafe")</f>
        <v>@Motorious_Cafe</v>
      </c>
      <c r="C3167" s="9" t="s">
        <v>5333</v>
      </c>
      <c r="D3167" s="9" t="s">
        <v>5329</v>
      </c>
      <c r="E3167" s="10" t="str">
        <f>HYPERLINK("https://twitter.com/Motorious_Cafe/status/724199907637231616","724199907637231616")</f>
        <v>724199907637231616</v>
      </c>
      <c r="F3167" s="11" t="s">
        <v>20</v>
      </c>
      <c r="G3167" s="11">
        <v>32</v>
      </c>
      <c r="H3167" s="11">
        <v>36</v>
      </c>
      <c r="I3167" s="11">
        <v>5</v>
      </c>
      <c r="J3167" s="11">
        <v>0</v>
      </c>
      <c r="K3167" s="11" t="s">
        <v>21</v>
      </c>
      <c r="L3167" s="7">
        <v>42367.076851851853</v>
      </c>
      <c r="M3167" s="12" t="s">
        <v>5334</v>
      </c>
      <c r="N3167" s="12" t="s">
        <v>5335</v>
      </c>
      <c r="O3167" s="10" t="str">
        <f>HYPERLINK("https://pbs.twimg.com/profile_images/714784847986823168/CGqBEzx2_normal.jpg","View")</f>
        <v>View</v>
      </c>
      <c r="P3167" s="11"/>
    </row>
    <row r="3168" spans="1:16" ht="12.75" x14ac:dyDescent="0.35">
      <c r="A3168" s="7">
        <v>42484.718136574069</v>
      </c>
      <c r="B3168" s="8" t="str">
        <f>HYPERLINK("https://twitter.com/Daniela_Fasano_","@Daniela_Fasano_")</f>
        <v>@Daniela_Fasano_</v>
      </c>
      <c r="C3168" s="9" t="s">
        <v>5336</v>
      </c>
      <c r="D3168" s="9" t="s">
        <v>5329</v>
      </c>
      <c r="E3168" s="10" t="str">
        <f>HYPERLINK("https://twitter.com/Daniela_Fasano_/status/724202257143717888","724202257143717888")</f>
        <v>724202257143717888</v>
      </c>
      <c r="F3168" s="11" t="s">
        <v>31</v>
      </c>
      <c r="G3168" s="11">
        <v>163</v>
      </c>
      <c r="H3168" s="11">
        <v>206</v>
      </c>
      <c r="I3168" s="11">
        <v>5</v>
      </c>
      <c r="J3168" s="11">
        <v>0</v>
      </c>
      <c r="K3168" s="11" t="s">
        <v>21</v>
      </c>
      <c r="L3168" s="7">
        <v>41758.848449074074</v>
      </c>
      <c r="M3168" s="12"/>
      <c r="N3168" s="12" t="s">
        <v>5337</v>
      </c>
      <c r="O3168" s="10" t="str">
        <f>HYPERLINK("https://pbs.twimg.com/profile_images/461160007162019840/g_znRn8e_normal.jpeg","View")</f>
        <v>View</v>
      </c>
      <c r="P3168" s="11"/>
    </row>
    <row r="3169" spans="1:16" ht="12.75" x14ac:dyDescent="0.35">
      <c r="A3169" s="7">
        <v>42484.718958333338</v>
      </c>
      <c r="B3169" s="8" t="str">
        <f>HYPERLINK("https://twitter.com/ICV_llc","@ICV_llc")</f>
        <v>@ICV_llc</v>
      </c>
      <c r="C3169" s="9" t="s">
        <v>5338</v>
      </c>
      <c r="D3169" s="9" t="s">
        <v>5329</v>
      </c>
      <c r="E3169" s="10" t="str">
        <f>HYPERLINK("https://twitter.com/ICV_llc/status/724202554133979136","724202554133979136")</f>
        <v>724202554133979136</v>
      </c>
      <c r="F3169" s="11" t="s">
        <v>20</v>
      </c>
      <c r="G3169" s="11">
        <v>72</v>
      </c>
      <c r="H3169" s="11">
        <v>55</v>
      </c>
      <c r="I3169" s="11">
        <v>5</v>
      </c>
      <c r="J3169" s="11">
        <v>0</v>
      </c>
      <c r="K3169" s="11" t="s">
        <v>21</v>
      </c>
      <c r="L3169" s="7">
        <v>42128.147476851853</v>
      </c>
      <c r="M3169" s="12" t="s">
        <v>5339</v>
      </c>
      <c r="N3169" s="12" t="s">
        <v>5340</v>
      </c>
      <c r="O3169" s="10" t="str">
        <f>HYPERLINK("https://pbs.twimg.com/profile_images/716065899481075713/7tnVg9KH_normal.jpg","View")</f>
        <v>View</v>
      </c>
      <c r="P3169" s="11"/>
    </row>
    <row r="3170" spans="1:16" ht="12.75" x14ac:dyDescent="0.35">
      <c r="A3170" s="7">
        <v>42484.722881944443</v>
      </c>
      <c r="B3170" s="8" t="str">
        <f>HYPERLINK("https://twitter.com/DCAI4online","@DCAI4online")</f>
        <v>@DCAI4online</v>
      </c>
      <c r="C3170" s="9" t="s">
        <v>2275</v>
      </c>
      <c r="D3170" s="9" t="s">
        <v>5341</v>
      </c>
      <c r="E3170" s="10" t="str">
        <f>HYPERLINK("https://twitter.com/DCAI4online/status/724203975214567424","724203975214567424")</f>
        <v>724203975214567424</v>
      </c>
      <c r="F3170" s="11" t="s">
        <v>1997</v>
      </c>
      <c r="G3170" s="11">
        <v>236</v>
      </c>
      <c r="H3170" s="11">
        <v>203</v>
      </c>
      <c r="I3170" s="11">
        <v>0</v>
      </c>
      <c r="J3170" s="11">
        <v>0</v>
      </c>
      <c r="K3170" s="11" t="s">
        <v>21</v>
      </c>
      <c r="L3170" s="7">
        <v>42333.634699074071</v>
      </c>
      <c r="M3170" s="12" t="s">
        <v>581</v>
      </c>
      <c r="N3170" s="12" t="s">
        <v>2276</v>
      </c>
      <c r="O3170" s="10" t="str">
        <f>HYPERLINK("https://pbs.twimg.com/profile_images/669471279158796288/iXgOCW46_normal.jpg","View")</f>
        <v>View</v>
      </c>
      <c r="P3170" s="11"/>
    </row>
    <row r="3171" spans="1:16" ht="12.75" x14ac:dyDescent="0.35">
      <c r="A3171" s="7">
        <v>42484.728831018518</v>
      </c>
      <c r="B3171" s="8" t="str">
        <f>HYPERLINK("https://twitter.com/Martin_Demel","@Martin_Demel")</f>
        <v>@Martin_Demel</v>
      </c>
      <c r="C3171" s="9" t="s">
        <v>5342</v>
      </c>
      <c r="D3171" s="9" t="s">
        <v>4258</v>
      </c>
      <c r="E3171" s="10" t="str">
        <f>HYPERLINK("https://twitter.com/Martin_Demel/status/724206130709291008","724206130709291008")</f>
        <v>724206130709291008</v>
      </c>
      <c r="F3171" s="11" t="s">
        <v>31</v>
      </c>
      <c r="G3171" s="11">
        <v>19</v>
      </c>
      <c r="H3171" s="11">
        <v>54</v>
      </c>
      <c r="I3171" s="11">
        <v>3</v>
      </c>
      <c r="J3171" s="11">
        <v>0</v>
      </c>
      <c r="K3171" s="11" t="s">
        <v>21</v>
      </c>
      <c r="L3171" s="7">
        <v>40659.032152777778</v>
      </c>
      <c r="M3171" s="12" t="s">
        <v>5343</v>
      </c>
      <c r="N3171" s="12"/>
      <c r="O3171" s="10" t="str">
        <f>HYPERLINK("https://pbs.twimg.com/profile_images/3020224163/dd9be06125f57cfbdc462d4a984befa5_normal.jpeg","View")</f>
        <v>View</v>
      </c>
      <c r="P3171" s="11"/>
    </row>
    <row r="3172" spans="1:16" ht="12.75" x14ac:dyDescent="0.35">
      <c r="A3172" s="7">
        <v>42484.729178240741</v>
      </c>
      <c r="B3172" s="8" t="str">
        <f>HYPERLINK("https://twitter.com/QuickFindsIn","@QuickFindsIn")</f>
        <v>@QuickFindsIn</v>
      </c>
      <c r="C3172" s="9" t="s">
        <v>208</v>
      </c>
      <c r="D3172" s="9" t="s">
        <v>452</v>
      </c>
      <c r="E3172" s="10" t="str">
        <f>HYPERLINK("https://twitter.com/QuickFindsIn/status/724206257851109376","724206257851109376")</f>
        <v>724206257851109376</v>
      </c>
      <c r="F3172" s="11" t="s">
        <v>210</v>
      </c>
      <c r="G3172" s="11">
        <v>2033</v>
      </c>
      <c r="H3172" s="11">
        <v>2901</v>
      </c>
      <c r="I3172" s="11">
        <v>0</v>
      </c>
      <c r="J3172" s="11">
        <v>0</v>
      </c>
      <c r="K3172" s="11" t="s">
        <v>21</v>
      </c>
      <c r="L3172" s="7">
        <v>42069.582048611112</v>
      </c>
      <c r="M3172" s="12" t="s">
        <v>211</v>
      </c>
      <c r="N3172" s="12" t="s">
        <v>212</v>
      </c>
      <c r="O3172" s="10" t="str">
        <f>HYPERLINK("https://pbs.twimg.com/profile_images/591951396217327616/HbcCX2zX_normal.png","View")</f>
        <v>View</v>
      </c>
      <c r="P3172" s="11"/>
    </row>
    <row r="3173" spans="1:16" ht="12.75" x14ac:dyDescent="0.35">
      <c r="A3173" s="7">
        <v>42484.732002314813</v>
      </c>
      <c r="B3173" s="8" t="str">
        <f>HYPERLINK("https://twitter.com/RolandBent","@RolandBent")</f>
        <v>@RolandBent</v>
      </c>
      <c r="C3173" s="9" t="s">
        <v>1272</v>
      </c>
      <c r="D3173" s="9" t="s">
        <v>5344</v>
      </c>
      <c r="E3173" s="10" t="str">
        <f>HYPERLINK("https://twitter.com/RolandBent/status/724207279432732673","724207279432732673")</f>
        <v>724207279432732673</v>
      </c>
      <c r="F3173" s="11" t="s">
        <v>31</v>
      </c>
      <c r="G3173" s="11">
        <v>505</v>
      </c>
      <c r="H3173" s="11">
        <v>235</v>
      </c>
      <c r="I3173" s="11">
        <v>0</v>
      </c>
      <c r="J3173" s="11">
        <v>0</v>
      </c>
      <c r="K3173" s="11" t="s">
        <v>21</v>
      </c>
      <c r="L3173" s="7">
        <v>41733.564432870371</v>
      </c>
      <c r="M3173" s="12" t="s">
        <v>1273</v>
      </c>
      <c r="N3173" s="12" t="s">
        <v>1274</v>
      </c>
      <c r="O3173" s="10" t="str">
        <f>HYPERLINK("https://pbs.twimg.com/profile_images/451994816889360385/SYPpc3iI_normal.jpeg","View")</f>
        <v>View</v>
      </c>
      <c r="P3173" s="11"/>
    </row>
    <row r="3174" spans="1:16" ht="12.75" x14ac:dyDescent="0.35">
      <c r="A3174" s="7">
        <v>42484.732060185182</v>
      </c>
      <c r="B3174" s="8" t="str">
        <f>HYPERLINK("https://twitter.com/SelbmannSimone","@SelbmannSimone")</f>
        <v>@SelbmannSimone</v>
      </c>
      <c r="C3174" s="9" t="s">
        <v>5345</v>
      </c>
      <c r="D3174" s="9" t="s">
        <v>5297</v>
      </c>
      <c r="E3174" s="10" t="str">
        <f>HYPERLINK("https://twitter.com/SelbmannSimone/status/724207302925029376","724207302925029376")</f>
        <v>724207302925029376</v>
      </c>
      <c r="F3174" s="11" t="s">
        <v>20</v>
      </c>
      <c r="G3174" s="11">
        <v>92</v>
      </c>
      <c r="H3174" s="11">
        <v>208</v>
      </c>
      <c r="I3174" s="11">
        <v>3</v>
      </c>
      <c r="J3174" s="11">
        <v>0</v>
      </c>
      <c r="K3174" s="11" t="s">
        <v>21</v>
      </c>
      <c r="L3174" s="7">
        <v>41948.01966435185</v>
      </c>
      <c r="M3174" s="12" t="s">
        <v>5346</v>
      </c>
      <c r="N3174" s="12" t="s">
        <v>5347</v>
      </c>
      <c r="O3174" s="10" t="str">
        <f>HYPERLINK("https://pbs.twimg.com/profile_images/692403173802274816/HYrFPo6f_normal.jpg","View")</f>
        <v>View</v>
      </c>
      <c r="P3174" s="11"/>
    </row>
    <row r="3175" spans="1:16" ht="12.75" x14ac:dyDescent="0.35">
      <c r="A3175" s="7">
        <v>42484.733530092592</v>
      </c>
      <c r="B3175" s="8" t="str">
        <f>HYPERLINK("https://twitter.com/MiceliMarcello","@MiceliMarcello")</f>
        <v>@MiceliMarcello</v>
      </c>
      <c r="C3175" s="9" t="s">
        <v>5348</v>
      </c>
      <c r="D3175" s="9" t="s">
        <v>4927</v>
      </c>
      <c r="E3175" s="10" t="str">
        <f>HYPERLINK("https://twitter.com/MiceliMarcello/status/724207833168928768","724207833168928768")</f>
        <v>724207833168928768</v>
      </c>
      <c r="F3175" s="11" t="s">
        <v>31</v>
      </c>
      <c r="G3175" s="11">
        <v>7</v>
      </c>
      <c r="H3175" s="11">
        <v>28</v>
      </c>
      <c r="I3175" s="11">
        <v>7</v>
      </c>
      <c r="J3175" s="11">
        <v>0</v>
      </c>
      <c r="K3175" s="11" t="s">
        <v>21</v>
      </c>
      <c r="L3175" s="7">
        <v>42144.553287037037</v>
      </c>
      <c r="M3175" s="12"/>
      <c r="N3175" s="12"/>
      <c r="O3175" s="10" t="str">
        <f>HYPERLINK("https://pbs.twimg.com/profile_images/600931948937220096/eFgywrzm_normal.jpg","View")</f>
        <v>View</v>
      </c>
      <c r="P3175" s="11"/>
    </row>
    <row r="3176" spans="1:16" ht="12.75" x14ac:dyDescent="0.35">
      <c r="A3176" s="7">
        <v>42484.736435185187</v>
      </c>
      <c r="B3176" s="8" t="str">
        <f>HYPERLINK("https://twitter.com/RiemenspergerF","@RiemenspergerF")</f>
        <v>@RiemenspergerF</v>
      </c>
      <c r="C3176" s="9" t="s">
        <v>3917</v>
      </c>
      <c r="D3176" s="9" t="s">
        <v>5349</v>
      </c>
      <c r="E3176" s="10" t="str">
        <f>HYPERLINK("https://twitter.com/RiemenspergerF/status/724208888334135296","724208888334135296")</f>
        <v>724208888334135296</v>
      </c>
      <c r="F3176" s="11" t="s">
        <v>31</v>
      </c>
      <c r="G3176" s="11">
        <v>553</v>
      </c>
      <c r="H3176" s="11">
        <v>240</v>
      </c>
      <c r="I3176" s="11">
        <v>0</v>
      </c>
      <c r="J3176" s="11">
        <v>3</v>
      </c>
      <c r="K3176" s="11" t="s">
        <v>21</v>
      </c>
      <c r="L3176" s="7">
        <v>41587.558495370373</v>
      </c>
      <c r="M3176" s="12" t="s">
        <v>3919</v>
      </c>
      <c r="N3176" s="12" t="s">
        <v>3920</v>
      </c>
      <c r="O3176" s="10" t="str">
        <f>HYPERLINK("https://pbs.twimg.com/profile_images/692360292546842624/MNSepg8N_normal.jpg","View")</f>
        <v>View</v>
      </c>
      <c r="P3176" s="11"/>
    </row>
    <row r="3177" spans="1:16" ht="12.75" x14ac:dyDescent="0.35">
      <c r="A3177" s="7">
        <v>42484.736967592587</v>
      </c>
      <c r="B3177" s="8" t="str">
        <f>HYPERLINK("https://twitter.com/SimonDueckert","@SimonDueckert")</f>
        <v>@SimonDueckert</v>
      </c>
      <c r="C3177" s="9" t="s">
        <v>5350</v>
      </c>
      <c r="D3177" s="9" t="s">
        <v>5351</v>
      </c>
      <c r="E3177" s="10" t="str">
        <f>HYPERLINK("https://twitter.com/SimonDueckert/status/724209080382967808","724209080382967808")</f>
        <v>724209080382967808</v>
      </c>
      <c r="F3177" s="11" t="s">
        <v>31</v>
      </c>
      <c r="G3177" s="11">
        <v>1263</v>
      </c>
      <c r="H3177" s="11">
        <v>268</v>
      </c>
      <c r="I3177" s="11">
        <v>0</v>
      </c>
      <c r="J3177" s="11">
        <v>0</v>
      </c>
      <c r="K3177" s="11" t="s">
        <v>21</v>
      </c>
      <c r="L3177" s="7">
        <v>39338.677060185189</v>
      </c>
      <c r="M3177" s="12" t="s">
        <v>5352</v>
      </c>
      <c r="N3177" s="12" t="s">
        <v>5353</v>
      </c>
      <c r="O3177" s="10" t="str">
        <f>HYPERLINK("https://pbs.twimg.com/profile_images/459419068546564097/es5HC_rO_normal.png","View")</f>
        <v>View</v>
      </c>
      <c r="P3177" s="11"/>
    </row>
    <row r="3178" spans="1:16" ht="12.75" x14ac:dyDescent="0.35">
      <c r="A3178" s="7">
        <v>42484.738206018519</v>
      </c>
      <c r="B3178" s="8" t="str">
        <f>HYPERLINK("https://twitter.com/CarstenDierig","@CarstenDierig")</f>
        <v>@CarstenDierig</v>
      </c>
      <c r="C3178" s="9" t="s">
        <v>4832</v>
      </c>
      <c r="D3178" s="9" t="s">
        <v>5354</v>
      </c>
      <c r="E3178" s="10" t="str">
        <f>HYPERLINK("https://twitter.com/CarstenDierig/status/724209530767310848","724209530767310848")</f>
        <v>724209530767310848</v>
      </c>
      <c r="F3178" s="11" t="s">
        <v>31</v>
      </c>
      <c r="G3178" s="11">
        <v>365</v>
      </c>
      <c r="H3178" s="11">
        <v>150</v>
      </c>
      <c r="I3178" s="11">
        <v>0</v>
      </c>
      <c r="J3178" s="11">
        <v>0</v>
      </c>
      <c r="K3178" s="11" t="s">
        <v>21</v>
      </c>
      <c r="L3178" s="7">
        <v>41824.744340277779</v>
      </c>
      <c r="M3178" s="12"/>
      <c r="N3178" s="12" t="s">
        <v>4834</v>
      </c>
      <c r="O3178" s="10" t="str">
        <f>HYPERLINK("https://pbs.twimg.com/profile_images/486066079261655040/uyhY_MQH_normal.jpeg","View")</f>
        <v>View</v>
      </c>
      <c r="P3178" s="11"/>
    </row>
    <row r="3179" spans="1:16" ht="12.75" x14ac:dyDescent="0.35">
      <c r="A3179" s="7">
        <v>42484.738506944443</v>
      </c>
      <c r="B3179" s="8" t="str">
        <f>HYPERLINK("https://twitter.com/OOgbukagu","@OOgbukagu")</f>
        <v>@OOgbukagu</v>
      </c>
      <c r="C3179" s="9" t="s">
        <v>4855</v>
      </c>
      <c r="D3179" s="9" t="s">
        <v>5355</v>
      </c>
      <c r="E3179" s="10" t="str">
        <f>HYPERLINK("https://twitter.com/OOgbukagu/status/724209639768903681","724209639768903681")</f>
        <v>724209639768903681</v>
      </c>
      <c r="F3179" s="11" t="s">
        <v>31</v>
      </c>
      <c r="G3179" s="11">
        <v>103</v>
      </c>
      <c r="H3179" s="11">
        <v>79</v>
      </c>
      <c r="I3179" s="11">
        <v>0</v>
      </c>
      <c r="J3179" s="11">
        <v>0</v>
      </c>
      <c r="K3179" s="11" t="s">
        <v>21</v>
      </c>
      <c r="L3179" s="7">
        <v>41162.946967592594</v>
      </c>
      <c r="M3179" s="12" t="s">
        <v>752</v>
      </c>
      <c r="N3179" s="12" t="s">
        <v>4856</v>
      </c>
      <c r="O3179" s="10" t="str">
        <f>HYPERLINK("https://pbs.twimg.com/profile_images/466860381533515776/jiQ9EbK1_normal.jpeg","View")</f>
        <v>View</v>
      </c>
      <c r="P3179" s="11"/>
    </row>
    <row r="3180" spans="1:16" ht="12.75" x14ac:dyDescent="0.35">
      <c r="A3180" s="7">
        <v>42484.742812500001</v>
      </c>
      <c r="B3180" s="8" t="str">
        <f>HYPERLINK("https://twitter.com/MarkusWoehl","@MarkusWoehl")</f>
        <v>@MarkusWoehl</v>
      </c>
      <c r="C3180" s="9" t="s">
        <v>5356</v>
      </c>
      <c r="D3180" s="9" t="s">
        <v>5357</v>
      </c>
      <c r="E3180" s="10" t="str">
        <f>HYPERLINK("https://twitter.com/MarkusWoehl/status/724211197353046016","724211197353046016")</f>
        <v>724211197353046016</v>
      </c>
      <c r="F3180" s="11" t="s">
        <v>20</v>
      </c>
      <c r="G3180" s="11">
        <v>24</v>
      </c>
      <c r="H3180" s="11">
        <v>60</v>
      </c>
      <c r="I3180" s="11">
        <v>1</v>
      </c>
      <c r="J3180" s="11">
        <v>0</v>
      </c>
      <c r="K3180" s="11" t="s">
        <v>21</v>
      </c>
      <c r="L3180" s="7">
        <v>40645.671111111107</v>
      </c>
      <c r="M3180" s="12" t="s">
        <v>2741</v>
      </c>
      <c r="N3180" s="12"/>
      <c r="O3180" s="10" t="str">
        <f>HYPERLINK("https://pbs.twimg.com/profile_images/565176446037934080/ifc63zPY_normal.jpeg","View")</f>
        <v>View</v>
      </c>
      <c r="P3180" s="11"/>
    </row>
    <row r="3181" spans="1:16" ht="12.75" x14ac:dyDescent="0.35">
      <c r="A3181" s="7">
        <v>42484.743321759262</v>
      </c>
      <c r="B3181" s="8" t="str">
        <f>HYPERLINK("https://twitter.com/hannover_messe","@hannover_messe")</f>
        <v>@hannover_messe</v>
      </c>
      <c r="C3181" s="9" t="s">
        <v>1161</v>
      </c>
      <c r="D3181" s="9" t="s">
        <v>5358</v>
      </c>
      <c r="E3181" s="10" t="str">
        <f>HYPERLINK("https://twitter.com/hannover_messe/status/724211380862242816","724211380862242816")</f>
        <v>724211380862242816</v>
      </c>
      <c r="F3181" s="11" t="s">
        <v>29</v>
      </c>
      <c r="G3181" s="11">
        <v>17279</v>
      </c>
      <c r="H3181" s="11">
        <v>260</v>
      </c>
      <c r="I3181" s="11">
        <v>1</v>
      </c>
      <c r="J3181" s="11">
        <v>0</v>
      </c>
      <c r="K3181" s="11" t="s">
        <v>21</v>
      </c>
      <c r="L3181" s="7">
        <v>39878.916354166664</v>
      </c>
      <c r="M3181" s="12" t="s">
        <v>1163</v>
      </c>
      <c r="N3181" s="12" t="s">
        <v>1164</v>
      </c>
      <c r="O3181" s="10" t="str">
        <f>HYPERLINK("https://pbs.twimg.com/profile_images/685255985/Bild_2_normal.png","View")</f>
        <v>View</v>
      </c>
      <c r="P3181" s="11"/>
    </row>
    <row r="3182" spans="1:16" ht="12.75" x14ac:dyDescent="0.35">
      <c r="A3182" s="7">
        <v>42484.746574074074</v>
      </c>
      <c r="B3182" s="8" t="str">
        <f>HYPERLINK("https://twitter.com/Bitkom_I40","@Bitkom_I40")</f>
        <v>@Bitkom_I40</v>
      </c>
      <c r="C3182" s="9" t="s">
        <v>1857</v>
      </c>
      <c r="D3182" s="9" t="s">
        <v>5359</v>
      </c>
      <c r="E3182" s="10" t="str">
        <f>HYPERLINK("https://twitter.com/Bitkom_I40/status/724212559381852160","724212559381852160")</f>
        <v>724212559381852160</v>
      </c>
      <c r="F3182" s="11" t="s">
        <v>115</v>
      </c>
      <c r="G3182" s="11">
        <v>768</v>
      </c>
      <c r="H3182" s="11">
        <v>44</v>
      </c>
      <c r="I3182" s="11">
        <v>0</v>
      </c>
      <c r="J3182" s="11">
        <v>0</v>
      </c>
      <c r="K3182" s="11" t="s">
        <v>21</v>
      </c>
      <c r="L3182" s="7">
        <v>41613.773194444446</v>
      </c>
      <c r="M3182" s="12" t="s">
        <v>218</v>
      </c>
      <c r="N3182" s="12" t="s">
        <v>1860</v>
      </c>
      <c r="O3182" s="10" t="str">
        <f>HYPERLINK("https://pbs.twimg.com/profile_images/723407487395713024/0hZv7R8S_normal.jpg","View")</f>
        <v>View</v>
      </c>
      <c r="P3182" s="11"/>
    </row>
    <row r="3183" spans="1:16" ht="12.75" x14ac:dyDescent="0.35">
      <c r="A3183" s="7">
        <v>42484.753599537042</v>
      </c>
      <c r="B3183" s="8" t="str">
        <f>HYPERLINK("https://twitter.com/mpemediatwit","@mpemediatwit")</f>
        <v>@mpemediatwit</v>
      </c>
      <c r="C3183" s="9" t="s">
        <v>5360</v>
      </c>
      <c r="D3183" s="9" t="s">
        <v>5358</v>
      </c>
      <c r="E3183" s="10" t="str">
        <f>HYPERLINK("https://twitter.com/mpemediatwit/status/724215107677462528","724215107677462528")</f>
        <v>724215107677462528</v>
      </c>
      <c r="F3183" s="11" t="s">
        <v>31</v>
      </c>
      <c r="G3183" s="11">
        <v>313</v>
      </c>
      <c r="H3183" s="11">
        <v>592</v>
      </c>
      <c r="I3183" s="11">
        <v>2</v>
      </c>
      <c r="J3183" s="11">
        <v>0</v>
      </c>
      <c r="K3183" s="11" t="s">
        <v>21</v>
      </c>
      <c r="L3183" s="7">
        <v>41292.107430555552</v>
      </c>
      <c r="M3183" s="12" t="s">
        <v>88</v>
      </c>
      <c r="N3183" s="12" t="s">
        <v>5361</v>
      </c>
      <c r="O3183" s="10" t="str">
        <f>HYPERLINK("https://pbs.twimg.com/profile_images/468162248452485120/XpQk9Er4_normal.jpeg","View")</f>
        <v>View</v>
      </c>
      <c r="P3183" s="11"/>
    </row>
    <row r="3184" spans="1:16" ht="12.75" x14ac:dyDescent="0.35">
      <c r="A3184" s="7">
        <v>42484.758750000001</v>
      </c>
      <c r="B3184" s="8" t="str">
        <f>HYPERLINK("https://twitter.com/NiinaHaasola","@NiinaHaasola")</f>
        <v>@NiinaHaasola</v>
      </c>
      <c r="C3184" s="9" t="s">
        <v>5362</v>
      </c>
      <c r="D3184" s="9" t="s">
        <v>5329</v>
      </c>
      <c r="E3184" s="10" t="str">
        <f>HYPERLINK("https://twitter.com/NiinaHaasola/status/724216972808953857","724216972808953857")</f>
        <v>724216972808953857</v>
      </c>
      <c r="F3184" s="11" t="s">
        <v>31</v>
      </c>
      <c r="G3184" s="11">
        <v>113</v>
      </c>
      <c r="H3184" s="11">
        <v>255</v>
      </c>
      <c r="I3184" s="11">
        <v>7</v>
      </c>
      <c r="J3184" s="11">
        <v>0</v>
      </c>
      <c r="K3184" s="11" t="s">
        <v>21</v>
      </c>
      <c r="L3184" s="7">
        <v>41507.553356481483</v>
      </c>
      <c r="M3184" s="12" t="s">
        <v>5363</v>
      </c>
      <c r="N3184" s="12" t="s">
        <v>5364</v>
      </c>
      <c r="O3184" s="10" t="str">
        <f>HYPERLINK("https://pbs.twimg.com/profile_images/664870663304384512/Kiuf736S_normal.jpg","View")</f>
        <v>View</v>
      </c>
      <c r="P3184" s="11"/>
    </row>
    <row r="3185" spans="1:16" ht="12.75" x14ac:dyDescent="0.35">
      <c r="A3185" s="7">
        <v>42484.761365740742</v>
      </c>
      <c r="B3185" s="8" t="str">
        <f>HYPERLINK("https://twitter.com/Bitkom_I40","@Bitkom_I40")</f>
        <v>@Bitkom_I40</v>
      </c>
      <c r="C3185" s="9" t="s">
        <v>1857</v>
      </c>
      <c r="D3185" s="9" t="s">
        <v>5365</v>
      </c>
      <c r="E3185" s="10" t="str">
        <f>HYPERLINK("https://twitter.com/Bitkom_I40/status/724217921673814016","724217921673814016")</f>
        <v>724217921673814016</v>
      </c>
      <c r="F3185" s="11" t="s">
        <v>1859</v>
      </c>
      <c r="G3185" s="11">
        <v>768</v>
      </c>
      <c r="H3185" s="11">
        <v>44</v>
      </c>
      <c r="I3185" s="11">
        <v>0</v>
      </c>
      <c r="J3185" s="11">
        <v>0</v>
      </c>
      <c r="K3185" s="11" t="s">
        <v>21</v>
      </c>
      <c r="L3185" s="7">
        <v>41613.773194444446</v>
      </c>
      <c r="M3185" s="12" t="s">
        <v>218</v>
      </c>
      <c r="N3185" s="12" t="s">
        <v>1860</v>
      </c>
      <c r="O3185" s="10" t="str">
        <f>HYPERLINK("https://pbs.twimg.com/profile_images/723407487395713024/0hZv7R8S_normal.jpg","View")</f>
        <v>View</v>
      </c>
      <c r="P3185" s="11"/>
    </row>
    <row r="3186" spans="1:16" ht="12.75" x14ac:dyDescent="0.35">
      <c r="A3186" s="7">
        <v>42484.762476851851</v>
      </c>
      <c r="B3186" s="8" t="str">
        <f>HYPERLINK("https://twitter.com/EngineerComms","@EngineerComms")</f>
        <v>@EngineerComms</v>
      </c>
      <c r="C3186" s="9" t="s">
        <v>5366</v>
      </c>
      <c r="D3186" s="9" t="s">
        <v>5367</v>
      </c>
      <c r="E3186" s="10" t="str">
        <f>HYPERLINK("https://twitter.com/EngineerComms/status/724218326306660352","724218326306660352")</f>
        <v>724218326306660352</v>
      </c>
      <c r="F3186" s="11" t="s">
        <v>25</v>
      </c>
      <c r="G3186" s="11">
        <v>1549</v>
      </c>
      <c r="H3186" s="11">
        <v>1034</v>
      </c>
      <c r="I3186" s="11">
        <v>2</v>
      </c>
      <c r="J3186" s="11">
        <v>0</v>
      </c>
      <c r="K3186" s="11" t="s">
        <v>21</v>
      </c>
      <c r="L3186" s="7">
        <v>39432.145729166667</v>
      </c>
      <c r="M3186" s="12" t="s">
        <v>545</v>
      </c>
      <c r="N3186" s="12" t="s">
        <v>5368</v>
      </c>
      <c r="O3186" s="10" t="str">
        <f>HYPERLINK("https://pbs.twimg.com/profile_images/378800000698798371/91c11e1cc05d51e0068a8a5f1b5a114d_normal.jpeg","View")</f>
        <v>View</v>
      </c>
      <c r="P3186" s="11"/>
    </row>
    <row r="3187" spans="1:16" ht="12.75" x14ac:dyDescent="0.35">
      <c r="A3187" s="7">
        <v>42484.762939814813</v>
      </c>
      <c r="B3187" s="8" t="str">
        <f>HYPERLINK("https://twitter.com/CSGermany","@CSGermany")</f>
        <v>@CSGermany</v>
      </c>
      <c r="C3187" s="9" t="s">
        <v>3466</v>
      </c>
      <c r="D3187" s="9" t="s">
        <v>5369</v>
      </c>
      <c r="E3187" s="10" t="str">
        <f>HYPERLINK("https://twitter.com/CSGermany/status/724218491671318528","724218491671318528")</f>
        <v>724218491671318528</v>
      </c>
      <c r="F3187" s="11" t="s">
        <v>31</v>
      </c>
      <c r="G3187" s="11">
        <v>1725</v>
      </c>
      <c r="H3187" s="11">
        <v>848</v>
      </c>
      <c r="I3187" s="11">
        <v>0</v>
      </c>
      <c r="J3187" s="11">
        <v>0</v>
      </c>
      <c r="K3187" s="11" t="s">
        <v>21</v>
      </c>
      <c r="L3187" s="7">
        <v>39863.867141203707</v>
      </c>
      <c r="M3187" s="12" t="s">
        <v>121</v>
      </c>
      <c r="N3187" s="12" t="s">
        <v>3468</v>
      </c>
      <c r="O3187" s="10" t="str">
        <f>HYPERLINK("https://pbs.twimg.com/profile_images/518189608098869249/udoveSaH_normal.jpeg","View")</f>
        <v>View</v>
      </c>
      <c r="P3187" s="11"/>
    </row>
    <row r="3188" spans="1:16" ht="12.75" x14ac:dyDescent="0.35">
      <c r="A3188" s="7">
        <v>42484.763217592597</v>
      </c>
      <c r="B3188" s="8" t="str">
        <f>HYPERLINK("https://twitter.com/TrippBraden","@TrippBraden")</f>
        <v>@TrippBraden</v>
      </c>
      <c r="C3188" s="9" t="s">
        <v>5370</v>
      </c>
      <c r="D3188" s="9" t="s">
        <v>5367</v>
      </c>
      <c r="E3188" s="10" t="str">
        <f>HYPERLINK("https://twitter.com/TrippBraden/status/724218591864860672","724218591864860672")</f>
        <v>724218591864860672</v>
      </c>
      <c r="F3188" s="11" t="s">
        <v>115</v>
      </c>
      <c r="G3188" s="11">
        <v>16955</v>
      </c>
      <c r="H3188" s="11">
        <v>14911</v>
      </c>
      <c r="I3188" s="11">
        <v>2</v>
      </c>
      <c r="J3188" s="11">
        <v>0</v>
      </c>
      <c r="K3188" s="11" t="s">
        <v>21</v>
      </c>
      <c r="L3188" s="7">
        <v>39877.060428240744</v>
      </c>
      <c r="M3188" s="12" t="s">
        <v>5371</v>
      </c>
      <c r="N3188" s="12" t="s">
        <v>5372</v>
      </c>
      <c r="O3188" s="10" t="str">
        <f>HYPERLINK("https://pbs.twimg.com/profile_images/686262456126205952/wCla5uWm_normal.jpg","View")</f>
        <v>View</v>
      </c>
      <c r="P3188" s="11"/>
    </row>
    <row r="3189" spans="1:16" ht="12.75" x14ac:dyDescent="0.35">
      <c r="A3189" s="7">
        <v>42484.765578703707</v>
      </c>
      <c r="B3189" s="8" t="str">
        <f>HYPERLINK("https://twitter.com/Evetse","@Evetse")</f>
        <v>@Evetse</v>
      </c>
      <c r="C3189" s="9" t="s">
        <v>5373</v>
      </c>
      <c r="D3189" s="9" t="s">
        <v>5086</v>
      </c>
      <c r="E3189" s="10" t="str">
        <f>HYPERLINK("https://twitter.com/Evetse/status/724219450413748224","724219450413748224")</f>
        <v>724219450413748224</v>
      </c>
      <c r="F3189" s="11" t="s">
        <v>31</v>
      </c>
      <c r="G3189" s="11">
        <v>103</v>
      </c>
      <c r="H3189" s="11">
        <v>141</v>
      </c>
      <c r="I3189" s="11">
        <v>21</v>
      </c>
      <c r="J3189" s="11">
        <v>0</v>
      </c>
      <c r="K3189" s="11" t="s">
        <v>21</v>
      </c>
      <c r="L3189" s="7">
        <v>40165.872314814813</v>
      </c>
      <c r="M3189" s="12"/>
      <c r="N3189" s="12" t="s">
        <v>5374</v>
      </c>
      <c r="O3189" s="10" t="str">
        <f>HYPERLINK("https://pbs.twimg.com/profile_images/607471680647241728/QSYQ2ibq_normal.jpg","View")</f>
        <v>View</v>
      </c>
      <c r="P3189" s="11"/>
    </row>
    <row r="3190" spans="1:16" ht="12.75" x14ac:dyDescent="0.35">
      <c r="A3190" s="7">
        <v>42484.76667824074</v>
      </c>
      <c r="B3190" s="8" t="str">
        <f>HYPERLINK("https://twitter.com/WinfriedFelser","@WinfriedFelser")</f>
        <v>@WinfriedFelser</v>
      </c>
      <c r="C3190" s="9" t="s">
        <v>1334</v>
      </c>
      <c r="D3190" s="9" t="s">
        <v>5375</v>
      </c>
      <c r="E3190" s="10" t="str">
        <f>HYPERLINK("https://twitter.com/WinfriedFelser/status/724219847790436352","724219847790436352")</f>
        <v>724219847790436352</v>
      </c>
      <c r="F3190" s="11" t="s">
        <v>20</v>
      </c>
      <c r="G3190" s="11">
        <v>1142</v>
      </c>
      <c r="H3190" s="11">
        <v>1210</v>
      </c>
      <c r="I3190" s="11">
        <v>1</v>
      </c>
      <c r="J3190" s="11">
        <v>0</v>
      </c>
      <c r="K3190" s="11" t="s">
        <v>21</v>
      </c>
      <c r="L3190" s="7">
        <v>40263.993356481486</v>
      </c>
      <c r="M3190" s="12" t="s">
        <v>895</v>
      </c>
      <c r="N3190" s="12" t="s">
        <v>1336</v>
      </c>
      <c r="O3190" s="10" t="str">
        <f>HYPERLINK("https://pbs.twimg.com/profile_images/562193841587896321/nfd18Y4g_normal.jpeg","View")</f>
        <v>View</v>
      </c>
      <c r="P3190" s="11"/>
    </row>
    <row r="3191" spans="1:16" ht="12.75" x14ac:dyDescent="0.35">
      <c r="A3191" s="7">
        <v>42484.766898148147</v>
      </c>
      <c r="B3191" s="8" t="str">
        <f>HYPERLINK("https://twitter.com/westerbarkey","@westerbarkey")</f>
        <v>@westerbarkey</v>
      </c>
      <c r="C3191" s="9" t="s">
        <v>2404</v>
      </c>
      <c r="D3191" s="9" t="s">
        <v>5376</v>
      </c>
      <c r="E3191" s="10" t="str">
        <f>HYPERLINK("https://twitter.com/westerbarkey/status/724219926421098496","724219926421098496")</f>
        <v>724219926421098496</v>
      </c>
      <c r="F3191" s="11" t="s">
        <v>447</v>
      </c>
      <c r="G3191" s="11">
        <v>2853</v>
      </c>
      <c r="H3191" s="11">
        <v>1224</v>
      </c>
      <c r="I3191" s="11">
        <v>1</v>
      </c>
      <c r="J3191" s="11">
        <v>0</v>
      </c>
      <c r="K3191" s="11" t="s">
        <v>21</v>
      </c>
      <c r="L3191" s="7">
        <v>39815.702499999999</v>
      </c>
      <c r="M3191" s="12" t="s">
        <v>2405</v>
      </c>
      <c r="N3191" s="12" t="s">
        <v>2406</v>
      </c>
      <c r="O3191" s="10" t="str">
        <f>HYPERLINK("https://pbs.twimg.com/profile_images/691230711764893697/RnVw8ft4_normal.jpg","View")</f>
        <v>View</v>
      </c>
      <c r="P3191" s="11"/>
    </row>
    <row r="3192" spans="1:16" ht="12.75" x14ac:dyDescent="0.35">
      <c r="A3192" s="7">
        <v>42484.770486111112</v>
      </c>
      <c r="B3192" s="8" t="str">
        <f t="shared" ref="B3192:B3194" si="420">HYPERLINK("https://twitter.com/ElroyWonder","@ElroyWonder")</f>
        <v>@ElroyWonder</v>
      </c>
      <c r="C3192" s="9" t="s">
        <v>5377</v>
      </c>
      <c r="D3192" s="9" t="s">
        <v>5358</v>
      </c>
      <c r="E3192" s="10" t="str">
        <f>HYPERLINK("https://twitter.com/ElroyWonder/status/724221228760895488","724221228760895488")</f>
        <v>724221228760895488</v>
      </c>
      <c r="F3192" s="11" t="s">
        <v>20</v>
      </c>
      <c r="G3192" s="11">
        <v>1651</v>
      </c>
      <c r="H3192" s="11">
        <v>5001</v>
      </c>
      <c r="I3192" s="11">
        <v>3</v>
      </c>
      <c r="J3192" s="11">
        <v>0</v>
      </c>
      <c r="K3192" s="11" t="s">
        <v>21</v>
      </c>
      <c r="L3192" s="7">
        <v>42427.691898148143</v>
      </c>
      <c r="M3192" s="12" t="s">
        <v>5378</v>
      </c>
      <c r="N3192" s="12" t="s">
        <v>5379</v>
      </c>
      <c r="O3192" s="10" t="str">
        <f t="shared" ref="O3192:O3194" si="421">HYPERLINK("https://pbs.twimg.com/profile_images/710998412557213696/35ck8XjS_normal.jpg","View")</f>
        <v>View</v>
      </c>
      <c r="P3192" s="11"/>
    </row>
    <row r="3193" spans="1:16" ht="12.75" x14ac:dyDescent="0.35">
      <c r="A3193" s="7">
        <v>42484.77070601852</v>
      </c>
      <c r="B3193" s="8" t="str">
        <f t="shared" si="420"/>
        <v>@ElroyWonder</v>
      </c>
      <c r="C3193" s="9" t="s">
        <v>5377</v>
      </c>
      <c r="D3193" s="9" t="s">
        <v>5086</v>
      </c>
      <c r="E3193" s="10" t="str">
        <f>HYPERLINK("https://twitter.com/ElroyWonder/status/724221307622137857","724221307622137857")</f>
        <v>724221307622137857</v>
      </c>
      <c r="F3193" s="11" t="s">
        <v>20</v>
      </c>
      <c r="G3193" s="11">
        <v>1651</v>
      </c>
      <c r="H3193" s="11">
        <v>5001</v>
      </c>
      <c r="I3193" s="11">
        <v>21</v>
      </c>
      <c r="J3193" s="11">
        <v>0</v>
      </c>
      <c r="K3193" s="11" t="s">
        <v>21</v>
      </c>
      <c r="L3193" s="7">
        <v>42427.691898148143</v>
      </c>
      <c r="M3193" s="12" t="s">
        <v>5378</v>
      </c>
      <c r="N3193" s="12" t="s">
        <v>5379</v>
      </c>
      <c r="O3193" s="10" t="str">
        <f t="shared" si="421"/>
        <v>View</v>
      </c>
      <c r="P3193" s="11"/>
    </row>
    <row r="3194" spans="1:16" ht="12.75" x14ac:dyDescent="0.35">
      <c r="A3194" s="7">
        <v>42484.770833333328</v>
      </c>
      <c r="B3194" s="8" t="str">
        <f t="shared" si="420"/>
        <v>@ElroyWonder</v>
      </c>
      <c r="C3194" s="9" t="s">
        <v>5377</v>
      </c>
      <c r="D3194" s="9" t="s">
        <v>5060</v>
      </c>
      <c r="E3194" s="10" t="str">
        <f>HYPERLINK("https://twitter.com/ElroyWonder/status/724221351452631041","724221351452631041")</f>
        <v>724221351452631041</v>
      </c>
      <c r="F3194" s="11" t="s">
        <v>20</v>
      </c>
      <c r="G3194" s="11">
        <v>1651</v>
      </c>
      <c r="H3194" s="11">
        <v>5001</v>
      </c>
      <c r="I3194" s="11">
        <v>10</v>
      </c>
      <c r="J3194" s="11">
        <v>0</v>
      </c>
      <c r="K3194" s="11" t="s">
        <v>21</v>
      </c>
      <c r="L3194" s="7">
        <v>42427.691898148143</v>
      </c>
      <c r="M3194" s="12" t="s">
        <v>5378</v>
      </c>
      <c r="N3194" s="12" t="s">
        <v>5379</v>
      </c>
      <c r="O3194" s="10" t="str">
        <f t="shared" si="421"/>
        <v>View</v>
      </c>
      <c r="P3194" s="11"/>
    </row>
    <row r="3195" spans="1:16" ht="12.75" x14ac:dyDescent="0.35">
      <c r="A3195" s="7">
        <v>42484.771574074075</v>
      </c>
      <c r="B3195" s="8" t="str">
        <f>HYPERLINK("https://twitter.com/pierremdm","@pierremdm")</f>
        <v>@pierremdm</v>
      </c>
      <c r="C3195" s="9" t="s">
        <v>5380</v>
      </c>
      <c r="D3195" s="9" t="s">
        <v>5160</v>
      </c>
      <c r="E3195" s="10" t="str">
        <f>HYPERLINK("https://twitter.com/pierremdm/status/724221622912208897","724221622912208897")</f>
        <v>724221622912208897</v>
      </c>
      <c r="F3195" s="11" t="s">
        <v>3929</v>
      </c>
      <c r="G3195" s="11">
        <v>41</v>
      </c>
      <c r="H3195" s="11">
        <v>121</v>
      </c>
      <c r="I3195" s="11">
        <v>7</v>
      </c>
      <c r="J3195" s="11">
        <v>0</v>
      </c>
      <c r="K3195" s="11" t="s">
        <v>21</v>
      </c>
      <c r="L3195" s="7">
        <v>41079.949259259258</v>
      </c>
      <c r="M3195" s="12"/>
      <c r="N3195" s="12"/>
      <c r="O3195" s="10" t="str">
        <f>HYPERLINK("https://pbs.twimg.com/profile_images/682096839919808512/J2pWjyqZ_normal.png","View")</f>
        <v>View</v>
      </c>
      <c r="P3195" s="11"/>
    </row>
    <row r="3196" spans="1:16" ht="12.75" x14ac:dyDescent="0.35">
      <c r="A3196" s="7">
        <v>42484.775092592594</v>
      </c>
      <c r="B3196" s="8" t="str">
        <f>HYPERLINK("https://twitter.com/Dominik_Ortlepp","@Dominik_Ortlepp")</f>
        <v>@Dominik_Ortlepp</v>
      </c>
      <c r="C3196" s="9" t="s">
        <v>5381</v>
      </c>
      <c r="D3196" s="9" t="s">
        <v>4297</v>
      </c>
      <c r="E3196" s="10" t="str">
        <f>HYPERLINK("https://twitter.com/Dominik_Ortlepp/status/724222894897770496","724222894897770496")</f>
        <v>724222894897770496</v>
      </c>
      <c r="F3196" s="11" t="s">
        <v>31</v>
      </c>
      <c r="G3196" s="11">
        <v>53</v>
      </c>
      <c r="H3196" s="11">
        <v>82</v>
      </c>
      <c r="I3196" s="11">
        <v>4</v>
      </c>
      <c r="J3196" s="11">
        <v>0</v>
      </c>
      <c r="K3196" s="11" t="s">
        <v>21</v>
      </c>
      <c r="L3196" s="7">
        <v>42291.72457175926</v>
      </c>
      <c r="M3196" s="12"/>
      <c r="N3196" s="12" t="s">
        <v>5382</v>
      </c>
      <c r="O3196" s="10" t="str">
        <f>HYPERLINK("https://pbs.twimg.com/profile_images/654265087822270464/xwz4d0Ug_normal.jpg","View")</f>
        <v>View</v>
      </c>
      <c r="P3196" s="11"/>
    </row>
    <row r="3197" spans="1:16" ht="12.75" x14ac:dyDescent="0.35">
      <c r="A3197" s="7">
        <v>42484.778217592597</v>
      </c>
      <c r="B3197" s="8" t="str">
        <f>HYPERLINK("https://twitter.com/Paderbornersj","@Paderbornersj")</f>
        <v>@Paderbornersj</v>
      </c>
      <c r="C3197" s="9" t="s">
        <v>5383</v>
      </c>
      <c r="D3197" s="9" t="s">
        <v>5384</v>
      </c>
      <c r="E3197" s="10" t="str">
        <f>HYPERLINK("https://twitter.com/Paderbornersj/status/724224029603835904","724224029603835904")</f>
        <v>724224029603835904</v>
      </c>
      <c r="F3197" s="11" t="s">
        <v>25</v>
      </c>
      <c r="G3197" s="11">
        <v>179</v>
      </c>
      <c r="H3197" s="11">
        <v>282</v>
      </c>
      <c r="I3197" s="11">
        <v>1</v>
      </c>
      <c r="J3197" s="11">
        <v>1</v>
      </c>
      <c r="K3197" s="11" t="s">
        <v>21</v>
      </c>
      <c r="L3197" s="7">
        <v>40518.134583333333</v>
      </c>
      <c r="M3197" s="12" t="s">
        <v>121</v>
      </c>
      <c r="N3197" s="12" t="s">
        <v>5385</v>
      </c>
      <c r="O3197" s="10" t="str">
        <f>HYPERLINK("https://pbs.twimg.com/profile_images/1185506594/logo-new_for_the_blog_normal.jpg","View")</f>
        <v>View</v>
      </c>
      <c r="P3197" s="11"/>
    </row>
    <row r="3198" spans="1:16" ht="12.75" x14ac:dyDescent="0.35">
      <c r="A3198" s="7">
        <v>42484.778587962966</v>
      </c>
      <c r="B3198" s="8" t="str">
        <f>HYPERLINK("https://twitter.com/INDIZbot","@INDIZbot")</f>
        <v>@INDIZbot</v>
      </c>
      <c r="C3198" s="9" t="s">
        <v>61</v>
      </c>
      <c r="D3198" s="9" t="s">
        <v>4297</v>
      </c>
      <c r="E3198" s="10" t="str">
        <f>HYPERLINK("https://twitter.com/INDIZbot/status/724224164719144960","724224164719144960")</f>
        <v>724224164719144960</v>
      </c>
      <c r="F3198" s="11" t="s">
        <v>62</v>
      </c>
      <c r="G3198" s="11">
        <v>1784</v>
      </c>
      <c r="H3198" s="11">
        <v>482</v>
      </c>
      <c r="I3198" s="11">
        <v>4</v>
      </c>
      <c r="J3198" s="11">
        <v>0</v>
      </c>
      <c r="K3198" s="11" t="s">
        <v>21</v>
      </c>
      <c r="L3198" s="7">
        <v>42267.011921296296</v>
      </c>
      <c r="M3198" s="12"/>
      <c r="N3198" s="12" t="s">
        <v>63</v>
      </c>
      <c r="O3198" s="10" t="str">
        <f>HYPERLINK("https://pbs.twimg.com/profile_images/645716711723925506/t5G0qOS6_normal.jpg","View")</f>
        <v>View</v>
      </c>
      <c r="P3198" s="11"/>
    </row>
    <row r="3199" spans="1:16" ht="12.75" x14ac:dyDescent="0.35">
      <c r="A3199" s="7">
        <v>42484.778935185182</v>
      </c>
      <c r="B3199" s="8" t="str">
        <f>HYPERLINK("https://twitter.com/RahmanNow","@RahmanNow")</f>
        <v>@RahmanNow</v>
      </c>
      <c r="C3199" s="9" t="s">
        <v>1948</v>
      </c>
      <c r="D3199" s="9" t="s">
        <v>5386</v>
      </c>
      <c r="E3199" s="10" t="str">
        <f>HYPERLINK("https://twitter.com/RahmanNow/status/724224289243828224","724224289243828224")</f>
        <v>724224289243828224</v>
      </c>
      <c r="F3199" s="11" t="s">
        <v>31</v>
      </c>
      <c r="G3199" s="11">
        <v>3651</v>
      </c>
      <c r="H3199" s="11">
        <v>2679</v>
      </c>
      <c r="I3199" s="11">
        <v>1</v>
      </c>
      <c r="J3199" s="11">
        <v>0</v>
      </c>
      <c r="K3199" s="11" t="s">
        <v>21</v>
      </c>
      <c r="L3199" s="7">
        <v>41307.26935185185</v>
      </c>
      <c r="M3199" s="12" t="s">
        <v>1950</v>
      </c>
      <c r="N3199" s="12" t="s">
        <v>1951</v>
      </c>
      <c r="O3199" s="10" t="str">
        <f>HYPERLINK("https://pbs.twimg.com/profile_images/706237713700298754/yOEMWn0A_normal.jpg","View")</f>
        <v>View</v>
      </c>
      <c r="P3199" s="11"/>
    </row>
    <row r="3200" spans="1:16" ht="12.75" x14ac:dyDescent="0.35">
      <c r="A3200" s="7">
        <v>42484.778981481482</v>
      </c>
      <c r="B3200" s="8" t="str">
        <f>HYPERLINK("https://twitter.com/VDMAonline","@VDMAonline")</f>
        <v>@VDMAonline</v>
      </c>
      <c r="C3200" s="9" t="s">
        <v>191</v>
      </c>
      <c r="D3200" s="9" t="s">
        <v>5387</v>
      </c>
      <c r="E3200" s="10" t="str">
        <f>HYPERLINK("https://twitter.com/VDMAonline/status/724224305178009600","724224305178009600")</f>
        <v>724224305178009600</v>
      </c>
      <c r="F3200" s="11" t="s">
        <v>115</v>
      </c>
      <c r="G3200" s="11">
        <v>6813</v>
      </c>
      <c r="H3200" s="11">
        <v>4</v>
      </c>
      <c r="I3200" s="11">
        <v>1</v>
      </c>
      <c r="J3200" s="11">
        <v>1</v>
      </c>
      <c r="K3200" s="11" t="s">
        <v>21</v>
      </c>
      <c r="L3200" s="7">
        <v>39932.616342592592</v>
      </c>
      <c r="M3200" s="12" t="s">
        <v>49</v>
      </c>
      <c r="N3200" s="12" t="s">
        <v>193</v>
      </c>
      <c r="O3200" s="10" t="str">
        <f>HYPERLINK("https://pbs.twimg.com/profile_images/609375510158774272/P5glOk4b_normal.jpg","View")</f>
        <v>View</v>
      </c>
      <c r="P3200" s="11"/>
    </row>
    <row r="3201" spans="1:16" ht="12.75" x14ac:dyDescent="0.35">
      <c r="A3201" s="7">
        <v>42484.779409722221</v>
      </c>
      <c r="B3201" s="8" t="str">
        <f>HYPERLINK("https://twitter.com/MicrosoftDE","@MicrosoftDE")</f>
        <v>@MicrosoftDE</v>
      </c>
      <c r="C3201" s="9" t="s">
        <v>5388</v>
      </c>
      <c r="D3201" s="9" t="s">
        <v>5389</v>
      </c>
      <c r="E3201" s="10" t="str">
        <f>HYPERLINK("https://twitter.com/MicrosoftDE/status/724224462674079744","724224462674079744")</f>
        <v>724224462674079744</v>
      </c>
      <c r="F3201" s="11" t="s">
        <v>115</v>
      </c>
      <c r="G3201" s="11">
        <v>16629</v>
      </c>
      <c r="H3201" s="11">
        <v>1628</v>
      </c>
      <c r="I3201" s="11">
        <v>1</v>
      </c>
      <c r="J3201" s="11">
        <v>0</v>
      </c>
      <c r="K3201" s="11" t="s">
        <v>21</v>
      </c>
      <c r="L3201" s="7">
        <v>39911.810069444444</v>
      </c>
      <c r="M3201" s="12" t="s">
        <v>5390</v>
      </c>
      <c r="N3201" s="12" t="s">
        <v>5391</v>
      </c>
      <c r="O3201" s="10" t="str">
        <f>HYPERLINK("https://pbs.twimg.com/profile_images/2869245274/630f76a528817f2fed7c9aa0afafe163_normal.png","View")</f>
        <v>View</v>
      </c>
      <c r="P3201" s="11"/>
    </row>
    <row r="3202" spans="1:16" ht="12.75" x14ac:dyDescent="0.35">
      <c r="A3202" s="7">
        <v>42484.783136574071</v>
      </c>
      <c r="B3202" s="8" t="str">
        <f>HYPERLINK("https://twitter.com/gaadvancement","@gaadvancement")</f>
        <v>@gaadvancement</v>
      </c>
      <c r="C3202" s="9" t="s">
        <v>5392</v>
      </c>
      <c r="D3202" s="9" t="s">
        <v>5358</v>
      </c>
      <c r="E3202" s="10" t="str">
        <f>HYPERLINK("https://twitter.com/gaadvancement/status/724225809955713025","724225809955713025")</f>
        <v>724225809955713025</v>
      </c>
      <c r="F3202" s="11" t="s">
        <v>25</v>
      </c>
      <c r="G3202" s="11">
        <v>587</v>
      </c>
      <c r="H3202" s="11">
        <v>2316</v>
      </c>
      <c r="I3202" s="11">
        <v>4</v>
      </c>
      <c r="J3202" s="11">
        <v>0</v>
      </c>
      <c r="K3202" s="11" t="s">
        <v>21</v>
      </c>
      <c r="L3202" s="7">
        <v>42127.231550925921</v>
      </c>
      <c r="M3202" s="12" t="s">
        <v>970</v>
      </c>
      <c r="N3202" s="12" t="s">
        <v>5393</v>
      </c>
      <c r="O3202" s="10" t="str">
        <f>HYPERLINK("https://pbs.twimg.com/profile_images/604852979888353280/bPLJGs-u_normal.jpg","View")</f>
        <v>View</v>
      </c>
      <c r="P3202" s="11"/>
    </row>
    <row r="3203" spans="1:16" ht="12.75" x14ac:dyDescent="0.35">
      <c r="A3203" s="7">
        <v>42484.786446759259</v>
      </c>
      <c r="B3203" s="8" t="str">
        <f>HYPERLINK("https://twitter.com/INDIZbot","@INDIZbot")</f>
        <v>@INDIZbot</v>
      </c>
      <c r="C3203" s="9" t="s">
        <v>61</v>
      </c>
      <c r="D3203" s="9" t="s">
        <v>5389</v>
      </c>
      <c r="E3203" s="10" t="str">
        <f>HYPERLINK("https://twitter.com/INDIZbot/status/724227009719750656","724227009719750656")</f>
        <v>724227009719750656</v>
      </c>
      <c r="F3203" s="11" t="s">
        <v>62</v>
      </c>
      <c r="G3203" s="11">
        <v>1784</v>
      </c>
      <c r="H3203" s="11">
        <v>482</v>
      </c>
      <c r="I3203" s="11">
        <v>2</v>
      </c>
      <c r="J3203" s="11">
        <v>0</v>
      </c>
      <c r="K3203" s="11" t="s">
        <v>21</v>
      </c>
      <c r="L3203" s="7">
        <v>42267.011921296296</v>
      </c>
      <c r="M3203" s="12"/>
      <c r="N3203" s="12" t="s">
        <v>63</v>
      </c>
      <c r="O3203" s="10" t="str">
        <f>HYPERLINK("https://pbs.twimg.com/profile_images/645716711723925506/t5G0qOS6_normal.jpg","View")</f>
        <v>View</v>
      </c>
      <c r="P3203" s="11"/>
    </row>
    <row r="3204" spans="1:16" ht="12.75" x14ac:dyDescent="0.35">
      <c r="A3204" s="7">
        <v>42484.786620370374</v>
      </c>
      <c r="B3204" s="8" t="str">
        <f>HYPERLINK("https://twitter.com/thyssenkrupp","@thyssenkrupp")</f>
        <v>@thyssenkrupp</v>
      </c>
      <c r="C3204" s="9" t="s">
        <v>4498</v>
      </c>
      <c r="D3204" s="9" t="s">
        <v>4297</v>
      </c>
      <c r="E3204" s="10" t="str">
        <f>HYPERLINK("https://twitter.com/thyssenkrupp/status/724227072198098949","724227072198098949")</f>
        <v>724227072198098949</v>
      </c>
      <c r="F3204" s="11" t="s">
        <v>20</v>
      </c>
      <c r="G3204" s="11">
        <v>9110</v>
      </c>
      <c r="H3204" s="11">
        <v>90</v>
      </c>
      <c r="I3204" s="11">
        <v>5</v>
      </c>
      <c r="J3204" s="11">
        <v>0</v>
      </c>
      <c r="K3204" s="11" t="s">
        <v>21</v>
      </c>
      <c r="L3204" s="7">
        <v>40056.864629629628</v>
      </c>
      <c r="M3204" s="12" t="s">
        <v>92</v>
      </c>
      <c r="N3204" s="12" t="s">
        <v>4499</v>
      </c>
      <c r="O3204" s="10" t="str">
        <f>HYPERLINK("https://pbs.twimg.com/profile_images/667280858798100481/FrPnpui4_normal.png","View")</f>
        <v>View</v>
      </c>
      <c r="P3204" s="11"/>
    </row>
    <row r="3205" spans="1:16" ht="12.75" x14ac:dyDescent="0.35">
      <c r="A3205" s="7">
        <v>42484.788310185184</v>
      </c>
      <c r="B3205" s="8" t="str">
        <f>HYPERLINK("https://twitter.com/MarksMusing","@MarksMusing")</f>
        <v>@MarksMusing</v>
      </c>
      <c r="C3205" s="9" t="s">
        <v>5394</v>
      </c>
      <c r="D3205" s="9" t="s">
        <v>5395</v>
      </c>
      <c r="E3205" s="10" t="str">
        <f>HYPERLINK("https://twitter.com/MarksMusing/status/724227685833043974","724227685833043974")</f>
        <v>724227685833043974</v>
      </c>
      <c r="F3205" s="11" t="s">
        <v>20</v>
      </c>
      <c r="G3205" s="11">
        <v>52</v>
      </c>
      <c r="H3205" s="11">
        <v>93</v>
      </c>
      <c r="I3205" s="11">
        <v>0</v>
      </c>
      <c r="J3205" s="11">
        <v>0</v>
      </c>
      <c r="K3205" s="11" t="s">
        <v>21</v>
      </c>
      <c r="L3205" s="7">
        <v>42071.912800925929</v>
      </c>
      <c r="M3205" s="12"/>
      <c r="N3205" s="12"/>
      <c r="O3205" s="10" t="str">
        <f>HYPERLINK("https://pbs.twimg.com/profile_images/574607405507477504/3W6b6mD4_normal.jpeg","View")</f>
        <v>View</v>
      </c>
      <c r="P3205" s="11"/>
    </row>
    <row r="3206" spans="1:16" ht="12.75" x14ac:dyDescent="0.35">
      <c r="A3206" s="7">
        <v>42484.788599537038</v>
      </c>
      <c r="B3206" s="8" t="str">
        <f>HYPERLINK("https://twitter.com/SachinKaradgi","@SachinKaradgi")</f>
        <v>@SachinKaradgi</v>
      </c>
      <c r="C3206" s="9" t="s">
        <v>5396</v>
      </c>
      <c r="D3206" s="9" t="s">
        <v>5397</v>
      </c>
      <c r="E3206" s="10" t="str">
        <f>HYPERLINK("https://twitter.com/SachinKaradgi/status/724227791273775105","724227791273775105")</f>
        <v>724227791273775105</v>
      </c>
      <c r="F3206" s="11" t="s">
        <v>25</v>
      </c>
      <c r="G3206" s="11">
        <v>0</v>
      </c>
      <c r="H3206" s="11">
        <v>11</v>
      </c>
      <c r="I3206" s="11">
        <v>0</v>
      </c>
      <c r="J3206" s="11">
        <v>0</v>
      </c>
      <c r="K3206" s="11" t="s">
        <v>21</v>
      </c>
      <c r="L3206" s="7">
        <v>42370.73605324074</v>
      </c>
      <c r="M3206" s="12" t="s">
        <v>5398</v>
      </c>
      <c r="N3206" s="12" t="s">
        <v>5399</v>
      </c>
      <c r="O3206" s="10" t="str">
        <f>HYPERLINK("https://pbs.twimg.com/profile_images/682941586313998340/UigLU__D_normal.jpg","View")</f>
        <v>View</v>
      </c>
      <c r="P3206" s="11"/>
    </row>
    <row r="3207" spans="1:16" ht="12.75" x14ac:dyDescent="0.35">
      <c r="A3207" s="7">
        <v>42484.790671296301</v>
      </c>
      <c r="B3207" s="8" t="str">
        <f>HYPERLINK("https://twitter.com/FrankTobiasBaur","@FrankTobiasBaur")</f>
        <v>@FrankTobiasBaur</v>
      </c>
      <c r="C3207" s="9" t="s">
        <v>5400</v>
      </c>
      <c r="D3207" s="9" t="s">
        <v>5329</v>
      </c>
      <c r="E3207" s="10" t="str">
        <f>HYPERLINK("https://twitter.com/FrankTobiasBaur/status/724228540430950400","724228540430950400")</f>
        <v>724228540430950400</v>
      </c>
      <c r="F3207" s="11" t="s">
        <v>31</v>
      </c>
      <c r="G3207" s="11">
        <v>73</v>
      </c>
      <c r="H3207" s="11">
        <v>152</v>
      </c>
      <c r="I3207" s="11">
        <v>8</v>
      </c>
      <c r="J3207" s="11">
        <v>0</v>
      </c>
      <c r="K3207" s="11" t="s">
        <v>21</v>
      </c>
      <c r="L3207" s="7">
        <v>41477.076631944445</v>
      </c>
      <c r="M3207" s="12" t="s">
        <v>5401</v>
      </c>
      <c r="N3207" s="12" t="s">
        <v>5402</v>
      </c>
      <c r="O3207" s="10" t="str">
        <f>HYPERLINK("https://pbs.twimg.com/profile_images/534472892277202944/3REr63wB_normal.jpeg","View")</f>
        <v>View</v>
      </c>
      <c r="P3207" s="11"/>
    </row>
    <row r="3208" spans="1:16" ht="12.75" x14ac:dyDescent="0.35">
      <c r="A3208" s="7">
        <v>42484.792997685188</v>
      </c>
      <c r="B3208" s="8" t="str">
        <f>HYPERLINK("https://twitter.com/MarksMusing","@MarksMusing")</f>
        <v>@MarksMusing</v>
      </c>
      <c r="C3208" s="9" t="s">
        <v>5394</v>
      </c>
      <c r="D3208" s="9" t="s">
        <v>5403</v>
      </c>
      <c r="E3208" s="10" t="str">
        <f>HYPERLINK("https://twitter.com/MarksMusing/status/724229383800512512","724229383800512512")</f>
        <v>724229383800512512</v>
      </c>
      <c r="F3208" s="11" t="s">
        <v>20</v>
      </c>
      <c r="G3208" s="11">
        <v>52</v>
      </c>
      <c r="H3208" s="11">
        <v>93</v>
      </c>
      <c r="I3208" s="11">
        <v>0</v>
      </c>
      <c r="J3208" s="11">
        <v>0</v>
      </c>
      <c r="K3208" s="11" t="s">
        <v>21</v>
      </c>
      <c r="L3208" s="7">
        <v>42071.912800925929</v>
      </c>
      <c r="M3208" s="12"/>
      <c r="N3208" s="12"/>
      <c r="O3208" s="10" t="str">
        <f>HYPERLINK("https://pbs.twimg.com/profile_images/574607405507477504/3W6b6mD4_normal.jpeg","View")</f>
        <v>View</v>
      </c>
      <c r="P3208" s="11"/>
    </row>
    <row r="3209" spans="1:16" ht="12.75" x14ac:dyDescent="0.35">
      <c r="A3209" s="7">
        <v>42484.793124999997</v>
      </c>
      <c r="B3209" s="8" t="str">
        <f>HYPERLINK("https://twitter.com/ewhitmore","@ewhitmore")</f>
        <v>@ewhitmore</v>
      </c>
      <c r="C3209" s="9" t="s">
        <v>5404</v>
      </c>
      <c r="D3209" s="9" t="s">
        <v>5358</v>
      </c>
      <c r="E3209" s="10" t="str">
        <f>HYPERLINK("https://twitter.com/ewhitmore/status/724229431099691010","724229431099691010")</f>
        <v>724229431099691010</v>
      </c>
      <c r="F3209" s="11" t="s">
        <v>31</v>
      </c>
      <c r="G3209" s="11">
        <v>4885</v>
      </c>
      <c r="H3209" s="11">
        <v>4421</v>
      </c>
      <c r="I3209" s="11">
        <v>6</v>
      </c>
      <c r="J3209" s="11">
        <v>0</v>
      </c>
      <c r="K3209" s="11" t="s">
        <v>21</v>
      </c>
      <c r="L3209" s="7">
        <v>39518.636307870373</v>
      </c>
      <c r="M3209" s="12" t="s">
        <v>5405</v>
      </c>
      <c r="N3209" s="12" t="s">
        <v>5406</v>
      </c>
      <c r="O3209" s="10" t="str">
        <f>HYPERLINK("https://pbs.twimg.com/profile_images/723598030331482113/0moddKXe_normal.jpg","View")</f>
        <v>View</v>
      </c>
      <c r="P3209" s="11"/>
    </row>
    <row r="3210" spans="1:16" ht="12.75" x14ac:dyDescent="0.35">
      <c r="A3210" s="7">
        <v>42484.794467592597</v>
      </c>
      <c r="B3210" s="8" t="str">
        <f>HYPERLINK("https://twitter.com/H_IT_D","@H_IT_D")</f>
        <v>@H_IT_D</v>
      </c>
      <c r="C3210" s="9" t="s">
        <v>159</v>
      </c>
      <c r="D3210" s="9" t="s">
        <v>5407</v>
      </c>
      <c r="E3210" s="10" t="str">
        <f>HYPERLINK("https://twitter.com/H_IT_D/status/724229918595289088","724229918595289088")</f>
        <v>724229918595289088</v>
      </c>
      <c r="F3210" s="11" t="s">
        <v>161</v>
      </c>
      <c r="G3210" s="11">
        <v>473</v>
      </c>
      <c r="H3210" s="11">
        <v>466</v>
      </c>
      <c r="I3210" s="11">
        <v>1</v>
      </c>
      <c r="J3210" s="11">
        <v>0</v>
      </c>
      <c r="K3210" s="11" t="s">
        <v>21</v>
      </c>
      <c r="L3210" s="7">
        <v>40723.867673611108</v>
      </c>
      <c r="M3210" s="12" t="s">
        <v>162</v>
      </c>
      <c r="N3210" s="12" t="s">
        <v>163</v>
      </c>
      <c r="O3210" s="10" t="str">
        <f>HYPERLINK("https://pbs.twimg.com/profile_images/662723326096224256/5V4KH9_O_normal.jpg","View")</f>
        <v>View</v>
      </c>
      <c r="P3210" s="11"/>
    </row>
    <row r="3211" spans="1:16" ht="12.75" x14ac:dyDescent="0.35">
      <c r="A3211" s="7">
        <v>42484.795486111107</v>
      </c>
      <c r="B3211" s="8" t="str">
        <f>HYPERLINK("https://twitter.com/MSEnterpriseDE","@MSEnterpriseDE")</f>
        <v>@MSEnterpriseDE</v>
      </c>
      <c r="C3211" s="9" t="s">
        <v>5408</v>
      </c>
      <c r="D3211" s="9" t="s">
        <v>5389</v>
      </c>
      <c r="E3211" s="10" t="str">
        <f>HYPERLINK("https://twitter.com/MSEnterpriseDE/status/724230287752835072","724230287752835072")</f>
        <v>724230287752835072</v>
      </c>
      <c r="F3211" s="11" t="s">
        <v>1111</v>
      </c>
      <c r="G3211" s="11">
        <v>1578</v>
      </c>
      <c r="H3211" s="11">
        <v>345</v>
      </c>
      <c r="I3211" s="11">
        <v>3</v>
      </c>
      <c r="J3211" s="11">
        <v>0</v>
      </c>
      <c r="K3211" s="11" t="s">
        <v>21</v>
      </c>
      <c r="L3211" s="7">
        <v>41894.792881944442</v>
      </c>
      <c r="M3211" s="12" t="s">
        <v>92</v>
      </c>
      <c r="N3211" s="12" t="s">
        <v>5409</v>
      </c>
      <c r="O3211" s="10" t="str">
        <f>HYPERLINK("https://pbs.twimg.com/profile_images/510473520963260416/0aLMP4NT_normal.png","View")</f>
        <v>View</v>
      </c>
      <c r="P3211" s="11"/>
    </row>
    <row r="3212" spans="1:16" ht="12.75" x14ac:dyDescent="0.35">
      <c r="A3212" s="7">
        <v>42484.798368055555</v>
      </c>
      <c r="B3212" s="8" t="str">
        <f>HYPERLINK("https://twitter.com/WinfriedFelser","@WinfriedFelser")</f>
        <v>@WinfriedFelser</v>
      </c>
      <c r="C3212" s="9" t="s">
        <v>1334</v>
      </c>
      <c r="D3212" s="9" t="s">
        <v>5410</v>
      </c>
      <c r="E3212" s="10" t="str">
        <f>HYPERLINK("https://twitter.com/WinfriedFelser/status/724231330989506560","724231330989506560")</f>
        <v>724231330989506560</v>
      </c>
      <c r="F3212" s="11" t="s">
        <v>1712</v>
      </c>
      <c r="G3212" s="11">
        <v>1142</v>
      </c>
      <c r="H3212" s="11">
        <v>1211</v>
      </c>
      <c r="I3212" s="11">
        <v>0</v>
      </c>
      <c r="J3212" s="11">
        <v>0</v>
      </c>
      <c r="K3212" s="11" t="s">
        <v>21</v>
      </c>
      <c r="L3212" s="7">
        <v>40263.993356481486</v>
      </c>
      <c r="M3212" s="12" t="s">
        <v>895</v>
      </c>
      <c r="N3212" s="12" t="s">
        <v>1336</v>
      </c>
      <c r="O3212" s="10" t="str">
        <f>HYPERLINK("https://pbs.twimg.com/profile_images/562193841587896321/nfd18Y4g_normal.jpeg","View")</f>
        <v>View</v>
      </c>
      <c r="P3212" s="11"/>
    </row>
    <row r="3213" spans="1:16" ht="12.75" x14ac:dyDescent="0.35">
      <c r="A3213" s="7">
        <v>42484.79850694444</v>
      </c>
      <c r="B3213" s="8" t="str">
        <f>HYPERLINK("https://twitter.com/neerajdeuskar79","@neerajdeuskar79")</f>
        <v>@neerajdeuskar79</v>
      </c>
      <c r="C3213" s="9" t="s">
        <v>4222</v>
      </c>
      <c r="D3213" s="9" t="s">
        <v>5411</v>
      </c>
      <c r="E3213" s="10" t="str">
        <f>HYPERLINK("https://twitter.com/neerajdeuskar79/status/724231381879013376","724231381879013376")</f>
        <v>724231381879013376</v>
      </c>
      <c r="F3213" s="11" t="s">
        <v>20</v>
      </c>
      <c r="G3213" s="11">
        <v>61</v>
      </c>
      <c r="H3213" s="11">
        <v>97</v>
      </c>
      <c r="I3213" s="11">
        <v>0</v>
      </c>
      <c r="J3213" s="11">
        <v>0</v>
      </c>
      <c r="K3213" s="11" t="s">
        <v>21</v>
      </c>
      <c r="L3213" s="7">
        <v>42276.840208333335</v>
      </c>
      <c r="M3213" s="12"/>
      <c r="N3213" s="12"/>
      <c r="O3213" s="10" t="str">
        <f>HYPERLINK("https://pbs.twimg.com/profile_images/648870164297965568/7muw2QvW_normal.jpg","View")</f>
        <v>View</v>
      </c>
      <c r="P3213" s="11"/>
    </row>
    <row r="3214" spans="1:16" ht="12.75" x14ac:dyDescent="0.35">
      <c r="A3214" s="7">
        <v>42484.799826388888</v>
      </c>
      <c r="B3214" s="8" t="str">
        <f>HYPERLINK("https://twitter.com/UVNMeinecke","@UVNMeinecke")</f>
        <v>@UVNMeinecke</v>
      </c>
      <c r="C3214" s="9" t="s">
        <v>5412</v>
      </c>
      <c r="D3214" s="9" t="s">
        <v>5413</v>
      </c>
      <c r="E3214" s="10" t="str">
        <f>HYPERLINK("https://twitter.com/UVNMeinecke/status/724231858490322946","724231858490322946")</f>
        <v>724231858490322946</v>
      </c>
      <c r="F3214" s="11" t="s">
        <v>31</v>
      </c>
      <c r="G3214" s="11">
        <v>43</v>
      </c>
      <c r="H3214" s="11">
        <v>16</v>
      </c>
      <c r="I3214" s="11">
        <v>0</v>
      </c>
      <c r="J3214" s="11">
        <v>0</v>
      </c>
      <c r="K3214" s="11" t="s">
        <v>21</v>
      </c>
      <c r="L3214" s="7">
        <v>42296.846030092594</v>
      </c>
      <c r="M3214" s="12"/>
      <c r="N3214" s="12"/>
      <c r="O3214" s="10" t="str">
        <f>HYPERLINK("https://pbs.twimg.com/profile_images/657548982667743232/Ww53-EZT_normal.jpg","View")</f>
        <v>View</v>
      </c>
      <c r="P3214" s="11"/>
    </row>
    <row r="3215" spans="1:16" ht="12.75" x14ac:dyDescent="0.35">
      <c r="A3215" s="7">
        <v>42484.800092592588</v>
      </c>
      <c r="B3215" s="8" t="str">
        <f>HYPERLINK("https://twitter.com/neerajdeuskar79","@neerajdeuskar79")</f>
        <v>@neerajdeuskar79</v>
      </c>
      <c r="C3215" s="9" t="s">
        <v>4222</v>
      </c>
      <c r="D3215" s="9" t="s">
        <v>5414</v>
      </c>
      <c r="E3215" s="10" t="str">
        <f>HYPERLINK("https://twitter.com/neerajdeuskar79/status/724231957870202881","724231957870202881")</f>
        <v>724231957870202881</v>
      </c>
      <c r="F3215" s="11" t="s">
        <v>20</v>
      </c>
      <c r="G3215" s="11">
        <v>61</v>
      </c>
      <c r="H3215" s="11">
        <v>97</v>
      </c>
      <c r="I3215" s="11">
        <v>0</v>
      </c>
      <c r="J3215" s="11">
        <v>0</v>
      </c>
      <c r="K3215" s="11" t="s">
        <v>21</v>
      </c>
      <c r="L3215" s="7">
        <v>42276.840208333335</v>
      </c>
      <c r="M3215" s="12"/>
      <c r="N3215" s="12"/>
      <c r="O3215" s="10" t="str">
        <f>HYPERLINK("https://pbs.twimg.com/profile_images/648870164297965568/7muw2QvW_normal.jpg","View")</f>
        <v>View</v>
      </c>
      <c r="P3215" s="11"/>
    </row>
    <row r="3216" spans="1:16" ht="12.75" x14ac:dyDescent="0.35">
      <c r="A3216" s="7">
        <v>42484.800243055557</v>
      </c>
      <c r="B3216" s="8" t="str">
        <f>HYPERLINK("https://twitter.com/INDIZbot","@INDIZbot")</f>
        <v>@INDIZbot</v>
      </c>
      <c r="C3216" s="9" t="s">
        <v>61</v>
      </c>
      <c r="D3216" s="9" t="s">
        <v>5415</v>
      </c>
      <c r="E3216" s="10" t="str">
        <f>HYPERLINK("https://twitter.com/INDIZbot/status/724232012010283009","724232012010283009")</f>
        <v>724232012010283009</v>
      </c>
      <c r="F3216" s="11" t="s">
        <v>62</v>
      </c>
      <c r="G3216" s="11">
        <v>1784</v>
      </c>
      <c r="H3216" s="11">
        <v>482</v>
      </c>
      <c r="I3216" s="11">
        <v>1</v>
      </c>
      <c r="J3216" s="11">
        <v>0</v>
      </c>
      <c r="K3216" s="11" t="s">
        <v>21</v>
      </c>
      <c r="L3216" s="7">
        <v>42267.011921296296</v>
      </c>
      <c r="M3216" s="12"/>
      <c r="N3216" s="12" t="s">
        <v>63</v>
      </c>
      <c r="O3216" s="10" t="str">
        <f>HYPERLINK("https://pbs.twimg.com/profile_images/645716711723925506/t5G0qOS6_normal.jpg","View")</f>
        <v>View</v>
      </c>
      <c r="P3216" s="11"/>
    </row>
    <row r="3217" spans="1:16" ht="12.75" x14ac:dyDescent="0.35">
      <c r="A3217" s="7">
        <v>42484.800798611112</v>
      </c>
      <c r="B3217" s="8" t="str">
        <f>HYPERLINK("https://twitter.com/iaapraaipr","@iaapraaipr")</f>
        <v>@iaapraaipr</v>
      </c>
      <c r="C3217" s="9" t="s">
        <v>5416</v>
      </c>
      <c r="D3217" s="9" t="s">
        <v>5417</v>
      </c>
      <c r="E3217" s="10" t="str">
        <f>HYPERLINK("https://twitter.com/iaapraaipr/status/724232212619522048","724232212619522048")</f>
        <v>724232212619522048</v>
      </c>
      <c r="F3217" s="11" t="s">
        <v>25</v>
      </c>
      <c r="G3217" s="11">
        <v>134</v>
      </c>
      <c r="H3217" s="11">
        <v>105</v>
      </c>
      <c r="I3217" s="11">
        <v>0</v>
      </c>
      <c r="J3217" s="11">
        <v>0</v>
      </c>
      <c r="K3217" s="11" t="s">
        <v>21</v>
      </c>
      <c r="L3217" s="7">
        <v>42193.108958333338</v>
      </c>
      <c r="M3217" s="12" t="s">
        <v>5418</v>
      </c>
      <c r="N3217" s="12"/>
      <c r="O3217" s="10" t="str">
        <f>HYPERLINK("https://pbs.twimg.com/profile_images/635477090016489472/cPsLdWnA_normal.jpg","View")</f>
        <v>View</v>
      </c>
      <c r="P3217" s="11"/>
    </row>
    <row r="3218" spans="1:16" ht="12.75" x14ac:dyDescent="0.35">
      <c r="A3218" s="7">
        <v>42484.802048611113</v>
      </c>
      <c r="B3218" s="8" t="str">
        <f>HYPERLINK("https://twitter.com/RuthIliana46","@RuthIliana46")</f>
        <v>@RuthIliana46</v>
      </c>
      <c r="C3218" s="9" t="s">
        <v>5419</v>
      </c>
      <c r="D3218" s="9" t="s">
        <v>5358</v>
      </c>
      <c r="E3218" s="10" t="str">
        <f>HYPERLINK("https://twitter.com/RuthIliana46/status/724232666179096576","724232666179096576")</f>
        <v>724232666179096576</v>
      </c>
      <c r="F3218" s="11" t="s">
        <v>20</v>
      </c>
      <c r="G3218" s="11">
        <v>4232</v>
      </c>
      <c r="H3218" s="11">
        <v>4224</v>
      </c>
      <c r="I3218" s="11">
        <v>6</v>
      </c>
      <c r="J3218" s="11">
        <v>0</v>
      </c>
      <c r="K3218" s="11" t="s">
        <v>21</v>
      </c>
      <c r="L3218" s="7">
        <v>41235.99083333333</v>
      </c>
      <c r="M3218" s="12" t="s">
        <v>1305</v>
      </c>
      <c r="N3218" s="12" t="s">
        <v>5420</v>
      </c>
      <c r="O3218" s="10" t="str">
        <f>HYPERLINK("https://pbs.twimg.com/profile_images/682330340329795584/qexE6I0C_normal.jpg","View")</f>
        <v>View</v>
      </c>
      <c r="P3218" s="11"/>
    </row>
    <row r="3219" spans="1:16" ht="12.75" x14ac:dyDescent="0.35">
      <c r="A3219" s="7">
        <v>42484.802314814813</v>
      </c>
      <c r="B3219" s="8" t="str">
        <f>HYPERLINK("https://twitter.com/BoschPresse","@BoschPresse")</f>
        <v>@BoschPresse</v>
      </c>
      <c r="C3219" s="9" t="s">
        <v>1782</v>
      </c>
      <c r="D3219" s="9" t="s">
        <v>5421</v>
      </c>
      <c r="E3219" s="10" t="str">
        <f>HYPERLINK("https://twitter.com/BoschPresse/status/724232759066152960","724232759066152960")</f>
        <v>724232759066152960</v>
      </c>
      <c r="F3219" s="11" t="s">
        <v>39</v>
      </c>
      <c r="G3219" s="11">
        <v>7620</v>
      </c>
      <c r="H3219" s="11">
        <v>389</v>
      </c>
      <c r="I3219" s="11">
        <v>0</v>
      </c>
      <c r="J3219" s="11">
        <v>0</v>
      </c>
      <c r="K3219" s="11" t="s">
        <v>21</v>
      </c>
      <c r="L3219" s="7">
        <v>40991.629687499997</v>
      </c>
      <c r="M3219" s="12" t="s">
        <v>162</v>
      </c>
      <c r="N3219" s="12" t="s">
        <v>1784</v>
      </c>
      <c r="O3219" s="10" t="str">
        <f>HYPERLINK("https://pbs.twimg.com/profile_images/2619086509/ld3z97zhhdbs2essw7s9_normal.jpeg","View")</f>
        <v>View</v>
      </c>
      <c r="P3219" s="11"/>
    </row>
    <row r="3220" spans="1:16" ht="12.75" x14ac:dyDescent="0.35">
      <c r="A3220" s="7">
        <v>42484.802523148144</v>
      </c>
      <c r="B3220" s="8" t="str">
        <f>HYPERLINK("https://twitter.com/CarstenDierig","@CarstenDierig")</f>
        <v>@CarstenDierig</v>
      </c>
      <c r="C3220" s="9" t="s">
        <v>4832</v>
      </c>
      <c r="D3220" s="9" t="s">
        <v>5422</v>
      </c>
      <c r="E3220" s="10" t="str">
        <f>HYPERLINK("https://twitter.com/CarstenDierig/status/724232837445091328","724232837445091328")</f>
        <v>724232837445091328</v>
      </c>
      <c r="F3220" s="11" t="s">
        <v>31</v>
      </c>
      <c r="G3220" s="11">
        <v>365</v>
      </c>
      <c r="H3220" s="11">
        <v>150</v>
      </c>
      <c r="I3220" s="11">
        <v>1</v>
      </c>
      <c r="J3220" s="11">
        <v>1</v>
      </c>
      <c r="K3220" s="11" t="s">
        <v>21</v>
      </c>
      <c r="L3220" s="7">
        <v>41824.744340277779</v>
      </c>
      <c r="M3220" s="12"/>
      <c r="N3220" s="12" t="s">
        <v>4834</v>
      </c>
      <c r="O3220" s="10" t="str">
        <f>HYPERLINK("https://pbs.twimg.com/profile_images/486066079261655040/uyhY_MQH_normal.jpeg","View")</f>
        <v>View</v>
      </c>
      <c r="P3220" s="11"/>
    </row>
    <row r="3221" spans="1:16" ht="12.75" x14ac:dyDescent="0.35">
      <c r="A3221" s="7">
        <v>42484.805023148147</v>
      </c>
      <c r="B3221" s="8" t="str">
        <f>HYPERLINK("https://twitter.com/VDMAonline","@VDMAonline")</f>
        <v>@VDMAonline</v>
      </c>
      <c r="C3221" s="9" t="s">
        <v>191</v>
      </c>
      <c r="D3221" s="9" t="s">
        <v>5423</v>
      </c>
      <c r="E3221" s="10" t="str">
        <f>HYPERLINK("https://twitter.com/VDMAonline/status/724233744354279424","724233744354279424")</f>
        <v>724233744354279424</v>
      </c>
      <c r="F3221" s="11" t="s">
        <v>115</v>
      </c>
      <c r="G3221" s="11">
        <v>6814</v>
      </c>
      <c r="H3221" s="11">
        <v>4</v>
      </c>
      <c r="I3221" s="11">
        <v>2</v>
      </c>
      <c r="J3221" s="11">
        <v>1</v>
      </c>
      <c r="K3221" s="11" t="s">
        <v>21</v>
      </c>
      <c r="L3221" s="7">
        <v>39932.616342592592</v>
      </c>
      <c r="M3221" s="12" t="s">
        <v>49</v>
      </c>
      <c r="N3221" s="12" t="s">
        <v>193</v>
      </c>
      <c r="O3221" s="10" t="str">
        <f>HYPERLINK("https://pbs.twimg.com/profile_images/609375510158774272/P5glOk4b_normal.jpg","View")</f>
        <v>View</v>
      </c>
      <c r="P3221" s="11"/>
    </row>
    <row r="3222" spans="1:16" ht="12.75" x14ac:dyDescent="0.35">
      <c r="A3222" s="7">
        <v>42484.80631944444</v>
      </c>
      <c r="B3222" s="8" t="str">
        <f>HYPERLINK("https://twitter.com/OOgbukagu","@OOgbukagu")</f>
        <v>@OOgbukagu</v>
      </c>
      <c r="C3222" s="9" t="s">
        <v>4855</v>
      </c>
      <c r="D3222" s="9" t="s">
        <v>5424</v>
      </c>
      <c r="E3222" s="10" t="str">
        <f>HYPERLINK("https://twitter.com/OOgbukagu/status/724234212728016896","724234212728016896")</f>
        <v>724234212728016896</v>
      </c>
      <c r="F3222" s="11" t="s">
        <v>31</v>
      </c>
      <c r="G3222" s="11">
        <v>106</v>
      </c>
      <c r="H3222" s="11">
        <v>79</v>
      </c>
      <c r="I3222" s="11">
        <v>1</v>
      </c>
      <c r="J3222" s="11">
        <v>0</v>
      </c>
      <c r="K3222" s="11" t="s">
        <v>21</v>
      </c>
      <c r="L3222" s="7">
        <v>41162.946967592594</v>
      </c>
      <c r="M3222" s="12" t="s">
        <v>752</v>
      </c>
      <c r="N3222" s="12" t="s">
        <v>4856</v>
      </c>
      <c r="O3222" s="10" t="str">
        <f>HYPERLINK("https://pbs.twimg.com/profile_images/466860381533515776/jiQ9EbK1_normal.jpeg","View")</f>
        <v>View</v>
      </c>
      <c r="P3222" s="11"/>
    </row>
    <row r="3223" spans="1:16" ht="12.75" x14ac:dyDescent="0.35">
      <c r="A3223" s="7">
        <v>42484.806574074071</v>
      </c>
      <c r="B3223" s="8" t="str">
        <f t="shared" ref="B3223:B3224" si="422">HYPERLINK("https://twitter.com/INDIZbot","@INDIZbot")</f>
        <v>@INDIZbot</v>
      </c>
      <c r="C3223" s="9" t="s">
        <v>61</v>
      </c>
      <c r="D3223" s="9" t="s">
        <v>5425</v>
      </c>
      <c r="E3223" s="10" t="str">
        <f>HYPERLINK("https://twitter.com/INDIZbot/status/724234303589240832","724234303589240832")</f>
        <v>724234303589240832</v>
      </c>
      <c r="F3223" s="11" t="s">
        <v>62</v>
      </c>
      <c r="G3223" s="11">
        <v>1784</v>
      </c>
      <c r="H3223" s="11">
        <v>482</v>
      </c>
      <c r="I3223" s="11">
        <v>2</v>
      </c>
      <c r="J3223" s="11">
        <v>0</v>
      </c>
      <c r="K3223" s="11" t="s">
        <v>21</v>
      </c>
      <c r="L3223" s="7">
        <v>42267.011921296296</v>
      </c>
      <c r="M3223" s="12"/>
      <c r="N3223" s="12" t="s">
        <v>63</v>
      </c>
      <c r="O3223" s="10" t="str">
        <f t="shared" ref="O3223:O3224" si="423">HYPERLINK("https://pbs.twimg.com/profile_images/645716711723925506/t5G0qOS6_normal.jpg","View")</f>
        <v>View</v>
      </c>
      <c r="P3223" s="11"/>
    </row>
    <row r="3224" spans="1:16" ht="12.75" x14ac:dyDescent="0.35">
      <c r="A3224" s="7">
        <v>42484.807199074072</v>
      </c>
      <c r="B3224" s="8" t="str">
        <f t="shared" si="422"/>
        <v>@INDIZbot</v>
      </c>
      <c r="C3224" s="9" t="s">
        <v>61</v>
      </c>
      <c r="D3224" s="9" t="s">
        <v>5426</v>
      </c>
      <c r="E3224" s="10" t="str">
        <f>HYPERLINK("https://twitter.com/INDIZbot/status/724234533017673728","724234533017673728")</f>
        <v>724234533017673728</v>
      </c>
      <c r="F3224" s="11" t="s">
        <v>62</v>
      </c>
      <c r="G3224" s="11">
        <v>1784</v>
      </c>
      <c r="H3224" s="11">
        <v>482</v>
      </c>
      <c r="I3224" s="11">
        <v>1</v>
      </c>
      <c r="J3224" s="11">
        <v>0</v>
      </c>
      <c r="K3224" s="11" t="s">
        <v>21</v>
      </c>
      <c r="L3224" s="7">
        <v>42267.011921296296</v>
      </c>
      <c r="M3224" s="12"/>
      <c r="N3224" s="12" t="s">
        <v>63</v>
      </c>
      <c r="O3224" s="10" t="str">
        <f t="shared" si="423"/>
        <v>View</v>
      </c>
      <c r="P3224" s="11"/>
    </row>
    <row r="3225" spans="1:16" ht="12.75" x14ac:dyDescent="0.35">
      <c r="A3225" s="7">
        <v>42484.80740740741</v>
      </c>
      <c r="B3225" s="8" t="str">
        <f>HYPERLINK("https://twitter.com/CarstenDierig","@CarstenDierig")</f>
        <v>@CarstenDierig</v>
      </c>
      <c r="C3225" s="9" t="s">
        <v>4832</v>
      </c>
      <c r="D3225" s="9" t="s">
        <v>5427</v>
      </c>
      <c r="E3225" s="10" t="str">
        <f>HYPERLINK("https://twitter.com/CarstenDierig/status/724234604832526336","724234604832526336")</f>
        <v>724234604832526336</v>
      </c>
      <c r="F3225" s="11" t="s">
        <v>31</v>
      </c>
      <c r="G3225" s="11">
        <v>365</v>
      </c>
      <c r="H3225" s="11">
        <v>150</v>
      </c>
      <c r="I3225" s="11">
        <v>0</v>
      </c>
      <c r="J3225" s="11">
        <v>0</v>
      </c>
      <c r="K3225" s="11" t="s">
        <v>21</v>
      </c>
      <c r="L3225" s="7">
        <v>41824.744340277779</v>
      </c>
      <c r="M3225" s="12"/>
      <c r="N3225" s="12" t="s">
        <v>4834</v>
      </c>
      <c r="O3225" s="10" t="str">
        <f>HYPERLINK("https://pbs.twimg.com/profile_images/486066079261655040/uyhY_MQH_normal.jpeg","View")</f>
        <v>View</v>
      </c>
      <c r="P3225" s="11"/>
    </row>
    <row r="3226" spans="1:16" ht="12.75" x14ac:dyDescent="0.35">
      <c r="A3226" s="7">
        <v>42484.809212962966</v>
      </c>
      <c r="B3226" s="8" t="str">
        <f>HYPERLINK("https://twitter.com/schroederluegde","@schroederluegde")</f>
        <v>@schroederluegde</v>
      </c>
      <c r="C3226" s="9" t="s">
        <v>2937</v>
      </c>
      <c r="D3226" s="9" t="s">
        <v>5425</v>
      </c>
      <c r="E3226" s="10" t="str">
        <f>HYPERLINK("https://twitter.com/schroederluegde/status/724235262793027588","724235262793027588")</f>
        <v>724235262793027588</v>
      </c>
      <c r="F3226" s="11" t="s">
        <v>29</v>
      </c>
      <c r="G3226" s="11">
        <v>214</v>
      </c>
      <c r="H3226" s="11">
        <v>649</v>
      </c>
      <c r="I3226" s="11">
        <v>2</v>
      </c>
      <c r="J3226" s="11">
        <v>0</v>
      </c>
      <c r="K3226" s="11" t="s">
        <v>21</v>
      </c>
      <c r="L3226" s="7">
        <v>41049.693888888891</v>
      </c>
      <c r="M3226" s="12" t="s">
        <v>2939</v>
      </c>
      <c r="N3226" s="12" t="s">
        <v>2940</v>
      </c>
      <c r="O3226" s="10" t="str">
        <f>HYPERLINK("https://pbs.twimg.com/profile_images/378800000461229603/54dcc490f17c8812011cde76385f9b9d_normal.jpeg","View")</f>
        <v>View</v>
      </c>
      <c r="P3226" s="11"/>
    </row>
    <row r="3227" spans="1:16" ht="12.75" x14ac:dyDescent="0.35">
      <c r="A3227" s="7">
        <v>42484.812581018516</v>
      </c>
      <c r="B3227" s="8" t="str">
        <f>HYPERLINK("https://twitter.com/foresight_lab","@foresight_lab")</f>
        <v>@foresight_lab</v>
      </c>
      <c r="C3227" s="9" t="s">
        <v>1735</v>
      </c>
      <c r="D3227" s="9" t="s">
        <v>5428</v>
      </c>
      <c r="E3227" s="10" t="str">
        <f>HYPERLINK("https://twitter.com/foresight_lab/status/724236480504311808","724236480504311808")</f>
        <v>724236480504311808</v>
      </c>
      <c r="F3227" s="11" t="s">
        <v>25</v>
      </c>
      <c r="G3227" s="11">
        <v>686</v>
      </c>
      <c r="H3227" s="11">
        <v>1027</v>
      </c>
      <c r="I3227" s="11">
        <v>0</v>
      </c>
      <c r="J3227" s="11">
        <v>0</v>
      </c>
      <c r="K3227" s="11" t="s">
        <v>21</v>
      </c>
      <c r="L3227" s="7">
        <v>42322.787974537037</v>
      </c>
      <c r="M3227" s="12" t="s">
        <v>581</v>
      </c>
      <c r="N3227" s="12" t="s">
        <v>1737</v>
      </c>
      <c r="O3227" s="10" t="str">
        <f>HYPERLINK("https://pbs.twimg.com/profile_images/665798535779065856/sbUN3m6Q_normal.jpg","View")</f>
        <v>View</v>
      </c>
      <c r="P3227" s="11"/>
    </row>
    <row r="3228" spans="1:16" ht="12.75" x14ac:dyDescent="0.35">
      <c r="A3228" s="7">
        <v>42484.812592592592</v>
      </c>
      <c r="B3228" s="8" t="str">
        <f>HYPERLINK("https://twitter.com/IT2Industry","@IT2Industry")</f>
        <v>@IT2Industry</v>
      </c>
      <c r="C3228" s="9" t="s">
        <v>721</v>
      </c>
      <c r="D3228" s="9" t="s">
        <v>5429</v>
      </c>
      <c r="E3228" s="10" t="str">
        <f>HYPERLINK("https://twitter.com/IT2Industry/status/724236486531526657","724236486531526657")</f>
        <v>724236486531526657</v>
      </c>
      <c r="F3228" s="10" t="s">
        <v>723</v>
      </c>
      <c r="G3228" s="11">
        <v>1936</v>
      </c>
      <c r="H3228" s="11">
        <v>996</v>
      </c>
      <c r="I3228" s="11">
        <v>0</v>
      </c>
      <c r="J3228" s="11">
        <v>0</v>
      </c>
      <c r="K3228" s="11" t="s">
        <v>21</v>
      </c>
      <c r="L3228" s="7">
        <v>39771.779502314814</v>
      </c>
      <c r="M3228" s="12" t="s">
        <v>443</v>
      </c>
      <c r="N3228" s="12" t="s">
        <v>724</v>
      </c>
      <c r="O3228" s="10" t="str">
        <f>HYPERLINK("https://pbs.twimg.com/profile_images/489403559394304001/8SQlWWA1_normal.jpeg","View")</f>
        <v>View</v>
      </c>
      <c r="P3228" s="11"/>
    </row>
    <row r="3229" spans="1:16" ht="12.75" x14ac:dyDescent="0.35">
      <c r="A3229" s="7">
        <v>42484.813310185185</v>
      </c>
      <c r="B3229" s="8" t="str">
        <f>HYPERLINK("https://twitter.com/INDIZbot","@INDIZbot")</f>
        <v>@INDIZbot</v>
      </c>
      <c r="C3229" s="9" t="s">
        <v>61</v>
      </c>
      <c r="D3229" s="9" t="s">
        <v>5430</v>
      </c>
      <c r="E3229" s="10" t="str">
        <f>HYPERLINK("https://twitter.com/INDIZbot/status/724236747169763328","724236747169763328")</f>
        <v>724236747169763328</v>
      </c>
      <c r="F3229" s="11" t="s">
        <v>62</v>
      </c>
      <c r="G3229" s="11">
        <v>1784</v>
      </c>
      <c r="H3229" s="11">
        <v>482</v>
      </c>
      <c r="I3229" s="11">
        <v>1</v>
      </c>
      <c r="J3229" s="11">
        <v>0</v>
      </c>
      <c r="K3229" s="11" t="s">
        <v>21</v>
      </c>
      <c r="L3229" s="7">
        <v>42267.011921296296</v>
      </c>
      <c r="M3229" s="12"/>
      <c r="N3229" s="12" t="s">
        <v>63</v>
      </c>
      <c r="O3229" s="10" t="str">
        <f>HYPERLINK("https://pbs.twimg.com/profile_images/645716711723925506/t5G0qOS6_normal.jpg","View")</f>
        <v>View</v>
      </c>
      <c r="P3229" s="11"/>
    </row>
    <row r="3230" spans="1:16" ht="12.75" x14ac:dyDescent="0.35">
      <c r="A3230" s="7">
        <v>42484.816423611112</v>
      </c>
      <c r="B3230" s="8" t="str">
        <f>HYPERLINK("https://twitter.com/catkinEU","@catkinEU")</f>
        <v>@catkinEU</v>
      </c>
      <c r="C3230" s="9" t="s">
        <v>781</v>
      </c>
      <c r="D3230" s="9" t="s">
        <v>5431</v>
      </c>
      <c r="E3230" s="10" t="str">
        <f>HYPERLINK("https://twitter.com/catkinEU/status/724237872224722944","724237872224722944")</f>
        <v>724237872224722944</v>
      </c>
      <c r="F3230" s="11" t="s">
        <v>25</v>
      </c>
      <c r="G3230" s="11">
        <v>399</v>
      </c>
      <c r="H3230" s="11">
        <v>566</v>
      </c>
      <c r="I3230" s="11">
        <v>0</v>
      </c>
      <c r="J3230" s="11">
        <v>0</v>
      </c>
      <c r="K3230" s="11" t="s">
        <v>21</v>
      </c>
      <c r="L3230" s="7">
        <v>42153.955763888887</v>
      </c>
      <c r="M3230" s="12"/>
      <c r="N3230" s="12" t="s">
        <v>782</v>
      </c>
      <c r="O3230" s="10" t="str">
        <f>HYPERLINK("https://pbs.twimg.com/profile_images/604338428227010560/6jzSa8us_normal.png","View")</f>
        <v>View</v>
      </c>
      <c r="P3230" s="11"/>
    </row>
    <row r="3231" spans="1:16" ht="12.75" x14ac:dyDescent="0.35">
      <c r="A3231" s="7">
        <v>42484.816724537042</v>
      </c>
      <c r="B3231" s="8" t="str">
        <f>HYPERLINK("https://twitter.com/Linde_WoMH","@Linde_WoMH")</f>
        <v>@Linde_WoMH</v>
      </c>
      <c r="C3231" s="9" t="s">
        <v>5432</v>
      </c>
      <c r="D3231" s="9" t="s">
        <v>5433</v>
      </c>
      <c r="E3231" s="10" t="str">
        <f>HYPERLINK("https://twitter.com/Linde_WoMH/status/724237984359280640","724237984359280640")</f>
        <v>724237984359280640</v>
      </c>
      <c r="F3231" s="11" t="s">
        <v>115</v>
      </c>
      <c r="G3231" s="11">
        <v>35</v>
      </c>
      <c r="H3231" s="11">
        <v>55</v>
      </c>
      <c r="I3231" s="11">
        <v>0</v>
      </c>
      <c r="J3231" s="11">
        <v>0</v>
      </c>
      <c r="K3231" s="11" t="s">
        <v>21</v>
      </c>
      <c r="L3231" s="7">
        <v>42473.819803240738</v>
      </c>
      <c r="M3231" s="12" t="s">
        <v>5434</v>
      </c>
      <c r="N3231" s="12" t="s">
        <v>5435</v>
      </c>
      <c r="O3231" s="10" t="str">
        <f>HYPERLINK("https://pbs.twimg.com/profile_images/722046888816414721/6ATUmhSW_normal.jpg","View")</f>
        <v>View</v>
      </c>
      <c r="P3231" s="11"/>
    </row>
    <row r="3232" spans="1:16" ht="12.75" x14ac:dyDescent="0.35">
      <c r="A3232" s="7">
        <v>42484.817986111113</v>
      </c>
      <c r="B3232" s="8" t="str">
        <f>HYPERLINK("https://twitter.com/akwyz","@akwyz")</f>
        <v>@akwyz</v>
      </c>
      <c r="C3232" s="9" t="s">
        <v>2736</v>
      </c>
      <c r="D3232" s="9" t="s">
        <v>5425</v>
      </c>
      <c r="E3232" s="10" t="str">
        <f>HYPERLINK("https://twitter.com/akwyz/status/724238440351580161","724238440351580161")</f>
        <v>724238440351580161</v>
      </c>
      <c r="F3232" s="11" t="s">
        <v>25</v>
      </c>
      <c r="G3232" s="11">
        <v>19059</v>
      </c>
      <c r="H3232" s="11">
        <v>14781</v>
      </c>
      <c r="I3232" s="11">
        <v>3</v>
      </c>
      <c r="J3232" s="11">
        <v>0</v>
      </c>
      <c r="K3232" s="11" t="s">
        <v>21</v>
      </c>
      <c r="L3232" s="7">
        <v>39838.729930555557</v>
      </c>
      <c r="M3232" s="12" t="s">
        <v>2737</v>
      </c>
      <c r="N3232" s="12" t="s">
        <v>2738</v>
      </c>
      <c r="O3232" s="10" t="str">
        <f>HYPERLINK("https://pbs.twimg.com/profile_images/721423009114931200/0w9BDsO3_normal.jpg","View")</f>
        <v>View</v>
      </c>
      <c r="P3232" s="11"/>
    </row>
    <row r="3233" spans="1:16" ht="12.75" x14ac:dyDescent="0.35">
      <c r="A3233" s="7">
        <v>42484.825555555552</v>
      </c>
      <c r="B3233" s="8" t="str">
        <f>HYPERLINK("https://twitter.com/RolandDuerre","@RolandDuerre")</f>
        <v>@RolandDuerre</v>
      </c>
      <c r="C3233" s="9" t="s">
        <v>3591</v>
      </c>
      <c r="D3233" s="9" t="s">
        <v>5430</v>
      </c>
      <c r="E3233" s="10" t="str">
        <f>HYPERLINK("https://twitter.com/RolandDuerre/status/724241181870292993","724241181870292993")</f>
        <v>724241181870292993</v>
      </c>
      <c r="F3233" s="11" t="s">
        <v>20</v>
      </c>
      <c r="G3233" s="11">
        <v>1252</v>
      </c>
      <c r="H3233" s="11">
        <v>1209</v>
      </c>
      <c r="I3233" s="11">
        <v>2</v>
      </c>
      <c r="J3233" s="11">
        <v>0</v>
      </c>
      <c r="K3233" s="11" t="s">
        <v>21</v>
      </c>
      <c r="L3233" s="7">
        <v>39913.853576388887</v>
      </c>
      <c r="M3233" s="12" t="s">
        <v>3593</v>
      </c>
      <c r="N3233" s="12" t="s">
        <v>3594</v>
      </c>
      <c r="O3233" s="10" t="str">
        <f>HYPERLINK("https://pbs.twimg.com/profile_images/3083763260/1ea674655cb6144191e83d3ee23b16b6_normal.jpeg","View")</f>
        <v>View</v>
      </c>
      <c r="P3233" s="11"/>
    </row>
    <row r="3234" spans="1:16" ht="12.75" x14ac:dyDescent="0.35">
      <c r="A3234" s="7">
        <v>42484.826307870375</v>
      </c>
      <c r="B3234" s="8" t="str">
        <f>HYPERLINK("https://twitter.com/IlkkaNiemela","@IlkkaNiemela")</f>
        <v>@IlkkaNiemela</v>
      </c>
      <c r="C3234" s="9" t="s">
        <v>5436</v>
      </c>
      <c r="D3234" s="9" t="s">
        <v>5367</v>
      </c>
      <c r="E3234" s="10" t="str">
        <f>HYPERLINK("https://twitter.com/IlkkaNiemela/status/724241456987254784","724241456987254784")</f>
        <v>724241456987254784</v>
      </c>
      <c r="F3234" s="11" t="s">
        <v>866</v>
      </c>
      <c r="G3234" s="11">
        <v>319</v>
      </c>
      <c r="H3234" s="11">
        <v>468</v>
      </c>
      <c r="I3234" s="11">
        <v>3</v>
      </c>
      <c r="J3234" s="11">
        <v>0</v>
      </c>
      <c r="K3234" s="11" t="s">
        <v>21</v>
      </c>
      <c r="L3234" s="7">
        <v>40955.82166666667</v>
      </c>
      <c r="M3234" s="12" t="s">
        <v>5437</v>
      </c>
      <c r="N3234" s="12" t="s">
        <v>5438</v>
      </c>
      <c r="O3234" s="10" t="str">
        <f>HYPERLINK("https://pbs.twimg.com/profile_images/507173330248400896/2G4YgdTe_normal.jpeg","View")</f>
        <v>View</v>
      </c>
      <c r="P3234" s="11"/>
    </row>
    <row r="3235" spans="1:16" ht="12.75" x14ac:dyDescent="0.35">
      <c r="A3235" s="7">
        <v>42484.826828703706</v>
      </c>
      <c r="B3235" s="8" t="str">
        <f>HYPERLINK("https://twitter.com/pareekhjain","@pareekhjain")</f>
        <v>@pareekhjain</v>
      </c>
      <c r="C3235" s="9" t="s">
        <v>5439</v>
      </c>
      <c r="D3235" s="9" t="s">
        <v>5440</v>
      </c>
      <c r="E3235" s="10" t="str">
        <f>HYPERLINK("https://twitter.com/pareekhjain/status/724241646683066368","724241646683066368")</f>
        <v>724241646683066368</v>
      </c>
      <c r="F3235" s="11" t="s">
        <v>20</v>
      </c>
      <c r="G3235" s="11">
        <v>2616</v>
      </c>
      <c r="H3235" s="11">
        <v>2496</v>
      </c>
      <c r="I3235" s="11">
        <v>1</v>
      </c>
      <c r="J3235" s="11">
        <v>0</v>
      </c>
      <c r="K3235" s="11" t="s">
        <v>21</v>
      </c>
      <c r="L3235" s="7">
        <v>39873.571446759262</v>
      </c>
      <c r="M3235" s="13" t="s">
        <v>5441</v>
      </c>
      <c r="N3235" s="12" t="s">
        <v>5442</v>
      </c>
      <c r="O3235" s="10" t="str">
        <f>HYPERLINK("https://pbs.twimg.com/profile_images/467633700562141184/epYfiO63_normal.jpeg","View")</f>
        <v>View</v>
      </c>
      <c r="P3235" s="11"/>
    </row>
    <row r="3236" spans="1:16" ht="12.75" x14ac:dyDescent="0.35">
      <c r="A3236" s="7">
        <v>42484.830694444448</v>
      </c>
      <c r="B3236" s="8" t="str">
        <f>HYPERLINK("https://twitter.com/SASCHAKAUS1","@SASCHAKAUS1")</f>
        <v>@SASCHAKAUS1</v>
      </c>
      <c r="C3236" s="9" t="s">
        <v>2730</v>
      </c>
      <c r="D3236" s="9" t="s">
        <v>3432</v>
      </c>
      <c r="E3236" s="10" t="str">
        <f>HYPERLINK("https://twitter.com/SASCHAKAUS1/status/724243047358337024","724243047358337024")</f>
        <v>724243047358337024</v>
      </c>
      <c r="F3236" s="11" t="s">
        <v>31</v>
      </c>
      <c r="G3236" s="11">
        <v>65</v>
      </c>
      <c r="H3236" s="11">
        <v>94</v>
      </c>
      <c r="I3236" s="11">
        <v>2</v>
      </c>
      <c r="J3236" s="11">
        <v>0</v>
      </c>
      <c r="K3236" s="11" t="s">
        <v>21</v>
      </c>
      <c r="L3236" s="7">
        <v>41012.521724537037</v>
      </c>
      <c r="M3236" s="12" t="s">
        <v>2731</v>
      </c>
      <c r="N3236" s="12" t="s">
        <v>2732</v>
      </c>
      <c r="O3236" s="10" t="str">
        <f>HYPERLINK("https://pbs.twimg.com/profile_images/507446718355759104/Hjza08vg_normal.jpeg","View")</f>
        <v>View</v>
      </c>
      <c r="P3236" s="11"/>
    </row>
    <row r="3237" spans="1:16" ht="12.75" x14ac:dyDescent="0.35">
      <c r="A3237" s="7">
        <v>42484.831354166672</v>
      </c>
      <c r="B3237" s="8" t="str">
        <f>HYPERLINK("https://twitter.com/askklaushaasis","@askklaushaasis")</f>
        <v>@askklaushaasis</v>
      </c>
      <c r="C3237" s="9" t="s">
        <v>5443</v>
      </c>
      <c r="D3237" s="9" t="s">
        <v>5329</v>
      </c>
      <c r="E3237" s="10" t="str">
        <f>HYPERLINK("https://twitter.com/askklaushaasis/status/724243283728293888","724243283728293888")</f>
        <v>724243283728293888</v>
      </c>
      <c r="F3237" s="11" t="s">
        <v>25</v>
      </c>
      <c r="G3237" s="11">
        <v>484</v>
      </c>
      <c r="H3237" s="11">
        <v>536</v>
      </c>
      <c r="I3237" s="11">
        <v>9</v>
      </c>
      <c r="J3237" s="11">
        <v>0</v>
      </c>
      <c r="K3237" s="11" t="s">
        <v>21</v>
      </c>
      <c r="L3237" s="7">
        <v>39898.755648148144</v>
      </c>
      <c r="M3237" s="12" t="s">
        <v>5444</v>
      </c>
      <c r="N3237" s="12" t="s">
        <v>5445</v>
      </c>
      <c r="O3237" s="10" t="str">
        <f>HYPERLINK("https://pbs.twimg.com/profile_images/579215161363427328/FqfBn-sr_normal.jpg","View")</f>
        <v>View</v>
      </c>
      <c r="P3237" s="11"/>
    </row>
    <row r="3238" spans="1:16" ht="12.75" x14ac:dyDescent="0.35">
      <c r="A3238" s="7">
        <v>42484.834131944444</v>
      </c>
      <c r="B3238" s="8" t="str">
        <f>HYPERLINK("https://twitter.com/INDIZbot","@INDIZbot")</f>
        <v>@INDIZbot</v>
      </c>
      <c r="C3238" s="9" t="s">
        <v>61</v>
      </c>
      <c r="D3238" s="9" t="s">
        <v>3432</v>
      </c>
      <c r="E3238" s="10" t="str">
        <f>HYPERLINK("https://twitter.com/INDIZbot/status/724244293297291264","724244293297291264")</f>
        <v>724244293297291264</v>
      </c>
      <c r="F3238" s="11" t="s">
        <v>62</v>
      </c>
      <c r="G3238" s="11">
        <v>1784</v>
      </c>
      <c r="H3238" s="11">
        <v>482</v>
      </c>
      <c r="I3238" s="11">
        <v>3</v>
      </c>
      <c r="J3238" s="11">
        <v>0</v>
      </c>
      <c r="K3238" s="11" t="s">
        <v>21</v>
      </c>
      <c r="L3238" s="7">
        <v>42267.011921296296</v>
      </c>
      <c r="M3238" s="12"/>
      <c r="N3238" s="12" t="s">
        <v>63</v>
      </c>
      <c r="O3238" s="10" t="str">
        <f>HYPERLINK("https://pbs.twimg.com/profile_images/645716711723925506/t5G0qOS6_normal.jpg","View")</f>
        <v>View</v>
      </c>
      <c r="P3238" s="11"/>
    </row>
    <row r="3239" spans="1:16" ht="12.75" x14ac:dyDescent="0.35">
      <c r="A3239" s="7">
        <v>42484.836412037039</v>
      </c>
      <c r="B3239" s="8" t="str">
        <f>HYPERLINK("https://twitter.com/MartinGaedt","@MartinGaedt")</f>
        <v>@MartinGaedt</v>
      </c>
      <c r="C3239" s="9" t="s">
        <v>1296</v>
      </c>
      <c r="D3239" s="9" t="s">
        <v>5430</v>
      </c>
      <c r="E3239" s="10" t="str">
        <f>HYPERLINK("https://twitter.com/MartinGaedt/status/724245117855522818","724245117855522818")</f>
        <v>724245117855522818</v>
      </c>
      <c r="F3239" s="11" t="s">
        <v>20</v>
      </c>
      <c r="G3239" s="11">
        <v>5375</v>
      </c>
      <c r="H3239" s="11">
        <v>5913</v>
      </c>
      <c r="I3239" s="11">
        <v>3</v>
      </c>
      <c r="J3239" s="11">
        <v>0</v>
      </c>
      <c r="K3239" s="11" t="s">
        <v>21</v>
      </c>
      <c r="L3239" s="7">
        <v>39938.908993055556</v>
      </c>
      <c r="M3239" s="12" t="s">
        <v>1297</v>
      </c>
      <c r="N3239" s="12" t="s">
        <v>1298</v>
      </c>
      <c r="O3239" s="10" t="str">
        <f>HYPERLINK("https://pbs.twimg.com/profile_images/709444980553740288/Xds-Aan6_normal.jpg","View")</f>
        <v>View</v>
      </c>
      <c r="P3239" s="11"/>
    </row>
    <row r="3240" spans="1:16" ht="12.75" x14ac:dyDescent="0.35">
      <c r="A3240" s="7">
        <v>42484.838206018518</v>
      </c>
      <c r="B3240" s="8" t="str">
        <f>HYPERLINK("https://twitter.com/Bitkom_I40","@Bitkom_I40")</f>
        <v>@Bitkom_I40</v>
      </c>
      <c r="C3240" s="9" t="s">
        <v>1857</v>
      </c>
      <c r="D3240" s="9" t="s">
        <v>5446</v>
      </c>
      <c r="E3240" s="10" t="str">
        <f>HYPERLINK("https://twitter.com/Bitkom_I40/status/724245766999429120","724245766999429120")</f>
        <v>724245766999429120</v>
      </c>
      <c r="F3240" s="11" t="s">
        <v>115</v>
      </c>
      <c r="G3240" s="11">
        <v>769</v>
      </c>
      <c r="H3240" s="11">
        <v>44</v>
      </c>
      <c r="I3240" s="11">
        <v>0</v>
      </c>
      <c r="J3240" s="11">
        <v>0</v>
      </c>
      <c r="K3240" s="11" t="s">
        <v>21</v>
      </c>
      <c r="L3240" s="7">
        <v>41613.773194444446</v>
      </c>
      <c r="M3240" s="12" t="s">
        <v>218</v>
      </c>
      <c r="N3240" s="12" t="s">
        <v>1860</v>
      </c>
      <c r="O3240" s="10" t="str">
        <f>HYPERLINK("https://pbs.twimg.com/profile_images/723407487395713024/0hZv7R8S_normal.jpg","View")</f>
        <v>View</v>
      </c>
      <c r="P3240" s="11"/>
    </row>
    <row r="3241" spans="1:16" ht="12.75" x14ac:dyDescent="0.35">
      <c r="A3241" s="7">
        <v>42484.842916666668</v>
      </c>
      <c r="B3241" s="8" t="str">
        <f>HYPERLINK("https://twitter.com/i_k_sudhoff","@i_k_sudhoff")</f>
        <v>@i_k_sudhoff</v>
      </c>
      <c r="C3241" s="9" t="s">
        <v>5447</v>
      </c>
      <c r="D3241" s="9" t="s">
        <v>5293</v>
      </c>
      <c r="E3241" s="10" t="str">
        <f>HYPERLINK("https://twitter.com/i_k_sudhoff/status/724247472944590851","724247472944590851")</f>
        <v>724247472944590851</v>
      </c>
      <c r="F3241" s="11" t="s">
        <v>31</v>
      </c>
      <c r="G3241" s="11">
        <v>70</v>
      </c>
      <c r="H3241" s="11">
        <v>136</v>
      </c>
      <c r="I3241" s="11">
        <v>2</v>
      </c>
      <c r="J3241" s="11">
        <v>0</v>
      </c>
      <c r="K3241" s="11" t="s">
        <v>21</v>
      </c>
      <c r="L3241" s="7">
        <v>40914.915300925924</v>
      </c>
      <c r="M3241" s="12" t="s">
        <v>5448</v>
      </c>
      <c r="N3241" s="12"/>
      <c r="O3241" s="10" t="str">
        <f>HYPERLINK("https://pbs.twimg.com/profile_images/450307122459590656/Ib7Js4Be_normal.jpeg","View")</f>
        <v>View</v>
      </c>
      <c r="P3241" s="11"/>
    </row>
    <row r="3242" spans="1:16" ht="12.75" x14ac:dyDescent="0.35">
      <c r="A3242" s="7">
        <v>42484.846388888887</v>
      </c>
      <c r="B3242" s="8" t="str">
        <f>HYPERLINK("https://twitter.com/_bluebiz","@_bluebiz")</f>
        <v>@_bluebiz</v>
      </c>
      <c r="C3242" s="9" t="s">
        <v>5449</v>
      </c>
      <c r="D3242" s="9" t="s">
        <v>5450</v>
      </c>
      <c r="E3242" s="10" t="str">
        <f>HYPERLINK("https://twitter.com/_bluebiz/status/724248734532550656","724248734532550656")</f>
        <v>724248734532550656</v>
      </c>
      <c r="F3242" s="11" t="s">
        <v>29</v>
      </c>
      <c r="G3242" s="11">
        <v>7</v>
      </c>
      <c r="H3242" s="11">
        <v>13</v>
      </c>
      <c r="I3242" s="11">
        <v>0</v>
      </c>
      <c r="J3242" s="11">
        <v>0</v>
      </c>
      <c r="K3242" s="11" t="s">
        <v>21</v>
      </c>
      <c r="L3242" s="7">
        <v>42234.841261574074</v>
      </c>
      <c r="M3242" s="12" t="s">
        <v>5451</v>
      </c>
      <c r="N3242" s="12" t="s">
        <v>5452</v>
      </c>
      <c r="O3242" s="10" t="str">
        <f>HYPERLINK("https://pbs.twimg.com/profile_images/696770120769761281/vlTP9A_7_normal.jpg","View")</f>
        <v>View</v>
      </c>
      <c r="P3242" s="11"/>
    </row>
    <row r="3243" spans="1:16" ht="12.75" x14ac:dyDescent="0.35">
      <c r="A3243" s="7">
        <v>42484.850034722222</v>
      </c>
      <c r="B3243" s="8" t="str">
        <f>HYPERLINK("https://twitter.com/Wolfgang_Dorst","@Wolfgang_Dorst")</f>
        <v>@Wolfgang_Dorst</v>
      </c>
      <c r="C3243" s="9" t="s">
        <v>5453</v>
      </c>
      <c r="D3243" s="9" t="s">
        <v>5454</v>
      </c>
      <c r="E3243" s="10" t="str">
        <f>HYPERLINK("https://twitter.com/Wolfgang_Dorst/status/724250055109185536","724250055109185536")</f>
        <v>724250055109185536</v>
      </c>
      <c r="F3243" s="11" t="s">
        <v>31</v>
      </c>
      <c r="G3243" s="11">
        <v>6</v>
      </c>
      <c r="H3243" s="11">
        <v>5</v>
      </c>
      <c r="I3243" s="11">
        <v>0</v>
      </c>
      <c r="J3243" s="11">
        <v>0</v>
      </c>
      <c r="K3243" s="11" t="s">
        <v>21</v>
      </c>
      <c r="L3243" s="7">
        <v>41993.107488425929</v>
      </c>
      <c r="M3243" s="12"/>
      <c r="N3243" s="12"/>
      <c r="O3243" s="10" t="str">
        <f>HYPERLINK("https://pbs.twimg.com/profile_images/556507839561084928/0NQjY3j6_normal.jpeg","View")</f>
        <v>View</v>
      </c>
      <c r="P3243" s="11"/>
    </row>
    <row r="3244" spans="1:16" ht="12.75" x14ac:dyDescent="0.35">
      <c r="A3244" s="7">
        <v>42484.850185185191</v>
      </c>
      <c r="B3244" s="8" t="str">
        <f>HYPERLINK("https://twitter.com/Angela_Josephs","@Angela_Josephs")</f>
        <v>@Angela_Josephs</v>
      </c>
      <c r="C3244" s="9" t="s">
        <v>1612</v>
      </c>
      <c r="D3244" s="9" t="s">
        <v>5358</v>
      </c>
      <c r="E3244" s="10" t="str">
        <f>HYPERLINK("https://twitter.com/Angela_Josephs/status/724250106711683072","724250106711683072")</f>
        <v>724250106711683072</v>
      </c>
      <c r="F3244" s="11" t="s">
        <v>31</v>
      </c>
      <c r="G3244" s="11">
        <v>177</v>
      </c>
      <c r="H3244" s="11">
        <v>83</v>
      </c>
      <c r="I3244" s="11">
        <v>7</v>
      </c>
      <c r="J3244" s="11">
        <v>0</v>
      </c>
      <c r="K3244" s="11" t="s">
        <v>21</v>
      </c>
      <c r="L3244" s="7">
        <v>41954.653541666667</v>
      </c>
      <c r="M3244" s="12" t="s">
        <v>1273</v>
      </c>
      <c r="N3244" s="12" t="s">
        <v>1614</v>
      </c>
      <c r="O3244" s="10" t="str">
        <f>HYPERLINK("https://pbs.twimg.com/profile_images/649572788148285440/Sxl5vTa3_normal.jpg","View")</f>
        <v>View</v>
      </c>
      <c r="P3244" s="11"/>
    </row>
    <row r="3245" spans="1:16" ht="12.75" x14ac:dyDescent="0.35">
      <c r="A3245" s="7">
        <v>42484.854305555556</v>
      </c>
      <c r="B3245" s="8" t="str">
        <f>HYPERLINK("https://twitter.com/verlinked","@verlinked")</f>
        <v>@verlinked</v>
      </c>
      <c r="C3245" s="9" t="s">
        <v>263</v>
      </c>
      <c r="D3245" s="9" t="s">
        <v>5455</v>
      </c>
      <c r="E3245" s="10" t="str">
        <f>HYPERLINK("https://twitter.com/verlinked/status/724251602819764224","724251602819764224")</f>
        <v>724251602819764224</v>
      </c>
      <c r="F3245" s="11" t="s">
        <v>115</v>
      </c>
      <c r="G3245" s="11">
        <v>605</v>
      </c>
      <c r="H3245" s="11">
        <v>1206</v>
      </c>
      <c r="I3245" s="11">
        <v>0</v>
      </c>
      <c r="J3245" s="11">
        <v>0</v>
      </c>
      <c r="K3245" s="11" t="s">
        <v>21</v>
      </c>
      <c r="L3245" s="7">
        <v>41463.077627314815</v>
      </c>
      <c r="M3245" s="12" t="s">
        <v>265</v>
      </c>
      <c r="N3245" s="12" t="s">
        <v>266</v>
      </c>
      <c r="O3245" s="10" t="str">
        <f>HYPERLINK("https://pbs.twimg.com/profile_images/722385992343285760/ww8YLZ2q_normal.jpg","View")</f>
        <v>View</v>
      </c>
      <c r="P3245" s="11"/>
    </row>
    <row r="3246" spans="1:16" ht="12.75" x14ac:dyDescent="0.35">
      <c r="A3246" s="7">
        <v>42484.862777777773</v>
      </c>
      <c r="B3246" s="8" t="str">
        <f t="shared" ref="B3246:B3247" si="424">HYPERLINK("https://twitter.com/catkinEU","@catkinEU")</f>
        <v>@catkinEU</v>
      </c>
      <c r="C3246" s="9" t="s">
        <v>781</v>
      </c>
      <c r="D3246" s="9" t="s">
        <v>5456</v>
      </c>
      <c r="E3246" s="10" t="str">
        <f>HYPERLINK("https://twitter.com/catkinEU/status/724254673125793793","724254673125793793")</f>
        <v>724254673125793793</v>
      </c>
      <c r="F3246" s="11" t="s">
        <v>25</v>
      </c>
      <c r="G3246" s="11">
        <v>398</v>
      </c>
      <c r="H3246" s="11">
        <v>566</v>
      </c>
      <c r="I3246" s="11">
        <v>0</v>
      </c>
      <c r="J3246" s="11">
        <v>0</v>
      </c>
      <c r="K3246" s="11" t="s">
        <v>21</v>
      </c>
      <c r="L3246" s="7">
        <v>42153.955763888887</v>
      </c>
      <c r="M3246" s="12"/>
      <c r="N3246" s="12" t="s">
        <v>782</v>
      </c>
      <c r="O3246" s="10" t="str">
        <f t="shared" ref="O3246:O3247" si="425">HYPERLINK("https://pbs.twimg.com/profile_images/604338428227010560/6jzSa8us_normal.png","View")</f>
        <v>View</v>
      </c>
      <c r="P3246" s="11"/>
    </row>
    <row r="3247" spans="1:16" ht="12.75" x14ac:dyDescent="0.35">
      <c r="A3247" s="7">
        <v>42484.866701388892</v>
      </c>
      <c r="B3247" s="8" t="str">
        <f t="shared" si="424"/>
        <v>@catkinEU</v>
      </c>
      <c r="C3247" s="9" t="s">
        <v>781</v>
      </c>
      <c r="D3247" s="9" t="s">
        <v>5457</v>
      </c>
      <c r="E3247" s="10" t="str">
        <f>HYPERLINK("https://twitter.com/catkinEU/status/724256094411980800","724256094411980800")</f>
        <v>724256094411980800</v>
      </c>
      <c r="F3247" s="11" t="s">
        <v>25</v>
      </c>
      <c r="G3247" s="11">
        <v>398</v>
      </c>
      <c r="H3247" s="11">
        <v>566</v>
      </c>
      <c r="I3247" s="11">
        <v>1</v>
      </c>
      <c r="J3247" s="11">
        <v>0</v>
      </c>
      <c r="K3247" s="11" t="s">
        <v>21</v>
      </c>
      <c r="L3247" s="7">
        <v>42153.955763888887</v>
      </c>
      <c r="M3247" s="12"/>
      <c r="N3247" s="12" t="s">
        <v>782</v>
      </c>
      <c r="O3247" s="10" t="str">
        <f t="shared" si="425"/>
        <v>View</v>
      </c>
      <c r="P3247" s="11"/>
    </row>
    <row r="3248" spans="1:16" ht="12.75" x14ac:dyDescent="0.35">
      <c r="A3248" s="7">
        <v>42484.871076388888</v>
      </c>
      <c r="B3248" s="8" t="str">
        <f>HYPERLINK("https://twitter.com/martinruskowski","@martinruskowski")</f>
        <v>@martinruskowski</v>
      </c>
      <c r="C3248" s="9" t="s">
        <v>5458</v>
      </c>
      <c r="D3248" s="9" t="s">
        <v>5090</v>
      </c>
      <c r="E3248" s="10" t="str">
        <f>HYPERLINK("https://twitter.com/martinruskowski/status/724257681486282752","724257681486282752")</f>
        <v>724257681486282752</v>
      </c>
      <c r="F3248" s="11" t="s">
        <v>1491</v>
      </c>
      <c r="G3248" s="11">
        <v>0</v>
      </c>
      <c r="H3248" s="11">
        <v>10</v>
      </c>
      <c r="I3248" s="11">
        <v>2</v>
      </c>
      <c r="J3248" s="11">
        <v>0</v>
      </c>
      <c r="K3248" s="11" t="s">
        <v>21</v>
      </c>
      <c r="L3248" s="7">
        <v>41073.079699074078</v>
      </c>
      <c r="M3248" s="12"/>
      <c r="N3248" s="12"/>
      <c r="O3248" s="10" t="str">
        <f>HYPERLINK("https://pbs.twimg.com/profile_images/600009481204924416/MjO5xAdb_normal.jpg","View")</f>
        <v>View</v>
      </c>
      <c r="P3248" s="11"/>
    </row>
    <row r="3249" spans="1:16" ht="12.75" x14ac:dyDescent="0.35">
      <c r="A3249" s="7">
        <v>42484.87122685185</v>
      </c>
      <c r="B3249" s="8" t="str">
        <f>HYPERLINK("https://twitter.com/MartinGaedt","@MartinGaedt")</f>
        <v>@MartinGaedt</v>
      </c>
      <c r="C3249" s="9" t="s">
        <v>1296</v>
      </c>
      <c r="D3249" s="9" t="s">
        <v>5459</v>
      </c>
      <c r="E3249" s="10" t="str">
        <f>HYPERLINK("https://twitter.com/MartinGaedt/status/724257735752187904","724257735752187904")</f>
        <v>724257735752187904</v>
      </c>
      <c r="F3249" s="11" t="s">
        <v>25</v>
      </c>
      <c r="G3249" s="11">
        <v>5378</v>
      </c>
      <c r="H3249" s="11">
        <v>5916</v>
      </c>
      <c r="I3249" s="11">
        <v>1</v>
      </c>
      <c r="J3249" s="11">
        <v>0</v>
      </c>
      <c r="K3249" s="11" t="s">
        <v>21</v>
      </c>
      <c r="L3249" s="7">
        <v>39938.908993055556</v>
      </c>
      <c r="M3249" s="12" t="s">
        <v>1297</v>
      </c>
      <c r="N3249" s="12" t="s">
        <v>1298</v>
      </c>
      <c r="O3249" s="10" t="str">
        <f>HYPERLINK("https://pbs.twimg.com/profile_images/709444980553740288/Xds-Aan6_normal.jpg","View")</f>
        <v>View</v>
      </c>
      <c r="P3249" s="11"/>
    </row>
    <row r="3250" spans="1:16" ht="12.75" x14ac:dyDescent="0.35">
      <c r="A3250" s="7">
        <v>42484.876250000001</v>
      </c>
      <c r="B3250" s="8" t="str">
        <f>HYPERLINK("https://twitter.com/catkinEU","@catkinEU")</f>
        <v>@catkinEU</v>
      </c>
      <c r="C3250" s="9" t="s">
        <v>781</v>
      </c>
      <c r="D3250" s="9" t="s">
        <v>5460</v>
      </c>
      <c r="E3250" s="10" t="str">
        <f>HYPERLINK("https://twitter.com/catkinEU/status/724259556335992833","724259556335992833")</f>
        <v>724259556335992833</v>
      </c>
      <c r="F3250" s="11" t="s">
        <v>25</v>
      </c>
      <c r="G3250" s="11">
        <v>398</v>
      </c>
      <c r="H3250" s="11">
        <v>566</v>
      </c>
      <c r="I3250" s="11">
        <v>0</v>
      </c>
      <c r="J3250" s="11">
        <v>0</v>
      </c>
      <c r="K3250" s="11" t="s">
        <v>21</v>
      </c>
      <c r="L3250" s="7">
        <v>42153.955763888887</v>
      </c>
      <c r="M3250" s="12"/>
      <c r="N3250" s="12" t="s">
        <v>782</v>
      </c>
      <c r="O3250" s="10" t="str">
        <f>HYPERLINK("https://pbs.twimg.com/profile_images/604338428227010560/6jzSa8us_normal.png","View")</f>
        <v>View</v>
      </c>
      <c r="P3250" s="11"/>
    </row>
    <row r="3251" spans="1:16" ht="12.75" x14ac:dyDescent="0.35">
      <c r="A3251" s="7">
        <v>42484.881319444445</v>
      </c>
      <c r="B3251" s="8" t="str">
        <f>HYPERLINK("https://twitter.com/buendnisZdI","@buendnisZdI")</f>
        <v>@buendnisZdI</v>
      </c>
      <c r="C3251" s="9" t="s">
        <v>5461</v>
      </c>
      <c r="D3251" s="9" t="s">
        <v>5424</v>
      </c>
      <c r="E3251" s="10" t="str">
        <f>HYPERLINK("https://twitter.com/buendnisZdI/status/724261392023474176","724261392023474176")</f>
        <v>724261392023474176</v>
      </c>
      <c r="F3251" s="11" t="s">
        <v>2213</v>
      </c>
      <c r="G3251" s="11">
        <v>54</v>
      </c>
      <c r="H3251" s="11">
        <v>17</v>
      </c>
      <c r="I3251" s="11">
        <v>2</v>
      </c>
      <c r="J3251" s="11">
        <v>0</v>
      </c>
      <c r="K3251" s="11" t="s">
        <v>21</v>
      </c>
      <c r="L3251" s="7">
        <v>42153.59443287037</v>
      </c>
      <c r="M3251" s="12"/>
      <c r="N3251" s="12" t="s">
        <v>5462</v>
      </c>
      <c r="O3251" s="10" t="str">
        <f>HYPERLINK("https://pbs.twimg.com/profile_images/625595391568908288/AeEkCkPt_normal.jpg","View")</f>
        <v>View</v>
      </c>
      <c r="P3251" s="11"/>
    </row>
    <row r="3252" spans="1:16" ht="12.75" x14ac:dyDescent="0.35">
      <c r="A3252" s="7">
        <v>42484.881354166668</v>
      </c>
      <c r="B3252" s="8" t="str">
        <f>HYPERLINK("https://twitter.com/martinruskowski","@martinruskowski")</f>
        <v>@martinruskowski</v>
      </c>
      <c r="C3252" s="9" t="s">
        <v>5458</v>
      </c>
      <c r="D3252" s="9" t="s">
        <v>5060</v>
      </c>
      <c r="E3252" s="10" t="str">
        <f>HYPERLINK("https://twitter.com/martinruskowski/status/724261403230633984","724261403230633984")</f>
        <v>724261403230633984</v>
      </c>
      <c r="F3252" s="11" t="s">
        <v>1491</v>
      </c>
      <c r="G3252" s="11">
        <v>0</v>
      </c>
      <c r="H3252" s="11">
        <v>10</v>
      </c>
      <c r="I3252" s="11">
        <v>11</v>
      </c>
      <c r="J3252" s="11">
        <v>0</v>
      </c>
      <c r="K3252" s="11" t="s">
        <v>21</v>
      </c>
      <c r="L3252" s="7">
        <v>41073.079699074078</v>
      </c>
      <c r="M3252" s="12"/>
      <c r="N3252" s="12"/>
      <c r="O3252" s="10" t="str">
        <f>HYPERLINK("https://pbs.twimg.com/profile_images/600009481204924416/MjO5xAdb_normal.jpg","View")</f>
        <v>View</v>
      </c>
      <c r="P3252" s="11"/>
    </row>
    <row r="3253" spans="1:16" ht="12.75" x14ac:dyDescent="0.35">
      <c r="A3253" s="7">
        <v>42484.881365740745</v>
      </c>
      <c r="B3253" s="8" t="str">
        <f>HYPERLINK("https://twitter.com/buendnisZdI","@buendnisZdI")</f>
        <v>@buendnisZdI</v>
      </c>
      <c r="C3253" s="9" t="s">
        <v>5461</v>
      </c>
      <c r="D3253" s="9" t="s">
        <v>5463</v>
      </c>
      <c r="E3253" s="10" t="str">
        <f>HYPERLINK("https://twitter.com/buendnisZdI/status/724261408888729600","724261408888729600")</f>
        <v>724261408888729600</v>
      </c>
      <c r="F3253" s="11" t="s">
        <v>2213</v>
      </c>
      <c r="G3253" s="11">
        <v>54</v>
      </c>
      <c r="H3253" s="11">
        <v>17</v>
      </c>
      <c r="I3253" s="11">
        <v>1</v>
      </c>
      <c r="J3253" s="11">
        <v>0</v>
      </c>
      <c r="K3253" s="11" t="s">
        <v>21</v>
      </c>
      <c r="L3253" s="7">
        <v>42153.59443287037</v>
      </c>
      <c r="M3253" s="12"/>
      <c r="N3253" s="12" t="s">
        <v>5462</v>
      </c>
      <c r="O3253" s="10" t="str">
        <f>HYPERLINK("https://pbs.twimg.com/profile_images/625595391568908288/AeEkCkPt_normal.jpg","View")</f>
        <v>View</v>
      </c>
      <c r="P3253" s="11"/>
    </row>
    <row r="3254" spans="1:16" ht="12.75" x14ac:dyDescent="0.35">
      <c r="A3254" s="7">
        <v>42484.88181712963</v>
      </c>
      <c r="B3254" s="8" t="str">
        <f>HYPERLINK("https://twitter.com/MesseJournalist","@MesseJournalist")</f>
        <v>@MesseJournalist</v>
      </c>
      <c r="C3254" s="9" t="s">
        <v>5464</v>
      </c>
      <c r="D3254" s="9" t="s">
        <v>5465</v>
      </c>
      <c r="E3254" s="10" t="str">
        <f>HYPERLINK("https://twitter.com/MesseJournalist/status/724261570742722560","724261570742722560")</f>
        <v>724261570742722560</v>
      </c>
      <c r="F3254" s="11" t="s">
        <v>25</v>
      </c>
      <c r="G3254" s="11">
        <v>1769</v>
      </c>
      <c r="H3254" s="11">
        <v>1025</v>
      </c>
      <c r="I3254" s="11">
        <v>1</v>
      </c>
      <c r="J3254" s="11">
        <v>1</v>
      </c>
      <c r="K3254" s="11" t="s">
        <v>21</v>
      </c>
      <c r="L3254" s="7">
        <v>39874.004791666666</v>
      </c>
      <c r="M3254" s="12" t="s">
        <v>5466</v>
      </c>
      <c r="N3254" s="12" t="s">
        <v>5467</v>
      </c>
      <c r="O3254" s="10" t="str">
        <f>HYPERLINK("https://pbs.twimg.com/profile_images/577265159799881728/VbVFh8Vy_normal.jpeg","View")</f>
        <v>View</v>
      </c>
      <c r="P3254" s="11"/>
    </row>
    <row r="3255" spans="1:16" ht="12.75" x14ac:dyDescent="0.35">
      <c r="A3255" s="7">
        <v>42484.882581018523</v>
      </c>
      <c r="B3255" s="8" t="str">
        <f>HYPERLINK("https://twitter.com/Balluff","@Balluff")</f>
        <v>@Balluff</v>
      </c>
      <c r="C3255" s="9" t="s">
        <v>357</v>
      </c>
      <c r="D3255" s="9" t="s">
        <v>5468</v>
      </c>
      <c r="E3255" s="10" t="str">
        <f>HYPERLINK("https://twitter.com/Balluff/status/724261849949151232","724261849949151232")</f>
        <v>724261849949151232</v>
      </c>
      <c r="F3255" s="11" t="s">
        <v>29</v>
      </c>
      <c r="G3255" s="11">
        <v>1552</v>
      </c>
      <c r="H3255" s="11">
        <v>454</v>
      </c>
      <c r="I3255" s="11">
        <v>1</v>
      </c>
      <c r="J3255" s="11">
        <v>0</v>
      </c>
      <c r="K3255" s="11" t="s">
        <v>21</v>
      </c>
      <c r="L3255" s="7">
        <v>39842.576643518521</v>
      </c>
      <c r="M3255" s="12" t="s">
        <v>359</v>
      </c>
      <c r="N3255" s="12" t="s">
        <v>360</v>
      </c>
      <c r="O3255" s="10" t="str">
        <f>HYPERLINK("https://pbs.twimg.com/profile_images/663668561366245376/2ovYiiJf_normal.jpg","View")</f>
        <v>View</v>
      </c>
      <c r="P3255" s="11"/>
    </row>
    <row r="3256" spans="1:16" ht="12.75" x14ac:dyDescent="0.35">
      <c r="A3256" s="7">
        <v>42484.886597222227</v>
      </c>
      <c r="B3256" s="8" t="str">
        <f>HYPERLINK("https://twitter.com/mitunsdigital","@mitunsdigital")</f>
        <v>@mitunsdigital</v>
      </c>
      <c r="C3256" s="9" t="s">
        <v>317</v>
      </c>
      <c r="D3256" s="9" t="s">
        <v>5469</v>
      </c>
      <c r="E3256" s="10" t="str">
        <f>HYPERLINK("https://twitter.com/mitunsdigital/status/724263305007751168","724263305007751168")</f>
        <v>724263305007751168</v>
      </c>
      <c r="F3256" s="11" t="s">
        <v>25</v>
      </c>
      <c r="G3256" s="11">
        <v>32</v>
      </c>
      <c r="H3256" s="11">
        <v>11</v>
      </c>
      <c r="I3256" s="11">
        <v>2</v>
      </c>
      <c r="J3256" s="11">
        <v>1</v>
      </c>
      <c r="K3256" s="11" t="s">
        <v>21</v>
      </c>
      <c r="L3256" s="7">
        <v>42404.75980324074</v>
      </c>
      <c r="M3256" s="12"/>
      <c r="N3256" s="12"/>
      <c r="O3256" s="10" t="str">
        <f>HYPERLINK("https://pbs.twimg.com/profile_images/695227740136587265/5eHVsAlx_normal.png","View")</f>
        <v>View</v>
      </c>
      <c r="P3256" s="11"/>
    </row>
    <row r="3257" spans="1:16" ht="12.75" x14ac:dyDescent="0.35">
      <c r="A3257" s="7">
        <v>42484.887071759258</v>
      </c>
      <c r="B3257" s="8" t="str">
        <f>HYPERLINK("https://twitter.com/MarianKoeller","@MarianKoeller")</f>
        <v>@MarianKoeller</v>
      </c>
      <c r="C3257" s="9" t="s">
        <v>849</v>
      </c>
      <c r="D3257" s="9" t="s">
        <v>5470</v>
      </c>
      <c r="E3257" s="10" t="str">
        <f>HYPERLINK("https://twitter.com/MarianKoeller/status/724263475208400897","724263475208400897")</f>
        <v>724263475208400897</v>
      </c>
      <c r="F3257" s="11" t="s">
        <v>2922</v>
      </c>
      <c r="G3257" s="11">
        <v>97</v>
      </c>
      <c r="H3257" s="11">
        <v>115</v>
      </c>
      <c r="I3257" s="11">
        <v>2</v>
      </c>
      <c r="J3257" s="11">
        <v>0</v>
      </c>
      <c r="K3257" s="11" t="s">
        <v>21</v>
      </c>
      <c r="L3257" s="7">
        <v>42328.736504629633</v>
      </c>
      <c r="M3257" s="12" t="s">
        <v>851</v>
      </c>
      <c r="N3257" s="12" t="s">
        <v>852</v>
      </c>
      <c r="O3257" s="10" t="str">
        <f>HYPERLINK("https://pbs.twimg.com/profile_images/701004613206433792/o4DJfA8-_normal.jpg","View")</f>
        <v>View</v>
      </c>
      <c r="P3257" s="11"/>
    </row>
    <row r="3258" spans="1:16" ht="12.75" x14ac:dyDescent="0.35">
      <c r="A3258" s="7">
        <v>42484.887511574074</v>
      </c>
      <c r="B3258" s="8" t="str">
        <f>HYPERLINK("https://twitter.com/MaikPlischke","@MaikPlischke")</f>
        <v>@MaikPlischke</v>
      </c>
      <c r="C3258" s="9" t="s">
        <v>3114</v>
      </c>
      <c r="D3258" s="9" t="s">
        <v>5470</v>
      </c>
      <c r="E3258" s="10" t="str">
        <f>HYPERLINK("https://twitter.com/MaikPlischke/status/724263636508749825","724263636508749825")</f>
        <v>724263636508749825</v>
      </c>
      <c r="F3258" s="11" t="s">
        <v>31</v>
      </c>
      <c r="G3258" s="11">
        <v>165</v>
      </c>
      <c r="H3258" s="11">
        <v>137</v>
      </c>
      <c r="I3258" s="11">
        <v>2</v>
      </c>
      <c r="J3258" s="11">
        <v>0</v>
      </c>
      <c r="K3258" s="11" t="s">
        <v>21</v>
      </c>
      <c r="L3258" s="7">
        <v>39937.086365740739</v>
      </c>
      <c r="M3258" s="12" t="s">
        <v>299</v>
      </c>
      <c r="N3258" s="12" t="s">
        <v>3115</v>
      </c>
      <c r="O3258" s="10" t="str">
        <f>HYPERLINK("https://pbs.twimg.com/profile_images/561600740448153600/1SOPpS8W_normal.jpeg","View")</f>
        <v>View</v>
      </c>
      <c r="P3258" s="11"/>
    </row>
    <row r="3259" spans="1:16" ht="12.75" x14ac:dyDescent="0.35">
      <c r="A3259" s="7">
        <v>42484.894895833335</v>
      </c>
      <c r="B3259" s="8" t="str">
        <f>HYPERLINK("https://twitter.com/rafael_sobek","@rafael_sobek")</f>
        <v>@rafael_sobek</v>
      </c>
      <c r="C3259" s="9" t="s">
        <v>5471</v>
      </c>
      <c r="D3259" s="9" t="s">
        <v>5426</v>
      </c>
      <c r="E3259" s="10" t="str">
        <f>HYPERLINK("https://twitter.com/rafael_sobek/status/724266312080457728","724266312080457728")</f>
        <v>724266312080457728</v>
      </c>
      <c r="F3259" s="11" t="s">
        <v>20</v>
      </c>
      <c r="G3259" s="11">
        <v>127</v>
      </c>
      <c r="H3259" s="11">
        <v>141</v>
      </c>
      <c r="I3259" s="11">
        <v>2</v>
      </c>
      <c r="J3259" s="11">
        <v>0</v>
      </c>
      <c r="K3259" s="11" t="s">
        <v>21</v>
      </c>
      <c r="L3259" s="7">
        <v>39980.04283564815</v>
      </c>
      <c r="M3259" s="12" t="s">
        <v>2273</v>
      </c>
      <c r="N3259" s="12" t="s">
        <v>5472</v>
      </c>
      <c r="O3259" s="10" t="str">
        <f>HYPERLINK("https://pbs.twimg.com/profile_images/592594766296182784/nGFPRgoT_normal.jpg","View")</f>
        <v>View</v>
      </c>
      <c r="P3259" s="11"/>
    </row>
    <row r="3260" spans="1:16" ht="12.75" x14ac:dyDescent="0.35">
      <c r="A3260" s="7">
        <v>42484.902731481481</v>
      </c>
      <c r="B3260" s="8" t="str">
        <f>HYPERLINK("https://twitter.com/RethinkRobotics","@RethinkRobotics")</f>
        <v>@RethinkRobotics</v>
      </c>
      <c r="C3260" s="9" t="s">
        <v>4204</v>
      </c>
      <c r="D3260" s="9" t="s">
        <v>5473</v>
      </c>
      <c r="E3260" s="10" t="str">
        <f>HYPERLINK("https://twitter.com/RethinkRobotics/status/724269150814740481","724269150814740481")</f>
        <v>724269150814740481</v>
      </c>
      <c r="F3260" s="11" t="s">
        <v>39</v>
      </c>
      <c r="G3260" s="11">
        <v>14544</v>
      </c>
      <c r="H3260" s="11">
        <v>2962</v>
      </c>
      <c r="I3260" s="11">
        <v>1</v>
      </c>
      <c r="J3260" s="11">
        <v>1</v>
      </c>
      <c r="K3260" s="11" t="s">
        <v>21</v>
      </c>
      <c r="L3260" s="7">
        <v>41069.012175925927</v>
      </c>
      <c r="M3260" s="12" t="s">
        <v>471</v>
      </c>
      <c r="N3260" s="12" t="s">
        <v>4206</v>
      </c>
      <c r="O3260" s="10" t="str">
        <f>HYPERLINK("https://pbs.twimg.com/profile_images/3673497206/85ee8240b2449d1748b6e4c0747fb409_normal.jpeg","View")</f>
        <v>View</v>
      </c>
      <c r="P3260" s="11"/>
    </row>
    <row r="3261" spans="1:16" ht="12.75" x14ac:dyDescent="0.35">
      <c r="A3261" s="7">
        <v>42484.903171296297</v>
      </c>
      <c r="B3261" s="8" t="str">
        <f>HYPERLINK("https://twitter.com/PlantEngMag","@PlantEngMag")</f>
        <v>@PlantEngMag</v>
      </c>
      <c r="C3261" s="9" t="s">
        <v>5474</v>
      </c>
      <c r="D3261" s="9" t="s">
        <v>5475</v>
      </c>
      <c r="E3261" s="10" t="str">
        <f>HYPERLINK("https://twitter.com/PlantEngMag/status/724269310630227968","724269310630227968")</f>
        <v>724269310630227968</v>
      </c>
      <c r="F3261" s="11" t="s">
        <v>31</v>
      </c>
      <c r="G3261" s="11">
        <v>2335</v>
      </c>
      <c r="H3261" s="11">
        <v>1131</v>
      </c>
      <c r="I3261" s="11">
        <v>1</v>
      </c>
      <c r="J3261" s="11">
        <v>0</v>
      </c>
      <c r="K3261" s="11" t="s">
        <v>21</v>
      </c>
      <c r="L3261" s="7">
        <v>40984.912152777775</v>
      </c>
      <c r="M3261" s="12" t="s">
        <v>5476</v>
      </c>
      <c r="N3261" s="12" t="s">
        <v>5477</v>
      </c>
      <c r="O3261" s="10" t="str">
        <f>HYPERLINK("https://pbs.twimg.com/profile_images/2138019810/525357_10150679656844528_46884944527_9083227_1871050648_n_normal.jpg","View")</f>
        <v>View</v>
      </c>
      <c r="P3261" s="11"/>
    </row>
    <row r="3262" spans="1:16" ht="12.75" x14ac:dyDescent="0.35">
      <c r="A3262" s="7">
        <v>42484.904791666668</v>
      </c>
      <c r="B3262" s="8" t="str">
        <f t="shared" ref="B3262:B3263" si="426">HYPERLINK("https://twitter.com/alternacomm","@alternacomm")</f>
        <v>@alternacomm</v>
      </c>
      <c r="C3262" s="9" t="s">
        <v>5478</v>
      </c>
      <c r="D3262" s="9" t="s">
        <v>5417</v>
      </c>
      <c r="E3262" s="10" t="str">
        <f>HYPERLINK("https://twitter.com/alternacomm/status/724269896247435264","724269896247435264")</f>
        <v>724269896247435264</v>
      </c>
      <c r="F3262" s="11" t="s">
        <v>31</v>
      </c>
      <c r="G3262" s="11">
        <v>130</v>
      </c>
      <c r="H3262" s="11">
        <v>94</v>
      </c>
      <c r="I3262" s="11">
        <v>0</v>
      </c>
      <c r="J3262" s="11">
        <v>0</v>
      </c>
      <c r="K3262" s="11" t="s">
        <v>21</v>
      </c>
      <c r="L3262" s="7">
        <v>41829.293356481481</v>
      </c>
      <c r="M3262" s="12" t="s">
        <v>5479</v>
      </c>
      <c r="N3262" s="12" t="s">
        <v>5480</v>
      </c>
      <c r="O3262" s="10" t="str">
        <f t="shared" ref="O3262:O3263" si="427">HYPERLINK("https://pbs.twimg.com/profile_images/698877978822995969/MF_OL2e9_normal.jpg","View")</f>
        <v>View</v>
      </c>
      <c r="P3262" s="11"/>
    </row>
    <row r="3263" spans="1:16" ht="12.75" x14ac:dyDescent="0.35">
      <c r="A3263" s="7">
        <v>42484.90488425926</v>
      </c>
      <c r="B3263" s="8" t="str">
        <f t="shared" si="426"/>
        <v>@alternacomm</v>
      </c>
      <c r="C3263" s="9" t="s">
        <v>5478</v>
      </c>
      <c r="D3263" s="9" t="s">
        <v>5481</v>
      </c>
      <c r="E3263" s="10" t="str">
        <f>HYPERLINK("https://twitter.com/alternacomm/status/724269931827748864","724269931827748864")</f>
        <v>724269931827748864</v>
      </c>
      <c r="F3263" s="11" t="s">
        <v>31</v>
      </c>
      <c r="G3263" s="11">
        <v>130</v>
      </c>
      <c r="H3263" s="11">
        <v>94</v>
      </c>
      <c r="I3263" s="11">
        <v>0</v>
      </c>
      <c r="J3263" s="11">
        <v>0</v>
      </c>
      <c r="K3263" s="11" t="s">
        <v>21</v>
      </c>
      <c r="L3263" s="7">
        <v>41829.293356481481</v>
      </c>
      <c r="M3263" s="12" t="s">
        <v>5479</v>
      </c>
      <c r="N3263" s="12" t="s">
        <v>5480</v>
      </c>
      <c r="O3263" s="10" t="str">
        <f t="shared" si="427"/>
        <v>View</v>
      </c>
      <c r="P3263" s="11"/>
    </row>
    <row r="3264" spans="1:16" ht="12.75" x14ac:dyDescent="0.35">
      <c r="A3264" s="7">
        <v>42484.905162037037</v>
      </c>
      <c r="B3264" s="8" t="str">
        <f>HYPERLINK("https://twitter.com/angelhoyospr","@angelhoyospr")</f>
        <v>@angelhoyospr</v>
      </c>
      <c r="C3264" s="9" t="s">
        <v>5482</v>
      </c>
      <c r="D3264" s="9" t="s">
        <v>5481</v>
      </c>
      <c r="E3264" s="10" t="str">
        <f>HYPERLINK("https://twitter.com/angelhoyospr/status/724270031543083010","724270031543083010")</f>
        <v>724270031543083010</v>
      </c>
      <c r="F3264" s="11" t="s">
        <v>31</v>
      </c>
      <c r="G3264" s="11">
        <v>47</v>
      </c>
      <c r="H3264" s="11">
        <v>137</v>
      </c>
      <c r="I3264" s="11">
        <v>0</v>
      </c>
      <c r="J3264" s="11">
        <v>0</v>
      </c>
      <c r="K3264" s="11" t="s">
        <v>21</v>
      </c>
      <c r="L3264" s="7">
        <v>42376.026122685187</v>
      </c>
      <c r="M3264" s="12" t="s">
        <v>5483</v>
      </c>
      <c r="N3264" s="12" t="s">
        <v>5484</v>
      </c>
      <c r="O3264" s="10" t="str">
        <f>HYPERLINK("https://pbs.twimg.com/profile_images/698878290594025472/4o6U1isf_normal.jpg","View")</f>
        <v>View</v>
      </c>
      <c r="P3264" s="11"/>
    </row>
    <row r="3265" spans="1:16" ht="12.75" x14ac:dyDescent="0.35">
      <c r="A3265" s="7">
        <v>42484.905358796299</v>
      </c>
      <c r="B3265" s="8" t="str">
        <f>HYPERLINK("https://twitter.com/LNI40","@LNI40")</f>
        <v>@LNI40</v>
      </c>
      <c r="C3265" s="9" t="s">
        <v>1888</v>
      </c>
      <c r="D3265" s="9" t="s">
        <v>5485</v>
      </c>
      <c r="E3265" s="10" t="str">
        <f>HYPERLINK("https://twitter.com/LNI40/status/724270103030800384","724270103030800384")</f>
        <v>724270103030800384</v>
      </c>
      <c r="F3265" s="11" t="s">
        <v>31</v>
      </c>
      <c r="G3265" s="11">
        <v>34</v>
      </c>
      <c r="H3265" s="11">
        <v>231</v>
      </c>
      <c r="I3265" s="11">
        <v>0</v>
      </c>
      <c r="J3265" s="11">
        <v>0</v>
      </c>
      <c r="K3265" s="11" t="s">
        <v>21</v>
      </c>
      <c r="L3265" s="7">
        <v>42477.465578703705</v>
      </c>
      <c r="M3265" s="12" t="s">
        <v>227</v>
      </c>
      <c r="N3265" s="12" t="s">
        <v>1889</v>
      </c>
      <c r="O3265" s="10" t="str">
        <f>HYPERLINK("https://pbs.twimg.com/profile_images/722098538604281856/CcBxk1_M_normal.jpg","View")</f>
        <v>View</v>
      </c>
      <c r="P3265" s="11"/>
    </row>
    <row r="3266" spans="1:16" ht="12.75" x14ac:dyDescent="0.35">
      <c r="A3266" s="7">
        <v>42484.906446759254</v>
      </c>
      <c r="B3266" s="8" t="str">
        <f>HYPERLINK("https://twitter.com/MarianKoeller","@MarianKoeller")</f>
        <v>@MarianKoeller</v>
      </c>
      <c r="C3266" s="9" t="s">
        <v>849</v>
      </c>
      <c r="D3266" s="9" t="s">
        <v>5486</v>
      </c>
      <c r="E3266" s="10" t="str">
        <f>HYPERLINK("https://twitter.com/MarianKoeller/status/724270498390089728","724270498390089728")</f>
        <v>724270498390089728</v>
      </c>
      <c r="F3266" s="11" t="s">
        <v>2922</v>
      </c>
      <c r="G3266" s="11">
        <v>97</v>
      </c>
      <c r="H3266" s="11">
        <v>115</v>
      </c>
      <c r="I3266" s="11">
        <v>0</v>
      </c>
      <c r="J3266" s="11">
        <v>0</v>
      </c>
      <c r="K3266" s="11" t="s">
        <v>21</v>
      </c>
      <c r="L3266" s="7">
        <v>42328.736504629633</v>
      </c>
      <c r="M3266" s="12" t="s">
        <v>851</v>
      </c>
      <c r="N3266" s="12" t="s">
        <v>852</v>
      </c>
      <c r="O3266" s="10" t="str">
        <f>HYPERLINK("https://pbs.twimg.com/profile_images/701004613206433792/o4DJfA8-_normal.jpg","View")</f>
        <v>View</v>
      </c>
      <c r="P3266" s="11"/>
    </row>
    <row r="3267" spans="1:16" ht="12.75" x14ac:dyDescent="0.35">
      <c r="A3267" s="7">
        <v>42484.907962962963</v>
      </c>
      <c r="B3267" s="8" t="str">
        <f>HYPERLINK("https://twitter.com/LNI40","@LNI40")</f>
        <v>@LNI40</v>
      </c>
      <c r="C3267" s="9" t="s">
        <v>1888</v>
      </c>
      <c r="D3267" s="9" t="s">
        <v>5487</v>
      </c>
      <c r="E3267" s="10" t="str">
        <f>HYPERLINK("https://twitter.com/LNI40/status/724271048036855809","724271048036855809")</f>
        <v>724271048036855809</v>
      </c>
      <c r="F3267" s="11" t="s">
        <v>31</v>
      </c>
      <c r="G3267" s="11">
        <v>34</v>
      </c>
      <c r="H3267" s="11">
        <v>231</v>
      </c>
      <c r="I3267" s="11">
        <v>1</v>
      </c>
      <c r="J3267" s="11">
        <v>0</v>
      </c>
      <c r="K3267" s="11" t="s">
        <v>21</v>
      </c>
      <c r="L3267" s="7">
        <v>42477.465578703705</v>
      </c>
      <c r="M3267" s="12" t="s">
        <v>227</v>
      </c>
      <c r="N3267" s="12" t="s">
        <v>1889</v>
      </c>
      <c r="O3267" s="10" t="str">
        <f>HYPERLINK("https://pbs.twimg.com/profile_images/722098538604281856/CcBxk1_M_normal.jpg","View")</f>
        <v>View</v>
      </c>
      <c r="P3267" s="11"/>
    </row>
    <row r="3268" spans="1:16" ht="12.75" x14ac:dyDescent="0.35">
      <c r="A3268" s="7">
        <v>42484.90824074074</v>
      </c>
      <c r="B3268" s="8" t="str">
        <f>HYPERLINK("https://twitter.com/heikevangeel","@heikevangeel")</f>
        <v>@heikevangeel</v>
      </c>
      <c r="C3268" s="9" t="s">
        <v>708</v>
      </c>
      <c r="D3268" s="9" t="s">
        <v>5488</v>
      </c>
      <c r="E3268" s="10" t="str">
        <f>HYPERLINK("https://twitter.com/heikevangeel/status/724271146481410048","724271146481410048")</f>
        <v>724271146481410048</v>
      </c>
      <c r="F3268" s="11" t="s">
        <v>31</v>
      </c>
      <c r="G3268" s="11">
        <v>872</v>
      </c>
      <c r="H3268" s="11">
        <v>876</v>
      </c>
      <c r="I3268" s="11">
        <v>1</v>
      </c>
      <c r="J3268" s="11">
        <v>0</v>
      </c>
      <c r="K3268" s="11" t="s">
        <v>21</v>
      </c>
      <c r="L3268" s="7">
        <v>39631.327708333338</v>
      </c>
      <c r="M3268" s="12" t="s">
        <v>218</v>
      </c>
      <c r="N3268" s="12" t="s">
        <v>709</v>
      </c>
      <c r="O3268" s="10" t="str">
        <f>HYPERLINK("https://pbs.twimg.com/profile_images/491236810560114688/qHaoNgg2_normal.jpeg","View")</f>
        <v>View</v>
      </c>
      <c r="P3268" s="11"/>
    </row>
    <row r="3269" spans="1:16" ht="12.75" x14ac:dyDescent="0.35">
      <c r="A3269" s="7">
        <v>42484.909641203703</v>
      </c>
      <c r="B3269" s="8" t="str">
        <f>HYPERLINK("https://twitter.com/NiklasSowa","@NiklasSowa")</f>
        <v>@NiklasSowa</v>
      </c>
      <c r="C3269" s="9" t="s">
        <v>5489</v>
      </c>
      <c r="D3269" s="9" t="s">
        <v>3588</v>
      </c>
      <c r="E3269" s="10" t="str">
        <f>HYPERLINK("https://twitter.com/NiklasSowa/status/724271656496160768","724271656496160768")</f>
        <v>724271656496160768</v>
      </c>
      <c r="F3269" s="11" t="s">
        <v>20</v>
      </c>
      <c r="G3269" s="11">
        <v>21</v>
      </c>
      <c r="H3269" s="11">
        <v>39</v>
      </c>
      <c r="I3269" s="11">
        <v>29</v>
      </c>
      <c r="J3269" s="11">
        <v>0</v>
      </c>
      <c r="K3269" s="11" t="s">
        <v>21</v>
      </c>
      <c r="L3269" s="7">
        <v>42420.841631944444</v>
      </c>
      <c r="M3269" s="12" t="s">
        <v>440</v>
      </c>
      <c r="N3269" s="12" t="s">
        <v>5490</v>
      </c>
      <c r="O3269" s="10" t="str">
        <f>HYPERLINK("https://pbs.twimg.com/profile_images/701089073046429696/hzMfG--q_normal.jpg","View")</f>
        <v>View</v>
      </c>
      <c r="P3269" s="11"/>
    </row>
    <row r="3270" spans="1:16" ht="12.75" x14ac:dyDescent="0.35">
      <c r="A3270" s="7">
        <v>42484.911712962959</v>
      </c>
      <c r="B3270" s="8" t="str">
        <f>HYPERLINK("https://twitter.com/mitunsdigital","@mitunsdigital")</f>
        <v>@mitunsdigital</v>
      </c>
      <c r="C3270" s="9" t="s">
        <v>317</v>
      </c>
      <c r="D3270" s="9" t="s">
        <v>5491</v>
      </c>
      <c r="E3270" s="10" t="str">
        <f>HYPERLINK("https://twitter.com/mitunsdigital/status/724272404755832833","724272404755832833")</f>
        <v>724272404755832833</v>
      </c>
      <c r="F3270" s="11" t="s">
        <v>25</v>
      </c>
      <c r="G3270" s="11">
        <v>32</v>
      </c>
      <c r="H3270" s="11">
        <v>11</v>
      </c>
      <c r="I3270" s="11">
        <v>0</v>
      </c>
      <c r="J3270" s="11">
        <v>0</v>
      </c>
      <c r="K3270" s="11" t="s">
        <v>21</v>
      </c>
      <c r="L3270" s="7">
        <v>42404.75980324074</v>
      </c>
      <c r="M3270" s="12"/>
      <c r="N3270" s="12"/>
      <c r="O3270" s="10" t="str">
        <f>HYPERLINK("https://pbs.twimg.com/profile_images/695227740136587265/5eHVsAlx_normal.png","View")</f>
        <v>View</v>
      </c>
      <c r="P3270" s="11"/>
    </row>
    <row r="3271" spans="1:16" ht="12.75" x14ac:dyDescent="0.35">
      <c r="A3271" s="7">
        <v>42484.911817129629</v>
      </c>
      <c r="B3271" s="8" t="str">
        <f>HYPERLINK("https://twitter.com/TStoeckl","@TStoeckl")</f>
        <v>@TStoeckl</v>
      </c>
      <c r="C3271" s="9" t="s">
        <v>5492</v>
      </c>
      <c r="D3271" s="9" t="s">
        <v>5493</v>
      </c>
      <c r="E3271" s="10" t="str">
        <f>HYPERLINK("https://twitter.com/TStoeckl/status/724272443074973696","724272443074973696")</f>
        <v>724272443074973696</v>
      </c>
      <c r="F3271" s="11" t="s">
        <v>31</v>
      </c>
      <c r="G3271" s="11">
        <v>53</v>
      </c>
      <c r="H3271" s="11">
        <v>147</v>
      </c>
      <c r="I3271" s="11">
        <v>0</v>
      </c>
      <c r="J3271" s="11">
        <v>0</v>
      </c>
      <c r="K3271" s="11" t="s">
        <v>21</v>
      </c>
      <c r="L3271" s="7">
        <v>40015.089768518519</v>
      </c>
      <c r="M3271" s="12" t="s">
        <v>1148</v>
      </c>
      <c r="N3271" s="12" t="s">
        <v>5494</v>
      </c>
      <c r="O3271" s="10" t="str">
        <f>HYPERLINK("https://pbs.twimg.com/profile_images/440897442251563008/rQI9fFq1_normal.jpeg","View")</f>
        <v>View</v>
      </c>
      <c r="P3271" s="11"/>
    </row>
    <row r="3272" spans="1:16" ht="12.75" x14ac:dyDescent="0.35">
      <c r="A3272" s="7">
        <v>42484.911909722221</v>
      </c>
      <c r="B3272" s="8" t="str">
        <f>HYPERLINK("https://twitter.com/catkinEU","@catkinEU")</f>
        <v>@catkinEU</v>
      </c>
      <c r="C3272" s="9" t="s">
        <v>781</v>
      </c>
      <c r="D3272" s="9" t="s">
        <v>5495</v>
      </c>
      <c r="E3272" s="10" t="str">
        <f>HYPERLINK("https://twitter.com/catkinEU/status/724272477329854464","724272477329854464")</f>
        <v>724272477329854464</v>
      </c>
      <c r="F3272" s="11" t="s">
        <v>25</v>
      </c>
      <c r="G3272" s="11">
        <v>399</v>
      </c>
      <c r="H3272" s="11">
        <v>566</v>
      </c>
      <c r="I3272" s="11">
        <v>1</v>
      </c>
      <c r="J3272" s="11">
        <v>0</v>
      </c>
      <c r="K3272" s="11" t="s">
        <v>21</v>
      </c>
      <c r="L3272" s="7">
        <v>42153.955763888887</v>
      </c>
      <c r="M3272" s="12"/>
      <c r="N3272" s="12" t="s">
        <v>782</v>
      </c>
      <c r="O3272" s="10" t="str">
        <f>HYPERLINK("https://pbs.twimg.com/profile_images/604338428227010560/6jzSa8us_normal.png","View")</f>
        <v>View</v>
      </c>
      <c r="P3272" s="11"/>
    </row>
    <row r="3273" spans="1:16" ht="12.75" x14ac:dyDescent="0.35">
      <c r="A3273" s="7">
        <v>42484.913252314815</v>
      </c>
      <c r="B3273" s="8" t="str">
        <f>HYPERLINK("https://twitter.com/Bitkom_I40","@Bitkom_I40")</f>
        <v>@Bitkom_I40</v>
      </c>
      <c r="C3273" s="9" t="s">
        <v>1857</v>
      </c>
      <c r="D3273" s="9" t="s">
        <v>5496</v>
      </c>
      <c r="E3273" s="10" t="str">
        <f>HYPERLINK("https://twitter.com/Bitkom_I40/status/724272963823001600","724272963823001600")</f>
        <v>724272963823001600</v>
      </c>
      <c r="F3273" s="11" t="s">
        <v>1859</v>
      </c>
      <c r="G3273" s="11">
        <v>769</v>
      </c>
      <c r="H3273" s="11">
        <v>44</v>
      </c>
      <c r="I3273" s="11">
        <v>0</v>
      </c>
      <c r="J3273" s="11">
        <v>0</v>
      </c>
      <c r="K3273" s="11" t="s">
        <v>21</v>
      </c>
      <c r="L3273" s="7">
        <v>41613.773194444446</v>
      </c>
      <c r="M3273" s="12" t="s">
        <v>218</v>
      </c>
      <c r="N3273" s="12" t="s">
        <v>1860</v>
      </c>
      <c r="O3273" s="10" t="str">
        <f>HYPERLINK("https://pbs.twimg.com/profile_images/723407487395713024/0hZv7R8S_normal.jpg","View")</f>
        <v>View</v>
      </c>
      <c r="P3273" s="11"/>
    </row>
    <row r="3274" spans="1:16" ht="12.75" x14ac:dyDescent="0.35">
      <c r="A3274" s="7">
        <v>42484.917280092588</v>
      </c>
      <c r="B3274" s="8" t="str">
        <f>HYPERLINK("https://twitter.com/fjablonski","@fjablonski")</f>
        <v>@fjablonski</v>
      </c>
      <c r="C3274" s="9" t="s">
        <v>1994</v>
      </c>
      <c r="D3274" s="9" t="s">
        <v>5497</v>
      </c>
      <c r="E3274" s="10" t="str">
        <f>HYPERLINK("https://twitter.com/fjablonski/status/724274422136356864","724274422136356864")</f>
        <v>724274422136356864</v>
      </c>
      <c r="F3274" s="11" t="s">
        <v>31</v>
      </c>
      <c r="G3274" s="11">
        <v>241</v>
      </c>
      <c r="H3274" s="11">
        <v>341</v>
      </c>
      <c r="I3274" s="11">
        <v>0</v>
      </c>
      <c r="J3274" s="11">
        <v>1</v>
      </c>
      <c r="K3274" s="11" t="s">
        <v>21</v>
      </c>
      <c r="L3274" s="7">
        <v>39990.656435185185</v>
      </c>
      <c r="M3274" s="12"/>
      <c r="N3274" s="12"/>
      <c r="O3274" s="10" t="str">
        <f>HYPERLINK("https://pbs.twimg.com/profile_images/528332865/fj_normal.jpg","View")</f>
        <v>View</v>
      </c>
      <c r="P3274" s="11"/>
    </row>
    <row r="3275" spans="1:16" ht="12.75" x14ac:dyDescent="0.35">
      <c r="A3275" s="7">
        <v>42484.917615740742</v>
      </c>
      <c r="B3275" s="8" t="str">
        <f t="shared" ref="B3275:B3277" si="428">HYPERLINK("https://twitter.com/INDIZbot","@INDIZbot")</f>
        <v>@INDIZbot</v>
      </c>
      <c r="C3275" s="9" t="s">
        <v>61</v>
      </c>
      <c r="D3275" s="9" t="s">
        <v>5498</v>
      </c>
      <c r="E3275" s="10" t="str">
        <f>HYPERLINK("https://twitter.com/INDIZbot/status/724274544542924801","724274544542924801")</f>
        <v>724274544542924801</v>
      </c>
      <c r="F3275" s="11" t="s">
        <v>62</v>
      </c>
      <c r="G3275" s="11">
        <v>1786</v>
      </c>
      <c r="H3275" s="11">
        <v>482</v>
      </c>
      <c r="I3275" s="11">
        <v>1</v>
      </c>
      <c r="J3275" s="11">
        <v>0</v>
      </c>
      <c r="K3275" s="11" t="s">
        <v>21</v>
      </c>
      <c r="L3275" s="7">
        <v>42267.011921296296</v>
      </c>
      <c r="M3275" s="12"/>
      <c r="N3275" s="12" t="s">
        <v>63</v>
      </c>
      <c r="O3275" s="10" t="str">
        <f t="shared" ref="O3275:O3277" si="429">HYPERLINK("https://pbs.twimg.com/profile_images/645716711723925506/t5G0qOS6_normal.jpg","View")</f>
        <v>View</v>
      </c>
      <c r="P3275" s="11"/>
    </row>
    <row r="3276" spans="1:16" ht="12.75" x14ac:dyDescent="0.35">
      <c r="A3276" s="7">
        <v>42484.917974537035</v>
      </c>
      <c r="B3276" s="8" t="str">
        <f t="shared" si="428"/>
        <v>@INDIZbot</v>
      </c>
      <c r="C3276" s="9" t="s">
        <v>61</v>
      </c>
      <c r="D3276" s="9" t="s">
        <v>5495</v>
      </c>
      <c r="E3276" s="10" t="str">
        <f>HYPERLINK("https://twitter.com/INDIZbot/status/724274676709601280","724274676709601280")</f>
        <v>724274676709601280</v>
      </c>
      <c r="F3276" s="11" t="s">
        <v>62</v>
      </c>
      <c r="G3276" s="11">
        <v>1786</v>
      </c>
      <c r="H3276" s="11">
        <v>482</v>
      </c>
      <c r="I3276" s="11">
        <v>2</v>
      </c>
      <c r="J3276" s="11">
        <v>0</v>
      </c>
      <c r="K3276" s="11" t="s">
        <v>21</v>
      </c>
      <c r="L3276" s="7">
        <v>42267.011921296296</v>
      </c>
      <c r="M3276" s="12"/>
      <c r="N3276" s="12" t="s">
        <v>63</v>
      </c>
      <c r="O3276" s="10" t="str">
        <f t="shared" si="429"/>
        <v>View</v>
      </c>
      <c r="P3276" s="11"/>
    </row>
    <row r="3277" spans="1:16" ht="12.75" x14ac:dyDescent="0.35">
      <c r="A3277" s="7">
        <v>42484.918240740742</v>
      </c>
      <c r="B3277" s="8" t="str">
        <f t="shared" si="428"/>
        <v>@INDIZbot</v>
      </c>
      <c r="C3277" s="9" t="s">
        <v>61</v>
      </c>
      <c r="D3277" s="9" t="s">
        <v>5499</v>
      </c>
      <c r="E3277" s="10" t="str">
        <f>HYPERLINK("https://twitter.com/INDIZbot/status/724274773132455943","724274773132455943")</f>
        <v>724274773132455943</v>
      </c>
      <c r="F3277" s="11" t="s">
        <v>62</v>
      </c>
      <c r="G3277" s="11">
        <v>1786</v>
      </c>
      <c r="H3277" s="11">
        <v>482</v>
      </c>
      <c r="I3277" s="11">
        <v>1</v>
      </c>
      <c r="J3277" s="11">
        <v>0</v>
      </c>
      <c r="K3277" s="11" t="s">
        <v>21</v>
      </c>
      <c r="L3277" s="7">
        <v>42267.011921296296</v>
      </c>
      <c r="M3277" s="12"/>
      <c r="N3277" s="12" t="s">
        <v>63</v>
      </c>
      <c r="O3277" s="10" t="str">
        <f t="shared" si="429"/>
        <v>View</v>
      </c>
      <c r="P3277" s="11"/>
    </row>
    <row r="3278" spans="1:16" ht="12.75" x14ac:dyDescent="0.35">
      <c r="A3278" s="7">
        <v>42484.918356481481</v>
      </c>
      <c r="B3278" s="8" t="str">
        <f>HYPERLINK("https://twitter.com/tuevnordpolitik","@tuevnordpolitik")</f>
        <v>@tuevnordpolitik</v>
      </c>
      <c r="C3278" s="9" t="s">
        <v>2372</v>
      </c>
      <c r="D3278" s="9" t="s">
        <v>5500</v>
      </c>
      <c r="E3278" s="10" t="str">
        <f>HYPERLINK("https://twitter.com/tuevnordpolitik/status/724274812420501504","724274812420501504")</f>
        <v>724274812420501504</v>
      </c>
      <c r="F3278" s="11" t="s">
        <v>31</v>
      </c>
      <c r="G3278" s="11">
        <v>320</v>
      </c>
      <c r="H3278" s="11">
        <v>1023</v>
      </c>
      <c r="I3278" s="11">
        <v>0</v>
      </c>
      <c r="J3278" s="11">
        <v>0</v>
      </c>
      <c r="K3278" s="11" t="s">
        <v>21</v>
      </c>
      <c r="L3278" s="7">
        <v>41645.863229166665</v>
      </c>
      <c r="M3278" s="12" t="s">
        <v>2374</v>
      </c>
      <c r="N3278" s="12" t="s">
        <v>2375</v>
      </c>
      <c r="O3278" s="10" t="str">
        <f>HYPERLINK("https://pbs.twimg.com/profile_images/420844205607362560/p085f4o7_normal.png","View")</f>
        <v>View</v>
      </c>
      <c r="P3278" s="11"/>
    </row>
    <row r="3279" spans="1:16" ht="12.75" x14ac:dyDescent="0.35">
      <c r="A3279" s="7">
        <v>42484.91851851852</v>
      </c>
      <c r="B3279" s="8" t="str">
        <f>HYPERLINK("https://twitter.com/INDIZbot","@INDIZbot")</f>
        <v>@INDIZbot</v>
      </c>
      <c r="C3279" s="9" t="s">
        <v>61</v>
      </c>
      <c r="D3279" s="9" t="s">
        <v>5501</v>
      </c>
      <c r="E3279" s="10" t="str">
        <f>HYPERLINK("https://twitter.com/INDIZbot/status/724274870775898112","724274870775898112")</f>
        <v>724274870775898112</v>
      </c>
      <c r="F3279" s="11" t="s">
        <v>62</v>
      </c>
      <c r="G3279" s="11">
        <v>1786</v>
      </c>
      <c r="H3279" s="11">
        <v>482</v>
      </c>
      <c r="I3279" s="11">
        <v>2</v>
      </c>
      <c r="J3279" s="11">
        <v>0</v>
      </c>
      <c r="K3279" s="11" t="s">
        <v>21</v>
      </c>
      <c r="L3279" s="7">
        <v>42267.011921296296</v>
      </c>
      <c r="M3279" s="12"/>
      <c r="N3279" s="12" t="s">
        <v>63</v>
      </c>
      <c r="O3279" s="10" t="str">
        <f>HYPERLINK("https://pbs.twimg.com/profile_images/645716711723925506/t5G0qOS6_normal.jpg","View")</f>
        <v>View</v>
      </c>
      <c r="P3279" s="11"/>
    </row>
    <row r="3280" spans="1:16" ht="12.75" x14ac:dyDescent="0.35">
      <c r="A3280" s="7">
        <v>42484.919502314813</v>
      </c>
      <c r="B3280" s="8" t="str">
        <f>HYPERLINK("https://twitter.com/tuevnordpolitik","@tuevnordpolitik")</f>
        <v>@tuevnordpolitik</v>
      </c>
      <c r="C3280" s="9" t="s">
        <v>2372</v>
      </c>
      <c r="D3280" s="9" t="s">
        <v>5502</v>
      </c>
      <c r="E3280" s="10" t="str">
        <f>HYPERLINK("https://twitter.com/tuevnordpolitik/status/724275229061685248","724275229061685248")</f>
        <v>724275229061685248</v>
      </c>
      <c r="F3280" s="11" t="s">
        <v>31</v>
      </c>
      <c r="G3280" s="11">
        <v>320</v>
      </c>
      <c r="H3280" s="11">
        <v>1023</v>
      </c>
      <c r="I3280" s="11">
        <v>0</v>
      </c>
      <c r="J3280" s="11">
        <v>0</v>
      </c>
      <c r="K3280" s="11" t="s">
        <v>21</v>
      </c>
      <c r="L3280" s="7">
        <v>41645.863229166665</v>
      </c>
      <c r="M3280" s="12" t="s">
        <v>2374</v>
      </c>
      <c r="N3280" s="12" t="s">
        <v>2375</v>
      </c>
      <c r="O3280" s="10" t="str">
        <f>HYPERLINK("https://pbs.twimg.com/profile_images/420844205607362560/p085f4o7_normal.png","View")</f>
        <v>View</v>
      </c>
      <c r="P3280" s="11"/>
    </row>
    <row r="3281" spans="1:16" ht="12.75" x14ac:dyDescent="0.35">
      <c r="A3281" s="7">
        <v>42484.920254629629</v>
      </c>
      <c r="B3281" s="8" t="str">
        <f>HYPERLINK("https://twitter.com/mitunsdigital","@mitunsdigital")</f>
        <v>@mitunsdigital</v>
      </c>
      <c r="C3281" s="9" t="s">
        <v>317</v>
      </c>
      <c r="D3281" s="9" t="s">
        <v>5503</v>
      </c>
      <c r="E3281" s="10" t="str">
        <f>HYPERLINK("https://twitter.com/mitunsdigital/status/724275502836535296","724275502836535296")</f>
        <v>724275502836535296</v>
      </c>
      <c r="F3281" s="11" t="s">
        <v>25</v>
      </c>
      <c r="G3281" s="11">
        <v>32</v>
      </c>
      <c r="H3281" s="11">
        <v>11</v>
      </c>
      <c r="I3281" s="11">
        <v>2</v>
      </c>
      <c r="J3281" s="11">
        <v>0</v>
      </c>
      <c r="K3281" s="11" t="s">
        <v>21</v>
      </c>
      <c r="L3281" s="7">
        <v>42404.75980324074</v>
      </c>
      <c r="M3281" s="12"/>
      <c r="N3281" s="12"/>
      <c r="O3281" s="10" t="str">
        <f>HYPERLINK("https://pbs.twimg.com/profile_images/695227740136587265/5eHVsAlx_normal.png","View")</f>
        <v>View</v>
      </c>
      <c r="P3281" s="11"/>
    </row>
    <row r="3282" spans="1:16" ht="12.75" x14ac:dyDescent="0.35">
      <c r="A3282" s="7">
        <v>42484.920451388884</v>
      </c>
      <c r="B3282" s="8" t="str">
        <f t="shared" ref="B3282:B3283" si="430">HYPERLINK("https://twitter.com/MarianKoeller","@MarianKoeller")</f>
        <v>@MarianKoeller</v>
      </c>
      <c r="C3282" s="9" t="s">
        <v>849</v>
      </c>
      <c r="D3282" s="9" t="s">
        <v>5501</v>
      </c>
      <c r="E3282" s="10" t="str">
        <f>HYPERLINK("https://twitter.com/MarianKoeller/status/724275570306113536","724275570306113536")</f>
        <v>724275570306113536</v>
      </c>
      <c r="F3282" s="11" t="s">
        <v>2922</v>
      </c>
      <c r="G3282" s="11">
        <v>98</v>
      </c>
      <c r="H3282" s="11">
        <v>115</v>
      </c>
      <c r="I3282" s="11">
        <v>2</v>
      </c>
      <c r="J3282" s="11">
        <v>0</v>
      </c>
      <c r="K3282" s="11" t="s">
        <v>21</v>
      </c>
      <c r="L3282" s="7">
        <v>42328.736504629633</v>
      </c>
      <c r="M3282" s="12" t="s">
        <v>851</v>
      </c>
      <c r="N3282" s="12" t="s">
        <v>852</v>
      </c>
      <c r="O3282" s="10" t="str">
        <f t="shared" ref="O3282:O3283" si="431">HYPERLINK("https://pbs.twimg.com/profile_images/701004613206433792/o4DJfA8-_normal.jpg","View")</f>
        <v>View</v>
      </c>
      <c r="P3282" s="11"/>
    </row>
    <row r="3283" spans="1:16" ht="12.75" x14ac:dyDescent="0.35">
      <c r="A3283" s="7">
        <v>42484.920787037037</v>
      </c>
      <c r="B3283" s="8" t="str">
        <f t="shared" si="430"/>
        <v>@MarianKoeller</v>
      </c>
      <c r="C3283" s="9" t="s">
        <v>849</v>
      </c>
      <c r="D3283" s="9" t="s">
        <v>5504</v>
      </c>
      <c r="E3283" s="10" t="str">
        <f>HYPERLINK("https://twitter.com/MarianKoeller/status/724275692553277440","724275692553277440")</f>
        <v>724275692553277440</v>
      </c>
      <c r="F3283" s="11" t="s">
        <v>2922</v>
      </c>
      <c r="G3283" s="11">
        <v>98</v>
      </c>
      <c r="H3283" s="11">
        <v>115</v>
      </c>
      <c r="I3283" s="11">
        <v>2</v>
      </c>
      <c r="J3283" s="11">
        <v>0</v>
      </c>
      <c r="K3283" s="11" t="s">
        <v>21</v>
      </c>
      <c r="L3283" s="7">
        <v>42328.736504629633</v>
      </c>
      <c r="M3283" s="12" t="s">
        <v>851</v>
      </c>
      <c r="N3283" s="12" t="s">
        <v>852</v>
      </c>
      <c r="O3283" s="10" t="str">
        <f t="shared" si="431"/>
        <v>View</v>
      </c>
      <c r="P3283" s="11"/>
    </row>
    <row r="3284" spans="1:16" ht="12.75" x14ac:dyDescent="0.35">
      <c r="A3284" s="7">
        <v>42484.92350694444</v>
      </c>
      <c r="B3284" s="8" t="str">
        <f>HYPERLINK("https://twitter.com/Bitkom_I40","@Bitkom_I40")</f>
        <v>@Bitkom_I40</v>
      </c>
      <c r="C3284" s="9" t="s">
        <v>1857</v>
      </c>
      <c r="D3284" s="9" t="s">
        <v>5505</v>
      </c>
      <c r="E3284" s="10" t="str">
        <f>HYPERLINK("https://twitter.com/Bitkom_I40/status/724276679502344194","724276679502344194")</f>
        <v>724276679502344194</v>
      </c>
      <c r="F3284" s="11" t="s">
        <v>31</v>
      </c>
      <c r="G3284" s="11">
        <v>769</v>
      </c>
      <c r="H3284" s="11">
        <v>44</v>
      </c>
      <c r="I3284" s="11">
        <v>1</v>
      </c>
      <c r="J3284" s="11">
        <v>1</v>
      </c>
      <c r="K3284" s="11" t="s">
        <v>21</v>
      </c>
      <c r="L3284" s="7">
        <v>41613.773194444446</v>
      </c>
      <c r="M3284" s="12" t="s">
        <v>218</v>
      </c>
      <c r="N3284" s="12" t="s">
        <v>1860</v>
      </c>
      <c r="O3284" s="10" t="str">
        <f>HYPERLINK("https://pbs.twimg.com/profile_images/723407487395713024/0hZv7R8S_normal.jpg","View")</f>
        <v>View</v>
      </c>
      <c r="P3284" s="11"/>
    </row>
    <row r="3285" spans="1:16" ht="12.75" x14ac:dyDescent="0.35">
      <c r="A3285" s="7">
        <v>42484.923692129625</v>
      </c>
      <c r="B3285" s="8" t="str">
        <f>HYPERLINK("https://twitter.com/Robert_Weber_","@Robert_Weber_")</f>
        <v>@Robert_Weber_</v>
      </c>
      <c r="C3285" s="9" t="s">
        <v>4577</v>
      </c>
      <c r="D3285" s="9" t="s">
        <v>5506</v>
      </c>
      <c r="E3285" s="10" t="str">
        <f>HYPERLINK("https://twitter.com/Robert_Weber_/status/724276744887390208","724276744887390208")</f>
        <v>724276744887390208</v>
      </c>
      <c r="F3285" s="11" t="s">
        <v>31</v>
      </c>
      <c r="G3285" s="11">
        <v>1281</v>
      </c>
      <c r="H3285" s="11">
        <v>1693</v>
      </c>
      <c r="I3285" s="11">
        <v>2</v>
      </c>
      <c r="J3285" s="11">
        <v>1</v>
      </c>
      <c r="K3285" s="11" t="s">
        <v>21</v>
      </c>
      <c r="L3285" s="7">
        <v>40644.009317129632</v>
      </c>
      <c r="M3285" s="12" t="s">
        <v>4579</v>
      </c>
      <c r="N3285" s="12" t="s">
        <v>4580</v>
      </c>
      <c r="O3285" s="10" t="str">
        <f>HYPERLINK("https://pbs.twimg.com/profile_images/619439854275952640/NO5busxw_normal.jpg","View")</f>
        <v>View</v>
      </c>
      <c r="P3285" s="11"/>
    </row>
    <row r="3286" spans="1:16" ht="12.75" x14ac:dyDescent="0.35">
      <c r="A3286" s="7">
        <v>42484.924421296295</v>
      </c>
      <c r="B3286" s="8" t="str">
        <f t="shared" ref="B3286:B3288" si="432">HYPERLINK("https://twitter.com/INDIZbot","@INDIZbot")</f>
        <v>@INDIZbot</v>
      </c>
      <c r="C3286" s="9" t="s">
        <v>61</v>
      </c>
      <c r="D3286" s="9" t="s">
        <v>5507</v>
      </c>
      <c r="E3286" s="10" t="str">
        <f>HYPERLINK("https://twitter.com/INDIZbot/status/724277010365833217","724277010365833217")</f>
        <v>724277010365833217</v>
      </c>
      <c r="F3286" s="11" t="s">
        <v>62</v>
      </c>
      <c r="G3286" s="11">
        <v>1786</v>
      </c>
      <c r="H3286" s="11">
        <v>482</v>
      </c>
      <c r="I3286" s="11">
        <v>2</v>
      </c>
      <c r="J3286" s="11">
        <v>0</v>
      </c>
      <c r="K3286" s="11" t="s">
        <v>21</v>
      </c>
      <c r="L3286" s="7">
        <v>42267.011921296296</v>
      </c>
      <c r="M3286" s="12"/>
      <c r="N3286" s="12" t="s">
        <v>63</v>
      </c>
      <c r="O3286" s="10" t="str">
        <f t="shared" ref="O3286:O3288" si="433">HYPERLINK("https://pbs.twimg.com/profile_images/645716711723925506/t5G0qOS6_normal.jpg","View")</f>
        <v>View</v>
      </c>
      <c r="P3286" s="11"/>
    </row>
    <row r="3287" spans="1:16" ht="12.75" x14ac:dyDescent="0.35">
      <c r="A3287" s="7">
        <v>42484.924560185187</v>
      </c>
      <c r="B3287" s="8" t="str">
        <f t="shared" si="432"/>
        <v>@INDIZbot</v>
      </c>
      <c r="C3287" s="9" t="s">
        <v>61</v>
      </c>
      <c r="D3287" s="9" t="s">
        <v>5508</v>
      </c>
      <c r="E3287" s="10" t="str">
        <f>HYPERLINK("https://twitter.com/INDIZbot/status/724277061712490496","724277061712490496")</f>
        <v>724277061712490496</v>
      </c>
      <c r="F3287" s="11" t="s">
        <v>62</v>
      </c>
      <c r="G3287" s="11">
        <v>1786</v>
      </c>
      <c r="H3287" s="11">
        <v>482</v>
      </c>
      <c r="I3287" s="11">
        <v>1</v>
      </c>
      <c r="J3287" s="11">
        <v>0</v>
      </c>
      <c r="K3287" s="11" t="s">
        <v>21</v>
      </c>
      <c r="L3287" s="7">
        <v>42267.011921296296</v>
      </c>
      <c r="M3287" s="12"/>
      <c r="N3287" s="12" t="s">
        <v>63</v>
      </c>
      <c r="O3287" s="10" t="str">
        <f t="shared" si="433"/>
        <v>View</v>
      </c>
      <c r="P3287" s="11"/>
    </row>
    <row r="3288" spans="1:16" ht="12.75" x14ac:dyDescent="0.35">
      <c r="A3288" s="7">
        <v>42484.924837962964</v>
      </c>
      <c r="B3288" s="8" t="str">
        <f t="shared" si="432"/>
        <v>@INDIZbot</v>
      </c>
      <c r="C3288" s="9" t="s">
        <v>61</v>
      </c>
      <c r="D3288" s="9" t="s">
        <v>5504</v>
      </c>
      <c r="E3288" s="10" t="str">
        <f>HYPERLINK("https://twitter.com/INDIZbot/status/724277160740028417","724277160740028417")</f>
        <v>724277160740028417</v>
      </c>
      <c r="F3288" s="11" t="s">
        <v>62</v>
      </c>
      <c r="G3288" s="11">
        <v>1786</v>
      </c>
      <c r="H3288" s="11">
        <v>482</v>
      </c>
      <c r="I3288" s="11">
        <v>2</v>
      </c>
      <c r="J3288" s="11">
        <v>0</v>
      </c>
      <c r="K3288" s="11" t="s">
        <v>21</v>
      </c>
      <c r="L3288" s="7">
        <v>42267.011921296296</v>
      </c>
      <c r="M3288" s="12"/>
      <c r="N3288" s="12" t="s">
        <v>63</v>
      </c>
      <c r="O3288" s="10" t="str">
        <f t="shared" si="433"/>
        <v>View</v>
      </c>
      <c r="P3288" s="11"/>
    </row>
    <row r="3289" spans="1:16" ht="12.75" x14ac:dyDescent="0.35">
      <c r="A3289" s="7">
        <v>42484.925891203704</v>
      </c>
      <c r="B3289" s="8" t="str">
        <f>HYPERLINK("https://twitter.com/deviceWISEM2M","@deviceWISEM2M")</f>
        <v>@deviceWISEM2M</v>
      </c>
      <c r="C3289" s="9" t="s">
        <v>1192</v>
      </c>
      <c r="D3289" s="9" t="s">
        <v>5509</v>
      </c>
      <c r="E3289" s="10" t="str">
        <f>HYPERLINK("https://twitter.com/deviceWISEM2M/status/724277543336030210","724277543336030210")</f>
        <v>724277543336030210</v>
      </c>
      <c r="F3289" s="11" t="s">
        <v>59</v>
      </c>
      <c r="G3289" s="11">
        <v>494</v>
      </c>
      <c r="H3289" s="11">
        <v>1036</v>
      </c>
      <c r="I3289" s="11">
        <v>1</v>
      </c>
      <c r="J3289" s="11">
        <v>1</v>
      </c>
      <c r="K3289" s="11" t="s">
        <v>21</v>
      </c>
      <c r="L3289" s="7">
        <v>41341.992407407408</v>
      </c>
      <c r="M3289" s="12" t="s">
        <v>1194</v>
      </c>
      <c r="N3289" s="12" t="s">
        <v>4781</v>
      </c>
      <c r="O3289" s="10" t="str">
        <f>HYPERLINK("https://pbs.twimg.com/profile_images/638707523160272896/YonVe2-H_normal.jpg","View")</f>
        <v>View</v>
      </c>
      <c r="P3289" s="11"/>
    </row>
    <row r="3290" spans="1:16" ht="12.75" x14ac:dyDescent="0.35">
      <c r="A3290" s="7">
        <v>42484.926122685181</v>
      </c>
      <c r="B3290" s="8" t="str">
        <f>HYPERLINK("https://twitter.com/Balluff","@Balluff")</f>
        <v>@Balluff</v>
      </c>
      <c r="C3290" s="9" t="s">
        <v>357</v>
      </c>
      <c r="D3290" s="9" t="s">
        <v>5507</v>
      </c>
      <c r="E3290" s="10" t="str">
        <f>HYPERLINK("https://twitter.com/Balluff/status/724277629218631680","724277629218631680")</f>
        <v>724277629218631680</v>
      </c>
      <c r="F3290" s="11" t="s">
        <v>29</v>
      </c>
      <c r="G3290" s="11">
        <v>1551</v>
      </c>
      <c r="H3290" s="11">
        <v>454</v>
      </c>
      <c r="I3290" s="11">
        <v>2</v>
      </c>
      <c r="J3290" s="11">
        <v>0</v>
      </c>
      <c r="K3290" s="11" t="s">
        <v>21</v>
      </c>
      <c r="L3290" s="7">
        <v>39842.576643518521</v>
      </c>
      <c r="M3290" s="12" t="s">
        <v>359</v>
      </c>
      <c r="N3290" s="12" t="s">
        <v>360</v>
      </c>
      <c r="O3290" s="10" t="str">
        <f>HYPERLINK("https://pbs.twimg.com/profile_images/663668561366245376/2ovYiiJf_normal.jpg","View")</f>
        <v>View</v>
      </c>
      <c r="P3290" s="11"/>
    </row>
    <row r="3291" spans="1:16" ht="12.75" x14ac:dyDescent="0.35">
      <c r="A3291" s="7">
        <v>42484.926261574074</v>
      </c>
      <c r="B3291" s="8" t="str">
        <f>HYPERLINK("https://twitter.com/andy_m81","@andy_m81")</f>
        <v>@andy_m81</v>
      </c>
      <c r="C3291" s="9" t="s">
        <v>5510</v>
      </c>
      <c r="D3291" s="9" t="s">
        <v>5511</v>
      </c>
      <c r="E3291" s="10" t="str">
        <f>HYPERLINK("https://twitter.com/andy_m81/status/724277679525101568","724277679525101568")</f>
        <v>724277679525101568</v>
      </c>
      <c r="F3291" s="11" t="s">
        <v>25</v>
      </c>
      <c r="G3291" s="11">
        <v>286</v>
      </c>
      <c r="H3291" s="11">
        <v>540</v>
      </c>
      <c r="I3291" s="11">
        <v>0</v>
      </c>
      <c r="J3291" s="11">
        <v>0</v>
      </c>
      <c r="K3291" s="11" t="s">
        <v>21</v>
      </c>
      <c r="L3291" s="7">
        <v>39940.977719907409</v>
      </c>
      <c r="M3291" s="12" t="s">
        <v>5512</v>
      </c>
      <c r="N3291" s="12"/>
      <c r="O3291" s="10" t="str">
        <f>HYPERLINK("https://pbs.twimg.com/profile_images/2701322020/1eb8ce228cf8d040b274144a49daa19a_normal.png","View")</f>
        <v>View</v>
      </c>
      <c r="P3291" s="11"/>
    </row>
    <row r="3292" spans="1:16" ht="12.75" x14ac:dyDescent="0.35">
      <c r="A3292" s="7">
        <v>42484.927118055552</v>
      </c>
      <c r="B3292" s="8" t="str">
        <f>HYPERLINK("https://twitter.com/gpodagrosi","@gpodagrosi")</f>
        <v>@gpodagrosi</v>
      </c>
      <c r="C3292" s="9" t="s">
        <v>346</v>
      </c>
      <c r="D3292" s="9" t="s">
        <v>5513</v>
      </c>
      <c r="E3292" s="10" t="str">
        <f>HYPERLINK("https://twitter.com/gpodagrosi/status/724277990155272193","724277990155272193")</f>
        <v>724277990155272193</v>
      </c>
      <c r="F3292" s="11" t="s">
        <v>20</v>
      </c>
      <c r="G3292" s="11">
        <v>2496</v>
      </c>
      <c r="H3292" s="11">
        <v>1481</v>
      </c>
      <c r="I3292" s="11">
        <v>1</v>
      </c>
      <c r="J3292" s="11">
        <v>0</v>
      </c>
      <c r="K3292" s="11" t="s">
        <v>21</v>
      </c>
      <c r="L3292" s="7">
        <v>40649.951840277776</v>
      </c>
      <c r="M3292" s="12" t="s">
        <v>347</v>
      </c>
      <c r="N3292" s="12" t="s">
        <v>348</v>
      </c>
      <c r="O3292" s="10" t="str">
        <f>HYPERLINK("https://pbs.twimg.com/profile_images/588981131996966912/55KBnYR7_normal.jpg","View")</f>
        <v>View</v>
      </c>
      <c r="P3292" s="11"/>
    </row>
    <row r="3293" spans="1:16" ht="12.75" x14ac:dyDescent="0.35">
      <c r="A3293" s="7">
        <v>42484.931886574079</v>
      </c>
      <c r="B3293" s="8" t="str">
        <f>HYPERLINK("https://twitter.com/INDIZbot","@INDIZbot")</f>
        <v>@INDIZbot</v>
      </c>
      <c r="C3293" s="9" t="s">
        <v>61</v>
      </c>
      <c r="D3293" s="9" t="s">
        <v>5514</v>
      </c>
      <c r="E3293" s="10" t="str">
        <f>HYPERLINK("https://twitter.com/INDIZbot/status/724279716857937922","724279716857937922")</f>
        <v>724279716857937922</v>
      </c>
      <c r="F3293" s="11" t="s">
        <v>62</v>
      </c>
      <c r="G3293" s="11">
        <v>1786</v>
      </c>
      <c r="H3293" s="11">
        <v>482</v>
      </c>
      <c r="I3293" s="11">
        <v>1</v>
      </c>
      <c r="J3293" s="11">
        <v>0</v>
      </c>
      <c r="K3293" s="11" t="s">
        <v>21</v>
      </c>
      <c r="L3293" s="7">
        <v>42267.011921296296</v>
      </c>
      <c r="M3293" s="12"/>
      <c r="N3293" s="12" t="s">
        <v>63</v>
      </c>
      <c r="O3293" s="10" t="str">
        <f>HYPERLINK("https://pbs.twimg.com/profile_images/645716711723925506/t5G0qOS6_normal.jpg","View")</f>
        <v>View</v>
      </c>
      <c r="P3293" s="11"/>
    </row>
    <row r="3294" spans="1:16" ht="12.75" x14ac:dyDescent="0.35">
      <c r="A3294" s="7">
        <v>42484.934675925921</v>
      </c>
      <c r="B3294" s="8" t="str">
        <f>HYPERLINK("https://twitter.com/SaREUSS","@SaREUSS")</f>
        <v>@SaREUSS</v>
      </c>
      <c r="C3294" s="9" t="s">
        <v>1144</v>
      </c>
      <c r="D3294" s="9" t="s">
        <v>5508</v>
      </c>
      <c r="E3294" s="10" t="str">
        <f>HYPERLINK("https://twitter.com/SaREUSS/status/724280727186071552","724280727186071552")</f>
        <v>724280727186071552</v>
      </c>
      <c r="F3294" s="11" t="s">
        <v>31</v>
      </c>
      <c r="G3294" s="11">
        <v>190</v>
      </c>
      <c r="H3294" s="11">
        <v>206</v>
      </c>
      <c r="I3294" s="11">
        <v>2</v>
      </c>
      <c r="J3294" s="11">
        <v>0</v>
      </c>
      <c r="K3294" s="11" t="s">
        <v>21</v>
      </c>
      <c r="L3294" s="7">
        <v>40612.058263888888</v>
      </c>
      <c r="M3294" s="12" t="s">
        <v>218</v>
      </c>
      <c r="N3294" s="12" t="s">
        <v>1146</v>
      </c>
      <c r="O3294" s="10" t="str">
        <f>HYPERLINK("https://pbs.twimg.com/profile_images/1640917480/SAbineJuni2011_normal.JPG","View")</f>
        <v>View</v>
      </c>
      <c r="P3294" s="11"/>
    </row>
    <row r="3295" spans="1:16" ht="12.75" x14ac:dyDescent="0.35">
      <c r="A3295" s="7">
        <v>42484.937893518523</v>
      </c>
      <c r="B3295" s="8" t="str">
        <f>HYPERLINK("https://twitter.com/DohmeyerK","@DohmeyerK")</f>
        <v>@DohmeyerK</v>
      </c>
      <c r="C3295" s="9" t="s">
        <v>4804</v>
      </c>
      <c r="D3295" s="9" t="s">
        <v>5329</v>
      </c>
      <c r="E3295" s="10" t="str">
        <f>HYPERLINK("https://twitter.com/DohmeyerK/status/724281893844336641","724281893844336641")</f>
        <v>724281893844336641</v>
      </c>
      <c r="F3295" s="11" t="s">
        <v>31</v>
      </c>
      <c r="G3295" s="11">
        <v>33</v>
      </c>
      <c r="H3295" s="11">
        <v>76</v>
      </c>
      <c r="I3295" s="11">
        <v>10</v>
      </c>
      <c r="J3295" s="11">
        <v>0</v>
      </c>
      <c r="K3295" s="11" t="s">
        <v>21</v>
      </c>
      <c r="L3295" s="7">
        <v>41337.897997685184</v>
      </c>
      <c r="M3295" s="12" t="s">
        <v>985</v>
      </c>
      <c r="N3295" s="12" t="s">
        <v>4805</v>
      </c>
      <c r="O3295" s="10" t="str">
        <f>HYPERLINK("https://pbs.twimg.com/profile_images/677499340886265856/Tv7B4r_x_normal.jpg","View")</f>
        <v>View</v>
      </c>
      <c r="P3295" s="11"/>
    </row>
    <row r="3296" spans="1:16" ht="12.75" x14ac:dyDescent="0.35">
      <c r="A3296" s="7">
        <v>42484.938159722224</v>
      </c>
      <c r="B3296" s="8" t="str">
        <f>HYPERLINK("https://twitter.com/ZVEIorg","@ZVEIorg")</f>
        <v>@ZVEIorg</v>
      </c>
      <c r="C3296" s="9" t="s">
        <v>390</v>
      </c>
      <c r="D3296" s="9" t="s">
        <v>4554</v>
      </c>
      <c r="E3296" s="10" t="str">
        <f>HYPERLINK("https://twitter.com/ZVEIorg/status/724281991278002178","724281991278002178")</f>
        <v>724281991278002178</v>
      </c>
      <c r="F3296" s="11" t="s">
        <v>115</v>
      </c>
      <c r="G3296" s="11">
        <v>2557</v>
      </c>
      <c r="H3296" s="11">
        <v>581</v>
      </c>
      <c r="I3296" s="11">
        <v>4</v>
      </c>
      <c r="J3296" s="11">
        <v>0</v>
      </c>
      <c r="K3296" s="11" t="s">
        <v>21</v>
      </c>
      <c r="L3296" s="7">
        <v>41247.641875000001</v>
      </c>
      <c r="M3296" s="12" t="s">
        <v>392</v>
      </c>
      <c r="N3296" s="12" t="s">
        <v>393</v>
      </c>
      <c r="O3296" s="10" t="str">
        <f>HYPERLINK("https://pbs.twimg.com/profile_images/479147477975588864/z94n3mRF_normal.jpeg","View")</f>
        <v>View</v>
      </c>
      <c r="P3296" s="11"/>
    </row>
    <row r="3297" spans="1:16" ht="12.75" x14ac:dyDescent="0.35">
      <c r="A3297" s="7">
        <v>42484.939814814818</v>
      </c>
      <c r="B3297" s="8" t="str">
        <f>HYPERLINK("https://twitter.com/JackNehlig","@JackNehlig")</f>
        <v>@JackNehlig</v>
      </c>
      <c r="C3297" s="9" t="s">
        <v>5515</v>
      </c>
      <c r="D3297" s="9" t="s">
        <v>5516</v>
      </c>
      <c r="E3297" s="10" t="str">
        <f>HYPERLINK("https://twitter.com/JackNehlig/status/724282588727140352","724282588727140352")</f>
        <v>724282588727140352</v>
      </c>
      <c r="F3297" s="11" t="s">
        <v>31</v>
      </c>
      <c r="G3297" s="11">
        <v>414</v>
      </c>
      <c r="H3297" s="11">
        <v>235</v>
      </c>
      <c r="I3297" s="11">
        <v>0</v>
      </c>
      <c r="J3297" s="11">
        <v>2</v>
      </c>
      <c r="K3297" s="11" t="s">
        <v>21</v>
      </c>
      <c r="L3297" s="7">
        <v>39965.859872685185</v>
      </c>
      <c r="M3297" s="12" t="s">
        <v>5517</v>
      </c>
      <c r="N3297" s="12" t="s">
        <v>5518</v>
      </c>
      <c r="O3297" s="10" t="str">
        <f>HYPERLINK("https://pbs.twimg.com/profile_images/449255466204286976/bWiirmgG_normal.jpeg","View")</f>
        <v>View</v>
      </c>
      <c r="P3297" s="11"/>
    </row>
    <row r="3298" spans="1:16" ht="12.75" x14ac:dyDescent="0.35">
      <c r="A3298" s="7">
        <v>42484.940034722225</v>
      </c>
      <c r="B3298" s="8" t="str">
        <f>HYPERLINK("https://twitter.com/RiemenspergerF","@RiemenspergerF")</f>
        <v>@RiemenspergerF</v>
      </c>
      <c r="C3298" s="9" t="s">
        <v>3917</v>
      </c>
      <c r="D3298" s="9" t="s">
        <v>5519</v>
      </c>
      <c r="E3298" s="10" t="str">
        <f>HYPERLINK("https://twitter.com/RiemenspergerF/status/724282667114598400","724282667114598400")</f>
        <v>724282667114598400</v>
      </c>
      <c r="F3298" s="11" t="s">
        <v>31</v>
      </c>
      <c r="G3298" s="11">
        <v>557</v>
      </c>
      <c r="H3298" s="11">
        <v>243</v>
      </c>
      <c r="I3298" s="11">
        <v>5</v>
      </c>
      <c r="J3298" s="11">
        <v>4</v>
      </c>
      <c r="K3298" s="11" t="s">
        <v>21</v>
      </c>
      <c r="L3298" s="7">
        <v>41587.558495370373</v>
      </c>
      <c r="M3298" s="12" t="s">
        <v>3919</v>
      </c>
      <c r="N3298" s="12" t="s">
        <v>3920</v>
      </c>
      <c r="O3298" s="10" t="str">
        <f>HYPERLINK("https://pbs.twimg.com/profile_images/692360292546842624/MNSepg8N_normal.jpg","View")</f>
        <v>View</v>
      </c>
      <c r="P3298" s="11"/>
    </row>
    <row r="3299" spans="1:16" ht="12.75" x14ac:dyDescent="0.35">
      <c r="A3299" s="7">
        <v>42484.940763888888</v>
      </c>
      <c r="B3299" s="8" t="str">
        <f>HYPERLINK("https://twitter.com/catkinEU","@catkinEU")</f>
        <v>@catkinEU</v>
      </c>
      <c r="C3299" s="9" t="s">
        <v>781</v>
      </c>
      <c r="D3299" s="9" t="s">
        <v>5520</v>
      </c>
      <c r="E3299" s="10" t="str">
        <f>HYPERLINK("https://twitter.com/catkinEU/status/724282935088541699","724282935088541699")</f>
        <v>724282935088541699</v>
      </c>
      <c r="F3299" s="11" t="s">
        <v>25</v>
      </c>
      <c r="G3299" s="11">
        <v>399</v>
      </c>
      <c r="H3299" s="11">
        <v>566</v>
      </c>
      <c r="I3299" s="11">
        <v>5</v>
      </c>
      <c r="J3299" s="11">
        <v>0</v>
      </c>
      <c r="K3299" s="11" t="s">
        <v>21</v>
      </c>
      <c r="L3299" s="7">
        <v>42153.955763888887</v>
      </c>
      <c r="M3299" s="12"/>
      <c r="N3299" s="12" t="s">
        <v>782</v>
      </c>
      <c r="O3299" s="10" t="str">
        <f>HYPERLINK("https://pbs.twimg.com/profile_images/604338428227010560/6jzSa8us_normal.png","View")</f>
        <v>View</v>
      </c>
      <c r="P3299" s="11"/>
    </row>
    <row r="3300" spans="1:16" ht="12.75" x14ac:dyDescent="0.35">
      <c r="A3300" s="7">
        <v>42484.943020833336</v>
      </c>
      <c r="B3300" s="8" t="str">
        <f>HYPERLINK("https://twitter.com/WKerner","@WKerner")</f>
        <v>@WKerner</v>
      </c>
      <c r="C3300" s="9" t="s">
        <v>5521</v>
      </c>
      <c r="D3300" s="9" t="s">
        <v>5520</v>
      </c>
      <c r="E3300" s="10" t="str">
        <f>HYPERLINK("https://twitter.com/WKerner/status/724283749811281921","724283749811281921")</f>
        <v>724283749811281921</v>
      </c>
      <c r="F3300" s="11" t="s">
        <v>20</v>
      </c>
      <c r="G3300" s="11">
        <v>972</v>
      </c>
      <c r="H3300" s="11">
        <v>2320</v>
      </c>
      <c r="I3300" s="11">
        <v>5</v>
      </c>
      <c r="J3300" s="11">
        <v>0</v>
      </c>
      <c r="K3300" s="11" t="s">
        <v>21</v>
      </c>
      <c r="L3300" s="7">
        <v>40619.228356481479</v>
      </c>
      <c r="M3300" s="12" t="s">
        <v>218</v>
      </c>
      <c r="N3300" s="12" t="s">
        <v>5522</v>
      </c>
      <c r="O3300" s="10" t="str">
        <f>HYPERLINK("https://pbs.twimg.com/profile_images/2766565660/ee6449a17487d18aa65c5ffcb266fad7_normal.png","View")</f>
        <v>View</v>
      </c>
      <c r="P3300" s="11"/>
    </row>
    <row r="3301" spans="1:16" ht="12.75" x14ac:dyDescent="0.35">
      <c r="A3301" s="7">
        <v>42484.944027777776</v>
      </c>
      <c r="B3301" s="8" t="str">
        <f>HYPERLINK("https://twitter.com/AmChamGermany","@AmChamGermany")</f>
        <v>@AmChamGermany</v>
      </c>
      <c r="C3301" s="9" t="s">
        <v>5523</v>
      </c>
      <c r="D3301" s="9" t="s">
        <v>5520</v>
      </c>
      <c r="E3301" s="10" t="str">
        <f>HYPERLINK("https://twitter.com/AmChamGermany/status/724284117110689792","724284117110689792")</f>
        <v>724284117110689792</v>
      </c>
      <c r="F3301" s="11" t="s">
        <v>31</v>
      </c>
      <c r="G3301" s="11">
        <v>1958</v>
      </c>
      <c r="H3301" s="11">
        <v>1793</v>
      </c>
      <c r="I3301" s="11">
        <v>5</v>
      </c>
      <c r="J3301" s="11">
        <v>0</v>
      </c>
      <c r="K3301" s="11" t="s">
        <v>21</v>
      </c>
      <c r="L3301" s="7">
        <v>40975.879837962959</v>
      </c>
      <c r="M3301" s="12" t="s">
        <v>5524</v>
      </c>
      <c r="N3301" s="12" t="s">
        <v>5525</v>
      </c>
      <c r="O3301" s="10" t="str">
        <f>HYPERLINK("https://pbs.twimg.com/profile_images/1879515257/Flags2_normal.png","View")</f>
        <v>View</v>
      </c>
      <c r="P3301" s="11"/>
    </row>
    <row r="3302" spans="1:16" ht="12.75" x14ac:dyDescent="0.35">
      <c r="A3302" s="7">
        <v>42484.944398148145</v>
      </c>
      <c r="B3302" s="8" t="str">
        <f>HYPERLINK("https://twitter.com/claus_hammer","@claus_hammer")</f>
        <v>@claus_hammer</v>
      </c>
      <c r="C3302" s="9" t="s">
        <v>5526</v>
      </c>
      <c r="D3302" s="9" t="s">
        <v>5520</v>
      </c>
      <c r="E3302" s="10" t="str">
        <f>HYPERLINK("https://twitter.com/claus_hammer/status/724284248664973314","724284248664973314")</f>
        <v>724284248664973314</v>
      </c>
      <c r="F3302" s="11" t="s">
        <v>25</v>
      </c>
      <c r="G3302" s="11">
        <v>30</v>
      </c>
      <c r="H3302" s="11">
        <v>85</v>
      </c>
      <c r="I3302" s="11">
        <v>5</v>
      </c>
      <c r="J3302" s="11">
        <v>0</v>
      </c>
      <c r="K3302" s="11" t="s">
        <v>21</v>
      </c>
      <c r="L3302" s="7">
        <v>42240.515486111108</v>
      </c>
      <c r="M3302" s="12"/>
      <c r="N3302" s="12" t="s">
        <v>5527</v>
      </c>
      <c r="O3302" s="10" t="str">
        <f>HYPERLINK("https://pbs.twimg.com/profile_images/635707143199571968/qylbWwZ3_normal.jpg","View")</f>
        <v>View</v>
      </c>
      <c r="P3302" s="11"/>
    </row>
    <row r="3303" spans="1:16" ht="12.75" x14ac:dyDescent="0.35">
      <c r="A3303" s="7">
        <v>42484.945509259254</v>
      </c>
      <c r="B3303" s="8" t="str">
        <f>HYPERLINK("https://twitter.com/UPS_DE","@UPS_DE")</f>
        <v>@UPS_DE</v>
      </c>
      <c r="C3303" s="9" t="s">
        <v>5528</v>
      </c>
      <c r="D3303" s="9" t="s">
        <v>5520</v>
      </c>
      <c r="E3303" s="10" t="str">
        <f>HYPERLINK("https://twitter.com/UPS_DE/status/724284651855032321","724284651855032321")</f>
        <v>724284651855032321</v>
      </c>
      <c r="F3303" s="11" t="s">
        <v>31</v>
      </c>
      <c r="G3303" s="11">
        <v>10816</v>
      </c>
      <c r="H3303" s="11">
        <v>172</v>
      </c>
      <c r="I3303" s="11">
        <v>5</v>
      </c>
      <c r="J3303" s="11">
        <v>0</v>
      </c>
      <c r="K3303" s="11" t="s">
        <v>21</v>
      </c>
      <c r="L3303" s="7">
        <v>41831.015277777777</v>
      </c>
      <c r="M3303" s="12"/>
      <c r="N3303" s="12" t="s">
        <v>5529</v>
      </c>
      <c r="O3303" s="10" t="str">
        <f>HYPERLINK("https://pbs.twimg.com/profile_images/692344591224283136/av-sU8ij_normal.png","View")</f>
        <v>View</v>
      </c>
      <c r="P3303" s="11"/>
    </row>
    <row r="3304" spans="1:16" ht="12.75" x14ac:dyDescent="0.35">
      <c r="A3304" s="7">
        <v>42484.947951388887</v>
      </c>
      <c r="B3304" s="8" t="str">
        <f>HYPERLINK("https://twitter.com/msftmfg","@msftmfg")</f>
        <v>@msftmfg</v>
      </c>
      <c r="C3304" s="9" t="s">
        <v>4788</v>
      </c>
      <c r="D3304" s="9" t="s">
        <v>5530</v>
      </c>
      <c r="E3304" s="10" t="str">
        <f>HYPERLINK("https://twitter.com/msftmfg/status/724285536588992514","724285536588992514")</f>
        <v>724285536588992514</v>
      </c>
      <c r="F3304" s="11" t="s">
        <v>1111</v>
      </c>
      <c r="G3304" s="11">
        <v>3726</v>
      </c>
      <c r="H3304" s="11">
        <v>2788</v>
      </c>
      <c r="I3304" s="11">
        <v>0</v>
      </c>
      <c r="J3304" s="11">
        <v>0</v>
      </c>
      <c r="K3304" s="11" t="s">
        <v>21</v>
      </c>
      <c r="L3304" s="7">
        <v>41985.067094907412</v>
      </c>
      <c r="M3304" s="12" t="s">
        <v>4790</v>
      </c>
      <c r="N3304" s="12" t="s">
        <v>4791</v>
      </c>
      <c r="O3304" s="10" t="str">
        <f>HYPERLINK("https://pbs.twimg.com/profile_images/543161217645178880/JQuBT7KS_normal.png","View")</f>
        <v>View</v>
      </c>
      <c r="P3304" s="11"/>
    </row>
    <row r="3305" spans="1:16" ht="12.75" x14ac:dyDescent="0.35">
      <c r="A3305" s="7">
        <v>42484.949456018519</v>
      </c>
      <c r="B3305" s="8" t="str">
        <f>HYPERLINK("https://twitter.com/ZeljkoP","@ZeljkoP")</f>
        <v>@ZeljkoP</v>
      </c>
      <c r="C3305" s="9" t="s">
        <v>2349</v>
      </c>
      <c r="D3305" s="9" t="s">
        <v>5531</v>
      </c>
      <c r="E3305" s="10" t="str">
        <f>HYPERLINK("https://twitter.com/ZeljkoP/status/724286085057155072","724286085057155072")</f>
        <v>724286085057155072</v>
      </c>
      <c r="F3305" s="11" t="s">
        <v>25</v>
      </c>
      <c r="G3305" s="11">
        <v>868</v>
      </c>
      <c r="H3305" s="11">
        <v>2094</v>
      </c>
      <c r="I3305" s="11">
        <v>1</v>
      </c>
      <c r="J3305" s="11">
        <v>0</v>
      </c>
      <c r="K3305" s="11" t="s">
        <v>21</v>
      </c>
      <c r="L3305" s="7">
        <v>40758.977592592593</v>
      </c>
      <c r="M3305" s="12" t="s">
        <v>2350</v>
      </c>
      <c r="N3305" s="12" t="s">
        <v>2351</v>
      </c>
      <c r="O3305" s="10" t="str">
        <f>HYPERLINK("https://pbs.twimg.com/profile_images/2424564033/photo_normal.JPG","View")</f>
        <v>View</v>
      </c>
      <c r="P3305" s="11"/>
    </row>
    <row r="3306" spans="1:16" ht="12.75" x14ac:dyDescent="0.35">
      <c r="A3306" s="7">
        <v>42484.949513888889</v>
      </c>
      <c r="B3306" s="8" t="str">
        <f>HYPERLINK("https://twitter.com/h_molle","@h_molle")</f>
        <v>@h_molle</v>
      </c>
      <c r="C3306" s="9" t="s">
        <v>5532</v>
      </c>
      <c r="D3306" s="9" t="s">
        <v>5520</v>
      </c>
      <c r="E3306" s="10" t="str">
        <f>HYPERLINK("https://twitter.com/h_molle/status/724286105240088576","724286105240088576")</f>
        <v>724286105240088576</v>
      </c>
      <c r="F3306" s="11" t="s">
        <v>29</v>
      </c>
      <c r="G3306" s="11">
        <v>242</v>
      </c>
      <c r="H3306" s="11">
        <v>465</v>
      </c>
      <c r="I3306" s="11">
        <v>6</v>
      </c>
      <c r="J3306" s="11">
        <v>0</v>
      </c>
      <c r="K3306" s="11" t="s">
        <v>21</v>
      </c>
      <c r="L3306" s="7">
        <v>40968.654965277776</v>
      </c>
      <c r="M3306" s="12" t="s">
        <v>512</v>
      </c>
      <c r="N3306" s="12" t="s">
        <v>5533</v>
      </c>
      <c r="O3306" s="10" t="str">
        <f>HYPERLINK("https://pbs.twimg.com/profile_images/1862360129/Bild_006swr_normal.jpg","View")</f>
        <v>View</v>
      </c>
      <c r="P3306" s="11"/>
    </row>
    <row r="3307" spans="1:16" ht="12.75" x14ac:dyDescent="0.35">
      <c r="A3307" s="7">
        <v>42484.949733796297</v>
      </c>
      <c r="B3307" s="8" t="str">
        <f>HYPERLINK("https://twitter.com/RiemenspergerF","@RiemenspergerF")</f>
        <v>@RiemenspergerF</v>
      </c>
      <c r="C3307" s="9" t="s">
        <v>3917</v>
      </c>
      <c r="D3307" s="9" t="s">
        <v>5534</v>
      </c>
      <c r="E3307" s="10" t="str">
        <f>HYPERLINK("https://twitter.com/RiemenspergerF/status/724286184801861632","724286184801861632")</f>
        <v>724286184801861632</v>
      </c>
      <c r="F3307" s="11" t="s">
        <v>31</v>
      </c>
      <c r="G3307" s="11">
        <v>557</v>
      </c>
      <c r="H3307" s="11">
        <v>243</v>
      </c>
      <c r="I3307" s="11">
        <v>0</v>
      </c>
      <c r="J3307" s="11">
        <v>0</v>
      </c>
      <c r="K3307" s="11" t="s">
        <v>21</v>
      </c>
      <c r="L3307" s="7">
        <v>41587.558495370373</v>
      </c>
      <c r="M3307" s="12" t="s">
        <v>3919</v>
      </c>
      <c r="N3307" s="12" t="s">
        <v>3920</v>
      </c>
      <c r="O3307" s="10" t="str">
        <f>HYPERLINK("https://pbs.twimg.com/profile_images/692360292546842624/MNSepg8N_normal.jpg","View")</f>
        <v>View</v>
      </c>
      <c r="P3307" s="11"/>
    </row>
    <row r="3308" spans="1:16" ht="12.75" x14ac:dyDescent="0.35">
      <c r="A3308" s="7">
        <v>42484.958923611106</v>
      </c>
      <c r="B3308" s="8" t="str">
        <f>HYPERLINK("https://twitter.com/banthien","@banthien")</f>
        <v>@banthien</v>
      </c>
      <c r="C3308" s="9" t="s">
        <v>5535</v>
      </c>
      <c r="D3308" s="9" t="s">
        <v>5536</v>
      </c>
      <c r="E3308" s="10" t="str">
        <f>HYPERLINK("https://twitter.com/banthien/status/724289513196032000","724289513196032000")</f>
        <v>724289513196032000</v>
      </c>
      <c r="F3308" s="11" t="s">
        <v>31</v>
      </c>
      <c r="G3308" s="11">
        <v>40</v>
      </c>
      <c r="H3308" s="11">
        <v>42</v>
      </c>
      <c r="I3308" s="11">
        <v>1</v>
      </c>
      <c r="J3308" s="11">
        <v>0</v>
      </c>
      <c r="K3308" s="11" t="s">
        <v>21</v>
      </c>
      <c r="L3308" s="7">
        <v>40781.727824074071</v>
      </c>
      <c r="M3308" s="12" t="s">
        <v>218</v>
      </c>
      <c r="N3308" s="12" t="s">
        <v>5537</v>
      </c>
      <c r="O3308" s="10" t="str">
        <f>HYPERLINK("https://pbs.twimg.com/profile_images/449542784849289216/-efWppov_normal.jpeg","View")</f>
        <v>View</v>
      </c>
      <c r="P3308" s="11"/>
    </row>
    <row r="3309" spans="1:16" ht="12.75" x14ac:dyDescent="0.35">
      <c r="A3309" s="7">
        <v>42484.959444444445</v>
      </c>
      <c r="B3309" s="8" t="str">
        <f>HYPERLINK("https://twitter.com/sallyafrank","@sallyafrank")</f>
        <v>@sallyafrank</v>
      </c>
      <c r="C3309" s="9" t="s">
        <v>4811</v>
      </c>
      <c r="D3309" s="9" t="s">
        <v>5538</v>
      </c>
      <c r="E3309" s="10" t="str">
        <f>HYPERLINK("https://twitter.com/sallyafrank/status/724289702942134272","724289702942134272")</f>
        <v>724289702942134272</v>
      </c>
      <c r="F3309" s="11" t="s">
        <v>222</v>
      </c>
      <c r="G3309" s="11">
        <v>319</v>
      </c>
      <c r="H3309" s="11">
        <v>170</v>
      </c>
      <c r="I3309" s="11">
        <v>0</v>
      </c>
      <c r="J3309" s="11">
        <v>1</v>
      </c>
      <c r="K3309" s="11" t="s">
        <v>21</v>
      </c>
      <c r="L3309" s="7">
        <v>40399.807766203703</v>
      </c>
      <c r="M3309" s="12" t="s">
        <v>4794</v>
      </c>
      <c r="N3309" s="12" t="s">
        <v>4813</v>
      </c>
      <c r="O3309" s="10" t="str">
        <f>HYPERLINK("https://pbs.twimg.com/profile_images/602304216468738049/_0sb-3oB_normal.jpg","View")</f>
        <v>View</v>
      </c>
      <c r="P3309" s="11"/>
    </row>
    <row r="3310" spans="1:16" ht="12.75" x14ac:dyDescent="0.35">
      <c r="A3310" s="7">
        <v>42484.964120370365</v>
      </c>
      <c r="B3310" s="8" t="str">
        <f>HYPERLINK("https://twitter.com/rodneyabrooks","@rodneyabrooks")</f>
        <v>@rodneyabrooks</v>
      </c>
      <c r="C3310" s="9" t="s">
        <v>5539</v>
      </c>
      <c r="D3310" s="9" t="s">
        <v>5475</v>
      </c>
      <c r="E3310" s="10" t="str">
        <f>HYPERLINK("https://twitter.com/rodneyabrooks/status/724291397281525760","724291397281525760")</f>
        <v>724291397281525760</v>
      </c>
      <c r="F3310" s="11" t="s">
        <v>31</v>
      </c>
      <c r="G3310" s="11">
        <v>6344</v>
      </c>
      <c r="H3310" s="11">
        <v>37</v>
      </c>
      <c r="I3310" s="11">
        <v>2</v>
      </c>
      <c r="J3310" s="11">
        <v>0</v>
      </c>
      <c r="K3310" s="11" t="s">
        <v>21</v>
      </c>
      <c r="L3310" s="7">
        <v>41128.996249999997</v>
      </c>
      <c r="M3310" s="12" t="s">
        <v>5540</v>
      </c>
      <c r="N3310" s="12" t="s">
        <v>5541</v>
      </c>
      <c r="O3310" s="10" t="str">
        <f>HYPERLINK("https://pbs.twimg.com/profile_images/2479347690/photo2_normal.jpeg","View")</f>
        <v>View</v>
      </c>
      <c r="P3310" s="11"/>
    </row>
    <row r="3311" spans="1:16" ht="12.75" x14ac:dyDescent="0.35">
      <c r="A3311" s="7">
        <v>42484.964872685188</v>
      </c>
      <c r="B3311" s="8" t="str">
        <f>HYPERLINK("https://twitter.com/MarinerLLC","@MarinerLLC")</f>
        <v>@MarinerLLC</v>
      </c>
      <c r="C3311" s="9" t="s">
        <v>4792</v>
      </c>
      <c r="D3311" s="9" t="s">
        <v>5538</v>
      </c>
      <c r="E3311" s="10" t="str">
        <f>HYPERLINK("https://twitter.com/MarinerLLC/status/724291671131824130","724291671131824130")</f>
        <v>724291671131824130</v>
      </c>
      <c r="F3311" s="11" t="s">
        <v>222</v>
      </c>
      <c r="G3311" s="11">
        <v>290</v>
      </c>
      <c r="H3311" s="11">
        <v>268</v>
      </c>
      <c r="I3311" s="11">
        <v>0</v>
      </c>
      <c r="J3311" s="11">
        <v>0</v>
      </c>
      <c r="K3311" s="11" t="s">
        <v>21</v>
      </c>
      <c r="L3311" s="7">
        <v>40898.383460648147</v>
      </c>
      <c r="M3311" s="12" t="s">
        <v>4794</v>
      </c>
      <c r="N3311" s="12" t="s">
        <v>4795</v>
      </c>
      <c r="O3311" s="10" t="str">
        <f>HYPERLINK("https://pbs.twimg.com/profile_images/3502729434/95675e6f45ad2e1bbc6c5736995ec15c_normal.png","View")</f>
        <v>View</v>
      </c>
      <c r="P3311" s="11"/>
    </row>
    <row r="3312" spans="1:16" ht="12.75" x14ac:dyDescent="0.35">
      <c r="A3312" s="7">
        <v>42484.966087962966</v>
      </c>
      <c r="B3312" s="8" t="str">
        <f t="shared" ref="B3312:B3313" si="434">HYPERLINK("https://twitter.com/INDIZbot","@INDIZbot")</f>
        <v>@INDIZbot</v>
      </c>
      <c r="C3312" s="9" t="s">
        <v>61</v>
      </c>
      <c r="D3312" s="9" t="s">
        <v>5542</v>
      </c>
      <c r="E3312" s="10" t="str">
        <f>HYPERLINK("https://twitter.com/INDIZbot/status/724292109260476417","724292109260476417")</f>
        <v>724292109260476417</v>
      </c>
      <c r="F3312" s="11" t="s">
        <v>62</v>
      </c>
      <c r="G3312" s="11">
        <v>1787</v>
      </c>
      <c r="H3312" s="11">
        <v>482</v>
      </c>
      <c r="I3312" s="11">
        <v>1</v>
      </c>
      <c r="J3312" s="11">
        <v>0</v>
      </c>
      <c r="K3312" s="11" t="s">
        <v>21</v>
      </c>
      <c r="L3312" s="7">
        <v>42267.011921296296</v>
      </c>
      <c r="M3312" s="12"/>
      <c r="N3312" s="12" t="s">
        <v>63</v>
      </c>
      <c r="O3312" s="10" t="str">
        <f t="shared" ref="O3312:O3313" si="435">HYPERLINK("https://pbs.twimg.com/profile_images/645716711723925506/t5G0qOS6_normal.jpg","View")</f>
        <v>View</v>
      </c>
      <c r="P3312" s="11"/>
    </row>
    <row r="3313" spans="1:16" ht="12.75" x14ac:dyDescent="0.35">
      <c r="A3313" s="7">
        <v>42484.966712962967</v>
      </c>
      <c r="B3313" s="8" t="str">
        <f t="shared" si="434"/>
        <v>@INDIZbot</v>
      </c>
      <c r="C3313" s="9" t="s">
        <v>61</v>
      </c>
      <c r="D3313" s="9" t="s">
        <v>5531</v>
      </c>
      <c r="E3313" s="10" t="str">
        <f>HYPERLINK("https://twitter.com/INDIZbot/status/724292335673204736","724292335673204736")</f>
        <v>724292335673204736</v>
      </c>
      <c r="F3313" s="11" t="s">
        <v>62</v>
      </c>
      <c r="G3313" s="11">
        <v>1787</v>
      </c>
      <c r="H3313" s="11">
        <v>482</v>
      </c>
      <c r="I3313" s="11">
        <v>2</v>
      </c>
      <c r="J3313" s="11">
        <v>0</v>
      </c>
      <c r="K3313" s="11" t="s">
        <v>21</v>
      </c>
      <c r="L3313" s="7">
        <v>42267.011921296296</v>
      </c>
      <c r="M3313" s="12"/>
      <c r="N3313" s="12" t="s">
        <v>63</v>
      </c>
      <c r="O3313" s="10" t="str">
        <f t="shared" si="435"/>
        <v>View</v>
      </c>
      <c r="P3313" s="11"/>
    </row>
    <row r="3314" spans="1:16" ht="12.75" x14ac:dyDescent="0.35">
      <c r="A3314" s="7">
        <v>42484.973171296297</v>
      </c>
      <c r="B3314" s="8" t="str">
        <f t="shared" ref="B3314:B3315" si="436">HYPERLINK("https://twitter.com/ckoptimal1","@ckoptimal1")</f>
        <v>@ckoptimal1</v>
      </c>
      <c r="C3314" s="9" t="s">
        <v>5543</v>
      </c>
      <c r="D3314" s="9" t="s">
        <v>5507</v>
      </c>
      <c r="E3314" s="10" t="str">
        <f>HYPERLINK("https://twitter.com/ckoptimal1/status/724294676283547649","724294676283547649")</f>
        <v>724294676283547649</v>
      </c>
      <c r="F3314" s="11" t="s">
        <v>31</v>
      </c>
      <c r="G3314" s="11">
        <v>102</v>
      </c>
      <c r="H3314" s="11">
        <v>636</v>
      </c>
      <c r="I3314" s="11">
        <v>3</v>
      </c>
      <c r="J3314" s="11">
        <v>0</v>
      </c>
      <c r="K3314" s="11" t="s">
        <v>21</v>
      </c>
      <c r="L3314" s="7">
        <v>42042.634479166663</v>
      </c>
      <c r="M3314" s="12" t="s">
        <v>218</v>
      </c>
      <c r="N3314" s="12" t="s">
        <v>5544</v>
      </c>
      <c r="O3314" s="10" t="str">
        <f t="shared" ref="O3314:O3315" si="437">HYPERLINK("https://pbs.twimg.com/profile_images/564009971202150401/EjqdJlUz_normal.jpeg","View")</f>
        <v>View</v>
      </c>
      <c r="P3314" s="11"/>
    </row>
    <row r="3315" spans="1:16" ht="12.75" x14ac:dyDescent="0.35">
      <c r="A3315" s="7">
        <v>42484.973402777774</v>
      </c>
      <c r="B3315" s="8" t="str">
        <f t="shared" si="436"/>
        <v>@ckoptimal1</v>
      </c>
      <c r="C3315" s="9" t="s">
        <v>5543</v>
      </c>
      <c r="D3315" s="9" t="s">
        <v>5508</v>
      </c>
      <c r="E3315" s="10" t="str">
        <f>HYPERLINK("https://twitter.com/ckoptimal1/status/724294761906089984","724294761906089984")</f>
        <v>724294761906089984</v>
      </c>
      <c r="F3315" s="11" t="s">
        <v>31</v>
      </c>
      <c r="G3315" s="11">
        <v>102</v>
      </c>
      <c r="H3315" s="11">
        <v>636</v>
      </c>
      <c r="I3315" s="11">
        <v>3</v>
      </c>
      <c r="J3315" s="11">
        <v>0</v>
      </c>
      <c r="K3315" s="11" t="s">
        <v>21</v>
      </c>
      <c r="L3315" s="7">
        <v>42042.634479166663</v>
      </c>
      <c r="M3315" s="12" t="s">
        <v>218</v>
      </c>
      <c r="N3315" s="12" t="s">
        <v>5544</v>
      </c>
      <c r="O3315" s="10" t="str">
        <f t="shared" si="437"/>
        <v>View</v>
      </c>
      <c r="P3315" s="11"/>
    </row>
    <row r="3316" spans="1:16" ht="12.75" x14ac:dyDescent="0.35">
      <c r="A3316" s="7">
        <v>42484.975474537037</v>
      </c>
      <c r="B3316" s="8" t="str">
        <f>HYPERLINK("https://twitter.com/DengelY","@DengelY")</f>
        <v>@DengelY</v>
      </c>
      <c r="C3316" s="9" t="s">
        <v>5545</v>
      </c>
      <c r="D3316" s="9" t="s">
        <v>5520</v>
      </c>
      <c r="E3316" s="10" t="str">
        <f>HYPERLINK("https://twitter.com/DengelY/status/724295511679897600","724295511679897600")</f>
        <v>724295511679897600</v>
      </c>
      <c r="F3316" s="11" t="s">
        <v>31</v>
      </c>
      <c r="G3316" s="11">
        <v>139</v>
      </c>
      <c r="H3316" s="11">
        <v>284</v>
      </c>
      <c r="I3316" s="11">
        <v>7</v>
      </c>
      <c r="J3316" s="11">
        <v>0</v>
      </c>
      <c r="K3316" s="11" t="s">
        <v>21</v>
      </c>
      <c r="L3316" s="7">
        <v>42158.766018518523</v>
      </c>
      <c r="M3316" s="12" t="s">
        <v>5546</v>
      </c>
      <c r="N3316" s="12" t="s">
        <v>5547</v>
      </c>
      <c r="O3316" s="10" t="str">
        <f>HYPERLINK("https://pbs.twimg.com/profile_images/663959200318529537/vd2w1roy_normal.jpg","View")</f>
        <v>View</v>
      </c>
      <c r="P3316" s="11"/>
    </row>
    <row r="3317" spans="1:16" ht="12.75" x14ac:dyDescent="0.35">
      <c r="A3317" s="7">
        <v>42484.978784722218</v>
      </c>
      <c r="B3317" s="8" t="str">
        <f>HYPERLINK("https://twitter.com/colbytylerford","@colbytylerford")</f>
        <v>@colbytylerford</v>
      </c>
      <c r="C3317" s="9" t="s">
        <v>4800</v>
      </c>
      <c r="D3317" s="9" t="s">
        <v>5538</v>
      </c>
      <c r="E3317" s="10" t="str">
        <f>HYPERLINK("https://twitter.com/colbytylerford/status/724296712752365570","724296712752365570")</f>
        <v>724296712752365570</v>
      </c>
      <c r="F3317" s="11" t="s">
        <v>222</v>
      </c>
      <c r="G3317" s="11">
        <v>316</v>
      </c>
      <c r="H3317" s="11">
        <v>399</v>
      </c>
      <c r="I3317" s="11">
        <v>0</v>
      </c>
      <c r="J3317" s="11">
        <v>0</v>
      </c>
      <c r="K3317" s="11" t="s">
        <v>21</v>
      </c>
      <c r="L3317" s="7">
        <v>39863.294120370367</v>
      </c>
      <c r="M3317" s="12" t="s">
        <v>4794</v>
      </c>
      <c r="N3317" s="12" t="s">
        <v>4802</v>
      </c>
      <c r="O3317" s="10" t="str">
        <f>HYPERLINK("https://pbs.twimg.com/profile_images/588196149665865728/jmm9bQ6G_normal.jpg","View")</f>
        <v>View</v>
      </c>
      <c r="P3317" s="11"/>
    </row>
    <row r="3318" spans="1:16" ht="12.75" x14ac:dyDescent="0.35">
      <c r="A3318" s="7">
        <v>42484.982974537037</v>
      </c>
      <c r="B3318" s="8" t="str">
        <f>HYPERLINK("https://twitter.com/Philip_W_Morris","@Philip_W_Morris")</f>
        <v>@Philip_W_Morris</v>
      </c>
      <c r="C3318" s="9" t="s">
        <v>4796</v>
      </c>
      <c r="D3318" s="9" t="s">
        <v>5548</v>
      </c>
      <c r="E3318" s="10" t="str">
        <f>HYPERLINK("https://twitter.com/Philip_W_Morris/status/724298231832809473","724298231832809473")</f>
        <v>724298231832809473</v>
      </c>
      <c r="F3318" s="11" t="s">
        <v>222</v>
      </c>
      <c r="G3318" s="11">
        <v>305</v>
      </c>
      <c r="H3318" s="11">
        <v>310</v>
      </c>
      <c r="I3318" s="11">
        <v>0</v>
      </c>
      <c r="J3318" s="11">
        <v>0</v>
      </c>
      <c r="K3318" s="11" t="s">
        <v>21</v>
      </c>
      <c r="L3318" s="7">
        <v>40372.030752314815</v>
      </c>
      <c r="M3318" s="12" t="s">
        <v>4798</v>
      </c>
      <c r="N3318" s="12" t="s">
        <v>4799</v>
      </c>
      <c r="O3318" s="10" t="str">
        <f>HYPERLINK("https://pbs.twimg.com/profile_images/688093545148723201/hCPglEEy_normal.jpg","View")</f>
        <v>View</v>
      </c>
      <c r="P3318" s="11"/>
    </row>
    <row r="3319" spans="1:16" ht="12.75" x14ac:dyDescent="0.35">
      <c r="A3319" s="7">
        <v>42484.983842592592</v>
      </c>
      <c r="B3319" s="8" t="str">
        <f>HYPERLINK("https://twitter.com/Ronald_Heinze","@Ronald_Heinze")</f>
        <v>@Ronald_Heinze</v>
      </c>
      <c r="C3319" s="9" t="s">
        <v>3243</v>
      </c>
      <c r="D3319" s="9" t="s">
        <v>5549</v>
      </c>
      <c r="E3319" s="10" t="str">
        <f>HYPERLINK("https://twitter.com/Ronald_Heinze/status/724298542798508033","724298542798508033")</f>
        <v>724298542798508033</v>
      </c>
      <c r="F3319" s="11" t="s">
        <v>25</v>
      </c>
      <c r="G3319" s="11">
        <v>77</v>
      </c>
      <c r="H3319" s="11">
        <v>48</v>
      </c>
      <c r="I3319" s="11">
        <v>2</v>
      </c>
      <c r="J3319" s="11">
        <v>0</v>
      </c>
      <c r="K3319" s="11" t="s">
        <v>21</v>
      </c>
      <c r="L3319" s="7">
        <v>42131.71166666667</v>
      </c>
      <c r="M3319" s="12"/>
      <c r="N3319" s="12" t="s">
        <v>3245</v>
      </c>
      <c r="O3319" s="10" t="str">
        <f>HYPERLINK("https://pbs.twimg.com/profile_images/596283853507010560/rOqlbvhj_normal.jpg","View")</f>
        <v>View</v>
      </c>
      <c r="P3319" s="11"/>
    </row>
    <row r="3320" spans="1:16" ht="12.75" x14ac:dyDescent="0.35">
      <c r="A3320" s="7">
        <v>42484.984594907408</v>
      </c>
      <c r="B3320" s="8" t="str">
        <f>HYPERLINK("https://twitter.com/automatisierer","@automatisierer")</f>
        <v>@automatisierer</v>
      </c>
      <c r="C3320" s="9" t="s">
        <v>2855</v>
      </c>
      <c r="D3320" s="9" t="s">
        <v>5550</v>
      </c>
      <c r="E3320" s="10" t="str">
        <f>HYPERLINK("https://twitter.com/automatisierer/status/724298817563181056","724298817563181056")</f>
        <v>724298817563181056</v>
      </c>
      <c r="F3320" s="11" t="s">
        <v>866</v>
      </c>
      <c r="G3320" s="11">
        <v>534</v>
      </c>
      <c r="H3320" s="11">
        <v>130</v>
      </c>
      <c r="I3320" s="11">
        <v>2</v>
      </c>
      <c r="J3320" s="11">
        <v>0</v>
      </c>
      <c r="K3320" s="11" t="s">
        <v>21</v>
      </c>
      <c r="L3320" s="7">
        <v>39983.487222222218</v>
      </c>
      <c r="M3320" s="12" t="s">
        <v>2857</v>
      </c>
      <c r="N3320" s="12"/>
      <c r="O3320" s="10" t="str">
        <f>HYPERLINK("https://pbs.twimg.com/profile_images/378989830/Reinhard-Portrait_normal.jpg","View")</f>
        <v>View</v>
      </c>
      <c r="P3320" s="11"/>
    </row>
    <row r="3321" spans="1:16" ht="12.75" x14ac:dyDescent="0.35">
      <c r="A3321" s="7">
        <v>42484.985636574071</v>
      </c>
      <c r="B3321" s="8" t="str">
        <f>HYPERLINK("https://twitter.com/RealJoeGuy","@RealJoeGuy")</f>
        <v>@RealJoeGuy</v>
      </c>
      <c r="C3321" s="9" t="s">
        <v>4806</v>
      </c>
      <c r="D3321" s="9" t="s">
        <v>5551</v>
      </c>
      <c r="E3321" s="10" t="str">
        <f>HYPERLINK("https://twitter.com/RealJoeGuy/status/724299196266876930","724299196266876930")</f>
        <v>724299196266876930</v>
      </c>
      <c r="F3321" s="11" t="s">
        <v>222</v>
      </c>
      <c r="G3321" s="11">
        <v>151</v>
      </c>
      <c r="H3321" s="11">
        <v>141</v>
      </c>
      <c r="I3321" s="11">
        <v>0</v>
      </c>
      <c r="J3321" s="11">
        <v>0</v>
      </c>
      <c r="K3321" s="11" t="s">
        <v>21</v>
      </c>
      <c r="L3321" s="7">
        <v>40887.393495370372</v>
      </c>
      <c r="M3321" s="12" t="s">
        <v>4808</v>
      </c>
      <c r="N3321" s="12" t="s">
        <v>4809</v>
      </c>
      <c r="O3321" s="10" t="str">
        <f>HYPERLINK("https://pbs.twimg.com/profile_images/1684373225/Joe_Guy_normal.jpg","View")</f>
        <v>View</v>
      </c>
      <c r="P3321" s="11"/>
    </row>
    <row r="3322" spans="1:16" ht="12.75" x14ac:dyDescent="0.35">
      <c r="A3322" s="7">
        <v>42484.985659722224</v>
      </c>
      <c r="B3322" s="8" t="str">
        <f>HYPERLINK("https://twitter.com/automatisierer","@automatisierer")</f>
        <v>@automatisierer</v>
      </c>
      <c r="C3322" s="9" t="s">
        <v>2855</v>
      </c>
      <c r="D3322" s="9" t="s">
        <v>5507</v>
      </c>
      <c r="E3322" s="10" t="str">
        <f>HYPERLINK("https://twitter.com/automatisierer/status/724299201933352960","724299201933352960")</f>
        <v>724299201933352960</v>
      </c>
      <c r="F3322" s="11" t="s">
        <v>866</v>
      </c>
      <c r="G3322" s="11">
        <v>534</v>
      </c>
      <c r="H3322" s="11">
        <v>130</v>
      </c>
      <c r="I3322" s="11">
        <v>4</v>
      </c>
      <c r="J3322" s="11">
        <v>0</v>
      </c>
      <c r="K3322" s="11" t="s">
        <v>21</v>
      </c>
      <c r="L3322" s="7">
        <v>39983.487222222218</v>
      </c>
      <c r="M3322" s="12" t="s">
        <v>2857</v>
      </c>
      <c r="N3322" s="12"/>
      <c r="O3322" s="10" t="str">
        <f>HYPERLINK("https://pbs.twimg.com/profile_images/378989830/Reinhard-Portrait_normal.jpg","View")</f>
        <v>View</v>
      </c>
      <c r="P3322" s="11"/>
    </row>
    <row r="3323" spans="1:16" ht="12.75" x14ac:dyDescent="0.35">
      <c r="A3323" s="7">
        <v>42484.987129629633</v>
      </c>
      <c r="B3323" s="8" t="str">
        <f>HYPERLINK("https://twitter.com/INDIZbot","@INDIZbot")</f>
        <v>@INDIZbot</v>
      </c>
      <c r="C3323" s="9" t="s">
        <v>61</v>
      </c>
      <c r="D3323" s="9" t="s">
        <v>5550</v>
      </c>
      <c r="E3323" s="10" t="str">
        <f>HYPERLINK("https://twitter.com/INDIZbot/status/724299737390845953","724299737390845953")</f>
        <v>724299737390845953</v>
      </c>
      <c r="F3323" s="11" t="s">
        <v>62</v>
      </c>
      <c r="G3323" s="11">
        <v>1787</v>
      </c>
      <c r="H3323" s="11">
        <v>482</v>
      </c>
      <c r="I3323" s="11">
        <v>2</v>
      </c>
      <c r="J3323" s="11">
        <v>0</v>
      </c>
      <c r="K3323" s="11" t="s">
        <v>21</v>
      </c>
      <c r="L3323" s="7">
        <v>42267.011921296296</v>
      </c>
      <c r="M3323" s="12"/>
      <c r="N3323" s="12" t="s">
        <v>63</v>
      </c>
      <c r="O3323" s="10" t="str">
        <f>HYPERLINK("https://pbs.twimg.com/profile_images/645716711723925506/t5G0qOS6_normal.jpg","View")</f>
        <v>View</v>
      </c>
      <c r="P3323" s="11"/>
    </row>
    <row r="3324" spans="1:16" ht="12.75" x14ac:dyDescent="0.35">
      <c r="A3324" s="7">
        <v>42484.987627314811</v>
      </c>
      <c r="B3324" s="8" t="str">
        <f>HYPERLINK("https://twitter.com/docbroemer","@docbroemer")</f>
        <v>@docbroemer</v>
      </c>
      <c r="C3324" s="9" t="s">
        <v>865</v>
      </c>
      <c r="D3324" s="9" t="s">
        <v>5501</v>
      </c>
      <c r="E3324" s="10" t="str">
        <f>HYPERLINK("https://twitter.com/docbroemer/status/724299914403057664","724299914403057664")</f>
        <v>724299914403057664</v>
      </c>
      <c r="F3324" s="11" t="s">
        <v>29</v>
      </c>
      <c r="G3324" s="11">
        <v>38</v>
      </c>
      <c r="H3324" s="11">
        <v>38</v>
      </c>
      <c r="I3324" s="11">
        <v>3</v>
      </c>
      <c r="J3324" s="11">
        <v>0</v>
      </c>
      <c r="K3324" s="11" t="s">
        <v>21</v>
      </c>
      <c r="L3324" s="7">
        <v>41598.900567129633</v>
      </c>
      <c r="M3324" s="12"/>
      <c r="N3324" s="12"/>
      <c r="O3324" s="10" t="str">
        <f>HYPERLINK("https://pbs.twimg.com/profile_images/659313711710994432/MhoVyL8j_normal.jpg","View")</f>
        <v>View</v>
      </c>
      <c r="P3324" s="11"/>
    </row>
    <row r="3325" spans="1:16" ht="12.75" x14ac:dyDescent="0.35">
      <c r="A3325" s="7">
        <v>42484.987997685181</v>
      </c>
      <c r="B3325" s="8" t="str">
        <f>HYPERLINK("https://twitter.com/tobias_goers","@tobias_goers")</f>
        <v>@tobias_goers</v>
      </c>
      <c r="C3325" s="9" t="s">
        <v>1020</v>
      </c>
      <c r="D3325" s="9" t="s">
        <v>5520</v>
      </c>
      <c r="E3325" s="10" t="str">
        <f>HYPERLINK("https://twitter.com/tobias_goers/status/724300048654278657","724300048654278657")</f>
        <v>724300048654278657</v>
      </c>
      <c r="F3325" s="11" t="s">
        <v>31</v>
      </c>
      <c r="G3325" s="11">
        <v>657</v>
      </c>
      <c r="H3325" s="11">
        <v>1314</v>
      </c>
      <c r="I3325" s="11">
        <v>8</v>
      </c>
      <c r="J3325" s="11">
        <v>0</v>
      </c>
      <c r="K3325" s="11" t="s">
        <v>21</v>
      </c>
      <c r="L3325" s="7">
        <v>42195.589988425927</v>
      </c>
      <c r="M3325" s="12" t="s">
        <v>549</v>
      </c>
      <c r="N3325" s="12" t="s">
        <v>1022</v>
      </c>
      <c r="O3325" s="10" t="str">
        <f>HYPERLINK("https://pbs.twimg.com/profile_images/619429467434434560/ywWYiH5V_normal.jpg","View")</f>
        <v>View</v>
      </c>
      <c r="P3325" s="11"/>
    </row>
    <row r="3326" spans="1:16" ht="12.75" x14ac:dyDescent="0.35">
      <c r="A3326" s="7">
        <v>42484.991655092592</v>
      </c>
      <c r="B3326" s="8" t="str">
        <f>HYPERLINK("https://twitter.com/PB2013PB","@PB2013PB")</f>
        <v>@PB2013PB</v>
      </c>
      <c r="C3326" s="9" t="s">
        <v>5552</v>
      </c>
      <c r="D3326" s="9" t="s">
        <v>5553</v>
      </c>
      <c r="E3326" s="10" t="str">
        <f>HYPERLINK("https://twitter.com/PB2013PB/status/724301375249723392","724301375249723392")</f>
        <v>724301375249723392</v>
      </c>
      <c r="F3326" s="11" t="s">
        <v>31</v>
      </c>
      <c r="G3326" s="11">
        <v>0</v>
      </c>
      <c r="H3326" s="11">
        <v>15</v>
      </c>
      <c r="I3326" s="11">
        <v>0</v>
      </c>
      <c r="J3326" s="11">
        <v>0</v>
      </c>
      <c r="K3326" s="11" t="s">
        <v>21</v>
      </c>
      <c r="L3326" s="7">
        <v>41392.815474537041</v>
      </c>
      <c r="M3326" s="12"/>
      <c r="N3326" s="12"/>
      <c r="O3326" s="10" t="str">
        <f>HYPERLINK("https://abs.twimg.com/sticky/default_profile_images/default_profile_2_normal.png","View")</f>
        <v>View</v>
      </c>
      <c r="P3326" s="11"/>
    </row>
    <row r="3327" spans="1:16" ht="12.75" x14ac:dyDescent="0.35">
      <c r="A3327" s="7">
        <v>42484.993252314816</v>
      </c>
      <c r="B3327" s="8" t="str">
        <f>HYPERLINK("https://twitter.com/TLinn_Visionico","@TLinn_Visionico")</f>
        <v>@TLinn_Visionico</v>
      </c>
      <c r="C3327" s="9" t="s">
        <v>3512</v>
      </c>
      <c r="D3327" s="9" t="s">
        <v>5554</v>
      </c>
      <c r="E3327" s="10" t="str">
        <f>HYPERLINK("https://twitter.com/TLinn_Visionico/status/724301956328644608","724301956328644608")</f>
        <v>724301956328644608</v>
      </c>
      <c r="F3327" s="11" t="s">
        <v>39</v>
      </c>
      <c r="G3327" s="11">
        <v>1381</v>
      </c>
      <c r="H3327" s="11">
        <v>1186</v>
      </c>
      <c r="I3327" s="11">
        <v>0</v>
      </c>
      <c r="J3327" s="11">
        <v>0</v>
      </c>
      <c r="K3327" s="11" t="s">
        <v>21</v>
      </c>
      <c r="L3327" s="7">
        <v>40614.594791666663</v>
      </c>
      <c r="M3327" s="12" t="s">
        <v>3514</v>
      </c>
      <c r="N3327" s="12" t="s">
        <v>3515</v>
      </c>
      <c r="O3327" s="10" t="str">
        <f>HYPERLINK("https://pbs.twimg.com/profile_images/692017435269054464/uFlgRwyV_normal.jpg","View")</f>
        <v>View</v>
      </c>
      <c r="P3327" s="11"/>
    </row>
    <row r="3328" spans="1:16" ht="12.75" x14ac:dyDescent="0.35">
      <c r="A3328" s="7">
        <v>42484.997673611113</v>
      </c>
      <c r="B3328" s="8" t="str">
        <f>HYPERLINK("https://twitter.com/ROBOToni","@ROBOToni")</f>
        <v>@ROBOToni</v>
      </c>
      <c r="C3328" s="9" t="s">
        <v>5555</v>
      </c>
      <c r="D3328" s="9" t="s">
        <v>5475</v>
      </c>
      <c r="E3328" s="10" t="str">
        <f>HYPERLINK("https://twitter.com/ROBOToni/status/724303557046972416","724303557046972416")</f>
        <v>724303557046972416</v>
      </c>
      <c r="F3328" s="11" t="s">
        <v>20</v>
      </c>
      <c r="G3328" s="11">
        <v>1197</v>
      </c>
      <c r="H3328" s="11">
        <v>904</v>
      </c>
      <c r="I3328" s="11">
        <v>3</v>
      </c>
      <c r="J3328" s="11">
        <v>0</v>
      </c>
      <c r="K3328" s="11" t="s">
        <v>21</v>
      </c>
      <c r="L3328" s="7">
        <v>40735.153055555558</v>
      </c>
      <c r="M3328" s="12" t="s">
        <v>5556</v>
      </c>
      <c r="N3328" s="12" t="s">
        <v>5557</v>
      </c>
      <c r="O3328" s="10" t="str">
        <f>HYPERLINK("https://pbs.twimg.com/profile_images/521027553796956160/3xW6Jwcx_normal.jpeg","View")</f>
        <v>View</v>
      </c>
      <c r="P3328" s="11"/>
    </row>
    <row r="3329" spans="1:16" ht="12.75" x14ac:dyDescent="0.35">
      <c r="A3329" s="7">
        <v>42484.999166666668</v>
      </c>
      <c r="B3329" s="8" t="str">
        <f>HYPERLINK("https://twitter.com/RahmanNow","@RahmanNow")</f>
        <v>@RahmanNow</v>
      </c>
      <c r="C3329" s="9" t="s">
        <v>1948</v>
      </c>
      <c r="D3329" s="9" t="s">
        <v>5558</v>
      </c>
      <c r="E3329" s="10" t="str">
        <f>HYPERLINK("https://twitter.com/RahmanNow/status/724304097046835200","724304097046835200")</f>
        <v>724304097046835200</v>
      </c>
      <c r="F3329" s="11" t="s">
        <v>31</v>
      </c>
      <c r="G3329" s="11">
        <v>3653</v>
      </c>
      <c r="H3329" s="11">
        <v>2679</v>
      </c>
      <c r="I3329" s="11">
        <v>0</v>
      </c>
      <c r="J3329" s="11">
        <v>0</v>
      </c>
      <c r="K3329" s="11" t="s">
        <v>21</v>
      </c>
      <c r="L3329" s="7">
        <v>41307.26935185185</v>
      </c>
      <c r="M3329" s="12" t="s">
        <v>1950</v>
      </c>
      <c r="N3329" s="12" t="s">
        <v>1951</v>
      </c>
      <c r="O3329" s="10" t="str">
        <f>HYPERLINK("https://pbs.twimg.com/profile_images/706237713700298754/yOEMWn0A_normal.jpg","View")</f>
        <v>View</v>
      </c>
      <c r="P3329" s="11"/>
    </row>
    <row r="3330" spans="1:16" ht="12.75" x14ac:dyDescent="0.35">
      <c r="A3330" s="7">
        <v>42485.008229166662</v>
      </c>
      <c r="B3330" s="8" t="str">
        <f t="shared" ref="B3330:B3331" si="438">HYPERLINK("https://twitter.com/INDIZbot","@INDIZbot")</f>
        <v>@INDIZbot</v>
      </c>
      <c r="C3330" s="9" t="s">
        <v>61</v>
      </c>
      <c r="D3330" s="9" t="s">
        <v>5559</v>
      </c>
      <c r="E3330" s="10" t="str">
        <f>HYPERLINK("https://twitter.com/INDIZbot/status/724307382218686464","724307382218686464")</f>
        <v>724307382218686464</v>
      </c>
      <c r="F3330" s="11" t="s">
        <v>62</v>
      </c>
      <c r="G3330" s="11">
        <v>1787</v>
      </c>
      <c r="H3330" s="11">
        <v>482</v>
      </c>
      <c r="I3330" s="11">
        <v>1</v>
      </c>
      <c r="J3330" s="11">
        <v>0</v>
      </c>
      <c r="K3330" s="11" t="s">
        <v>21</v>
      </c>
      <c r="L3330" s="7">
        <v>42267.011921296296</v>
      </c>
      <c r="M3330" s="12"/>
      <c r="N3330" s="12" t="s">
        <v>63</v>
      </c>
      <c r="O3330" s="10" t="str">
        <f t="shared" ref="O3330:O3331" si="439">HYPERLINK("https://pbs.twimg.com/profile_images/645716711723925506/t5G0qOS6_normal.jpg","View")</f>
        <v>View</v>
      </c>
      <c r="P3330" s="11"/>
    </row>
    <row r="3331" spans="1:16" ht="12.75" x14ac:dyDescent="0.35">
      <c r="A3331" s="7">
        <v>42485.008773148147</v>
      </c>
      <c r="B3331" s="8" t="str">
        <f t="shared" si="438"/>
        <v>@INDIZbot</v>
      </c>
      <c r="C3331" s="9" t="s">
        <v>61</v>
      </c>
      <c r="D3331" s="9" t="s">
        <v>5553</v>
      </c>
      <c r="E3331" s="10" t="str">
        <f>HYPERLINK("https://twitter.com/INDIZbot/status/724307580110159873","724307580110159873")</f>
        <v>724307580110159873</v>
      </c>
      <c r="F3331" s="11" t="s">
        <v>62</v>
      </c>
      <c r="G3331" s="11">
        <v>1787</v>
      </c>
      <c r="H3331" s="11">
        <v>482</v>
      </c>
      <c r="I3331" s="11">
        <v>1</v>
      </c>
      <c r="J3331" s="11">
        <v>0</v>
      </c>
      <c r="K3331" s="11" t="s">
        <v>21</v>
      </c>
      <c r="L3331" s="7">
        <v>42267.011921296296</v>
      </c>
      <c r="M3331" s="12"/>
      <c r="N3331" s="12" t="s">
        <v>63</v>
      </c>
      <c r="O3331" s="10" t="str">
        <f t="shared" si="439"/>
        <v>View</v>
      </c>
      <c r="P3331" s="11"/>
    </row>
    <row r="3332" spans="1:16" ht="12.75" x14ac:dyDescent="0.35">
      <c r="A3332" s="7">
        <v>42485.010925925926</v>
      </c>
      <c r="B3332" s="8" t="str">
        <f>HYPERLINK("https://twitter.com/cschaale","@cschaale")</f>
        <v>@cschaale</v>
      </c>
      <c r="C3332" s="9" t="s">
        <v>5560</v>
      </c>
      <c r="D3332" s="9" t="s">
        <v>5520</v>
      </c>
      <c r="E3332" s="10" t="str">
        <f>HYPERLINK("https://twitter.com/cschaale/status/724308360422629378","724308360422629378")</f>
        <v>724308360422629378</v>
      </c>
      <c r="F3332" s="11" t="s">
        <v>31</v>
      </c>
      <c r="G3332" s="11">
        <v>70</v>
      </c>
      <c r="H3332" s="11">
        <v>122</v>
      </c>
      <c r="I3332" s="11">
        <v>9</v>
      </c>
      <c r="J3332" s="11">
        <v>0</v>
      </c>
      <c r="K3332" s="11" t="s">
        <v>21</v>
      </c>
      <c r="L3332" s="7">
        <v>41177.540995370371</v>
      </c>
      <c r="M3332" s="12" t="s">
        <v>227</v>
      </c>
      <c r="N3332" s="12" t="s">
        <v>5561</v>
      </c>
      <c r="O3332" s="10" t="str">
        <f>HYPERLINK("https://pbs.twimg.com/profile_images/537193955683606528/nTcT7Qtx_normal.jpeg","View")</f>
        <v>View</v>
      </c>
      <c r="P3332" s="11"/>
    </row>
    <row r="3333" spans="1:16" ht="12.75" x14ac:dyDescent="0.35">
      <c r="A3333" s="7">
        <v>42485.021087962959</v>
      </c>
      <c r="B3333" s="8" t="str">
        <f>HYPERLINK("https://twitter.com/KevinFaircloth1","@KevinFaircloth1")</f>
        <v>@KevinFaircloth1</v>
      </c>
      <c r="C3333" s="9" t="s">
        <v>5562</v>
      </c>
      <c r="D3333" s="9" t="s">
        <v>5475</v>
      </c>
      <c r="E3333" s="10" t="str">
        <f>HYPERLINK("https://twitter.com/KevinFaircloth1/status/724312040861515776","724312040861515776")</f>
        <v>724312040861515776</v>
      </c>
      <c r="F3333" s="11" t="s">
        <v>20</v>
      </c>
      <c r="G3333" s="11">
        <v>1471</v>
      </c>
      <c r="H3333" s="11">
        <v>4975</v>
      </c>
      <c r="I3333" s="11">
        <v>4</v>
      </c>
      <c r="J3333" s="11">
        <v>0</v>
      </c>
      <c r="K3333" s="11" t="s">
        <v>21</v>
      </c>
      <c r="L3333" s="7">
        <v>40882.834467592591</v>
      </c>
      <c r="M3333" s="12" t="s">
        <v>5563</v>
      </c>
      <c r="N3333" s="12" t="s">
        <v>5564</v>
      </c>
      <c r="O3333" s="10" t="str">
        <f>HYPERLINK("https://pbs.twimg.com/profile_images/723831481982803970/IcBb-LU4_normal.jpg","View")</f>
        <v>View</v>
      </c>
      <c r="P3333" s="11"/>
    </row>
    <row r="3334" spans="1:16" ht="12.75" x14ac:dyDescent="0.35">
      <c r="A3334" s="7">
        <v>42485.021701388891</v>
      </c>
      <c r="B3334" s="8" t="str">
        <f>HYPERLINK("https://twitter.com/H_IT_D","@H_IT_D")</f>
        <v>@H_IT_D</v>
      </c>
      <c r="C3334" s="9" t="s">
        <v>159</v>
      </c>
      <c r="D3334" s="9" t="s">
        <v>5565</v>
      </c>
      <c r="E3334" s="10" t="str">
        <f>HYPERLINK("https://twitter.com/H_IT_D/status/724312262257733632","724312262257733632")</f>
        <v>724312262257733632</v>
      </c>
      <c r="F3334" s="11" t="s">
        <v>161</v>
      </c>
      <c r="G3334" s="11">
        <v>473</v>
      </c>
      <c r="H3334" s="11">
        <v>466</v>
      </c>
      <c r="I3334" s="11">
        <v>1</v>
      </c>
      <c r="J3334" s="11">
        <v>0</v>
      </c>
      <c r="K3334" s="11" t="s">
        <v>21</v>
      </c>
      <c r="L3334" s="7">
        <v>40723.867673611108</v>
      </c>
      <c r="M3334" s="12" t="s">
        <v>162</v>
      </c>
      <c r="N3334" s="12" t="s">
        <v>163</v>
      </c>
      <c r="O3334" s="10" t="str">
        <f>HYPERLINK("https://pbs.twimg.com/profile_images/662723326096224256/5V4KH9_O_normal.jpg","View")</f>
        <v>View</v>
      </c>
      <c r="P3334" s="11"/>
    </row>
    <row r="3335" spans="1:16" ht="12.75" x14ac:dyDescent="0.35">
      <c r="A3335" s="7">
        <v>42485.02306712963</v>
      </c>
      <c r="B3335" s="8" t="str">
        <f>HYPERLINK("https://twitter.com/schwaerzler_it","@schwaerzler_it")</f>
        <v>@schwaerzler_it</v>
      </c>
      <c r="C3335" s="9" t="s">
        <v>5566</v>
      </c>
      <c r="D3335" s="9" t="s">
        <v>5567</v>
      </c>
      <c r="E3335" s="10" t="str">
        <f>HYPERLINK("https://twitter.com/schwaerzler_it/status/724312757093470209","724312757093470209")</f>
        <v>724312757093470209</v>
      </c>
      <c r="F3335" s="11" t="s">
        <v>1697</v>
      </c>
      <c r="G3335" s="11">
        <v>37</v>
      </c>
      <c r="H3335" s="11">
        <v>58</v>
      </c>
      <c r="I3335" s="11">
        <v>0</v>
      </c>
      <c r="J3335" s="11">
        <v>0</v>
      </c>
      <c r="K3335" s="11" t="s">
        <v>21</v>
      </c>
      <c r="L3335" s="7">
        <v>39785.942002314812</v>
      </c>
      <c r="M3335" s="12" t="s">
        <v>5568</v>
      </c>
      <c r="N3335" s="12" t="s">
        <v>5569</v>
      </c>
      <c r="O3335" s="10" t="str">
        <f>HYPERLINK("https://pbs.twimg.com/profile_images/286802570/punkt_klein_normal.png","View")</f>
        <v>View</v>
      </c>
      <c r="P3335" s="11"/>
    </row>
    <row r="3336" spans="1:16" ht="12.75" x14ac:dyDescent="0.35">
      <c r="A3336" s="7">
        <v>42485.026608796295</v>
      </c>
      <c r="B3336" s="8" t="str">
        <f>HYPERLINK("https://twitter.com/LilianaGorla","@LilianaGorla")</f>
        <v>@LilianaGorla</v>
      </c>
      <c r="C3336" s="9" t="s">
        <v>5570</v>
      </c>
      <c r="D3336" s="9" t="s">
        <v>5520</v>
      </c>
      <c r="E3336" s="10" t="str">
        <f>HYPERLINK("https://twitter.com/LilianaGorla/status/724314043838783488","724314043838783488")</f>
        <v>724314043838783488</v>
      </c>
      <c r="F3336" s="11" t="s">
        <v>31</v>
      </c>
      <c r="G3336" s="11">
        <v>572</v>
      </c>
      <c r="H3336" s="11">
        <v>95</v>
      </c>
      <c r="I3336" s="11">
        <v>10</v>
      </c>
      <c r="J3336" s="11">
        <v>0</v>
      </c>
      <c r="K3336" s="11" t="s">
        <v>21</v>
      </c>
      <c r="L3336" s="7">
        <v>40684.866990740738</v>
      </c>
      <c r="M3336" s="12" t="s">
        <v>5571</v>
      </c>
      <c r="N3336" s="12" t="s">
        <v>5572</v>
      </c>
      <c r="O3336" s="10" t="str">
        <f>HYPERLINK("https://pbs.twimg.com/profile_images/710899596977901568/RWqeVkp7_normal.jpg","View")</f>
        <v>View</v>
      </c>
      <c r="P3336" s="11"/>
    </row>
    <row r="3337" spans="1:16" ht="12.75" x14ac:dyDescent="0.35">
      <c r="A3337" s="7">
        <v>42485.029340277775</v>
      </c>
      <c r="B3337" s="8" t="str">
        <f>HYPERLINK("https://twitter.com/INDIZbot","@INDIZbot")</f>
        <v>@INDIZbot</v>
      </c>
      <c r="C3337" s="9" t="s">
        <v>61</v>
      </c>
      <c r="D3337" s="9" t="s">
        <v>5573</v>
      </c>
      <c r="E3337" s="10" t="str">
        <f>HYPERLINK("https://twitter.com/INDIZbot/status/724315032096505856","724315032096505856")</f>
        <v>724315032096505856</v>
      </c>
      <c r="F3337" s="11" t="s">
        <v>62</v>
      </c>
      <c r="G3337" s="11">
        <v>1787</v>
      </c>
      <c r="H3337" s="11">
        <v>482</v>
      </c>
      <c r="I3337" s="11">
        <v>1</v>
      </c>
      <c r="J3337" s="11">
        <v>0</v>
      </c>
      <c r="K3337" s="11" t="s">
        <v>21</v>
      </c>
      <c r="L3337" s="7">
        <v>42267.011921296296</v>
      </c>
      <c r="M3337" s="12"/>
      <c r="N3337" s="12" t="s">
        <v>63</v>
      </c>
      <c r="O3337" s="10" t="str">
        <f>HYPERLINK("https://pbs.twimg.com/profile_images/645716711723925506/t5G0qOS6_normal.jpg","View")</f>
        <v>View</v>
      </c>
      <c r="P3337" s="11"/>
    </row>
    <row r="3338" spans="1:16" ht="12.75" x14ac:dyDescent="0.35">
      <c r="A3338" s="7">
        <v>42485.03197916667</v>
      </c>
      <c r="B3338" s="8" t="str">
        <f>HYPERLINK("https://twitter.com/BeierMichael71","@BeierMichael71")</f>
        <v>@BeierMichael71</v>
      </c>
      <c r="C3338" s="9" t="s">
        <v>1041</v>
      </c>
      <c r="D3338" s="9" t="s">
        <v>4973</v>
      </c>
      <c r="E3338" s="10" t="str">
        <f>HYPERLINK("https://twitter.com/BeierMichael71/status/724315989203144704","724315989203144704")</f>
        <v>724315989203144704</v>
      </c>
      <c r="F3338" s="11" t="s">
        <v>25</v>
      </c>
      <c r="G3338" s="11">
        <v>93</v>
      </c>
      <c r="H3338" s="11">
        <v>349</v>
      </c>
      <c r="I3338" s="11">
        <v>4</v>
      </c>
      <c r="J3338" s="11">
        <v>0</v>
      </c>
      <c r="K3338" s="11" t="s">
        <v>21</v>
      </c>
      <c r="L3338" s="7">
        <v>41990.142141203702</v>
      </c>
      <c r="M3338" s="12" t="s">
        <v>1043</v>
      </c>
      <c r="N3338" s="12" t="s">
        <v>1044</v>
      </c>
      <c r="O3338" s="10" t="str">
        <f>HYPERLINK("https://pbs.twimg.com/profile_images/704029343115300866/yUARofpi_normal.jpg","View")</f>
        <v>View</v>
      </c>
      <c r="P3338" s="11"/>
    </row>
    <row r="3339" spans="1:16" ht="12.75" x14ac:dyDescent="0.35">
      <c r="A3339" s="7">
        <v>42485.035648148143</v>
      </c>
      <c r="B3339" s="8" t="str">
        <f>HYPERLINK("https://twitter.com/IngVersteher","@IngVersteher")</f>
        <v>@IngVersteher</v>
      </c>
      <c r="C3339" s="9" t="s">
        <v>5000</v>
      </c>
      <c r="D3339" s="9" t="s">
        <v>5574</v>
      </c>
      <c r="E3339" s="10" t="str">
        <f>HYPERLINK("https://twitter.com/IngVersteher/status/724317318092861444","724317318092861444")</f>
        <v>724317318092861444</v>
      </c>
      <c r="F3339" s="11" t="s">
        <v>39</v>
      </c>
      <c r="G3339" s="11">
        <v>1509</v>
      </c>
      <c r="H3339" s="11">
        <v>1147</v>
      </c>
      <c r="I3339" s="11">
        <v>0</v>
      </c>
      <c r="J3339" s="11">
        <v>0</v>
      </c>
      <c r="K3339" s="11" t="s">
        <v>21</v>
      </c>
      <c r="L3339" s="7">
        <v>41744.044259259259</v>
      </c>
      <c r="M3339" s="12" t="s">
        <v>5002</v>
      </c>
      <c r="N3339" s="12" t="s">
        <v>5003</v>
      </c>
      <c r="O3339" s="10" t="str">
        <f>HYPERLINK("https://pbs.twimg.com/profile_images/662218041833480192/KybAndDY_normal.jpg","View")</f>
        <v>View</v>
      </c>
      <c r="P3339" s="11"/>
    </row>
    <row r="3340" spans="1:16" ht="12.75" x14ac:dyDescent="0.35">
      <c r="A3340" s="7">
        <v>42485.043067129634</v>
      </c>
      <c r="B3340" s="8" t="str">
        <f>HYPERLINK("https://twitter.com/INDIZbot","@INDIZbot")</f>
        <v>@INDIZbot</v>
      </c>
      <c r="C3340" s="9" t="s">
        <v>61</v>
      </c>
      <c r="D3340" s="9" t="s">
        <v>5575</v>
      </c>
      <c r="E3340" s="10" t="str">
        <f>HYPERLINK("https://twitter.com/INDIZbot/status/724320007916802049","724320007916802049")</f>
        <v>724320007916802049</v>
      </c>
      <c r="F3340" s="11" t="s">
        <v>62</v>
      </c>
      <c r="G3340" s="11">
        <v>1788</v>
      </c>
      <c r="H3340" s="11">
        <v>482</v>
      </c>
      <c r="I3340" s="11">
        <v>1</v>
      </c>
      <c r="J3340" s="11">
        <v>0</v>
      </c>
      <c r="K3340" s="11" t="s">
        <v>21</v>
      </c>
      <c r="L3340" s="7">
        <v>42267.011921296296</v>
      </c>
      <c r="M3340" s="12"/>
      <c r="N3340" s="12" t="s">
        <v>63</v>
      </c>
      <c r="O3340" s="10" t="str">
        <f>HYPERLINK("https://pbs.twimg.com/profile_images/645716711723925506/t5G0qOS6_normal.jpg","View")</f>
        <v>View</v>
      </c>
      <c r="P3340" s="11"/>
    </row>
    <row r="3341" spans="1:16" ht="12.75" x14ac:dyDescent="0.35">
      <c r="A3341" s="7">
        <v>42485.048379629632</v>
      </c>
      <c r="B3341" s="8" t="str">
        <f>HYPERLINK("https://twitter.com/aaronbrickman","@aaronbrickman")</f>
        <v>@aaronbrickman</v>
      </c>
      <c r="C3341" s="9" t="s">
        <v>5576</v>
      </c>
      <c r="D3341" s="9" t="s">
        <v>5520</v>
      </c>
      <c r="E3341" s="10" t="str">
        <f>HYPERLINK("https://twitter.com/aaronbrickman/status/724321931877556229","724321931877556229")</f>
        <v>724321931877556229</v>
      </c>
      <c r="F3341" s="11" t="s">
        <v>31</v>
      </c>
      <c r="G3341" s="11">
        <v>1115</v>
      </c>
      <c r="H3341" s="11">
        <v>695</v>
      </c>
      <c r="I3341" s="11">
        <v>11</v>
      </c>
      <c r="J3341" s="11">
        <v>0</v>
      </c>
      <c r="K3341" s="11" t="s">
        <v>21</v>
      </c>
      <c r="L3341" s="7">
        <v>39902.975613425922</v>
      </c>
      <c r="M3341" s="12" t="s">
        <v>5577</v>
      </c>
      <c r="N3341" s="12" t="s">
        <v>5578</v>
      </c>
      <c r="O3341" s="10" t="str">
        <f>HYPERLINK("https://pbs.twimg.com/profile_images/268961250/_5464740_normal.JPG","View")</f>
        <v>View</v>
      </c>
      <c r="P3341" s="11"/>
    </row>
    <row r="3342" spans="1:16" ht="12.75" x14ac:dyDescent="0.35">
      <c r="A3342" s="7">
        <v>42485.048773148148</v>
      </c>
      <c r="B3342" s="8" t="str">
        <f>HYPERLINK("https://twitter.com/IHogerzeil","@IHogerzeil")</f>
        <v>@IHogerzeil</v>
      </c>
      <c r="C3342" s="9" t="s">
        <v>5579</v>
      </c>
      <c r="D3342" s="9" t="s">
        <v>5580</v>
      </c>
      <c r="E3342" s="10" t="str">
        <f>HYPERLINK("https://twitter.com/IHogerzeil/status/724322073850589185","724322073850589185")</f>
        <v>724322073850589185</v>
      </c>
      <c r="F3342" s="11" t="s">
        <v>25</v>
      </c>
      <c r="G3342" s="11">
        <v>57</v>
      </c>
      <c r="H3342" s="11">
        <v>154</v>
      </c>
      <c r="I3342" s="11">
        <v>1</v>
      </c>
      <c r="J3342" s="11">
        <v>0</v>
      </c>
      <c r="K3342" s="11" t="s">
        <v>21</v>
      </c>
      <c r="L3342" s="7">
        <v>40680.665219907409</v>
      </c>
      <c r="M3342" s="12" t="s">
        <v>218</v>
      </c>
      <c r="N3342" s="12" t="s">
        <v>5581</v>
      </c>
      <c r="O3342" s="10" t="str">
        <f>HYPERLINK("https://pbs.twimg.com/profile_images/709385473144328192/mmSYRI82_normal.jpg","View")</f>
        <v>View</v>
      </c>
      <c r="P3342" s="11"/>
    </row>
    <row r="3343" spans="1:16" ht="12.75" x14ac:dyDescent="0.35">
      <c r="A3343" s="7">
        <v>42485.049409722225</v>
      </c>
      <c r="B3343" s="8" t="str">
        <f>HYPERLINK("https://twitter.com/INDIZbot","@INDIZbot")</f>
        <v>@INDIZbot</v>
      </c>
      <c r="C3343" s="9" t="s">
        <v>61</v>
      </c>
      <c r="D3343" s="9" t="s">
        <v>5582</v>
      </c>
      <c r="E3343" s="10" t="str">
        <f>HYPERLINK("https://twitter.com/INDIZbot/status/724322304818339840","724322304818339840")</f>
        <v>724322304818339840</v>
      </c>
      <c r="F3343" s="11" t="s">
        <v>62</v>
      </c>
      <c r="G3343" s="11">
        <v>1788</v>
      </c>
      <c r="H3343" s="11">
        <v>482</v>
      </c>
      <c r="I3343" s="11">
        <v>1</v>
      </c>
      <c r="J3343" s="11">
        <v>0</v>
      </c>
      <c r="K3343" s="11" t="s">
        <v>21</v>
      </c>
      <c r="L3343" s="7">
        <v>42267.011921296296</v>
      </c>
      <c r="M3343" s="12"/>
      <c r="N3343" s="12" t="s">
        <v>63</v>
      </c>
      <c r="O3343" s="10" t="str">
        <f>HYPERLINK("https://pbs.twimg.com/profile_images/645716711723925506/t5G0qOS6_normal.jpg","View")</f>
        <v>View</v>
      </c>
      <c r="P3343" s="11"/>
    </row>
    <row r="3344" spans="1:16" ht="12.75" x14ac:dyDescent="0.35">
      <c r="A3344" s="7">
        <v>42485.05269675926</v>
      </c>
      <c r="B3344" s="8" t="str">
        <f>HYPERLINK("https://twitter.com/apachi5223","@apachi5223")</f>
        <v>@apachi5223</v>
      </c>
      <c r="C3344" s="9" t="s">
        <v>5583</v>
      </c>
      <c r="D3344" s="9" t="s">
        <v>4345</v>
      </c>
      <c r="E3344" s="10" t="str">
        <f>HYPERLINK("https://twitter.com/apachi5223/status/724323498164801536","724323498164801536")</f>
        <v>724323498164801536</v>
      </c>
      <c r="F3344" s="11" t="s">
        <v>20</v>
      </c>
      <c r="G3344" s="11">
        <v>320</v>
      </c>
      <c r="H3344" s="11">
        <v>170</v>
      </c>
      <c r="I3344" s="11">
        <v>14</v>
      </c>
      <c r="J3344" s="11">
        <v>0</v>
      </c>
      <c r="K3344" s="11" t="s">
        <v>21</v>
      </c>
      <c r="L3344" s="7">
        <v>41152.844178240739</v>
      </c>
      <c r="M3344" s="12"/>
      <c r="N3344" s="12" t="s">
        <v>5584</v>
      </c>
      <c r="O3344" s="10" t="str">
        <f>HYPERLINK("https://pbs.twimg.com/profile_images/696304804444905473/i52XF6I6_normal.jpg","View")</f>
        <v>View</v>
      </c>
      <c r="P3344" s="11"/>
    </row>
    <row r="3345" spans="1:16" ht="12.75" x14ac:dyDescent="0.35">
      <c r="A3345" s="7">
        <v>42485.058368055557</v>
      </c>
      <c r="B3345" s="8" t="str">
        <f>HYPERLINK("https://twitter.com/kingzulu82","@kingzulu82")</f>
        <v>@kingzulu82</v>
      </c>
      <c r="C3345" s="9" t="s">
        <v>5585</v>
      </c>
      <c r="D3345" s="9" t="s">
        <v>5367</v>
      </c>
      <c r="E3345" s="10" t="str">
        <f>HYPERLINK("https://twitter.com/kingzulu82/status/724325551847157760","724325551847157760")</f>
        <v>724325551847157760</v>
      </c>
      <c r="F3345" s="11" t="s">
        <v>31</v>
      </c>
      <c r="G3345" s="11">
        <v>32</v>
      </c>
      <c r="H3345" s="11">
        <v>54</v>
      </c>
      <c r="I3345" s="11">
        <v>4</v>
      </c>
      <c r="J3345" s="11">
        <v>0</v>
      </c>
      <c r="K3345" s="11" t="s">
        <v>21</v>
      </c>
      <c r="L3345" s="7">
        <v>39867.770300925928</v>
      </c>
      <c r="M3345" s="12" t="s">
        <v>79</v>
      </c>
      <c r="N3345" s="12" t="s">
        <v>5586</v>
      </c>
      <c r="O3345" s="10" t="str">
        <f>HYPERLINK("https://pbs.twimg.com/profile_images/612275728835547136/Bu0GljvX_normal.jpg","View")</f>
        <v>View</v>
      </c>
      <c r="P3345" s="11"/>
    </row>
    <row r="3346" spans="1:16" ht="12.75" x14ac:dyDescent="0.35">
      <c r="A3346" s="7">
        <v>42485.059884259259</v>
      </c>
      <c r="B3346" s="8" t="str">
        <f>HYPERLINK("https://twitter.com/joegonett","@joegonett")</f>
        <v>@joegonett</v>
      </c>
      <c r="C3346" s="9" t="s">
        <v>5587</v>
      </c>
      <c r="D3346" s="9" t="s">
        <v>5475</v>
      </c>
      <c r="E3346" s="10" t="str">
        <f>HYPERLINK("https://twitter.com/joegonett/status/724326100772478977","724326100772478977")</f>
        <v>724326100772478977</v>
      </c>
      <c r="F3346" s="11" t="s">
        <v>31</v>
      </c>
      <c r="G3346" s="11">
        <v>47</v>
      </c>
      <c r="H3346" s="11">
        <v>43</v>
      </c>
      <c r="I3346" s="11">
        <v>5</v>
      </c>
      <c r="J3346" s="11">
        <v>0</v>
      </c>
      <c r="K3346" s="11" t="s">
        <v>21</v>
      </c>
      <c r="L3346" s="7">
        <v>42384.406666666662</v>
      </c>
      <c r="M3346" s="12" t="s">
        <v>5588</v>
      </c>
      <c r="N3346" s="12" t="s">
        <v>5589</v>
      </c>
      <c r="O3346" s="10" t="str">
        <f>HYPERLINK("https://pbs.twimg.com/profile_images/705912508675170305/MMWsnjwS_normal.jpg","View")</f>
        <v>View</v>
      </c>
      <c r="P3346" s="11"/>
    </row>
    <row r="3347" spans="1:16" ht="12.75" x14ac:dyDescent="0.35">
      <c r="A3347" s="7">
        <v>42485.060729166667</v>
      </c>
      <c r="B3347" s="8" t="str">
        <f t="shared" ref="B3347:B3348" si="440">HYPERLINK("https://twitter.com/kingzulu82","@kingzulu82")</f>
        <v>@kingzulu82</v>
      </c>
      <c r="C3347" s="9" t="s">
        <v>5585</v>
      </c>
      <c r="D3347" s="9" t="s">
        <v>5520</v>
      </c>
      <c r="E3347" s="10" t="str">
        <f>HYPERLINK("https://twitter.com/kingzulu82/status/724326406910566400","724326406910566400")</f>
        <v>724326406910566400</v>
      </c>
      <c r="F3347" s="11" t="s">
        <v>31</v>
      </c>
      <c r="G3347" s="11">
        <v>32</v>
      </c>
      <c r="H3347" s="11">
        <v>54</v>
      </c>
      <c r="I3347" s="11">
        <v>12</v>
      </c>
      <c r="J3347" s="11">
        <v>0</v>
      </c>
      <c r="K3347" s="11" t="s">
        <v>21</v>
      </c>
      <c r="L3347" s="7">
        <v>39867.770300925928</v>
      </c>
      <c r="M3347" s="12" t="s">
        <v>79</v>
      </c>
      <c r="N3347" s="12" t="s">
        <v>5586</v>
      </c>
      <c r="O3347" s="10" t="str">
        <f t="shared" ref="O3347:O3348" si="441">HYPERLINK("https://pbs.twimg.com/profile_images/612275728835547136/Bu0GljvX_normal.jpg","View")</f>
        <v>View</v>
      </c>
      <c r="P3347" s="11"/>
    </row>
    <row r="3348" spans="1:16" ht="12.75" x14ac:dyDescent="0.35">
      <c r="A3348" s="7">
        <v>42485.06082175926</v>
      </c>
      <c r="B3348" s="8" t="str">
        <f t="shared" si="440"/>
        <v>@kingzulu82</v>
      </c>
      <c r="C3348" s="9" t="s">
        <v>5585</v>
      </c>
      <c r="D3348" s="9" t="s">
        <v>5590</v>
      </c>
      <c r="E3348" s="10" t="str">
        <f>HYPERLINK("https://twitter.com/kingzulu82/status/724326439894560770","724326439894560770")</f>
        <v>724326439894560770</v>
      </c>
      <c r="F3348" s="11" t="s">
        <v>31</v>
      </c>
      <c r="G3348" s="11">
        <v>32</v>
      </c>
      <c r="H3348" s="11">
        <v>54</v>
      </c>
      <c r="I3348" s="11">
        <v>1</v>
      </c>
      <c r="J3348" s="11">
        <v>0</v>
      </c>
      <c r="K3348" s="11" t="s">
        <v>21</v>
      </c>
      <c r="L3348" s="7">
        <v>39867.770300925928</v>
      </c>
      <c r="M3348" s="12" t="s">
        <v>79</v>
      </c>
      <c r="N3348" s="12" t="s">
        <v>5586</v>
      </c>
      <c r="O3348" s="10" t="str">
        <f t="shared" si="441"/>
        <v>View</v>
      </c>
      <c r="P3348" s="11"/>
    </row>
    <row r="3349" spans="1:16" ht="12.75" x14ac:dyDescent="0.35">
      <c r="A3349" s="7">
        <v>42485.065983796296</v>
      </c>
      <c r="B3349" s="8" t="str">
        <f>HYPERLINK("https://twitter.com/kommoptimierer","@kommoptimierer")</f>
        <v>@kommoptimierer</v>
      </c>
      <c r="C3349" s="9" t="s">
        <v>270</v>
      </c>
      <c r="D3349" s="9" t="s">
        <v>691</v>
      </c>
      <c r="E3349" s="10" t="str">
        <f>HYPERLINK("https://twitter.com/kommoptimierer/status/724328312684814337","724328312684814337")</f>
        <v>724328312684814337</v>
      </c>
      <c r="F3349" s="11" t="s">
        <v>272</v>
      </c>
      <c r="G3349" s="11">
        <v>1349</v>
      </c>
      <c r="H3349" s="11">
        <v>1754</v>
      </c>
      <c r="I3349" s="11">
        <v>0</v>
      </c>
      <c r="J3349" s="11">
        <v>0</v>
      </c>
      <c r="K3349" s="11" t="s">
        <v>21</v>
      </c>
      <c r="L3349" s="7">
        <v>39986.860358796301</v>
      </c>
      <c r="M3349" s="12" t="s">
        <v>273</v>
      </c>
      <c r="N3349" s="12" t="s">
        <v>274</v>
      </c>
      <c r="O3349" s="10" t="str">
        <f>HYPERLINK("https://pbs.twimg.com/profile_images/541146126158536704/IYardufS_normal.jpeg","View")</f>
        <v>View</v>
      </c>
      <c r="P3349" s="11"/>
    </row>
    <row r="3350" spans="1:16" ht="12.75" x14ac:dyDescent="0.35">
      <c r="A3350" s="7">
        <v>42485.066111111111</v>
      </c>
      <c r="B3350" s="8" t="str">
        <f>HYPERLINK("https://twitter.com/TLinn_Visionico","@TLinn_Visionico")</f>
        <v>@TLinn_Visionico</v>
      </c>
      <c r="C3350" s="9" t="s">
        <v>3512</v>
      </c>
      <c r="D3350" s="9" t="s">
        <v>5591</v>
      </c>
      <c r="E3350" s="10" t="str">
        <f>HYPERLINK("https://twitter.com/TLinn_Visionico/status/724328356989284352","724328356989284352")</f>
        <v>724328356989284352</v>
      </c>
      <c r="F3350" s="11" t="s">
        <v>39</v>
      </c>
      <c r="G3350" s="11">
        <v>1382</v>
      </c>
      <c r="H3350" s="11">
        <v>1186</v>
      </c>
      <c r="I3350" s="11">
        <v>0</v>
      </c>
      <c r="J3350" s="11">
        <v>0</v>
      </c>
      <c r="K3350" s="11" t="s">
        <v>21</v>
      </c>
      <c r="L3350" s="7">
        <v>40614.594791666663</v>
      </c>
      <c r="M3350" s="12" t="s">
        <v>3514</v>
      </c>
      <c r="N3350" s="12" t="s">
        <v>3515</v>
      </c>
      <c r="O3350" s="10" t="str">
        <f>HYPERLINK("https://pbs.twimg.com/profile_images/692017435269054464/uFlgRwyV_normal.jpg","View")</f>
        <v>View</v>
      </c>
      <c r="P3350" s="11"/>
    </row>
    <row r="3351" spans="1:16" ht="12.75" x14ac:dyDescent="0.35">
      <c r="A3351" s="7">
        <v>42485.068518518514</v>
      </c>
      <c r="B3351" s="8" t="str">
        <f>HYPERLINK("https://twitter.com/fnaujoks","@fnaujoks")</f>
        <v>@fnaujoks</v>
      </c>
      <c r="C3351" s="9" t="s">
        <v>5592</v>
      </c>
      <c r="D3351" s="9" t="s">
        <v>5389</v>
      </c>
      <c r="E3351" s="10" t="str">
        <f>HYPERLINK("https://twitter.com/fnaujoks/status/724329229614231553","724329229614231553")</f>
        <v>724329229614231553</v>
      </c>
      <c r="F3351" s="11" t="s">
        <v>866</v>
      </c>
      <c r="G3351" s="11">
        <v>125</v>
      </c>
      <c r="H3351" s="11">
        <v>72</v>
      </c>
      <c r="I3351" s="11">
        <v>4</v>
      </c>
      <c r="J3351" s="11">
        <v>0</v>
      </c>
      <c r="K3351" s="11" t="s">
        <v>21</v>
      </c>
      <c r="L3351" s="7">
        <v>40220.082743055558</v>
      </c>
      <c r="M3351" s="12"/>
      <c r="N3351" s="12"/>
      <c r="O3351" s="10" t="str">
        <f>HYPERLINK("https://pbs.twimg.com/profile_images/1154310723/Frank_Naujoks-por-hoch_min_normal.JPG","View")</f>
        <v>View</v>
      </c>
      <c r="P3351" s="11"/>
    </row>
    <row r="3352" spans="1:16" ht="12.75" x14ac:dyDescent="0.35">
      <c r="A3352" s="7">
        <v>42485.071284722224</v>
      </c>
      <c r="B3352" s="8" t="str">
        <f>HYPERLINK("https://twitter.com/sbolgard","@sbolgard")</f>
        <v>@sbolgard</v>
      </c>
      <c r="C3352" s="9" t="s">
        <v>5593</v>
      </c>
      <c r="D3352" s="9" t="s">
        <v>5594</v>
      </c>
      <c r="E3352" s="10" t="str">
        <f>HYPERLINK("https://twitter.com/sbolgard/status/724330233323642881","724330233323642881")</f>
        <v>724330233323642881</v>
      </c>
      <c r="F3352" s="11" t="s">
        <v>31</v>
      </c>
      <c r="G3352" s="11">
        <v>178</v>
      </c>
      <c r="H3352" s="11">
        <v>53</v>
      </c>
      <c r="I3352" s="11">
        <v>1</v>
      </c>
      <c r="J3352" s="11">
        <v>0</v>
      </c>
      <c r="K3352" s="11" t="s">
        <v>21</v>
      </c>
      <c r="L3352" s="7">
        <v>41631.38490740741</v>
      </c>
      <c r="M3352" s="12"/>
      <c r="N3352" s="12"/>
      <c r="O3352" s="10" t="str">
        <f>HYPERLINK("https://pbs.twimg.com/profile_images/431136671829336065/ijooYAzU_normal.jpeg","View")</f>
        <v>View</v>
      </c>
      <c r="P3352" s="11"/>
    </row>
    <row r="3353" spans="1:16" ht="12.75" x14ac:dyDescent="0.35">
      <c r="A3353" s="7">
        <v>42485.077800925923</v>
      </c>
      <c r="B3353" s="8" t="str">
        <f>HYPERLINK("https://twitter.com/INDIZbot","@INDIZbot")</f>
        <v>@INDIZbot</v>
      </c>
      <c r="C3353" s="9" t="s">
        <v>61</v>
      </c>
      <c r="D3353" s="9" t="s">
        <v>5595</v>
      </c>
      <c r="E3353" s="10" t="str">
        <f>HYPERLINK("https://twitter.com/INDIZbot/status/724332592858804229","724332592858804229")</f>
        <v>724332592858804229</v>
      </c>
      <c r="F3353" s="11" t="s">
        <v>62</v>
      </c>
      <c r="G3353" s="11">
        <v>1793</v>
      </c>
      <c r="H3353" s="11">
        <v>482</v>
      </c>
      <c r="I3353" s="11">
        <v>1</v>
      </c>
      <c r="J3353" s="11">
        <v>0</v>
      </c>
      <c r="K3353" s="11" t="s">
        <v>21</v>
      </c>
      <c r="L3353" s="7">
        <v>42267.011921296296</v>
      </c>
      <c r="M3353" s="12"/>
      <c r="N3353" s="12" t="s">
        <v>63</v>
      </c>
      <c r="O3353" s="10" t="str">
        <f>HYPERLINK("https://pbs.twimg.com/profile_images/645716711723925506/t5G0qOS6_normal.jpg","View")</f>
        <v>View</v>
      </c>
      <c r="P3353" s="11"/>
    </row>
    <row r="3354" spans="1:16" ht="12.75" x14ac:dyDescent="0.35">
      <c r="A3354" s="7">
        <v>42485.082303240742</v>
      </c>
      <c r="B3354" s="8" t="str">
        <f>HYPERLINK("https://twitter.com/StaplerPaul","@StaplerPaul")</f>
        <v>@StaplerPaul</v>
      </c>
      <c r="C3354" s="9" t="s">
        <v>3145</v>
      </c>
      <c r="D3354" s="9" t="s">
        <v>5596</v>
      </c>
      <c r="E3354" s="10" t="str">
        <f>HYPERLINK("https://twitter.com/StaplerPaul/status/724334225806249984","724334225806249984")</f>
        <v>724334225806249984</v>
      </c>
      <c r="F3354" s="11" t="s">
        <v>31</v>
      </c>
      <c r="G3354" s="11">
        <v>2033</v>
      </c>
      <c r="H3354" s="11">
        <v>1940</v>
      </c>
      <c r="I3354" s="11">
        <v>1</v>
      </c>
      <c r="J3354" s="11">
        <v>0</v>
      </c>
      <c r="K3354" s="11" t="s">
        <v>21</v>
      </c>
      <c r="L3354" s="7">
        <v>41981.750416666662</v>
      </c>
      <c r="M3354" s="12" t="s">
        <v>3146</v>
      </c>
      <c r="N3354" s="12" t="s">
        <v>3147</v>
      </c>
      <c r="O3354" s="10" t="str">
        <f>HYPERLINK("https://pbs.twimg.com/profile_images/716882543551885312/GxRIW86z_normal.jpg","View")</f>
        <v>View</v>
      </c>
      <c r="P3354" s="11"/>
    </row>
    <row r="3355" spans="1:16" ht="12.75" x14ac:dyDescent="0.35">
      <c r="A3355" s="7">
        <v>42485.084143518514</v>
      </c>
      <c r="B3355" s="8" t="str">
        <f>HYPERLINK("https://twitter.com/INDIZbot","@INDIZbot")</f>
        <v>@INDIZbot</v>
      </c>
      <c r="C3355" s="9" t="s">
        <v>61</v>
      </c>
      <c r="D3355" s="9" t="s">
        <v>5596</v>
      </c>
      <c r="E3355" s="10" t="str">
        <f>HYPERLINK("https://twitter.com/INDIZbot/status/724334891408732160","724334891408732160")</f>
        <v>724334891408732160</v>
      </c>
      <c r="F3355" s="11" t="s">
        <v>62</v>
      </c>
      <c r="G3355" s="11">
        <v>1794</v>
      </c>
      <c r="H3355" s="11">
        <v>482</v>
      </c>
      <c r="I3355" s="11">
        <v>3</v>
      </c>
      <c r="J3355" s="11">
        <v>0</v>
      </c>
      <c r="K3355" s="11" t="s">
        <v>21</v>
      </c>
      <c r="L3355" s="7">
        <v>42267.011921296296</v>
      </c>
      <c r="M3355" s="12"/>
      <c r="N3355" s="12" t="s">
        <v>63</v>
      </c>
      <c r="O3355" s="10" t="str">
        <f>HYPERLINK("https://pbs.twimg.com/profile_images/645716711723925506/t5G0qOS6_normal.jpg","View")</f>
        <v>View</v>
      </c>
      <c r="P3355" s="11"/>
    </row>
    <row r="3356" spans="1:16" ht="12.75" x14ac:dyDescent="0.35">
      <c r="A3356" s="7">
        <v>42485.084837962961</v>
      </c>
      <c r="B3356" s="8" t="str">
        <f>HYPERLINK("https://twitter.com/MartinGaedt","@MartinGaedt")</f>
        <v>@MartinGaedt</v>
      </c>
      <c r="C3356" s="9" t="s">
        <v>1296</v>
      </c>
      <c r="D3356" s="9" t="s">
        <v>5596</v>
      </c>
      <c r="E3356" s="10" t="str">
        <f>HYPERLINK("https://twitter.com/MartinGaedt/status/724335145109561344","724335145109561344")</f>
        <v>724335145109561344</v>
      </c>
      <c r="F3356" s="11" t="s">
        <v>25</v>
      </c>
      <c r="G3356" s="11">
        <v>5378</v>
      </c>
      <c r="H3356" s="11">
        <v>5916</v>
      </c>
      <c r="I3356" s="11">
        <v>3</v>
      </c>
      <c r="J3356" s="11">
        <v>0</v>
      </c>
      <c r="K3356" s="11" t="s">
        <v>21</v>
      </c>
      <c r="L3356" s="7">
        <v>39938.908993055556</v>
      </c>
      <c r="M3356" s="12" t="s">
        <v>1297</v>
      </c>
      <c r="N3356" s="12" t="s">
        <v>1298</v>
      </c>
      <c r="O3356" s="10" t="str">
        <f>HYPERLINK("https://pbs.twimg.com/profile_images/709444980553740288/Xds-Aan6_normal.jpg","View")</f>
        <v>View</v>
      </c>
      <c r="P3356" s="11"/>
    </row>
    <row r="3357" spans="1:16" ht="12.75" x14ac:dyDescent="0.35">
      <c r="A3357" s="7">
        <v>42485.089594907404</v>
      </c>
      <c r="B3357" s="8" t="str">
        <f>HYPERLINK("https://twitter.com/DirkSchaar","@DirkSchaar")</f>
        <v>@DirkSchaar</v>
      </c>
      <c r="C3357" s="9" t="s">
        <v>5597</v>
      </c>
      <c r="D3357" s="9" t="s">
        <v>5060</v>
      </c>
      <c r="E3357" s="10" t="str">
        <f>HYPERLINK("https://twitter.com/DirkSchaar/status/724336866070302720","724336866070302720")</f>
        <v>724336866070302720</v>
      </c>
      <c r="F3357" s="11" t="s">
        <v>29</v>
      </c>
      <c r="G3357" s="11">
        <v>3487</v>
      </c>
      <c r="H3357" s="11">
        <v>5001</v>
      </c>
      <c r="I3357" s="11">
        <v>13</v>
      </c>
      <c r="J3357" s="11">
        <v>0</v>
      </c>
      <c r="K3357" s="11" t="s">
        <v>21</v>
      </c>
      <c r="L3357" s="7">
        <v>40113.093275462961</v>
      </c>
      <c r="M3357" s="12" t="s">
        <v>2100</v>
      </c>
      <c r="N3357" s="12" t="s">
        <v>5598</v>
      </c>
      <c r="O3357" s="10" t="str">
        <f>HYPERLINK("https://pbs.twimg.com/profile_images/448852244511748097/IIM58dga_normal.jpeg","View")</f>
        <v>View</v>
      </c>
      <c r="P3357" s="11"/>
    </row>
    <row r="3358" spans="1:16" ht="12.75" x14ac:dyDescent="0.35">
      <c r="A3358" s="7">
        <v>42485.090763888889</v>
      </c>
      <c r="B3358" s="8" t="str">
        <f>HYPERLINK("https://twitter.com/DigiRobotics","@DigiRobotics")</f>
        <v>@DigiRobotics</v>
      </c>
      <c r="C3358" s="9" t="s">
        <v>5599</v>
      </c>
      <c r="D3358" s="9" t="s">
        <v>5060</v>
      </c>
      <c r="E3358" s="10" t="str">
        <f>HYPERLINK("https://twitter.com/DigiRobotics/status/724337293469855744","724337293469855744")</f>
        <v>724337293469855744</v>
      </c>
      <c r="F3358" s="11" t="s">
        <v>20</v>
      </c>
      <c r="G3358" s="11">
        <v>244</v>
      </c>
      <c r="H3358" s="11">
        <v>95</v>
      </c>
      <c r="I3358" s="11">
        <v>13</v>
      </c>
      <c r="J3358" s="11">
        <v>0</v>
      </c>
      <c r="K3358" s="11" t="s">
        <v>21</v>
      </c>
      <c r="L3358" s="7">
        <v>41752.838969907403</v>
      </c>
      <c r="M3358" s="12" t="s">
        <v>5600</v>
      </c>
      <c r="N3358" s="12" t="s">
        <v>5601</v>
      </c>
      <c r="O3358" s="10" t="str">
        <f>HYPERLINK("https://pbs.twimg.com/profile_images/627495276333273088/HU6O-APP_normal.jpg","View")</f>
        <v>View</v>
      </c>
      <c r="P3358" s="11"/>
    </row>
    <row r="3359" spans="1:16" ht="12.75" x14ac:dyDescent="0.35">
      <c r="A3359" s="7">
        <v>42485.102662037039</v>
      </c>
      <c r="B3359" s="8" t="str">
        <f>HYPERLINK("https://twitter.com/kat2812","@kat2812")</f>
        <v>@kat2812</v>
      </c>
      <c r="C3359" s="9" t="s">
        <v>4175</v>
      </c>
      <c r="D3359" s="9" t="s">
        <v>5358</v>
      </c>
      <c r="E3359" s="10" t="str">
        <f>HYPERLINK("https://twitter.com/kat2812/status/724341605130444801","724341605130444801")</f>
        <v>724341605130444801</v>
      </c>
      <c r="F3359" s="11" t="s">
        <v>20</v>
      </c>
      <c r="G3359" s="11">
        <v>25</v>
      </c>
      <c r="H3359" s="11">
        <v>175</v>
      </c>
      <c r="I3359" s="11">
        <v>8</v>
      </c>
      <c r="J3359" s="11">
        <v>0</v>
      </c>
      <c r="K3359" s="11" t="s">
        <v>21</v>
      </c>
      <c r="L3359" s="7">
        <v>39883.80405092593</v>
      </c>
      <c r="M3359" s="12"/>
      <c r="N3359" s="12" t="s">
        <v>4177</v>
      </c>
      <c r="O3359" s="10" t="str">
        <f>HYPERLINK("https://pbs.twimg.com/profile_images/2994151206/72e14517d19cb49aa35fe3019df8b048_normal.jpeg","View")</f>
        <v>View</v>
      </c>
      <c r="P3359" s="11"/>
    </row>
    <row r="3360" spans="1:16" ht="12.75" x14ac:dyDescent="0.35">
      <c r="A3360" s="7">
        <v>42485.103020833332</v>
      </c>
      <c r="B3360" s="8" t="str">
        <f>HYPERLINK("https://twitter.com/steffi_rtz","@steffi_rtz")</f>
        <v>@steffi_rtz</v>
      </c>
      <c r="C3360" s="9" t="s">
        <v>5602</v>
      </c>
      <c r="D3360" s="9" t="s">
        <v>5520</v>
      </c>
      <c r="E3360" s="10" t="str">
        <f>HYPERLINK("https://twitter.com/steffi_rtz/status/724341734931574784","724341734931574784")</f>
        <v>724341734931574784</v>
      </c>
      <c r="F3360" s="11" t="s">
        <v>31</v>
      </c>
      <c r="G3360" s="11">
        <v>7</v>
      </c>
      <c r="H3360" s="11">
        <v>35</v>
      </c>
      <c r="I3360" s="11">
        <v>13</v>
      </c>
      <c r="J3360" s="11">
        <v>0</v>
      </c>
      <c r="K3360" s="11" t="s">
        <v>21</v>
      </c>
      <c r="L3360" s="7">
        <v>42460.774722222224</v>
      </c>
      <c r="M3360" s="12"/>
      <c r="N3360" s="12" t="s">
        <v>5603</v>
      </c>
      <c r="O3360" s="10" t="str">
        <f>HYPERLINK("https://pbs.twimg.com/profile_images/718172859412127744/t782xBpk_normal.jpg","View")</f>
        <v>View</v>
      </c>
      <c r="P3360" s="11"/>
    </row>
    <row r="3361" spans="1:16" ht="12.75" x14ac:dyDescent="0.35">
      <c r="A3361" s="7">
        <v>42485.104166666672</v>
      </c>
      <c r="B3361" s="8" t="str">
        <f>HYPERLINK("https://twitter.com/msftmfg","@msftmfg")</f>
        <v>@msftmfg</v>
      </c>
      <c r="C3361" s="9" t="s">
        <v>4788</v>
      </c>
      <c r="D3361" s="9" t="s">
        <v>5604</v>
      </c>
      <c r="E3361" s="10" t="str">
        <f>HYPERLINK("https://twitter.com/msftmfg/status/724342148745859076","724342148745859076")</f>
        <v>724342148745859076</v>
      </c>
      <c r="F3361" s="11" t="s">
        <v>1111</v>
      </c>
      <c r="G3361" s="11">
        <v>3730</v>
      </c>
      <c r="H3361" s="11">
        <v>2730</v>
      </c>
      <c r="I3361" s="11">
        <v>0</v>
      </c>
      <c r="J3361" s="11">
        <v>0</v>
      </c>
      <c r="K3361" s="11" t="s">
        <v>21</v>
      </c>
      <c r="L3361" s="7">
        <v>41985.067094907412</v>
      </c>
      <c r="M3361" s="12" t="s">
        <v>4790</v>
      </c>
      <c r="N3361" s="12" t="s">
        <v>4791</v>
      </c>
      <c r="O3361" s="10" t="str">
        <f>HYPERLINK("https://pbs.twimg.com/profile_images/543161217645178880/JQuBT7KS_normal.png","View")</f>
        <v>View</v>
      </c>
      <c r="P3361" s="11"/>
    </row>
    <row r="3362" spans="1:16" ht="12.75" x14ac:dyDescent="0.35">
      <c r="A3362" s="7">
        <v>42485.109652777777</v>
      </c>
      <c r="B3362" s="8" t="str">
        <f>HYPERLINK("https://twitter.com/sallyafrank","@sallyafrank")</f>
        <v>@sallyafrank</v>
      </c>
      <c r="C3362" s="9" t="s">
        <v>4811</v>
      </c>
      <c r="D3362" s="9" t="s">
        <v>5605</v>
      </c>
      <c r="E3362" s="10" t="str">
        <f>HYPERLINK("https://twitter.com/sallyafrank/status/724344134803292161","724344134803292161")</f>
        <v>724344134803292161</v>
      </c>
      <c r="F3362" s="11" t="s">
        <v>222</v>
      </c>
      <c r="G3362" s="11">
        <v>316</v>
      </c>
      <c r="H3362" s="11">
        <v>170</v>
      </c>
      <c r="I3362" s="11">
        <v>0</v>
      </c>
      <c r="J3362" s="11">
        <v>0</v>
      </c>
      <c r="K3362" s="11" t="s">
        <v>21</v>
      </c>
      <c r="L3362" s="7">
        <v>40399.807766203703</v>
      </c>
      <c r="M3362" s="12" t="s">
        <v>4794</v>
      </c>
      <c r="N3362" s="12" t="s">
        <v>4813</v>
      </c>
      <c r="O3362" s="10" t="str">
        <f>HYPERLINK("https://pbs.twimg.com/profile_images/602304216468738049/_0sb-3oB_normal.jpg","View")</f>
        <v>View</v>
      </c>
      <c r="P3362" s="11"/>
    </row>
    <row r="3363" spans="1:16" ht="12.75" x14ac:dyDescent="0.35">
      <c r="A3363" s="7">
        <v>42485.112314814818</v>
      </c>
      <c r="B3363" s="8" t="str">
        <f>HYPERLINK("https://twitter.com/MarinerLLC","@MarinerLLC")</f>
        <v>@MarinerLLC</v>
      </c>
      <c r="C3363" s="9" t="s">
        <v>4792</v>
      </c>
      <c r="D3363" s="9" t="s">
        <v>5606</v>
      </c>
      <c r="E3363" s="10" t="str">
        <f>HYPERLINK("https://twitter.com/MarinerLLC/status/724345101863006208","724345101863006208")</f>
        <v>724345101863006208</v>
      </c>
      <c r="F3363" s="11" t="s">
        <v>222</v>
      </c>
      <c r="G3363" s="11">
        <v>287</v>
      </c>
      <c r="H3363" s="11">
        <v>268</v>
      </c>
      <c r="I3363" s="11">
        <v>0</v>
      </c>
      <c r="J3363" s="11">
        <v>0</v>
      </c>
      <c r="K3363" s="11" t="s">
        <v>21</v>
      </c>
      <c r="L3363" s="7">
        <v>40898.383460648147</v>
      </c>
      <c r="M3363" s="12" t="s">
        <v>4794</v>
      </c>
      <c r="N3363" s="12" t="s">
        <v>4795</v>
      </c>
      <c r="O3363" s="10" t="str">
        <f>HYPERLINK("https://pbs.twimg.com/profile_images/3502729434/95675e6f45ad2e1bbc6c5736995ec15c_normal.png","View")</f>
        <v>View</v>
      </c>
      <c r="P3363" s="11"/>
    </row>
    <row r="3364" spans="1:16" ht="12.75" x14ac:dyDescent="0.35">
      <c r="A3364" s="7">
        <v>42485.113437499997</v>
      </c>
      <c r="B3364" s="8" t="str">
        <f>HYPERLINK("https://twitter.com/max_streibl","@max_streibl")</f>
        <v>@max_streibl</v>
      </c>
      <c r="C3364" s="9" t="s">
        <v>5607</v>
      </c>
      <c r="D3364" s="9" t="s">
        <v>5595</v>
      </c>
      <c r="E3364" s="10" t="str">
        <f>HYPERLINK("https://twitter.com/max_streibl/status/724345509650026497","724345509650026497")</f>
        <v>724345509650026497</v>
      </c>
      <c r="F3364" s="11" t="s">
        <v>31</v>
      </c>
      <c r="G3364" s="11">
        <v>197</v>
      </c>
      <c r="H3364" s="11">
        <v>207</v>
      </c>
      <c r="I3364" s="11">
        <v>2</v>
      </c>
      <c r="J3364" s="11">
        <v>0</v>
      </c>
      <c r="K3364" s="11" t="s">
        <v>21</v>
      </c>
      <c r="L3364" s="7">
        <v>41787.739895833336</v>
      </c>
      <c r="M3364" s="12" t="s">
        <v>5608</v>
      </c>
      <c r="N3364" s="12" t="s">
        <v>5609</v>
      </c>
      <c r="O3364" s="10" t="str">
        <f>HYPERLINK("https://pbs.twimg.com/profile_images/605661829587697664/HyEK4lD5_normal.jpg","View")</f>
        <v>View</v>
      </c>
      <c r="P3364" s="11"/>
    </row>
    <row r="3365" spans="1:16" ht="12.75" x14ac:dyDescent="0.35">
      <c r="A3365" s="7">
        <v>42485.115173611106</v>
      </c>
      <c r="B3365" s="8" t="str">
        <f>HYPERLINK("https://twitter.com/colbytylerford","@colbytylerford")</f>
        <v>@colbytylerford</v>
      </c>
      <c r="C3365" s="9" t="s">
        <v>4800</v>
      </c>
      <c r="D3365" s="9" t="s">
        <v>5610</v>
      </c>
      <c r="E3365" s="10" t="str">
        <f>HYPERLINK("https://twitter.com/colbytylerford/status/724346136425836544","724346136425836544")</f>
        <v>724346136425836544</v>
      </c>
      <c r="F3365" s="11" t="s">
        <v>222</v>
      </c>
      <c r="G3365" s="11">
        <v>317</v>
      </c>
      <c r="H3365" s="11">
        <v>399</v>
      </c>
      <c r="I3365" s="11">
        <v>0</v>
      </c>
      <c r="J3365" s="11">
        <v>0</v>
      </c>
      <c r="K3365" s="11" t="s">
        <v>21</v>
      </c>
      <c r="L3365" s="7">
        <v>39863.294120370367</v>
      </c>
      <c r="M3365" s="12" t="s">
        <v>4794</v>
      </c>
      <c r="N3365" s="12" t="s">
        <v>4802</v>
      </c>
      <c r="O3365" s="10" t="str">
        <f>HYPERLINK("https://pbs.twimg.com/profile_images/588196149665865728/jmm9bQ6G_normal.jpg","View")</f>
        <v>View</v>
      </c>
      <c r="P3365" s="11"/>
    </row>
    <row r="3366" spans="1:16" ht="12.75" x14ac:dyDescent="0.35">
      <c r="A3366" s="7">
        <v>42485.117395833338</v>
      </c>
      <c r="B3366" s="8" t="str">
        <f>HYPERLINK("https://twitter.com/RealJoeGuy","@RealJoeGuy")</f>
        <v>@RealJoeGuy</v>
      </c>
      <c r="C3366" s="9" t="s">
        <v>4806</v>
      </c>
      <c r="D3366" s="9" t="s">
        <v>5611</v>
      </c>
      <c r="E3366" s="10" t="str">
        <f>HYPERLINK("https://twitter.com/RealJoeGuy/status/724346941795123200","724346941795123200")</f>
        <v>724346941795123200</v>
      </c>
      <c r="F3366" s="11" t="s">
        <v>222</v>
      </c>
      <c r="G3366" s="11">
        <v>151</v>
      </c>
      <c r="H3366" s="11">
        <v>141</v>
      </c>
      <c r="I3366" s="11">
        <v>0</v>
      </c>
      <c r="J3366" s="11">
        <v>0</v>
      </c>
      <c r="K3366" s="11" t="s">
        <v>21</v>
      </c>
      <c r="L3366" s="7">
        <v>40887.393495370372</v>
      </c>
      <c r="M3366" s="12" t="s">
        <v>4808</v>
      </c>
      <c r="N3366" s="12" t="s">
        <v>4809</v>
      </c>
      <c r="O3366" s="10" t="str">
        <f>HYPERLINK("https://pbs.twimg.com/profile_images/1684373225/Joe_Guy_normal.jpg","View")</f>
        <v>View</v>
      </c>
      <c r="P3366" s="11"/>
    </row>
    <row r="3367" spans="1:16" ht="12.75" x14ac:dyDescent="0.35">
      <c r="A3367" s="7">
        <v>42485.120833333334</v>
      </c>
      <c r="B3367" s="8" t="str">
        <f>HYPERLINK("https://twitter.com/H_IT_D","@H_IT_D")</f>
        <v>@H_IT_D</v>
      </c>
      <c r="C3367" s="9" t="s">
        <v>159</v>
      </c>
      <c r="D3367" s="9" t="s">
        <v>5612</v>
      </c>
      <c r="E3367" s="10" t="str">
        <f>HYPERLINK("https://twitter.com/H_IT_D/status/724348187029295104","724348187029295104")</f>
        <v>724348187029295104</v>
      </c>
      <c r="F3367" s="11" t="s">
        <v>161</v>
      </c>
      <c r="G3367" s="11">
        <v>473</v>
      </c>
      <c r="H3367" s="11">
        <v>466</v>
      </c>
      <c r="I3367" s="11">
        <v>0</v>
      </c>
      <c r="J3367" s="11">
        <v>0</v>
      </c>
      <c r="K3367" s="11" t="s">
        <v>21</v>
      </c>
      <c r="L3367" s="7">
        <v>40723.867673611108</v>
      </c>
      <c r="M3367" s="12" t="s">
        <v>162</v>
      </c>
      <c r="N3367" s="12" t="s">
        <v>163</v>
      </c>
      <c r="O3367" s="10" t="str">
        <f>HYPERLINK("https://pbs.twimg.com/profile_images/662723326096224256/5V4KH9_O_normal.jpg","View")</f>
        <v>View</v>
      </c>
      <c r="P3367" s="11"/>
    </row>
    <row r="3368" spans="1:16" ht="12.75" x14ac:dyDescent="0.35">
      <c r="A3368" s="7">
        <v>42485.121805555551</v>
      </c>
      <c r="B3368" s="8" t="str">
        <f>HYPERLINK("https://twitter.com/Philip_W_Morris","@Philip_W_Morris")</f>
        <v>@Philip_W_Morris</v>
      </c>
      <c r="C3368" s="9" t="s">
        <v>4796</v>
      </c>
      <c r="D3368" s="9" t="s">
        <v>5613</v>
      </c>
      <c r="E3368" s="10" t="str">
        <f>HYPERLINK("https://twitter.com/Philip_W_Morris/status/724348538596016132","724348538596016132")</f>
        <v>724348538596016132</v>
      </c>
      <c r="F3368" s="11" t="s">
        <v>222</v>
      </c>
      <c r="G3368" s="11">
        <v>303</v>
      </c>
      <c r="H3368" s="11">
        <v>310</v>
      </c>
      <c r="I3368" s="11">
        <v>0</v>
      </c>
      <c r="J3368" s="11">
        <v>0</v>
      </c>
      <c r="K3368" s="11" t="s">
        <v>21</v>
      </c>
      <c r="L3368" s="7">
        <v>40372.030752314815</v>
      </c>
      <c r="M3368" s="12" t="s">
        <v>4798</v>
      </c>
      <c r="N3368" s="12" t="s">
        <v>4799</v>
      </c>
      <c r="O3368" s="10" t="str">
        <f>HYPERLINK("https://pbs.twimg.com/profile_images/688093545148723201/hCPglEEy_normal.jpg","View")</f>
        <v>View</v>
      </c>
      <c r="P3368" s="11"/>
    </row>
    <row r="3369" spans="1:16" ht="12.75" x14ac:dyDescent="0.35">
      <c r="A3369" s="7">
        <v>42485.125821759255</v>
      </c>
      <c r="B3369" s="8" t="str">
        <f>HYPERLINK("https://twitter.com/INDIZbot","@INDIZbot")</f>
        <v>@INDIZbot</v>
      </c>
      <c r="C3369" s="9" t="s">
        <v>61</v>
      </c>
      <c r="D3369" s="9" t="s">
        <v>5614</v>
      </c>
      <c r="E3369" s="10" t="str">
        <f>HYPERLINK("https://twitter.com/INDIZbot/status/724349994015285248","724349994015285248")</f>
        <v>724349994015285248</v>
      </c>
      <c r="F3369" s="11" t="s">
        <v>62</v>
      </c>
      <c r="G3369" s="11">
        <v>1795</v>
      </c>
      <c r="H3369" s="11">
        <v>482</v>
      </c>
      <c r="I3369" s="11">
        <v>2</v>
      </c>
      <c r="J3369" s="11">
        <v>0</v>
      </c>
      <c r="K3369" s="11" t="s">
        <v>21</v>
      </c>
      <c r="L3369" s="7">
        <v>42267.011921296296</v>
      </c>
      <c r="M3369" s="12"/>
      <c r="N3369" s="12" t="s">
        <v>63</v>
      </c>
      <c r="O3369" s="10" t="str">
        <f>HYPERLINK("https://pbs.twimg.com/profile_images/645716711723925506/t5G0qOS6_normal.jpg","View")</f>
        <v>View</v>
      </c>
      <c r="P3369" s="11"/>
    </row>
    <row r="3370" spans="1:16" ht="12.75" x14ac:dyDescent="0.35">
      <c r="A3370" s="7">
        <v>42485.125891203701</v>
      </c>
      <c r="B3370" s="8" t="str">
        <f>HYPERLINK("https://twitter.com/BKV24","@BKV24")</f>
        <v>@BKV24</v>
      </c>
      <c r="C3370" s="9" t="s">
        <v>5615</v>
      </c>
      <c r="D3370" s="9" t="s">
        <v>5616</v>
      </c>
      <c r="E3370" s="10" t="str">
        <f>HYPERLINK("https://twitter.com/BKV24/status/724350022599491590","724350022599491590")</f>
        <v>724350022599491590</v>
      </c>
      <c r="F3370" s="11" t="s">
        <v>25</v>
      </c>
      <c r="G3370" s="11">
        <v>158</v>
      </c>
      <c r="H3370" s="11">
        <v>382</v>
      </c>
      <c r="I3370" s="11">
        <v>0</v>
      </c>
      <c r="J3370" s="11">
        <v>0</v>
      </c>
      <c r="K3370" s="11" t="s">
        <v>21</v>
      </c>
      <c r="L3370" s="7">
        <v>41434.973009259258</v>
      </c>
      <c r="M3370" s="12" t="s">
        <v>689</v>
      </c>
      <c r="N3370" s="12" t="s">
        <v>5617</v>
      </c>
      <c r="O3370" s="10" t="str">
        <f>HYPERLINK("https://pbs.twimg.com/profile_images/700870440315723776/1Wtoil9s_normal.png","View")</f>
        <v>View</v>
      </c>
      <c r="P3370" s="11"/>
    </row>
    <row r="3371" spans="1:16" ht="12.75" x14ac:dyDescent="0.35">
      <c r="A3371" s="7">
        <v>42485.127037037033</v>
      </c>
      <c r="B3371" s="8" t="str">
        <f>HYPERLINK("https://twitter.com/Frank_Reinelt","@Frank_Reinelt")</f>
        <v>@Frank_Reinelt</v>
      </c>
      <c r="C3371" s="9" t="s">
        <v>963</v>
      </c>
      <c r="D3371" s="9" t="s">
        <v>5614</v>
      </c>
      <c r="E3371" s="10" t="str">
        <f>HYPERLINK("https://twitter.com/Frank_Reinelt/status/724350437177040899","724350437177040899")</f>
        <v>724350437177040899</v>
      </c>
      <c r="F3371" s="11" t="s">
        <v>29</v>
      </c>
      <c r="G3371" s="11">
        <v>85</v>
      </c>
      <c r="H3371" s="11">
        <v>61</v>
      </c>
      <c r="I3371" s="11">
        <v>2</v>
      </c>
      <c r="J3371" s="11">
        <v>0</v>
      </c>
      <c r="K3371" s="11" t="s">
        <v>21</v>
      </c>
      <c r="L3371" s="7">
        <v>42272.607060185182</v>
      </c>
      <c r="M3371" s="12" t="s">
        <v>559</v>
      </c>
      <c r="N3371" s="12" t="s">
        <v>965</v>
      </c>
      <c r="O3371" s="10" t="str">
        <f>HYPERLINK("https://pbs.twimg.com/profile_images/669853588152283137/mqKB9aP__normal.jpg","View")</f>
        <v>View</v>
      </c>
      <c r="P3371" s="11"/>
    </row>
    <row r="3372" spans="1:16" ht="12.75" x14ac:dyDescent="0.35">
      <c r="A3372" s="7">
        <v>42485.127129629633</v>
      </c>
      <c r="B3372" s="8" t="str">
        <f>HYPERLINK("https://twitter.com/xtstuttgart","@xtstuttgart")</f>
        <v>@xtstuttgart</v>
      </c>
      <c r="C3372" s="9" t="s">
        <v>5618</v>
      </c>
      <c r="D3372" s="9" t="s">
        <v>5619</v>
      </c>
      <c r="E3372" s="10" t="str">
        <f>HYPERLINK("https://twitter.com/xtstuttgart/status/724350468688728064","724350468688728064")</f>
        <v>724350468688728064</v>
      </c>
      <c r="F3372" s="11" t="s">
        <v>25</v>
      </c>
      <c r="G3372" s="11">
        <v>47</v>
      </c>
      <c r="H3372" s="11">
        <v>101</v>
      </c>
      <c r="I3372" s="11">
        <v>0</v>
      </c>
      <c r="J3372" s="11">
        <v>0</v>
      </c>
      <c r="K3372" s="11" t="s">
        <v>21</v>
      </c>
      <c r="L3372" s="7">
        <v>40829.819039351853</v>
      </c>
      <c r="M3372" s="12" t="s">
        <v>5620</v>
      </c>
      <c r="N3372" s="12" t="s">
        <v>5621</v>
      </c>
      <c r="O3372" s="10" t="str">
        <f>HYPERLINK("https://pbs.twimg.com/profile_images/712051810698190848/Q9cvvAkM_normal.jpg","View")</f>
        <v>View</v>
      </c>
      <c r="P3372" s="11"/>
    </row>
    <row r="3373" spans="1:16" ht="12.75" x14ac:dyDescent="0.35">
      <c r="A3373" s="7">
        <v>42485.132060185184</v>
      </c>
      <c r="B3373" s="8" t="str">
        <f>HYPERLINK("https://twitter.com/induux_de","@induux_de")</f>
        <v>@induux_de</v>
      </c>
      <c r="C3373" s="9" t="s">
        <v>349</v>
      </c>
      <c r="D3373" s="9" t="s">
        <v>5622</v>
      </c>
      <c r="E3373" s="10" t="str">
        <f>HYPERLINK("https://twitter.com/induux_de/status/724352257299456000","724352257299456000")</f>
        <v>724352257299456000</v>
      </c>
      <c r="F3373" s="11" t="s">
        <v>31</v>
      </c>
      <c r="G3373" s="11">
        <v>1760</v>
      </c>
      <c r="H3373" s="11">
        <v>2362</v>
      </c>
      <c r="I3373" s="11">
        <v>1</v>
      </c>
      <c r="J3373" s="11">
        <v>1</v>
      </c>
      <c r="K3373" s="11" t="s">
        <v>21</v>
      </c>
      <c r="L3373" s="7">
        <v>40222.837696759263</v>
      </c>
      <c r="M3373" s="12" t="s">
        <v>351</v>
      </c>
      <c r="N3373" s="12" t="s">
        <v>5623</v>
      </c>
      <c r="O3373" s="10" t="str">
        <f>HYPERLINK("https://pbs.twimg.com/profile_images/455629070454116352/ujZ3h7Ww_normal.png","View")</f>
        <v>View</v>
      </c>
      <c r="P3373" s="11"/>
    </row>
    <row r="3374" spans="1:16" ht="12.75" x14ac:dyDescent="0.35">
      <c r="A3374" s="7">
        <v>42485.133333333331</v>
      </c>
      <c r="B3374" s="8" t="str">
        <f>HYPERLINK("https://twitter.com/INDIZbot","@INDIZbot")</f>
        <v>@INDIZbot</v>
      </c>
      <c r="C3374" s="9" t="s">
        <v>61</v>
      </c>
      <c r="D3374" s="9" t="s">
        <v>5624</v>
      </c>
      <c r="E3374" s="10" t="str">
        <f>HYPERLINK("https://twitter.com/INDIZbot/status/724352719335657472","724352719335657472")</f>
        <v>724352719335657472</v>
      </c>
      <c r="F3374" s="11" t="s">
        <v>62</v>
      </c>
      <c r="G3374" s="11">
        <v>1795</v>
      </c>
      <c r="H3374" s="11">
        <v>482</v>
      </c>
      <c r="I3374" s="11">
        <v>1</v>
      </c>
      <c r="J3374" s="11">
        <v>0</v>
      </c>
      <c r="K3374" s="11" t="s">
        <v>21</v>
      </c>
      <c r="L3374" s="7">
        <v>42267.011921296296</v>
      </c>
      <c r="M3374" s="12"/>
      <c r="N3374" s="12" t="s">
        <v>63</v>
      </c>
      <c r="O3374" s="10" t="str">
        <f>HYPERLINK("https://pbs.twimg.com/profile_images/645716711723925506/t5G0qOS6_normal.jpg","View")</f>
        <v>View</v>
      </c>
      <c r="P3374" s="11"/>
    </row>
    <row r="3375" spans="1:16" ht="12.75" x14ac:dyDescent="0.35">
      <c r="A3375" s="7">
        <v>42485.133750000001</v>
      </c>
      <c r="B3375" s="8" t="str">
        <f>HYPERLINK("https://twitter.com/Frank_Reinelt","@Frank_Reinelt")</f>
        <v>@Frank_Reinelt</v>
      </c>
      <c r="C3375" s="9" t="s">
        <v>963</v>
      </c>
      <c r="D3375" s="9" t="s">
        <v>5625</v>
      </c>
      <c r="E3375" s="10" t="str">
        <f>HYPERLINK("https://twitter.com/Frank_Reinelt/status/724352870125047808","724352870125047808")</f>
        <v>724352870125047808</v>
      </c>
      <c r="F3375" s="11" t="s">
        <v>29</v>
      </c>
      <c r="G3375" s="11">
        <v>85</v>
      </c>
      <c r="H3375" s="11">
        <v>61</v>
      </c>
      <c r="I3375" s="11">
        <v>0</v>
      </c>
      <c r="J3375" s="11">
        <v>0</v>
      </c>
      <c r="K3375" s="11" t="s">
        <v>21</v>
      </c>
      <c r="L3375" s="7">
        <v>42272.607060185182</v>
      </c>
      <c r="M3375" s="12" t="s">
        <v>559</v>
      </c>
      <c r="N3375" s="12" t="s">
        <v>965</v>
      </c>
      <c r="O3375" s="10" t="str">
        <f>HYPERLINK("https://pbs.twimg.com/profile_images/669853588152283137/mqKB9aP__normal.jpg","View")</f>
        <v>View</v>
      </c>
      <c r="P3375" s="11"/>
    </row>
    <row r="3376" spans="1:16" ht="12.75" x14ac:dyDescent="0.35">
      <c r="A3376" s="7">
        <v>42485.136319444442</v>
      </c>
      <c r="B3376" s="8" t="str">
        <f>HYPERLINK("https://twitter.com/induux_de","@induux_de")</f>
        <v>@induux_de</v>
      </c>
      <c r="C3376" s="9" t="s">
        <v>349</v>
      </c>
      <c r="D3376" s="9" t="s">
        <v>5626</v>
      </c>
      <c r="E3376" s="10" t="str">
        <f>HYPERLINK("https://twitter.com/induux_de/status/724353802359459840","724353802359459840")</f>
        <v>724353802359459840</v>
      </c>
      <c r="F3376" s="11" t="s">
        <v>29</v>
      </c>
      <c r="G3376" s="11">
        <v>1761</v>
      </c>
      <c r="H3376" s="11">
        <v>2363</v>
      </c>
      <c r="I3376" s="11">
        <v>1</v>
      </c>
      <c r="J3376" s="11">
        <v>0</v>
      </c>
      <c r="K3376" s="11" t="s">
        <v>21</v>
      </c>
      <c r="L3376" s="7">
        <v>40222.837696759263</v>
      </c>
      <c r="M3376" s="12" t="s">
        <v>351</v>
      </c>
      <c r="N3376" s="12" t="s">
        <v>5623</v>
      </c>
      <c r="O3376" s="10" t="str">
        <f>HYPERLINK("https://pbs.twimg.com/profile_images/455629070454116352/ujZ3h7Ww_normal.png","View")</f>
        <v>View</v>
      </c>
      <c r="P3376" s="11"/>
    </row>
    <row r="3377" spans="1:16" ht="12.75" x14ac:dyDescent="0.35">
      <c r="A3377" s="7">
        <v>42485.137523148151</v>
      </c>
      <c r="B3377" s="8" t="str">
        <f>HYPERLINK("https://twitter.com/QuickFindsIn","@QuickFindsIn")</f>
        <v>@QuickFindsIn</v>
      </c>
      <c r="C3377" s="9" t="s">
        <v>208</v>
      </c>
      <c r="D3377" s="9" t="s">
        <v>5627</v>
      </c>
      <c r="E3377" s="10" t="str">
        <f>HYPERLINK("https://twitter.com/QuickFindsIn/status/724354234695606273","724354234695606273")</f>
        <v>724354234695606273</v>
      </c>
      <c r="F3377" s="11" t="s">
        <v>210</v>
      </c>
      <c r="G3377" s="11">
        <v>2067</v>
      </c>
      <c r="H3377" s="11">
        <v>2939</v>
      </c>
      <c r="I3377" s="11">
        <v>0</v>
      </c>
      <c r="J3377" s="11">
        <v>0</v>
      </c>
      <c r="K3377" s="11" t="s">
        <v>21</v>
      </c>
      <c r="L3377" s="7">
        <v>42069.582048611112</v>
      </c>
      <c r="M3377" s="12" t="s">
        <v>211</v>
      </c>
      <c r="N3377" s="12" t="s">
        <v>212</v>
      </c>
      <c r="O3377" s="10" t="str">
        <f>HYPERLINK("https://pbs.twimg.com/profile_images/591951396217327616/HbcCX2zX_normal.png","View")</f>
        <v>View</v>
      </c>
      <c r="P3377" s="11"/>
    </row>
    <row r="3378" spans="1:16" ht="12.75" x14ac:dyDescent="0.35">
      <c r="A3378" s="7">
        <v>42485.13894675926</v>
      </c>
      <c r="B3378" s="8" t="str">
        <f>HYPERLINK("https://twitter.com/unbelievable_m","@unbelievable_m")</f>
        <v>@unbelievable_m</v>
      </c>
      <c r="C3378" s="9" t="s">
        <v>5628</v>
      </c>
      <c r="D3378" s="9" t="s">
        <v>5629</v>
      </c>
      <c r="E3378" s="10" t="str">
        <f>HYPERLINK("https://twitter.com/unbelievable_m/status/724354754416140288","724354754416140288")</f>
        <v>724354754416140288</v>
      </c>
      <c r="F3378" s="11" t="s">
        <v>25</v>
      </c>
      <c r="G3378" s="11">
        <v>391</v>
      </c>
      <c r="H3378" s="11">
        <v>292</v>
      </c>
      <c r="I3378" s="11">
        <v>2</v>
      </c>
      <c r="J3378" s="11">
        <v>0</v>
      </c>
      <c r="K3378" s="11" t="s">
        <v>21</v>
      </c>
      <c r="L3378" s="7">
        <v>40371.90320601852</v>
      </c>
      <c r="M3378" s="12" t="s">
        <v>218</v>
      </c>
      <c r="N3378" s="12" t="s">
        <v>5630</v>
      </c>
      <c r="O3378" s="10" t="str">
        <f>HYPERLINK("https://pbs.twimg.com/profile_images/1073416673/um_logo_facebook_normal.png","View")</f>
        <v>View</v>
      </c>
      <c r="P3378" s="11"/>
    </row>
    <row r="3379" spans="1:16" ht="12.75" x14ac:dyDescent="0.35">
      <c r="A3379" s="7">
        <v>42485.140752314815</v>
      </c>
      <c r="B3379" s="8" t="str">
        <f>HYPERLINK("https://twitter.com/nlp_stories","@nlp_stories")</f>
        <v>@nlp_stories</v>
      </c>
      <c r="C3379" s="9" t="s">
        <v>5631</v>
      </c>
      <c r="D3379" s="9" t="s">
        <v>5629</v>
      </c>
      <c r="E3379" s="10" t="str">
        <f>HYPERLINK("https://twitter.com/nlp_stories/status/724355407494430720","724355407494430720")</f>
        <v>724355407494430720</v>
      </c>
      <c r="F3379" s="11" t="s">
        <v>5632</v>
      </c>
      <c r="G3379" s="11">
        <v>534</v>
      </c>
      <c r="H3379" s="11">
        <v>1</v>
      </c>
      <c r="I3379" s="11">
        <v>2</v>
      </c>
      <c r="J3379" s="11">
        <v>0</v>
      </c>
      <c r="K3379" s="11" t="s">
        <v>21</v>
      </c>
      <c r="L3379" s="7">
        <v>42339.210451388892</v>
      </c>
      <c r="M3379" s="12" t="s">
        <v>5633</v>
      </c>
      <c r="N3379" s="12" t="s">
        <v>5634</v>
      </c>
      <c r="O3379" s="10" t="str">
        <f>HYPERLINK("https://pbs.twimg.com/profile_images/675784786321891329/PVScaDr-_normal.jpg","View")</f>
        <v>View</v>
      </c>
      <c r="P3379" s="11"/>
    </row>
    <row r="3380" spans="1:16" ht="12.75" x14ac:dyDescent="0.35">
      <c r="A3380" s="7">
        <v>42485.148275462961</v>
      </c>
      <c r="B3380" s="8" t="str">
        <f>HYPERLINK("https://twitter.com/BurakYenier","@BurakYenier")</f>
        <v>@BurakYenier</v>
      </c>
      <c r="C3380" s="9" t="s">
        <v>5635</v>
      </c>
      <c r="D3380" s="9" t="s">
        <v>5636</v>
      </c>
      <c r="E3380" s="10" t="str">
        <f>HYPERLINK("https://twitter.com/BurakYenier/status/724358131703119872","724358131703119872")</f>
        <v>724358131703119872</v>
      </c>
      <c r="F3380" s="11" t="s">
        <v>31</v>
      </c>
      <c r="G3380" s="11">
        <v>317</v>
      </c>
      <c r="H3380" s="11">
        <v>968</v>
      </c>
      <c r="I3380" s="11">
        <v>1</v>
      </c>
      <c r="J3380" s="11">
        <v>0</v>
      </c>
      <c r="K3380" s="11" t="s">
        <v>21</v>
      </c>
      <c r="L3380" s="7">
        <v>39870.543321759258</v>
      </c>
      <c r="M3380" s="12" t="s">
        <v>5637</v>
      </c>
      <c r="N3380" s="12" t="s">
        <v>5638</v>
      </c>
      <c r="O3380" s="10" t="str">
        <f>HYPERLINK("https://pbs.twimg.com/profile_images/1687295442/image_normal.jpg","View")</f>
        <v>View</v>
      </c>
      <c r="P3380" s="11"/>
    </row>
    <row r="3381" spans="1:16" ht="12.75" x14ac:dyDescent="0.35">
      <c r="A3381" s="7">
        <v>42485.154374999998</v>
      </c>
      <c r="B3381" s="8" t="str">
        <f>HYPERLINK("https://twitter.com/MelitaDelic","@MelitaDelic")</f>
        <v>@MelitaDelic</v>
      </c>
      <c r="C3381" s="9" t="s">
        <v>2728</v>
      </c>
      <c r="D3381" s="9" t="s">
        <v>5329</v>
      </c>
      <c r="E3381" s="10" t="str">
        <f>HYPERLINK("https://twitter.com/MelitaDelic/status/724360341870792704","724360341870792704")</f>
        <v>724360341870792704</v>
      </c>
      <c r="F3381" s="11" t="s">
        <v>31</v>
      </c>
      <c r="G3381" s="11">
        <v>198</v>
      </c>
      <c r="H3381" s="11">
        <v>204</v>
      </c>
      <c r="I3381" s="11">
        <v>11</v>
      </c>
      <c r="J3381" s="11">
        <v>0</v>
      </c>
      <c r="K3381" s="11" t="s">
        <v>21</v>
      </c>
      <c r="L3381" s="7">
        <v>40961.566469907411</v>
      </c>
      <c r="M3381" s="12" t="s">
        <v>157</v>
      </c>
      <c r="N3381" s="12" t="s">
        <v>2729</v>
      </c>
      <c r="O3381" s="10" t="str">
        <f>HYPERLINK("https://pbs.twimg.com/profile_images/578646264901955584/8ueJh3EI_normal.jpeg","View")</f>
        <v>View</v>
      </c>
      <c r="P3381" s="11"/>
    </row>
    <row r="3382" spans="1:16" ht="12.75" x14ac:dyDescent="0.35">
      <c r="A3382" s="7">
        <v>42485.154791666668</v>
      </c>
      <c r="B3382" s="8" t="str">
        <f>HYPERLINK("https://twitter.com/carlpalme","@carlpalme")</f>
        <v>@carlpalme</v>
      </c>
      <c r="C3382" s="9" t="s">
        <v>5639</v>
      </c>
      <c r="D3382" s="9" t="s">
        <v>5475</v>
      </c>
      <c r="E3382" s="10" t="str">
        <f>HYPERLINK("https://twitter.com/carlpalme/status/724360493889105920","724360493889105920")</f>
        <v>724360493889105920</v>
      </c>
      <c r="F3382" s="11" t="s">
        <v>31</v>
      </c>
      <c r="G3382" s="11">
        <v>657</v>
      </c>
      <c r="H3382" s="11">
        <v>186</v>
      </c>
      <c r="I3382" s="11">
        <v>6</v>
      </c>
      <c r="J3382" s="11">
        <v>0</v>
      </c>
      <c r="K3382" s="11" t="s">
        <v>21</v>
      </c>
      <c r="L3382" s="7">
        <v>40636.896608796298</v>
      </c>
      <c r="M3382" s="12" t="s">
        <v>5540</v>
      </c>
      <c r="N3382" s="12" t="s">
        <v>5640</v>
      </c>
      <c r="O3382" s="10" t="str">
        <f>HYPERLINK("https://pbs.twimg.com/profile_images/1298615913/Hand2_normal.jpg","View")</f>
        <v>View</v>
      </c>
      <c r="P3382" s="11"/>
    </row>
    <row r="3383" spans="1:16" ht="12.75" x14ac:dyDescent="0.35">
      <c r="A3383" s="7">
        <v>42485.16474537037</v>
      </c>
      <c r="B3383" s="8" t="str">
        <f t="shared" ref="B3383:B3384" si="442">HYPERLINK("https://twitter.com/CSGermany","@CSGermany")</f>
        <v>@CSGermany</v>
      </c>
      <c r="C3383" s="9" t="s">
        <v>3466</v>
      </c>
      <c r="D3383" s="9" t="s">
        <v>5641</v>
      </c>
      <c r="E3383" s="10" t="str">
        <f>HYPERLINK("https://twitter.com/CSGermany/status/724364100516589568","724364100516589568")</f>
        <v>724364100516589568</v>
      </c>
      <c r="F3383" s="11" t="s">
        <v>29</v>
      </c>
      <c r="G3383" s="11">
        <v>1732</v>
      </c>
      <c r="H3383" s="11">
        <v>849</v>
      </c>
      <c r="I3383" s="11">
        <v>0</v>
      </c>
      <c r="J3383" s="11">
        <v>0</v>
      </c>
      <c r="K3383" s="11" t="s">
        <v>21</v>
      </c>
      <c r="L3383" s="7">
        <v>39863.867141203707</v>
      </c>
      <c r="M3383" s="12" t="s">
        <v>121</v>
      </c>
      <c r="N3383" s="12" t="s">
        <v>3468</v>
      </c>
      <c r="O3383" s="10" t="str">
        <f t="shared" ref="O3383:O3384" si="443">HYPERLINK("https://pbs.twimg.com/profile_images/518189608098869249/udoveSaH_normal.jpeg","View")</f>
        <v>View</v>
      </c>
      <c r="P3383" s="11"/>
    </row>
    <row r="3384" spans="1:16" ht="12.75" x14ac:dyDescent="0.35">
      <c r="A3384" s="7">
        <v>42485.174930555557</v>
      </c>
      <c r="B3384" s="8" t="str">
        <f t="shared" si="442"/>
        <v>@CSGermany</v>
      </c>
      <c r="C3384" s="9" t="s">
        <v>3466</v>
      </c>
      <c r="D3384" s="9" t="s">
        <v>5642</v>
      </c>
      <c r="E3384" s="10" t="str">
        <f>HYPERLINK("https://twitter.com/CSGermany/status/724367792905052160","724367792905052160")</f>
        <v>724367792905052160</v>
      </c>
      <c r="F3384" s="11" t="s">
        <v>29</v>
      </c>
      <c r="G3384" s="11">
        <v>1733</v>
      </c>
      <c r="H3384" s="11">
        <v>849</v>
      </c>
      <c r="I3384" s="11">
        <v>0</v>
      </c>
      <c r="J3384" s="11">
        <v>1</v>
      </c>
      <c r="K3384" s="11" t="s">
        <v>21</v>
      </c>
      <c r="L3384" s="7">
        <v>39863.867141203707</v>
      </c>
      <c r="M3384" s="12" t="s">
        <v>121</v>
      </c>
      <c r="N3384" s="12" t="s">
        <v>3468</v>
      </c>
      <c r="O3384" s="10" t="str">
        <f t="shared" si="443"/>
        <v>View</v>
      </c>
      <c r="P3384" s="11"/>
    </row>
    <row r="3385" spans="1:16" ht="12.75" x14ac:dyDescent="0.35">
      <c r="A3385" s="7">
        <v>42485.176087962958</v>
      </c>
      <c r="B3385" s="8" t="str">
        <f>HYPERLINK("https://twitter.com/Geschnattere","@Geschnattere")</f>
        <v>@Geschnattere</v>
      </c>
      <c r="C3385" s="9" t="s">
        <v>577</v>
      </c>
      <c r="D3385" s="9" t="s">
        <v>5624</v>
      </c>
      <c r="E3385" s="10" t="str">
        <f>HYPERLINK("https://twitter.com/Geschnattere/status/724368211718901760","724368211718901760")</f>
        <v>724368211718901760</v>
      </c>
      <c r="F3385" s="11" t="s">
        <v>578</v>
      </c>
      <c r="G3385" s="11">
        <v>189</v>
      </c>
      <c r="H3385" s="11">
        <v>361</v>
      </c>
      <c r="I3385" s="11">
        <v>2</v>
      </c>
      <c r="J3385" s="11">
        <v>0</v>
      </c>
      <c r="K3385" s="11" t="s">
        <v>21</v>
      </c>
      <c r="L3385" s="7">
        <v>42392.975821759261</v>
      </c>
      <c r="M3385" s="12"/>
      <c r="N3385" s="12"/>
      <c r="O3385" s="10" t="str">
        <f>HYPERLINK("https://pbs.twimg.com/profile_images/690957065490161664/Nat2upS4_normal.jpg","View")</f>
        <v>View</v>
      </c>
      <c r="P3385" s="11"/>
    </row>
    <row r="3386" spans="1:16" ht="12.75" x14ac:dyDescent="0.35">
      <c r="A3386" s="7">
        <v>42485.176932870367</v>
      </c>
      <c r="B3386" s="8" t="str">
        <f t="shared" ref="B3386:B3387" si="444">HYPERLINK("https://twitter.com/gaadvancement","@gaadvancement")</f>
        <v>@gaadvancement</v>
      </c>
      <c r="C3386" s="9" t="s">
        <v>5643</v>
      </c>
      <c r="D3386" s="9" t="s">
        <v>5520</v>
      </c>
      <c r="E3386" s="10" t="str">
        <f>HYPERLINK("https://twitter.com/gaadvancement/status/724368518225915906","724368518225915906")</f>
        <v>724368518225915906</v>
      </c>
      <c r="F3386" s="11" t="s">
        <v>25</v>
      </c>
      <c r="G3386" s="11">
        <v>598</v>
      </c>
      <c r="H3386" s="11">
        <v>2406</v>
      </c>
      <c r="I3386" s="11">
        <v>14</v>
      </c>
      <c r="J3386" s="11">
        <v>0</v>
      </c>
      <c r="K3386" s="11" t="s">
        <v>21</v>
      </c>
      <c r="L3386" s="7">
        <v>42127.231550925921</v>
      </c>
      <c r="M3386" s="12" t="s">
        <v>5577</v>
      </c>
      <c r="N3386" s="12" t="s">
        <v>5644</v>
      </c>
      <c r="O3386" s="10" t="str">
        <f t="shared" ref="O3386:O3387" si="445">HYPERLINK("https://pbs.twimg.com/profile_images/604852979888353280/bPLJGs-u_normal.jpg","View")</f>
        <v>View</v>
      </c>
      <c r="P3386" s="11"/>
    </row>
    <row r="3387" spans="1:16" ht="12.75" x14ac:dyDescent="0.35">
      <c r="A3387" s="7">
        <v>42485.177916666667</v>
      </c>
      <c r="B3387" s="8" t="str">
        <f t="shared" si="444"/>
        <v>@gaadvancement</v>
      </c>
      <c r="C3387" s="9" t="s">
        <v>5643</v>
      </c>
      <c r="D3387" s="9" t="s">
        <v>5329</v>
      </c>
      <c r="E3387" s="10" t="str">
        <f>HYPERLINK("https://twitter.com/gaadvancement/status/724368876499165184","724368876499165184")</f>
        <v>724368876499165184</v>
      </c>
      <c r="F3387" s="11" t="s">
        <v>25</v>
      </c>
      <c r="G3387" s="11">
        <v>601</v>
      </c>
      <c r="H3387" s="11">
        <v>2407</v>
      </c>
      <c r="I3387" s="11">
        <v>12</v>
      </c>
      <c r="J3387" s="11">
        <v>0</v>
      </c>
      <c r="K3387" s="11" t="s">
        <v>21</v>
      </c>
      <c r="L3387" s="7">
        <v>42127.231550925921</v>
      </c>
      <c r="M3387" s="12" t="s">
        <v>5577</v>
      </c>
      <c r="N3387" s="12" t="s">
        <v>5644</v>
      </c>
      <c r="O3387" s="10" t="str">
        <f t="shared" si="445"/>
        <v>View</v>
      </c>
      <c r="P3387" s="11"/>
    </row>
    <row r="3388" spans="1:16" ht="12.75" x14ac:dyDescent="0.35">
      <c r="A3388" s="7">
        <v>42485.177951388891</v>
      </c>
      <c r="B3388" s="8" t="str">
        <f>HYPERLINK("https://twitter.com/roomeezon","@roomeezon")</f>
        <v>@roomeezon</v>
      </c>
      <c r="C3388" s="9" t="s">
        <v>5645</v>
      </c>
      <c r="D3388" s="9" t="s">
        <v>5646</v>
      </c>
      <c r="E3388" s="10" t="str">
        <f>HYPERLINK("https://twitter.com/roomeezon/status/724368886318129152","724368886318129152")</f>
        <v>724368886318129152</v>
      </c>
      <c r="F3388" s="11" t="s">
        <v>5647</v>
      </c>
      <c r="G3388" s="11">
        <v>4767</v>
      </c>
      <c r="H3388" s="11">
        <v>2</v>
      </c>
      <c r="I3388" s="11">
        <v>2</v>
      </c>
      <c r="J3388" s="11">
        <v>0</v>
      </c>
      <c r="K3388" s="11" t="s">
        <v>21</v>
      </c>
      <c r="L3388" s="7">
        <v>39708.115405092591</v>
      </c>
      <c r="M3388" s="12" t="s">
        <v>5648</v>
      </c>
      <c r="N3388" s="12" t="s">
        <v>5649</v>
      </c>
      <c r="O3388" s="10" t="str">
        <f>HYPERLINK("https://pbs.twimg.com/profile_images/714503631253479424/C1W-YKaG_normal.jpg","View")</f>
        <v>View</v>
      </c>
      <c r="P3388" s="11"/>
    </row>
    <row r="3389" spans="1:16" ht="12.75" x14ac:dyDescent="0.35">
      <c r="A3389" s="7">
        <v>42485.178101851852</v>
      </c>
      <c r="B3389" s="8" t="str">
        <f>HYPERLINK("https://twitter.com/gaadvancement","@gaadvancement")</f>
        <v>@gaadvancement</v>
      </c>
      <c r="C3389" s="9" t="s">
        <v>5643</v>
      </c>
      <c r="D3389" s="9" t="s">
        <v>5367</v>
      </c>
      <c r="E3389" s="10" t="str">
        <f>HYPERLINK("https://twitter.com/gaadvancement/status/724368942853029888","724368942853029888")</f>
        <v>724368942853029888</v>
      </c>
      <c r="F3389" s="11" t="s">
        <v>25</v>
      </c>
      <c r="G3389" s="11">
        <v>601</v>
      </c>
      <c r="H3389" s="11">
        <v>2407</v>
      </c>
      <c r="I3389" s="11">
        <v>6</v>
      </c>
      <c r="J3389" s="11">
        <v>0</v>
      </c>
      <c r="K3389" s="11" t="s">
        <v>21</v>
      </c>
      <c r="L3389" s="7">
        <v>42127.231550925921</v>
      </c>
      <c r="M3389" s="12" t="s">
        <v>5577</v>
      </c>
      <c r="N3389" s="12" t="s">
        <v>5644</v>
      </c>
      <c r="O3389" s="10" t="str">
        <f>HYPERLINK("https://pbs.twimg.com/profile_images/604852979888353280/bPLJGs-u_normal.jpg","View")</f>
        <v>View</v>
      </c>
      <c r="P3389" s="11"/>
    </row>
    <row r="3390" spans="1:16" ht="12.75" x14ac:dyDescent="0.35">
      <c r="A3390" s="7">
        <v>42485.178252314814</v>
      </c>
      <c r="B3390" s="8" t="str">
        <f>HYPERLINK("https://twitter.com/Geschnattere","@Geschnattere")</f>
        <v>@Geschnattere</v>
      </c>
      <c r="C3390" s="9" t="s">
        <v>577</v>
      </c>
      <c r="D3390" s="9" t="s">
        <v>5614</v>
      </c>
      <c r="E3390" s="10" t="str">
        <f>HYPERLINK("https://twitter.com/Geschnattere/status/724368994506006529","724368994506006529")</f>
        <v>724368994506006529</v>
      </c>
      <c r="F3390" s="11" t="s">
        <v>578</v>
      </c>
      <c r="G3390" s="11">
        <v>191</v>
      </c>
      <c r="H3390" s="11">
        <v>361</v>
      </c>
      <c r="I3390" s="11">
        <v>3</v>
      </c>
      <c r="J3390" s="11">
        <v>0</v>
      </c>
      <c r="K3390" s="11" t="s">
        <v>21</v>
      </c>
      <c r="L3390" s="7">
        <v>42392.975821759261</v>
      </c>
      <c r="M3390" s="12"/>
      <c r="N3390" s="12"/>
      <c r="O3390" s="10" t="str">
        <f>HYPERLINK("https://pbs.twimg.com/profile_images/690957065490161664/Nat2upS4_normal.jpg","View")</f>
        <v>View</v>
      </c>
      <c r="P3390" s="11"/>
    </row>
    <row r="3391" spans="1:16" ht="12.75" x14ac:dyDescent="0.35">
      <c r="A3391" s="7">
        <v>42485.180763888886</v>
      </c>
      <c r="B3391" s="8" t="str">
        <f t="shared" ref="B3391:B3392" si="446">HYPERLINK("https://twitter.com/h_scoshield","@h_scoshield")</f>
        <v>@h_scoshield</v>
      </c>
      <c r="C3391" s="9" t="s">
        <v>142</v>
      </c>
      <c r="D3391" s="9" t="s">
        <v>5367</v>
      </c>
      <c r="E3391" s="10" t="str">
        <f>HYPERLINK("https://twitter.com/h_scoshield/status/724369905714356225","724369905714356225")</f>
        <v>724369905714356225</v>
      </c>
      <c r="F3391" s="11" t="s">
        <v>144</v>
      </c>
      <c r="G3391" s="11">
        <v>1708</v>
      </c>
      <c r="H3391" s="11">
        <v>1498</v>
      </c>
      <c r="I3391" s="11">
        <v>6</v>
      </c>
      <c r="J3391" s="11">
        <v>0</v>
      </c>
      <c r="K3391" s="11" t="s">
        <v>21</v>
      </c>
      <c r="L3391" s="7">
        <v>41780.822847222225</v>
      </c>
      <c r="M3391" s="12" t="s">
        <v>145</v>
      </c>
      <c r="N3391" s="12" t="s">
        <v>146</v>
      </c>
      <c r="O3391" s="10" t="str">
        <f t="shared" ref="O3391:O3392" si="447">HYPERLINK("https://pbs.twimg.com/profile_images/723056722634371072/L0JFDAVN_normal.jpg","View")</f>
        <v>View</v>
      </c>
      <c r="P3391" s="11"/>
    </row>
    <row r="3392" spans="1:16" ht="12.75" x14ac:dyDescent="0.35">
      <c r="A3392" s="7">
        <v>42485.181921296295</v>
      </c>
      <c r="B3392" s="8" t="str">
        <f t="shared" si="446"/>
        <v>@h_scoshield</v>
      </c>
      <c r="C3392" s="9" t="s">
        <v>142</v>
      </c>
      <c r="D3392" s="9" t="s">
        <v>5646</v>
      </c>
      <c r="E3392" s="10" t="str">
        <f>HYPERLINK("https://twitter.com/h_scoshield/status/724370327464226816","724370327464226816")</f>
        <v>724370327464226816</v>
      </c>
      <c r="F3392" s="11" t="s">
        <v>144</v>
      </c>
      <c r="G3392" s="11">
        <v>1708</v>
      </c>
      <c r="H3392" s="11">
        <v>1498</v>
      </c>
      <c r="I3392" s="11">
        <v>2</v>
      </c>
      <c r="J3392" s="11">
        <v>0</v>
      </c>
      <c r="K3392" s="11" t="s">
        <v>21</v>
      </c>
      <c r="L3392" s="7">
        <v>41780.822847222225</v>
      </c>
      <c r="M3392" s="12" t="s">
        <v>145</v>
      </c>
      <c r="N3392" s="12" t="s">
        <v>146</v>
      </c>
      <c r="O3392" s="10" t="str">
        <f t="shared" si="447"/>
        <v>View</v>
      </c>
      <c r="P3392" s="11"/>
    </row>
    <row r="3393" spans="1:16" ht="12.75" x14ac:dyDescent="0.35">
      <c r="A3393" s="7">
        <v>42485.184953703705</v>
      </c>
      <c r="B3393" s="8" t="str">
        <f>HYPERLINK("https://twitter.com/mjg73","@mjg73")</f>
        <v>@mjg73</v>
      </c>
      <c r="C3393" s="9" t="s">
        <v>5650</v>
      </c>
      <c r="D3393" s="9" t="s">
        <v>5651</v>
      </c>
      <c r="E3393" s="10" t="str">
        <f>HYPERLINK("https://twitter.com/mjg73/status/724371423251279872","724371423251279872")</f>
        <v>724371423251279872</v>
      </c>
      <c r="F3393" s="11" t="s">
        <v>29</v>
      </c>
      <c r="G3393" s="11">
        <v>1814</v>
      </c>
      <c r="H3393" s="11">
        <v>2409</v>
      </c>
      <c r="I3393" s="11">
        <v>1</v>
      </c>
      <c r="J3393" s="11">
        <v>0</v>
      </c>
      <c r="K3393" s="11" t="s">
        <v>21</v>
      </c>
      <c r="L3393" s="7">
        <v>39295.566064814819</v>
      </c>
      <c r="M3393" s="12" t="s">
        <v>5652</v>
      </c>
      <c r="N3393" s="12" t="s">
        <v>5653</v>
      </c>
      <c r="O3393" s="10" t="str">
        <f>HYPERLINK("https://pbs.twimg.com/profile_images/614706754518130688/WFWO9x9i_normal.jpg","View")</f>
        <v>View</v>
      </c>
      <c r="P3393" s="11"/>
    </row>
    <row r="3394" spans="1:16" ht="12.75" x14ac:dyDescent="0.35">
      <c r="A3394" s="7">
        <v>42485.19809027778</v>
      </c>
      <c r="B3394" s="8" t="str">
        <f t="shared" ref="B3394:B3395" si="448">HYPERLINK("https://twitter.com/EhrkeHeideMarie","@EhrkeHeideMarie")</f>
        <v>@EhrkeHeideMarie</v>
      </c>
      <c r="C3394" s="9" t="s">
        <v>5654</v>
      </c>
      <c r="D3394" s="9" t="s">
        <v>3314</v>
      </c>
      <c r="E3394" s="10" t="str">
        <f>HYPERLINK("https://twitter.com/EhrkeHeideMarie/status/724376185262727168","724376185262727168")</f>
        <v>724376185262727168</v>
      </c>
      <c r="F3394" s="11" t="s">
        <v>29</v>
      </c>
      <c r="G3394" s="11">
        <v>783</v>
      </c>
      <c r="H3394" s="11">
        <v>1485</v>
      </c>
      <c r="I3394" s="11">
        <v>6</v>
      </c>
      <c r="J3394" s="11">
        <v>0</v>
      </c>
      <c r="K3394" s="11" t="s">
        <v>21</v>
      </c>
      <c r="L3394" s="7">
        <v>41139.946388888886</v>
      </c>
      <c r="M3394" s="12" t="s">
        <v>5655</v>
      </c>
      <c r="N3394" s="12" t="s">
        <v>5656</v>
      </c>
      <c r="O3394" s="10" t="str">
        <f t="shared" ref="O3394:O3395" si="449">HYPERLINK("https://pbs.twimg.com/profile_images/3072828143/e5426915b22318faa18155fbf31b7279_normal.jpeg","View")</f>
        <v>View</v>
      </c>
      <c r="P3394" s="11"/>
    </row>
    <row r="3395" spans="1:16" ht="12.75" x14ac:dyDescent="0.35">
      <c r="A3395" s="7">
        <v>42485.199143518519</v>
      </c>
      <c r="B3395" s="8" t="str">
        <f t="shared" si="448"/>
        <v>@EhrkeHeideMarie</v>
      </c>
      <c r="C3395" s="9" t="s">
        <v>5654</v>
      </c>
      <c r="D3395" s="9" t="s">
        <v>2947</v>
      </c>
      <c r="E3395" s="10" t="str">
        <f>HYPERLINK("https://twitter.com/EhrkeHeideMarie/status/724376567984603136","724376567984603136")</f>
        <v>724376567984603136</v>
      </c>
      <c r="F3395" s="11" t="s">
        <v>29</v>
      </c>
      <c r="G3395" s="11">
        <v>783</v>
      </c>
      <c r="H3395" s="11">
        <v>1485</v>
      </c>
      <c r="I3395" s="11">
        <v>22</v>
      </c>
      <c r="J3395" s="11">
        <v>0</v>
      </c>
      <c r="K3395" s="11" t="s">
        <v>21</v>
      </c>
      <c r="L3395" s="7">
        <v>41139.946388888886</v>
      </c>
      <c r="M3395" s="12" t="s">
        <v>5655</v>
      </c>
      <c r="N3395" s="12" t="s">
        <v>5656</v>
      </c>
      <c r="O3395" s="10" t="str">
        <f t="shared" si="449"/>
        <v>View</v>
      </c>
      <c r="P3395" s="11"/>
    </row>
    <row r="3396" spans="1:16" ht="12.75" x14ac:dyDescent="0.35">
      <c r="A3396" s="7">
        <v>42485.206770833334</v>
      </c>
      <c r="B3396" s="8" t="str">
        <f>HYPERLINK("https://twitter.com/H_IT_D","@H_IT_D")</f>
        <v>@H_IT_D</v>
      </c>
      <c r="C3396" s="9" t="s">
        <v>159</v>
      </c>
      <c r="D3396" s="9" t="s">
        <v>5657</v>
      </c>
      <c r="E3396" s="10" t="str">
        <f>HYPERLINK("https://twitter.com/H_IT_D/status/724379330084638720","724379330084638720")</f>
        <v>724379330084638720</v>
      </c>
      <c r="F3396" s="11" t="s">
        <v>161</v>
      </c>
      <c r="G3396" s="11">
        <v>473</v>
      </c>
      <c r="H3396" s="11">
        <v>466</v>
      </c>
      <c r="I3396" s="11">
        <v>0</v>
      </c>
      <c r="J3396" s="11">
        <v>0</v>
      </c>
      <c r="K3396" s="11" t="s">
        <v>21</v>
      </c>
      <c r="L3396" s="7">
        <v>40723.867673611108</v>
      </c>
      <c r="M3396" s="12" t="s">
        <v>162</v>
      </c>
      <c r="N3396" s="12" t="s">
        <v>163</v>
      </c>
      <c r="O3396" s="10" t="str">
        <f>HYPERLINK("https://pbs.twimg.com/profile_images/662723326096224256/5V4KH9_O_normal.jpg","View")</f>
        <v>View</v>
      </c>
      <c r="P3396" s="11"/>
    </row>
    <row r="3397" spans="1:16" ht="12.75" x14ac:dyDescent="0.35">
      <c r="A3397" s="7">
        <v>42485.209131944444</v>
      </c>
      <c r="B3397" s="8" t="str">
        <f>HYPERLINK("https://twitter.com/INDIZbot","@INDIZbot")</f>
        <v>@INDIZbot</v>
      </c>
      <c r="C3397" s="9" t="s">
        <v>61</v>
      </c>
      <c r="D3397" s="9" t="s">
        <v>5658</v>
      </c>
      <c r="E3397" s="10" t="str">
        <f>HYPERLINK("https://twitter.com/INDIZbot/status/724380185508872193","724380185508872193")</f>
        <v>724380185508872193</v>
      </c>
      <c r="F3397" s="11" t="s">
        <v>62</v>
      </c>
      <c r="G3397" s="11">
        <v>1795</v>
      </c>
      <c r="H3397" s="11">
        <v>482</v>
      </c>
      <c r="I3397" s="11">
        <v>1</v>
      </c>
      <c r="J3397" s="11">
        <v>0</v>
      </c>
      <c r="K3397" s="11" t="s">
        <v>21</v>
      </c>
      <c r="L3397" s="7">
        <v>42267.011921296296</v>
      </c>
      <c r="M3397" s="12"/>
      <c r="N3397" s="12" t="s">
        <v>63</v>
      </c>
      <c r="O3397" s="10" t="str">
        <f>HYPERLINK("https://pbs.twimg.com/profile_images/645716711723925506/t5G0qOS6_normal.jpg","View")</f>
        <v>View</v>
      </c>
      <c r="P3397" s="11"/>
    </row>
    <row r="3398" spans="1:16" ht="12.75" x14ac:dyDescent="0.35">
      <c r="A3398" s="7">
        <v>42485.23841435185</v>
      </c>
      <c r="B3398" s="8" t="str">
        <f>HYPERLINK("https://twitter.com/PPanchakIW","@PPanchakIW")</f>
        <v>@PPanchakIW</v>
      </c>
      <c r="C3398" s="9" t="s">
        <v>4213</v>
      </c>
      <c r="D3398" s="9" t="s">
        <v>5636</v>
      </c>
      <c r="E3398" s="10" t="str">
        <f>HYPERLINK("https://twitter.com/PPanchakIW/status/724390800164048897","724390800164048897")</f>
        <v>724390800164048897</v>
      </c>
      <c r="F3398" s="11" t="s">
        <v>20</v>
      </c>
      <c r="G3398" s="11">
        <v>1957</v>
      </c>
      <c r="H3398" s="11">
        <v>1050</v>
      </c>
      <c r="I3398" s="11">
        <v>2</v>
      </c>
      <c r="J3398" s="11">
        <v>0</v>
      </c>
      <c r="K3398" s="11" t="s">
        <v>21</v>
      </c>
      <c r="L3398" s="7">
        <v>40941.001504629632</v>
      </c>
      <c r="M3398" s="12" t="s">
        <v>4214</v>
      </c>
      <c r="N3398" s="12" t="s">
        <v>4215</v>
      </c>
      <c r="O3398" s="10" t="str">
        <f>HYPERLINK("https://pbs.twimg.com/profile_images/1827233338/Pat_P._no_glass.twitter_normal.jpg","View")</f>
        <v>View</v>
      </c>
      <c r="P3398" s="11"/>
    </row>
    <row r="3399" spans="1:16" ht="12.75" x14ac:dyDescent="0.35">
      <c r="A3399" s="7">
        <v>42485.24287037037</v>
      </c>
      <c r="B3399" s="8" t="str">
        <f>HYPERLINK("https://twitter.com/kirstywilkinson","@kirstywilkinson")</f>
        <v>@kirstywilkinson</v>
      </c>
      <c r="C3399" s="9" t="s">
        <v>5659</v>
      </c>
      <c r="D3399" s="9" t="s">
        <v>5636</v>
      </c>
      <c r="E3399" s="10" t="str">
        <f>HYPERLINK("https://twitter.com/kirstywilkinson/status/724392414216073217","724392414216073217")</f>
        <v>724392414216073217</v>
      </c>
      <c r="F3399" s="11" t="s">
        <v>437</v>
      </c>
      <c r="G3399" s="11">
        <v>1738</v>
      </c>
      <c r="H3399" s="11">
        <v>1930</v>
      </c>
      <c r="I3399" s="11">
        <v>3</v>
      </c>
      <c r="J3399" s="11">
        <v>0</v>
      </c>
      <c r="K3399" s="11" t="s">
        <v>21</v>
      </c>
      <c r="L3399" s="7">
        <v>40063.736400462964</v>
      </c>
      <c r="M3399" s="12" t="s">
        <v>5660</v>
      </c>
      <c r="N3399" s="12" t="s">
        <v>5661</v>
      </c>
      <c r="O3399" s="10" t="str">
        <f>HYPERLINK("https://pbs.twimg.com/profile_images/420534452683423745/xZTVCux1_normal.jpeg","View")</f>
        <v>View</v>
      </c>
      <c r="P3399" s="11"/>
    </row>
    <row r="3400" spans="1:16" ht="12.75" x14ac:dyDescent="0.35">
      <c r="A3400" s="7">
        <v>42485.244490740741</v>
      </c>
      <c r="B3400" s="8" t="str">
        <f>HYPERLINK("https://twitter.com/PeterKaridis","@PeterKaridis")</f>
        <v>@PeterKaridis</v>
      </c>
      <c r="C3400" s="9" t="s">
        <v>5662</v>
      </c>
      <c r="D3400" s="9" t="s">
        <v>5475</v>
      </c>
      <c r="E3400" s="10" t="str">
        <f>HYPERLINK("https://twitter.com/PeterKaridis/status/724392999598194688","724392999598194688")</f>
        <v>724392999598194688</v>
      </c>
      <c r="F3400" s="11" t="s">
        <v>31</v>
      </c>
      <c r="G3400" s="11">
        <v>467</v>
      </c>
      <c r="H3400" s="11">
        <v>435</v>
      </c>
      <c r="I3400" s="11">
        <v>7</v>
      </c>
      <c r="J3400" s="11">
        <v>0</v>
      </c>
      <c r="K3400" s="11" t="s">
        <v>21</v>
      </c>
      <c r="L3400" s="7">
        <v>39919.221875000003</v>
      </c>
      <c r="M3400" s="12" t="s">
        <v>5663</v>
      </c>
      <c r="N3400" s="12" t="s">
        <v>5664</v>
      </c>
      <c r="O3400" s="10" t="str">
        <f>HYPERLINK("https://pbs.twimg.com/profile_images/673724922460430337/KsyXOSmW_normal.jpg","View")</f>
        <v>View</v>
      </c>
      <c r="P3400" s="11"/>
    </row>
    <row r="3401" spans="1:16" ht="12.75" x14ac:dyDescent="0.35">
      <c r="A3401" s="7">
        <v>42485.26425925926</v>
      </c>
      <c r="B3401" s="8" t="str">
        <f>HYPERLINK("https://twitter.com/senbaravi","@senbaravi")</f>
        <v>@senbaravi</v>
      </c>
      <c r="C3401" s="9" t="s">
        <v>5665</v>
      </c>
      <c r="D3401" s="9" t="s">
        <v>5329</v>
      </c>
      <c r="E3401" s="10" t="str">
        <f>HYPERLINK("https://twitter.com/senbaravi/status/724400162798448640","724400162798448640")</f>
        <v>724400162798448640</v>
      </c>
      <c r="F3401" s="11" t="s">
        <v>20</v>
      </c>
      <c r="G3401" s="11">
        <v>569</v>
      </c>
      <c r="H3401" s="11">
        <v>1021</v>
      </c>
      <c r="I3401" s="11">
        <v>13</v>
      </c>
      <c r="J3401" s="11">
        <v>0</v>
      </c>
      <c r="K3401" s="11" t="s">
        <v>21</v>
      </c>
      <c r="L3401" s="7">
        <v>39972.806331018517</v>
      </c>
      <c r="M3401" s="12" t="s">
        <v>5666</v>
      </c>
      <c r="N3401" s="12" t="s">
        <v>5667</v>
      </c>
      <c r="O3401" s="10" t="str">
        <f>HYPERLINK("https://pbs.twimg.com/profile_images/710772565183045632/vWh5WeNO_normal.jpg","View")</f>
        <v>View</v>
      </c>
      <c r="P3401" s="11"/>
    </row>
    <row r="3402" spans="1:16" ht="12.75" x14ac:dyDescent="0.35">
      <c r="A3402" s="7">
        <v>42485.265185185184</v>
      </c>
      <c r="B3402" s="8" t="str">
        <f>HYPERLINK("https://twitter.com/JeffRConnolly","@JeffRConnolly")</f>
        <v>@JeffRConnolly</v>
      </c>
      <c r="C3402" s="9" t="s">
        <v>1459</v>
      </c>
      <c r="D3402" s="9" t="s">
        <v>4240</v>
      </c>
      <c r="E3402" s="10" t="str">
        <f>HYPERLINK("https://twitter.com/JeffRConnolly/status/724400498531422208","724400498531422208")</f>
        <v>724400498531422208</v>
      </c>
      <c r="F3402" s="11" t="s">
        <v>31</v>
      </c>
      <c r="G3402" s="11">
        <v>493</v>
      </c>
      <c r="H3402" s="11">
        <v>222</v>
      </c>
      <c r="I3402" s="11">
        <v>8</v>
      </c>
      <c r="J3402" s="11">
        <v>0</v>
      </c>
      <c r="K3402" s="11" t="s">
        <v>21</v>
      </c>
      <c r="L3402" s="7">
        <v>41680.69259259259</v>
      </c>
      <c r="M3402" s="12" t="s">
        <v>1461</v>
      </c>
      <c r="N3402" s="12" t="s">
        <v>1462</v>
      </c>
      <c r="O3402" s="10" t="str">
        <f>HYPERLINK("https://pbs.twimg.com/profile_images/444069537869094912/Oh8ZB7sl_normal.jpeg","View")</f>
        <v>View</v>
      </c>
      <c r="P3402" s="11"/>
    </row>
    <row r="3403" spans="1:16" ht="12.75" x14ac:dyDescent="0.35">
      <c r="A3403" s="7">
        <v>42485.321493055555</v>
      </c>
      <c r="B3403" s="8" t="str">
        <f t="shared" ref="B3403:B3404" si="450">HYPERLINK("https://twitter.com/AlbertoMunoz","@AlbertoMunoz")</f>
        <v>@AlbertoMunoz</v>
      </c>
      <c r="C3403" s="9" t="s">
        <v>5668</v>
      </c>
      <c r="D3403" s="9" t="s">
        <v>5475</v>
      </c>
      <c r="E3403" s="10" t="str">
        <f>HYPERLINK("https://twitter.com/AlbertoMunoz/status/724420904944439296","724420904944439296")</f>
        <v>724420904944439296</v>
      </c>
      <c r="F3403" s="11" t="s">
        <v>31</v>
      </c>
      <c r="G3403" s="11">
        <v>7756</v>
      </c>
      <c r="H3403" s="11">
        <v>7701</v>
      </c>
      <c r="I3403" s="11">
        <v>8</v>
      </c>
      <c r="J3403" s="11">
        <v>0</v>
      </c>
      <c r="K3403" s="11" t="s">
        <v>21</v>
      </c>
      <c r="L3403" s="7">
        <v>39874.120972222227</v>
      </c>
      <c r="M3403" s="12" t="s">
        <v>5669</v>
      </c>
      <c r="N3403" s="12" t="s">
        <v>5670</v>
      </c>
      <c r="O3403" s="10" t="str">
        <f t="shared" ref="O3403:O3404" si="451">HYPERLINK("https://pbs.twimg.com/profile_images/651607188897595392/TDR4Waba_normal.jpg","View")</f>
        <v>View</v>
      </c>
      <c r="P3403" s="11"/>
    </row>
    <row r="3404" spans="1:16" ht="12.75" x14ac:dyDescent="0.35">
      <c r="A3404" s="7">
        <v>42485.32167824074</v>
      </c>
      <c r="B3404" s="8" t="str">
        <f t="shared" si="450"/>
        <v>@AlbertoMunoz</v>
      </c>
      <c r="C3404" s="9" t="s">
        <v>5668</v>
      </c>
      <c r="D3404" s="9" t="s">
        <v>4208</v>
      </c>
      <c r="E3404" s="10" t="str">
        <f>HYPERLINK("https://twitter.com/AlbertoMunoz/status/724420971021488128","724420971021488128")</f>
        <v>724420971021488128</v>
      </c>
      <c r="F3404" s="11" t="s">
        <v>31</v>
      </c>
      <c r="G3404" s="11">
        <v>7756</v>
      </c>
      <c r="H3404" s="11">
        <v>7701</v>
      </c>
      <c r="I3404" s="11">
        <v>6</v>
      </c>
      <c r="J3404" s="11">
        <v>0</v>
      </c>
      <c r="K3404" s="11" t="s">
        <v>21</v>
      </c>
      <c r="L3404" s="7">
        <v>39874.120972222227</v>
      </c>
      <c r="M3404" s="12" t="s">
        <v>5669</v>
      </c>
      <c r="N3404" s="12" t="s">
        <v>5670</v>
      </c>
      <c r="O3404" s="10" t="str">
        <f t="shared" si="451"/>
        <v>View</v>
      </c>
      <c r="P3404" s="11"/>
    </row>
    <row r="3405" spans="1:16" ht="12.75" x14ac:dyDescent="0.35">
      <c r="A3405" s="7">
        <v>42485.327280092592</v>
      </c>
      <c r="B3405" s="8" t="str">
        <f>HYPERLINK("https://twitter.com/meganlilly24","@meganlilly24")</f>
        <v>@meganlilly24</v>
      </c>
      <c r="C3405" s="9" t="s">
        <v>5671</v>
      </c>
      <c r="D3405" s="9" t="s">
        <v>4240</v>
      </c>
      <c r="E3405" s="10" t="str">
        <f>HYPERLINK("https://twitter.com/meganlilly24/status/724423004143263744","724423004143263744")</f>
        <v>724423004143263744</v>
      </c>
      <c r="F3405" s="11" t="s">
        <v>31</v>
      </c>
      <c r="G3405" s="11">
        <v>8</v>
      </c>
      <c r="H3405" s="11">
        <v>19</v>
      </c>
      <c r="I3405" s="11">
        <v>9</v>
      </c>
      <c r="J3405" s="11">
        <v>0</v>
      </c>
      <c r="K3405" s="11" t="s">
        <v>21</v>
      </c>
      <c r="L3405" s="7">
        <v>42355.542337962965</v>
      </c>
      <c r="M3405" s="12" t="s">
        <v>5672</v>
      </c>
      <c r="N3405" s="12"/>
      <c r="O3405" s="10" t="str">
        <f>HYPERLINK("https://pbs.twimg.com/profile_images/721548926843682816/wzEcHhcn_normal.jpg","View")</f>
        <v>View</v>
      </c>
      <c r="P3405" s="11"/>
    </row>
    <row r="3406" spans="1:16" ht="12.75" x14ac:dyDescent="0.35">
      <c r="A3406" s="7">
        <v>42485.35659722222</v>
      </c>
      <c r="B3406" s="8" t="str">
        <f>HYPERLINK("https://twitter.com/JpIndustryNews","@JpIndustryNews")</f>
        <v>@JpIndustryNews</v>
      </c>
      <c r="C3406" s="9" t="s">
        <v>5673</v>
      </c>
      <c r="D3406" s="9" t="s">
        <v>5674</v>
      </c>
      <c r="E3406" s="10" t="str">
        <f>HYPERLINK("https://twitter.com/JpIndustryNews/status/724433624251113472","724433624251113472")</f>
        <v>724433624251113472</v>
      </c>
      <c r="F3406" s="11" t="s">
        <v>39</v>
      </c>
      <c r="G3406" s="11">
        <v>180</v>
      </c>
      <c r="H3406" s="11">
        <v>225</v>
      </c>
      <c r="I3406" s="11">
        <v>0</v>
      </c>
      <c r="J3406" s="11">
        <v>0</v>
      </c>
      <c r="K3406" s="11" t="s">
        <v>21</v>
      </c>
      <c r="L3406" s="7">
        <v>42249.345636574071</v>
      </c>
      <c r="M3406" s="12" t="s">
        <v>5675</v>
      </c>
      <c r="N3406" s="12" t="s">
        <v>5676</v>
      </c>
      <c r="O3406" s="10" t="str">
        <f>HYPERLINK("https://pbs.twimg.com/profile_images/638906659482406912/iaOi4nv__normal.png","View")</f>
        <v>View</v>
      </c>
      <c r="P3406" s="11"/>
    </row>
    <row r="3407" spans="1:16" ht="12.75" x14ac:dyDescent="0.35">
      <c r="A3407" s="7">
        <v>42485.382222222222</v>
      </c>
      <c r="B3407" s="8" t="str">
        <f>HYPERLINK("https://twitter.com/H_IT_D","@H_IT_D")</f>
        <v>@H_IT_D</v>
      </c>
      <c r="C3407" s="9" t="s">
        <v>159</v>
      </c>
      <c r="D3407" s="9" t="s">
        <v>5677</v>
      </c>
      <c r="E3407" s="10" t="str">
        <f>HYPERLINK("https://twitter.com/H_IT_D/status/724442912562368512","724442912562368512")</f>
        <v>724442912562368512</v>
      </c>
      <c r="F3407" s="11" t="s">
        <v>161</v>
      </c>
      <c r="G3407" s="11">
        <v>473</v>
      </c>
      <c r="H3407" s="11">
        <v>466</v>
      </c>
      <c r="I3407" s="11">
        <v>1</v>
      </c>
      <c r="J3407" s="11">
        <v>0</v>
      </c>
      <c r="K3407" s="11" t="s">
        <v>21</v>
      </c>
      <c r="L3407" s="7">
        <v>40723.867673611108</v>
      </c>
      <c r="M3407" s="12" t="s">
        <v>162</v>
      </c>
      <c r="N3407" s="12" t="s">
        <v>163</v>
      </c>
      <c r="O3407" s="10" t="str">
        <f>HYPERLINK("https://pbs.twimg.com/profile_images/662723326096224256/5V4KH9_O_normal.jpg","View")</f>
        <v>View</v>
      </c>
      <c r="P3407" s="11"/>
    </row>
    <row r="3408" spans="1:16" ht="12.75" x14ac:dyDescent="0.35">
      <c r="A3408" s="7">
        <v>42485.382743055554</v>
      </c>
      <c r="B3408" s="8" t="str">
        <f>HYPERLINK("https://twitter.com/INDIZbot","@INDIZbot")</f>
        <v>@INDIZbot</v>
      </c>
      <c r="C3408" s="9" t="s">
        <v>61</v>
      </c>
      <c r="D3408" s="9" t="s">
        <v>5678</v>
      </c>
      <c r="E3408" s="10" t="str">
        <f>HYPERLINK("https://twitter.com/INDIZbot/status/724443101067153409","724443101067153409")</f>
        <v>724443101067153409</v>
      </c>
      <c r="F3408" s="11" t="s">
        <v>62</v>
      </c>
      <c r="G3408" s="11">
        <v>1794</v>
      </c>
      <c r="H3408" s="11">
        <v>482</v>
      </c>
      <c r="I3408" s="11">
        <v>1</v>
      </c>
      <c r="J3408" s="11">
        <v>0</v>
      </c>
      <c r="K3408" s="11" t="s">
        <v>21</v>
      </c>
      <c r="L3408" s="7">
        <v>42267.011921296296</v>
      </c>
      <c r="M3408" s="12"/>
      <c r="N3408" s="12" t="s">
        <v>63</v>
      </c>
      <c r="O3408" s="10" t="str">
        <f>HYPERLINK("https://pbs.twimg.com/profile_images/645716711723925506/t5G0qOS6_normal.jpg","View")</f>
        <v>View</v>
      </c>
      <c r="P3408" s="11"/>
    </row>
    <row r="3409" spans="1:16" ht="12.75" x14ac:dyDescent="0.35">
      <c r="A3409" s="7">
        <v>42485.402974537035</v>
      </c>
      <c r="B3409" s="8" t="str">
        <f>HYPERLINK("https://twitter.com/VanYanMar","@VanYanMar")</f>
        <v>@VanYanMar</v>
      </c>
      <c r="C3409" s="9" t="s">
        <v>5679</v>
      </c>
      <c r="D3409" s="9" t="s">
        <v>5575</v>
      </c>
      <c r="E3409" s="10" t="str">
        <f>HYPERLINK("https://twitter.com/VanYanMar/status/724450432932827136","724450432932827136")</f>
        <v>724450432932827136</v>
      </c>
      <c r="F3409" s="11" t="s">
        <v>31</v>
      </c>
      <c r="G3409" s="11">
        <v>53</v>
      </c>
      <c r="H3409" s="11">
        <v>126</v>
      </c>
      <c r="I3409" s="11">
        <v>2</v>
      </c>
      <c r="J3409" s="11">
        <v>0</v>
      </c>
      <c r="K3409" s="11" t="s">
        <v>21</v>
      </c>
      <c r="L3409" s="7">
        <v>41959.639155092591</v>
      </c>
      <c r="M3409" s="12" t="s">
        <v>5680</v>
      </c>
      <c r="N3409" s="12" t="s">
        <v>5681</v>
      </c>
      <c r="O3409" s="10" t="str">
        <f>HYPERLINK("https://pbs.twimg.com/profile_images/637589130348732416/Hh-lw5mM_normal.jpg","View")</f>
        <v>View</v>
      </c>
      <c r="P3409" s="11"/>
    </row>
    <row r="3410" spans="1:16" ht="12.75" x14ac:dyDescent="0.35">
      <c r="A3410" s="7">
        <v>42485.409872685181</v>
      </c>
      <c r="B3410" s="8" t="str">
        <f>HYPERLINK("https://twitter.com/MarkusPeter","@MarkusPeter")</f>
        <v>@MarkusPeter</v>
      </c>
      <c r="C3410" s="9" t="s">
        <v>5682</v>
      </c>
      <c r="D3410" s="9" t="s">
        <v>5683</v>
      </c>
      <c r="E3410" s="10" t="str">
        <f>HYPERLINK("https://twitter.com/MarkusPeter/status/724452934055002112","724452934055002112")</f>
        <v>724452934055002112</v>
      </c>
      <c r="F3410" s="11" t="s">
        <v>59</v>
      </c>
      <c r="G3410" s="11">
        <v>2474</v>
      </c>
      <c r="H3410" s="11">
        <v>1988</v>
      </c>
      <c r="I3410" s="11">
        <v>3</v>
      </c>
      <c r="J3410" s="11">
        <v>1</v>
      </c>
      <c r="K3410" s="11" t="s">
        <v>21</v>
      </c>
      <c r="L3410" s="7">
        <v>39852.710462962961</v>
      </c>
      <c r="M3410" s="12" t="s">
        <v>5684</v>
      </c>
      <c r="N3410" s="12" t="s">
        <v>5685</v>
      </c>
      <c r="O3410" s="10" t="str">
        <f>HYPERLINK("https://pbs.twimg.com/profile_images/704295347397517313/qrZSEZ4E_normal.jpg","View")</f>
        <v>View</v>
      </c>
      <c r="P3410" s="11"/>
    </row>
    <row r="3411" spans="1:16" ht="12.75" x14ac:dyDescent="0.35">
      <c r="A3411" s="7">
        <v>42485.410520833335</v>
      </c>
      <c r="B3411" s="8" t="str">
        <f>HYPERLINK("https://twitter.com/INDIZbot","@INDIZbot")</f>
        <v>@INDIZbot</v>
      </c>
      <c r="C3411" s="9" t="s">
        <v>61</v>
      </c>
      <c r="D3411" s="9" t="s">
        <v>5686</v>
      </c>
      <c r="E3411" s="10" t="str">
        <f>HYPERLINK("https://twitter.com/INDIZbot/status/724453166251651072","724453166251651072")</f>
        <v>724453166251651072</v>
      </c>
      <c r="F3411" s="11" t="s">
        <v>62</v>
      </c>
      <c r="G3411" s="11">
        <v>1794</v>
      </c>
      <c r="H3411" s="11">
        <v>482</v>
      </c>
      <c r="I3411" s="11">
        <v>3</v>
      </c>
      <c r="J3411" s="11">
        <v>0</v>
      </c>
      <c r="K3411" s="11" t="s">
        <v>21</v>
      </c>
      <c r="L3411" s="7">
        <v>42267.011921296296</v>
      </c>
      <c r="M3411" s="12"/>
      <c r="N3411" s="12" t="s">
        <v>63</v>
      </c>
      <c r="O3411" s="10" t="str">
        <f>HYPERLINK("https://pbs.twimg.com/profile_images/645716711723925506/t5G0qOS6_normal.jpg","View")</f>
        <v>View</v>
      </c>
      <c r="P3411" s="11"/>
    </row>
    <row r="3412" spans="1:16" ht="12.75" x14ac:dyDescent="0.35">
      <c r="A3412" s="7">
        <v>42485.412870370375</v>
      </c>
      <c r="B3412" s="8" t="str">
        <f>HYPERLINK("https://twitter.com/MartinGaedt","@MartinGaedt")</f>
        <v>@MartinGaedt</v>
      </c>
      <c r="C3412" s="9" t="s">
        <v>1296</v>
      </c>
      <c r="D3412" s="9" t="s">
        <v>5686</v>
      </c>
      <c r="E3412" s="10" t="str">
        <f>HYPERLINK("https://twitter.com/MartinGaedt/status/724454020455247872","724454020455247872")</f>
        <v>724454020455247872</v>
      </c>
      <c r="F3412" s="11" t="s">
        <v>25</v>
      </c>
      <c r="G3412" s="11">
        <v>5382</v>
      </c>
      <c r="H3412" s="11">
        <v>5920</v>
      </c>
      <c r="I3412" s="11">
        <v>3</v>
      </c>
      <c r="J3412" s="11">
        <v>0</v>
      </c>
      <c r="K3412" s="11" t="s">
        <v>21</v>
      </c>
      <c r="L3412" s="7">
        <v>39938.908993055556</v>
      </c>
      <c r="M3412" s="12" t="s">
        <v>1297</v>
      </c>
      <c r="N3412" s="12" t="s">
        <v>1298</v>
      </c>
      <c r="O3412" s="10" t="str">
        <f>HYPERLINK("https://pbs.twimg.com/profile_images/709444980553740288/Xds-Aan6_normal.jpg","View")</f>
        <v>View</v>
      </c>
      <c r="P3412" s="11"/>
    </row>
    <row r="3413" spans="1:16" ht="12.75" x14ac:dyDescent="0.35">
      <c r="A3413" s="7">
        <v>42485.414733796293</v>
      </c>
      <c r="B3413" s="8" t="str">
        <f>HYPERLINK("https://twitter.com/peterunterwegs","@peterunterwegs")</f>
        <v>@peterunterwegs</v>
      </c>
      <c r="C3413" s="9" t="s">
        <v>5687</v>
      </c>
      <c r="D3413" s="9" t="s">
        <v>5686</v>
      </c>
      <c r="E3413" s="10" t="str">
        <f>HYPERLINK("https://twitter.com/peterunterwegs/status/724454695473930240","724454695473930240")</f>
        <v>724454695473930240</v>
      </c>
      <c r="F3413" s="11" t="s">
        <v>31</v>
      </c>
      <c r="G3413" s="11">
        <v>733</v>
      </c>
      <c r="H3413" s="11">
        <v>2070</v>
      </c>
      <c r="I3413" s="11">
        <v>3</v>
      </c>
      <c r="J3413" s="11">
        <v>0</v>
      </c>
      <c r="K3413" s="11" t="s">
        <v>21</v>
      </c>
      <c r="L3413" s="7">
        <v>40952.840162037035</v>
      </c>
      <c r="M3413" s="12"/>
      <c r="N3413" s="12"/>
      <c r="O3413" s="10" t="str">
        <f>HYPERLINK("https://pbs.twimg.com/profile_images/2181738359/080823016_normal.jpg","View")</f>
        <v>View</v>
      </c>
      <c r="P3413" s="11"/>
    </row>
    <row r="3414" spans="1:16" ht="12.75" x14ac:dyDescent="0.35">
      <c r="A3414" s="7">
        <v>42485.416979166665</v>
      </c>
      <c r="B3414" s="8" t="str">
        <f>HYPERLINK("https://twitter.com/PwC_France","@PwC_France")</f>
        <v>@PwC_France</v>
      </c>
      <c r="C3414" s="9" t="s">
        <v>97</v>
      </c>
      <c r="D3414" s="9" t="s">
        <v>5688</v>
      </c>
      <c r="E3414" s="10" t="str">
        <f>HYPERLINK("https://twitter.com/PwC_France/status/724455508401360899","724455508401360899")</f>
        <v>724455508401360899</v>
      </c>
      <c r="F3414" s="11" t="s">
        <v>39</v>
      </c>
      <c r="G3414" s="11">
        <v>8589</v>
      </c>
      <c r="H3414" s="11">
        <v>345</v>
      </c>
      <c r="I3414" s="11">
        <v>0</v>
      </c>
      <c r="J3414" s="11">
        <v>0</v>
      </c>
      <c r="K3414" s="11" t="s">
        <v>21</v>
      </c>
      <c r="L3414" s="7">
        <v>39988.737199074072</v>
      </c>
      <c r="M3414" s="12"/>
      <c r="N3414" s="12" t="s">
        <v>99</v>
      </c>
      <c r="O3414" s="10" t="str">
        <f>HYPERLINK("https://pbs.twimg.com/profile_images/623103587527344128/2HZGdh68_normal.png","View")</f>
        <v>View</v>
      </c>
      <c r="P3414" s="11"/>
    </row>
    <row r="3415" spans="1:16" ht="12.75" x14ac:dyDescent="0.35">
      <c r="A3415" s="7">
        <v>42485.418240740742</v>
      </c>
      <c r="B3415" s="8" t="str">
        <f>HYPERLINK("https://twitter.com/ProdMgrNet","@ProdMgrNet")</f>
        <v>@ProdMgrNet</v>
      </c>
      <c r="C3415" s="9" t="s">
        <v>2698</v>
      </c>
      <c r="D3415" s="9" t="s">
        <v>5689</v>
      </c>
      <c r="E3415" s="10" t="str">
        <f>HYPERLINK("https://twitter.com/ProdMgrNet/status/724455966511607808","724455966511607808")</f>
        <v>724455966511607808</v>
      </c>
      <c r="F3415" s="11" t="s">
        <v>29</v>
      </c>
      <c r="G3415" s="11">
        <v>406</v>
      </c>
      <c r="H3415" s="11">
        <v>389</v>
      </c>
      <c r="I3415" s="11">
        <v>1</v>
      </c>
      <c r="J3415" s="11">
        <v>0</v>
      </c>
      <c r="K3415" s="11" t="s">
        <v>21</v>
      </c>
      <c r="L3415" s="7">
        <v>40333.69</v>
      </c>
      <c r="M3415" s="12" t="s">
        <v>2105</v>
      </c>
      <c r="N3415" s="12" t="s">
        <v>2700</v>
      </c>
      <c r="O3415" s="10" t="str">
        <f>HYPERLINK("https://pbs.twimg.com/profile_images/1336102736/AR69190_normal.jpg","View")</f>
        <v>View</v>
      </c>
      <c r="P3415" s="11"/>
    </row>
    <row r="3416" spans="1:16" ht="12.75" x14ac:dyDescent="0.35">
      <c r="A3416" s="7">
        <v>42485.420219907406</v>
      </c>
      <c r="B3416" s="8" t="str">
        <f>HYPERLINK("https://twitter.com/Imaraqa","@Imaraqa")</f>
        <v>@Imaraqa</v>
      </c>
      <c r="C3416" s="9" t="s">
        <v>5690</v>
      </c>
      <c r="D3416" s="9" t="s">
        <v>5691</v>
      </c>
      <c r="E3416" s="10" t="str">
        <f>HYPERLINK("https://twitter.com/Imaraqa/status/724456683649511424","724456683649511424")</f>
        <v>724456683649511424</v>
      </c>
      <c r="F3416" s="11" t="s">
        <v>31</v>
      </c>
      <c r="G3416" s="11">
        <v>381</v>
      </c>
      <c r="H3416" s="11">
        <v>527</v>
      </c>
      <c r="I3416" s="11">
        <v>1</v>
      </c>
      <c r="J3416" s="11">
        <v>0</v>
      </c>
      <c r="K3416" s="11" t="s">
        <v>21</v>
      </c>
      <c r="L3416" s="7">
        <v>40234.091724537036</v>
      </c>
      <c r="M3416" s="12"/>
      <c r="N3416" s="12"/>
      <c r="O3416" s="10" t="str">
        <f>HYPERLINK("https://pbs.twimg.com/profile_images/537463766422548481/ZHC2PBM5_normal.jpeg","View")</f>
        <v>View</v>
      </c>
      <c r="P3416" s="11"/>
    </row>
    <row r="3417" spans="1:16" ht="12.75" x14ac:dyDescent="0.35">
      <c r="A3417" s="7">
        <v>42485.420358796298</v>
      </c>
      <c r="B3417" s="8" t="str">
        <f>HYPERLINK("https://twitter.com/cvoigt_roboyo","@cvoigt_roboyo")</f>
        <v>@cvoigt_roboyo</v>
      </c>
      <c r="C3417" s="9" t="s">
        <v>5692</v>
      </c>
      <c r="D3417" s="9" t="s">
        <v>5693</v>
      </c>
      <c r="E3417" s="10" t="str">
        <f>HYPERLINK("https://twitter.com/cvoigt_roboyo/status/724456731900805124","724456731900805124")</f>
        <v>724456731900805124</v>
      </c>
      <c r="F3417" s="11" t="s">
        <v>20</v>
      </c>
      <c r="G3417" s="11">
        <v>37</v>
      </c>
      <c r="H3417" s="11">
        <v>120</v>
      </c>
      <c r="I3417" s="11">
        <v>0</v>
      </c>
      <c r="J3417" s="11">
        <v>0</v>
      </c>
      <c r="K3417" s="11" t="s">
        <v>21</v>
      </c>
      <c r="L3417" s="7">
        <v>42422.968518518523</v>
      </c>
      <c r="M3417" s="12" t="s">
        <v>3950</v>
      </c>
      <c r="N3417" s="12" t="s">
        <v>5694</v>
      </c>
      <c r="O3417" s="10" t="str">
        <f>HYPERLINK("https://pbs.twimg.com/profile_images/706919062929084416/L4kA2Li8_normal.jpg","View")</f>
        <v>View</v>
      </c>
      <c r="P3417" s="11"/>
    </row>
    <row r="3418" spans="1:16" ht="12.75" x14ac:dyDescent="0.35">
      <c r="A3418" s="7">
        <v>42485.424178240741</v>
      </c>
      <c r="B3418" s="8" t="str">
        <f>HYPERLINK("https://twitter.com/H_IT_D","@H_IT_D")</f>
        <v>@H_IT_D</v>
      </c>
      <c r="C3418" s="9" t="s">
        <v>159</v>
      </c>
      <c r="D3418" s="9" t="s">
        <v>5695</v>
      </c>
      <c r="E3418" s="10" t="str">
        <f>HYPERLINK("https://twitter.com/H_IT_D/status/724458115295383553","724458115295383553")</f>
        <v>724458115295383553</v>
      </c>
      <c r="F3418" s="11" t="s">
        <v>161</v>
      </c>
      <c r="G3418" s="11">
        <v>473</v>
      </c>
      <c r="H3418" s="11">
        <v>466</v>
      </c>
      <c r="I3418" s="11">
        <v>0</v>
      </c>
      <c r="J3418" s="11">
        <v>0</v>
      </c>
      <c r="K3418" s="11" t="s">
        <v>21</v>
      </c>
      <c r="L3418" s="7">
        <v>40723.867673611108</v>
      </c>
      <c r="M3418" s="12" t="s">
        <v>162</v>
      </c>
      <c r="N3418" s="12" t="s">
        <v>163</v>
      </c>
      <c r="O3418" s="10" t="str">
        <f>HYPERLINK("https://pbs.twimg.com/profile_images/662723326096224256/5V4KH9_O_normal.jpg","View")</f>
        <v>View</v>
      </c>
      <c r="P3418" s="11"/>
    </row>
    <row r="3419" spans="1:16" ht="12.75" x14ac:dyDescent="0.35">
      <c r="A3419" s="7">
        <v>42485.424826388888</v>
      </c>
      <c r="B3419" s="8" t="str">
        <f>HYPERLINK("https://twitter.com/INDIZbot","@INDIZbot")</f>
        <v>@INDIZbot</v>
      </c>
      <c r="C3419" s="9" t="s">
        <v>61</v>
      </c>
      <c r="D3419" s="9" t="s">
        <v>5696</v>
      </c>
      <c r="E3419" s="10" t="str">
        <f>HYPERLINK("https://twitter.com/INDIZbot/status/724458349966823424","724458349966823424")</f>
        <v>724458349966823424</v>
      </c>
      <c r="F3419" s="11" t="s">
        <v>62</v>
      </c>
      <c r="G3419" s="11">
        <v>1794</v>
      </c>
      <c r="H3419" s="11">
        <v>482</v>
      </c>
      <c r="I3419" s="11">
        <v>1</v>
      </c>
      <c r="J3419" s="11">
        <v>0</v>
      </c>
      <c r="K3419" s="11" t="s">
        <v>21</v>
      </c>
      <c r="L3419" s="7">
        <v>42267.011921296296</v>
      </c>
      <c r="M3419" s="12"/>
      <c r="N3419" s="12" t="s">
        <v>63</v>
      </c>
      <c r="O3419" s="10" t="str">
        <f>HYPERLINK("https://pbs.twimg.com/profile_images/645716711723925506/t5G0qOS6_normal.jpg","View")</f>
        <v>View</v>
      </c>
      <c r="P3419" s="11"/>
    </row>
    <row r="3420" spans="1:16" ht="12.75" x14ac:dyDescent="0.35">
      <c r="A3420" s="7">
        <v>42485.426469907412</v>
      </c>
      <c r="B3420" s="8" t="str">
        <f>HYPERLINK("https://twitter.com/amortisat","@amortisat")</f>
        <v>@amortisat</v>
      </c>
      <c r="C3420" s="9" t="s">
        <v>5697</v>
      </c>
      <c r="D3420" s="9" t="s">
        <v>5698</v>
      </c>
      <c r="E3420" s="10" t="str">
        <f>HYPERLINK("https://twitter.com/amortisat/status/724458946296176640","724458946296176640")</f>
        <v>724458946296176640</v>
      </c>
      <c r="F3420" s="11" t="s">
        <v>20</v>
      </c>
      <c r="G3420" s="11">
        <v>191</v>
      </c>
      <c r="H3420" s="11">
        <v>238</v>
      </c>
      <c r="I3420" s="11">
        <v>0</v>
      </c>
      <c r="J3420" s="11">
        <v>0</v>
      </c>
      <c r="K3420" s="11" t="s">
        <v>21</v>
      </c>
      <c r="L3420" s="7">
        <v>40194.111435185187</v>
      </c>
      <c r="M3420" s="12" t="s">
        <v>5699</v>
      </c>
      <c r="N3420" s="12" t="s">
        <v>5700</v>
      </c>
      <c r="O3420" s="10" t="str">
        <f>HYPERLINK("https://pbs.twimg.com/profile_images/491969100977954816/_r5shUkP_normal.png","View")</f>
        <v>View</v>
      </c>
      <c r="P3420" s="11"/>
    </row>
    <row r="3421" spans="1:16" ht="12.75" x14ac:dyDescent="0.35">
      <c r="A3421" s="7">
        <v>42485.430243055554</v>
      </c>
      <c r="B3421" s="8" t="str">
        <f>HYPERLINK("https://twitter.com/Ahmed_Adel","@Ahmed_Adel")</f>
        <v>@Ahmed_Adel</v>
      </c>
      <c r="C3421" s="9" t="s">
        <v>5701</v>
      </c>
      <c r="D3421" s="9" t="s">
        <v>5702</v>
      </c>
      <c r="E3421" s="10" t="str">
        <f>HYPERLINK("https://twitter.com/Ahmed_Adel/status/724460316038434818","724460316038434818")</f>
        <v>724460316038434818</v>
      </c>
      <c r="F3421" s="11" t="s">
        <v>25</v>
      </c>
      <c r="G3421" s="11">
        <v>5555</v>
      </c>
      <c r="H3421" s="11">
        <v>3068</v>
      </c>
      <c r="I3421" s="11">
        <v>1</v>
      </c>
      <c r="J3421" s="11">
        <v>1</v>
      </c>
      <c r="K3421" s="11" t="s">
        <v>21</v>
      </c>
      <c r="L3421" s="7">
        <v>39225.733287037037</v>
      </c>
      <c r="M3421" s="12" t="s">
        <v>5703</v>
      </c>
      <c r="N3421" s="12" t="s">
        <v>5704</v>
      </c>
      <c r="O3421" s="10" t="str">
        <f>HYPERLINK("https://pbs.twimg.com/profile_images/623408883063631872/6sdKJAKP_normal.jpg","View")</f>
        <v>View</v>
      </c>
      <c r="P3421" s="11"/>
    </row>
    <row r="3422" spans="1:16" ht="12.75" x14ac:dyDescent="0.35">
      <c r="A3422" s="7">
        <v>42485.431099537032</v>
      </c>
      <c r="B3422" s="8" t="str">
        <f>HYPERLINK("https://twitter.com/stratadatalabs","@stratadatalabs")</f>
        <v>@stratadatalabs</v>
      </c>
      <c r="C3422" s="9" t="s">
        <v>5705</v>
      </c>
      <c r="D3422" s="9" t="s">
        <v>5706</v>
      </c>
      <c r="E3422" s="10" t="str">
        <f>HYPERLINK("https://twitter.com/stratadatalabs/status/724460623153737728","724460623153737728")</f>
        <v>724460623153737728</v>
      </c>
      <c r="F3422" s="11" t="s">
        <v>5707</v>
      </c>
      <c r="G3422" s="11">
        <v>65</v>
      </c>
      <c r="H3422" s="11">
        <v>299</v>
      </c>
      <c r="I3422" s="11">
        <v>1</v>
      </c>
      <c r="J3422" s="11">
        <v>0</v>
      </c>
      <c r="K3422" s="11" t="s">
        <v>21</v>
      </c>
      <c r="L3422" s="7">
        <v>42331.687569444446</v>
      </c>
      <c r="M3422" s="12" t="s">
        <v>5708</v>
      </c>
      <c r="N3422" s="12"/>
      <c r="O3422" s="10" t="str">
        <f>HYPERLINK("https://pbs.twimg.com/profile_images/711547897683300352/jXMuRekr_normal.jpg","View")</f>
        <v>View</v>
      </c>
      <c r="P3422" s="11"/>
    </row>
    <row r="3423" spans="1:16" ht="12.75" x14ac:dyDescent="0.35">
      <c r="A3423" s="7">
        <v>42485.438703703709</v>
      </c>
      <c r="B3423" s="8" t="str">
        <f>HYPERLINK("https://twitter.com/INDIZbot","@INDIZbot")</f>
        <v>@INDIZbot</v>
      </c>
      <c r="C3423" s="9" t="s">
        <v>61</v>
      </c>
      <c r="D3423" s="9" t="s">
        <v>5709</v>
      </c>
      <c r="E3423" s="10" t="str">
        <f>HYPERLINK("https://twitter.com/INDIZbot/status/724463380942204928","724463380942204928")</f>
        <v>724463380942204928</v>
      </c>
      <c r="F3423" s="11" t="s">
        <v>62</v>
      </c>
      <c r="G3423" s="11">
        <v>1794</v>
      </c>
      <c r="H3423" s="11">
        <v>482</v>
      </c>
      <c r="I3423" s="11">
        <v>1</v>
      </c>
      <c r="J3423" s="11">
        <v>0</v>
      </c>
      <c r="K3423" s="11" t="s">
        <v>21</v>
      </c>
      <c r="L3423" s="7">
        <v>42267.011921296296</v>
      </c>
      <c r="M3423" s="12"/>
      <c r="N3423" s="12" t="s">
        <v>63</v>
      </c>
      <c r="O3423" s="10" t="str">
        <f>HYPERLINK("https://pbs.twimg.com/profile_images/645716711723925506/t5G0qOS6_normal.jpg","View")</f>
        <v>View</v>
      </c>
      <c r="P3423" s="11"/>
    </row>
    <row r="3424" spans="1:16" ht="12.75" x14ac:dyDescent="0.35">
      <c r="A3424" s="7">
        <v>42485.440057870372</v>
      </c>
      <c r="B3424" s="8" t="str">
        <f>HYPERLINK("https://twitter.com/hjvsch","@hjvsch")</f>
        <v>@hjvsch</v>
      </c>
      <c r="C3424" s="9" t="s">
        <v>480</v>
      </c>
      <c r="D3424" s="9" t="s">
        <v>2809</v>
      </c>
      <c r="E3424" s="10" t="str">
        <f>HYPERLINK("https://twitter.com/hjvsch/status/724463870178414592","724463870178414592")</f>
        <v>724463870178414592</v>
      </c>
      <c r="F3424" s="11" t="s">
        <v>31</v>
      </c>
      <c r="G3424" s="11">
        <v>915</v>
      </c>
      <c r="H3424" s="11">
        <v>1381</v>
      </c>
      <c r="I3424" s="11">
        <v>1</v>
      </c>
      <c r="J3424" s="11">
        <v>0</v>
      </c>
      <c r="K3424" s="11" t="s">
        <v>21</v>
      </c>
      <c r="L3424" s="7">
        <v>42430.610173611116</v>
      </c>
      <c r="M3424" s="12" t="s">
        <v>481</v>
      </c>
      <c r="N3424" s="12" t="s">
        <v>482</v>
      </c>
      <c r="O3424" s="10" t="str">
        <f>HYPERLINK("https://pbs.twimg.com/profile_images/704596570717683712/S63wpVif_normal.jpg","View")</f>
        <v>View</v>
      </c>
      <c r="P3424" s="11"/>
    </row>
    <row r="3425" spans="1:16" ht="12.75" x14ac:dyDescent="0.35">
      <c r="A3425" s="7">
        <v>42485.441342592589</v>
      </c>
      <c r="B3425" s="8" t="str">
        <f>HYPERLINK("https://twitter.com/EVM_dk","@EVM_dk")</f>
        <v>@EVM_dk</v>
      </c>
      <c r="C3425" s="9" t="s">
        <v>5710</v>
      </c>
      <c r="D3425" s="9" t="s">
        <v>5711</v>
      </c>
      <c r="E3425" s="10" t="str">
        <f>HYPERLINK("https://twitter.com/EVM_dk/status/724464334991155200","724464334991155200")</f>
        <v>724464334991155200</v>
      </c>
      <c r="F3425" s="11" t="s">
        <v>115</v>
      </c>
      <c r="G3425" s="11">
        <v>1471</v>
      </c>
      <c r="H3425" s="11">
        <v>648</v>
      </c>
      <c r="I3425" s="11">
        <v>1</v>
      </c>
      <c r="J3425" s="11">
        <v>2</v>
      </c>
      <c r="K3425" s="11" t="s">
        <v>21</v>
      </c>
      <c r="L3425" s="7">
        <v>41381.551145833335</v>
      </c>
      <c r="M3425" s="12" t="s">
        <v>5712</v>
      </c>
      <c r="N3425" s="12" t="s">
        <v>5713</v>
      </c>
      <c r="O3425" s="10" t="str">
        <f>HYPERLINK("https://pbs.twimg.com/profile_images/664791397116026880/JzTJUnHj_normal.png","View")</f>
        <v>View</v>
      </c>
      <c r="P3425" s="11"/>
    </row>
    <row r="3426" spans="1:16" ht="12.75" x14ac:dyDescent="0.35">
      <c r="A3426" s="7">
        <v>42485.443865740745</v>
      </c>
      <c r="B3426" s="8" t="str">
        <f>HYPERLINK("https://twitter.com/PKwissenswertes","@PKwissenswertes")</f>
        <v>@PKwissenswertes</v>
      </c>
      <c r="C3426" s="9" t="s">
        <v>5714</v>
      </c>
      <c r="D3426" s="9" t="s">
        <v>5231</v>
      </c>
      <c r="E3426" s="10" t="str">
        <f>HYPERLINK("https://twitter.com/PKwissenswertes/status/724465252755185665","724465252755185665")</f>
        <v>724465252755185665</v>
      </c>
      <c r="F3426" s="11" t="s">
        <v>20</v>
      </c>
      <c r="G3426" s="11">
        <v>110</v>
      </c>
      <c r="H3426" s="11">
        <v>325</v>
      </c>
      <c r="I3426" s="11">
        <v>3</v>
      </c>
      <c r="J3426" s="11">
        <v>0</v>
      </c>
      <c r="K3426" s="11" t="s">
        <v>21</v>
      </c>
      <c r="L3426" s="7">
        <v>41459.69672453704</v>
      </c>
      <c r="M3426" s="12" t="s">
        <v>2792</v>
      </c>
      <c r="N3426" s="12" t="s">
        <v>5715</v>
      </c>
      <c r="O3426" s="10" t="str">
        <f>HYPERLINK("https://pbs.twimg.com/profile_images/563972137573441536/oLvWhcKJ_normal.jpeg","View")</f>
        <v>View</v>
      </c>
      <c r="P3426" s="11"/>
    </row>
    <row r="3427" spans="1:16" ht="12.75" x14ac:dyDescent="0.35">
      <c r="A3427" s="7">
        <v>42485.447453703702</v>
      </c>
      <c r="B3427" s="8" t="str">
        <f>HYPERLINK("https://twitter.com/juliewillemoe","@juliewillemoe")</f>
        <v>@juliewillemoe</v>
      </c>
      <c r="C3427" s="9" t="s">
        <v>5716</v>
      </c>
      <c r="D3427" s="9" t="s">
        <v>5717</v>
      </c>
      <c r="E3427" s="10" t="str">
        <f>HYPERLINK("https://twitter.com/juliewillemoe/status/724466553341784065","724466553341784065")</f>
        <v>724466553341784065</v>
      </c>
      <c r="F3427" s="11" t="s">
        <v>29</v>
      </c>
      <c r="G3427" s="11">
        <v>123</v>
      </c>
      <c r="H3427" s="11">
        <v>212</v>
      </c>
      <c r="I3427" s="11">
        <v>1</v>
      </c>
      <c r="J3427" s="11">
        <v>0</v>
      </c>
      <c r="K3427" s="11" t="s">
        <v>21</v>
      </c>
      <c r="L3427" s="7">
        <v>40420.766053240739</v>
      </c>
      <c r="M3427" s="12" t="s">
        <v>5718</v>
      </c>
      <c r="N3427" s="12" t="s">
        <v>5719</v>
      </c>
      <c r="O3427" s="10" t="str">
        <f>HYPERLINK("https://pbs.twimg.com/profile_images/514702909749985282/EneB6HL2_normal.jpeg","View")</f>
        <v>View</v>
      </c>
      <c r="P3427" s="11"/>
    </row>
    <row r="3428" spans="1:16" ht="12.75" x14ac:dyDescent="0.35">
      <c r="A3428" s="7">
        <v>42485.453645833331</v>
      </c>
      <c r="B3428" s="8" t="str">
        <f>HYPERLINK("https://twitter.com/3dindustries","@3dindustries")</f>
        <v>@3dindustries</v>
      </c>
      <c r="C3428" s="9" t="s">
        <v>5720</v>
      </c>
      <c r="D3428" s="9" t="s">
        <v>5721</v>
      </c>
      <c r="E3428" s="10" t="str">
        <f>HYPERLINK("https://twitter.com/3dindustries/status/724468793884422144","724468793884422144")</f>
        <v>724468793884422144</v>
      </c>
      <c r="F3428" s="11" t="s">
        <v>20</v>
      </c>
      <c r="G3428" s="11">
        <v>1978</v>
      </c>
      <c r="H3428" s="11">
        <v>288</v>
      </c>
      <c r="I3428" s="11">
        <v>1</v>
      </c>
      <c r="J3428" s="11">
        <v>0</v>
      </c>
      <c r="K3428" s="11" t="s">
        <v>21</v>
      </c>
      <c r="L3428" s="7">
        <v>41100.858680555553</v>
      </c>
      <c r="M3428" s="12" t="s">
        <v>3829</v>
      </c>
      <c r="N3428" s="12" t="s">
        <v>5722</v>
      </c>
      <c r="O3428" s="10" t="str">
        <f>HYPERLINK("https://pbs.twimg.com/profile_images/2411691224/dqzws5vy52cahjax24gk_normal.jpeg","View")</f>
        <v>View</v>
      </c>
      <c r="P3428" s="11"/>
    </row>
    <row r="3429" spans="1:16" ht="12.75" x14ac:dyDescent="0.35">
      <c r="A3429" s="7">
        <v>42485.453946759255</v>
      </c>
      <c r="B3429" s="8" t="str">
        <f>HYPERLINK("https://twitter.com/DruckWege","@DruckWege")</f>
        <v>@DruckWege</v>
      </c>
      <c r="C3429" s="9" t="s">
        <v>5723</v>
      </c>
      <c r="D3429" s="9" t="s">
        <v>5724</v>
      </c>
      <c r="E3429" s="10" t="str">
        <f>HYPERLINK("https://twitter.com/DruckWege/status/724468906463768576","724468906463768576")</f>
        <v>724468906463768576</v>
      </c>
      <c r="F3429" s="11" t="s">
        <v>25</v>
      </c>
      <c r="G3429" s="11">
        <v>104</v>
      </c>
      <c r="H3429" s="11">
        <v>211</v>
      </c>
      <c r="I3429" s="11">
        <v>0</v>
      </c>
      <c r="J3429" s="11">
        <v>0</v>
      </c>
      <c r="K3429" s="11" t="s">
        <v>21</v>
      </c>
      <c r="L3429" s="7">
        <v>41993.914340277777</v>
      </c>
      <c r="M3429" s="12" t="s">
        <v>2731</v>
      </c>
      <c r="N3429" s="12" t="s">
        <v>5725</v>
      </c>
      <c r="O3429" s="10" t="str">
        <f>HYPERLINK("https://pbs.twimg.com/profile_images/546342267875643393/j-IahLSz_normal.png","View")</f>
        <v>View</v>
      </c>
      <c r="P3429" s="11"/>
    </row>
    <row r="3430" spans="1:16" ht="12.75" x14ac:dyDescent="0.35">
      <c r="A3430" s="7">
        <v>42485.45447916667</v>
      </c>
      <c r="B3430" s="8" t="str">
        <f>HYPERLINK("https://twitter.com/ToreKeller","@ToreKeller")</f>
        <v>@ToreKeller</v>
      </c>
      <c r="C3430" s="9" t="s">
        <v>5726</v>
      </c>
      <c r="D3430" s="9" t="s">
        <v>5717</v>
      </c>
      <c r="E3430" s="10" t="str">
        <f>HYPERLINK("https://twitter.com/ToreKeller/status/724469097367502848","724469097367502848")</f>
        <v>724469097367502848</v>
      </c>
      <c r="F3430" s="11" t="s">
        <v>29</v>
      </c>
      <c r="G3430" s="11">
        <v>2150</v>
      </c>
      <c r="H3430" s="11">
        <v>998</v>
      </c>
      <c r="I3430" s="11">
        <v>2</v>
      </c>
      <c r="J3430" s="11">
        <v>0</v>
      </c>
      <c r="K3430" s="11" t="s">
        <v>21</v>
      </c>
      <c r="L3430" s="7">
        <v>40226.670127314814</v>
      </c>
      <c r="M3430" s="12" t="s">
        <v>5727</v>
      </c>
      <c r="N3430" s="12" t="s">
        <v>5728</v>
      </c>
      <c r="O3430" s="10" t="str">
        <f>HYPERLINK("https://pbs.twimg.com/profile_images/722335308587667456/D9WBDm85_normal.jpg","View")</f>
        <v>View</v>
      </c>
      <c r="P3430" s="11"/>
    </row>
    <row r="3431" spans="1:16" ht="12.75" x14ac:dyDescent="0.35">
      <c r="A3431" s="7">
        <v>42485.454606481479</v>
      </c>
      <c r="B3431" s="8" t="str">
        <f>HYPERLINK("https://twitter.com/3D_Genuity","@3D_Genuity")</f>
        <v>@3D_Genuity</v>
      </c>
      <c r="C3431" s="9" t="s">
        <v>169</v>
      </c>
      <c r="D3431" s="9" t="s">
        <v>5729</v>
      </c>
      <c r="E3431" s="10" t="str">
        <f>HYPERLINK("https://twitter.com/3D_Genuity/status/724469143529992192","724469143529992192")</f>
        <v>724469143529992192</v>
      </c>
      <c r="F3431" s="11" t="s">
        <v>171</v>
      </c>
      <c r="G3431" s="11">
        <v>4389</v>
      </c>
      <c r="H3431" s="11">
        <v>3078</v>
      </c>
      <c r="I3431" s="11">
        <v>1</v>
      </c>
      <c r="J3431" s="11">
        <v>0</v>
      </c>
      <c r="K3431" s="11" t="s">
        <v>21</v>
      </c>
      <c r="L3431" s="7">
        <v>41935.914918981478</v>
      </c>
      <c r="M3431" s="12"/>
      <c r="N3431" s="12" t="s">
        <v>172</v>
      </c>
      <c r="O3431" s="10" t="str">
        <f>HYPERLINK("https://pbs.twimg.com/profile_images/525336344407453696/5YpBXTz6_normal.jpeg","View")</f>
        <v>View</v>
      </c>
      <c r="P3431" s="11"/>
    </row>
    <row r="3432" spans="1:16" ht="12.75" x14ac:dyDescent="0.35">
      <c r="A3432" s="7">
        <v>42485.455324074079</v>
      </c>
      <c r="B3432" s="8" t="str">
        <f>HYPERLINK("https://twitter.com/NaciraSALVAN","@NaciraSALVAN")</f>
        <v>@NaciraSALVAN</v>
      </c>
      <c r="C3432" s="9" t="s">
        <v>5730</v>
      </c>
      <c r="D3432" s="9" t="s">
        <v>5691</v>
      </c>
      <c r="E3432" s="10" t="str">
        <f>HYPERLINK("https://twitter.com/NaciraSALVAN/status/724469404352806912","724469404352806912")</f>
        <v>724469404352806912</v>
      </c>
      <c r="F3432" s="11" t="s">
        <v>20</v>
      </c>
      <c r="G3432" s="11">
        <v>81</v>
      </c>
      <c r="H3432" s="11">
        <v>188</v>
      </c>
      <c r="I3432" s="11">
        <v>2</v>
      </c>
      <c r="J3432" s="11">
        <v>0</v>
      </c>
      <c r="K3432" s="11" t="s">
        <v>21</v>
      </c>
      <c r="L3432" s="7">
        <v>41259.564247685186</v>
      </c>
      <c r="M3432" s="12"/>
      <c r="N3432" s="12"/>
      <c r="O3432" s="10" t="str">
        <f>HYPERLINK("https://pbs.twimg.com/profile_images/717605975033831424/z66K0Oon_normal.jpg","View")</f>
        <v>View</v>
      </c>
      <c r="P3432" s="11"/>
    </row>
    <row r="3433" spans="1:16" ht="12.75" x14ac:dyDescent="0.35">
      <c r="A3433" s="7">
        <v>42485.455370370371</v>
      </c>
      <c r="B3433" s="8" t="str">
        <f>HYPERLINK("https://twitter.com/LReehten","@LReehten")</f>
        <v>@LReehten</v>
      </c>
      <c r="C3433" s="9" t="s">
        <v>1998</v>
      </c>
      <c r="D3433" s="9" t="s">
        <v>5731</v>
      </c>
      <c r="E3433" s="10" t="str">
        <f>HYPERLINK("https://twitter.com/LReehten/status/724469421293604864","724469421293604864")</f>
        <v>724469421293604864</v>
      </c>
      <c r="F3433" s="11" t="s">
        <v>29</v>
      </c>
      <c r="G3433" s="11">
        <v>2344</v>
      </c>
      <c r="H3433" s="11">
        <v>2859</v>
      </c>
      <c r="I3433" s="11">
        <v>1</v>
      </c>
      <c r="J3433" s="11">
        <v>0</v>
      </c>
      <c r="K3433" s="11" t="s">
        <v>21</v>
      </c>
      <c r="L3433" s="7">
        <v>41618.817071759258</v>
      </c>
      <c r="M3433" s="12"/>
      <c r="N3433" s="12" t="s">
        <v>2000</v>
      </c>
      <c r="O3433" s="10" t="str">
        <f>HYPERLINK("https://pbs.twimg.com/profile_images/623849156159868928/BetFDR_i_normal.jpg","View")</f>
        <v>View</v>
      </c>
      <c r="P3433" s="11"/>
    </row>
    <row r="3434" spans="1:16" ht="12.75" x14ac:dyDescent="0.35">
      <c r="A3434" s="7">
        <v>42485.455682870372</v>
      </c>
      <c r="B3434" s="8" t="str">
        <f>HYPERLINK("https://twitter.com/MartinGaedt","@MartinGaedt")</f>
        <v>@MartinGaedt</v>
      </c>
      <c r="C3434" s="9" t="s">
        <v>1296</v>
      </c>
      <c r="D3434" s="9" t="s">
        <v>5732</v>
      </c>
      <c r="E3434" s="10" t="str">
        <f>HYPERLINK("https://twitter.com/MartinGaedt/status/724469534254620672","724469534254620672")</f>
        <v>724469534254620672</v>
      </c>
      <c r="F3434" s="11" t="s">
        <v>25</v>
      </c>
      <c r="G3434" s="11">
        <v>5381</v>
      </c>
      <c r="H3434" s="11">
        <v>5921</v>
      </c>
      <c r="I3434" s="11">
        <v>1</v>
      </c>
      <c r="J3434" s="11">
        <v>0</v>
      </c>
      <c r="K3434" s="11" t="s">
        <v>21</v>
      </c>
      <c r="L3434" s="7">
        <v>39938.908993055556</v>
      </c>
      <c r="M3434" s="12" t="s">
        <v>1297</v>
      </c>
      <c r="N3434" s="12" t="s">
        <v>1298</v>
      </c>
      <c r="O3434" s="10" t="str">
        <f>HYPERLINK("https://pbs.twimg.com/profile_images/709444980553740288/Xds-Aan6_normal.jpg","View")</f>
        <v>View</v>
      </c>
      <c r="P3434" s="11"/>
    </row>
    <row r="3435" spans="1:16" ht="12.75" x14ac:dyDescent="0.35">
      <c r="A3435" s="11"/>
      <c r="B3435" s="9"/>
      <c r="C3435" s="9"/>
      <c r="D3435" s="9"/>
      <c r="E3435" s="11"/>
      <c r="F3435" s="11"/>
      <c r="G3435" s="11"/>
      <c r="H3435" s="11"/>
      <c r="I3435" s="11"/>
      <c r="J3435" s="11"/>
      <c r="K3435" s="11"/>
      <c r="L3435" s="11"/>
      <c r="M3435" s="12"/>
      <c r="N3435" s="12"/>
      <c r="O3435" s="11"/>
      <c r="P3435" s="11"/>
    </row>
    <row r="3436" spans="1:16" ht="12.75" x14ac:dyDescent="0.35">
      <c r="A3436" s="11"/>
      <c r="B3436" s="9"/>
      <c r="C3436" s="9"/>
      <c r="D3436" s="9"/>
      <c r="E3436" s="11"/>
      <c r="F3436" s="11"/>
      <c r="G3436" s="11"/>
      <c r="H3436" s="11"/>
      <c r="I3436" s="11"/>
      <c r="J3436" s="11"/>
      <c r="K3436" s="11"/>
      <c r="L3436" s="11"/>
      <c r="M3436" s="12"/>
      <c r="N3436" s="12"/>
      <c r="O3436" s="11"/>
      <c r="P3436" s="11"/>
    </row>
    <row r="3437" spans="1:16" ht="12.75" x14ac:dyDescent="0.35">
      <c r="A3437" s="11"/>
      <c r="B3437" s="9"/>
      <c r="C3437" s="9"/>
      <c r="D3437" s="9"/>
      <c r="E3437" s="11"/>
      <c r="F3437" s="11"/>
      <c r="G3437" s="11"/>
      <c r="H3437" s="11"/>
      <c r="I3437" s="11"/>
      <c r="J3437" s="11"/>
      <c r="K3437" s="11"/>
      <c r="L3437" s="11"/>
      <c r="M3437" s="12"/>
      <c r="N3437" s="12"/>
      <c r="O3437" s="11"/>
      <c r="P3437" s="11"/>
    </row>
    <row r="3438" spans="1:16" ht="12.75" x14ac:dyDescent="0.35">
      <c r="A3438" s="11"/>
      <c r="B3438" s="9"/>
      <c r="C3438" s="9"/>
      <c r="D3438" s="9"/>
      <c r="E3438" s="11"/>
      <c r="F3438" s="11"/>
      <c r="G3438" s="11"/>
      <c r="H3438" s="11"/>
      <c r="I3438" s="11"/>
      <c r="J3438" s="11"/>
      <c r="K3438" s="11"/>
      <c r="L3438" s="11"/>
      <c r="M3438" s="12"/>
      <c r="N3438" s="12"/>
      <c r="O3438" s="11"/>
      <c r="P3438" s="11"/>
    </row>
    <row r="3439" spans="1:16" ht="12.75" x14ac:dyDescent="0.35">
      <c r="A3439" s="11"/>
      <c r="B3439" s="9"/>
      <c r="C3439" s="9"/>
      <c r="D3439" s="9"/>
      <c r="E3439" s="11"/>
      <c r="F3439" s="11"/>
      <c r="G3439" s="11"/>
      <c r="H3439" s="11"/>
      <c r="I3439" s="11"/>
      <c r="J3439" s="11"/>
      <c r="K3439" s="11"/>
      <c r="L3439" s="11"/>
      <c r="M3439" s="12"/>
      <c r="N3439" s="12"/>
      <c r="O3439" s="11"/>
      <c r="P3439" s="11"/>
    </row>
    <row r="3440" spans="1:16" ht="12.75" x14ac:dyDescent="0.35">
      <c r="A3440" s="11"/>
      <c r="B3440" s="9"/>
      <c r="C3440" s="9"/>
      <c r="D3440" s="9"/>
      <c r="E3440" s="11"/>
      <c r="F3440" s="11"/>
      <c r="G3440" s="11"/>
      <c r="H3440" s="11"/>
      <c r="I3440" s="11"/>
      <c r="J3440" s="11"/>
      <c r="K3440" s="11"/>
      <c r="L3440" s="11"/>
      <c r="M3440" s="12"/>
      <c r="N3440" s="12"/>
      <c r="O3440" s="11"/>
      <c r="P3440" s="11"/>
    </row>
    <row r="3441" spans="1:16" ht="12.75" x14ac:dyDescent="0.35">
      <c r="A3441" s="11"/>
      <c r="B3441" s="9"/>
      <c r="C3441" s="9"/>
      <c r="D3441" s="9"/>
      <c r="E3441" s="11"/>
      <c r="F3441" s="11"/>
      <c r="G3441" s="11"/>
      <c r="H3441" s="11"/>
      <c r="I3441" s="11"/>
      <c r="J3441" s="11"/>
      <c r="K3441" s="11"/>
      <c r="L3441" s="11"/>
      <c r="M3441" s="12"/>
      <c r="N3441" s="12"/>
      <c r="O3441" s="11"/>
      <c r="P3441" s="11"/>
    </row>
    <row r="3442" spans="1:16" ht="12.75" x14ac:dyDescent="0.35">
      <c r="A3442" s="11"/>
      <c r="B3442" s="9"/>
      <c r="C3442" s="9"/>
      <c r="D3442" s="9"/>
      <c r="E3442" s="11"/>
      <c r="F3442" s="11"/>
      <c r="G3442" s="11"/>
      <c r="H3442" s="11"/>
      <c r="I3442" s="11"/>
      <c r="J3442" s="11"/>
      <c r="K3442" s="11"/>
      <c r="L3442" s="11"/>
      <c r="M3442" s="12"/>
      <c r="N3442" s="12"/>
      <c r="O3442" s="11"/>
      <c r="P3442" s="11"/>
    </row>
    <row r="3443" spans="1:16" ht="12.75" x14ac:dyDescent="0.35">
      <c r="A3443" s="11"/>
      <c r="B3443" s="9"/>
      <c r="C3443" s="9"/>
      <c r="D3443" s="9"/>
      <c r="E3443" s="11"/>
      <c r="F3443" s="11"/>
      <c r="G3443" s="11"/>
      <c r="H3443" s="11"/>
      <c r="I3443" s="11"/>
      <c r="J3443" s="11"/>
      <c r="K3443" s="11"/>
      <c r="L3443" s="11"/>
      <c r="M3443" s="12"/>
      <c r="N3443" s="12"/>
      <c r="O3443" s="11"/>
      <c r="P3443" s="11"/>
    </row>
    <row r="3444" spans="1:16" ht="12.75" x14ac:dyDescent="0.35">
      <c r="A3444" s="11"/>
      <c r="B3444" s="9"/>
      <c r="C3444" s="9"/>
      <c r="D3444" s="9"/>
      <c r="E3444" s="11"/>
      <c r="F3444" s="11"/>
      <c r="G3444" s="11"/>
      <c r="H3444" s="11"/>
      <c r="I3444" s="11"/>
      <c r="J3444" s="11"/>
      <c r="K3444" s="11"/>
      <c r="L3444" s="11"/>
      <c r="M3444" s="12"/>
      <c r="N3444" s="12"/>
      <c r="O3444" s="11"/>
      <c r="P3444" s="11"/>
    </row>
    <row r="3445" spans="1:16" ht="12.75" x14ac:dyDescent="0.35">
      <c r="A3445" s="11"/>
      <c r="B3445" s="9"/>
      <c r="C3445" s="9"/>
      <c r="D3445" s="9"/>
      <c r="E3445" s="11"/>
      <c r="F3445" s="11"/>
      <c r="G3445" s="11"/>
      <c r="H3445" s="11"/>
      <c r="I3445" s="11"/>
      <c r="J3445" s="11"/>
      <c r="K3445" s="11"/>
      <c r="L3445" s="11"/>
      <c r="M3445" s="12"/>
      <c r="N3445" s="12"/>
      <c r="O3445" s="11"/>
      <c r="P3445" s="11"/>
    </row>
    <row r="3446" spans="1:16" ht="12.75" x14ac:dyDescent="0.35">
      <c r="A3446" s="11"/>
      <c r="B3446" s="9"/>
      <c r="C3446" s="9"/>
      <c r="D3446" s="9"/>
      <c r="E3446" s="11"/>
      <c r="F3446" s="11"/>
      <c r="G3446" s="11"/>
      <c r="H3446" s="11"/>
      <c r="I3446" s="11"/>
      <c r="J3446" s="11"/>
      <c r="K3446" s="11"/>
      <c r="L3446" s="11"/>
      <c r="M3446" s="12"/>
      <c r="N3446" s="12"/>
      <c r="O3446" s="11"/>
      <c r="P3446" s="11"/>
    </row>
    <row r="3447" spans="1:16" ht="12.75" x14ac:dyDescent="0.35">
      <c r="A3447" s="11"/>
      <c r="B3447" s="9"/>
      <c r="C3447" s="9"/>
      <c r="D3447" s="9"/>
      <c r="E3447" s="11"/>
      <c r="F3447" s="11"/>
      <c r="G3447" s="11"/>
      <c r="H3447" s="11"/>
      <c r="I3447" s="11"/>
      <c r="J3447" s="11"/>
      <c r="K3447" s="11"/>
      <c r="L3447" s="11"/>
      <c r="M3447" s="12"/>
      <c r="N3447" s="12"/>
      <c r="O3447" s="11"/>
      <c r="P3447" s="11"/>
    </row>
    <row r="3448" spans="1:16" ht="12.75" x14ac:dyDescent="0.35">
      <c r="A3448" s="11"/>
      <c r="B3448" s="9"/>
      <c r="C3448" s="9"/>
      <c r="D3448" s="9"/>
      <c r="E3448" s="11"/>
      <c r="F3448" s="11"/>
      <c r="G3448" s="11"/>
      <c r="H3448" s="11"/>
      <c r="I3448" s="11"/>
      <c r="J3448" s="11"/>
      <c r="K3448" s="11"/>
      <c r="L3448" s="11"/>
      <c r="M3448" s="12"/>
      <c r="N3448" s="12"/>
      <c r="O3448" s="11"/>
      <c r="P3448" s="11"/>
    </row>
    <row r="3449" spans="1:16" ht="12.75" x14ac:dyDescent="0.35">
      <c r="A3449" s="11"/>
      <c r="B3449" s="9"/>
      <c r="C3449" s="9"/>
      <c r="D3449" s="9"/>
      <c r="E3449" s="11"/>
      <c r="F3449" s="11"/>
      <c r="G3449" s="11"/>
      <c r="H3449" s="11"/>
      <c r="I3449" s="11"/>
      <c r="J3449" s="11"/>
      <c r="K3449" s="11"/>
      <c r="L3449" s="11"/>
      <c r="M3449" s="12"/>
      <c r="N3449" s="12"/>
      <c r="O3449" s="11"/>
      <c r="P3449" s="11"/>
    </row>
    <row r="3450" spans="1:16" ht="12.75" x14ac:dyDescent="0.35">
      <c r="A3450" s="11"/>
      <c r="B3450" s="9"/>
      <c r="C3450" s="9"/>
      <c r="D3450" s="9"/>
      <c r="E3450" s="11"/>
      <c r="F3450" s="11"/>
      <c r="G3450" s="11"/>
      <c r="H3450" s="11"/>
      <c r="I3450" s="11"/>
      <c r="J3450" s="11"/>
      <c r="K3450" s="11"/>
      <c r="L3450" s="11"/>
      <c r="M3450" s="12"/>
      <c r="N3450" s="12"/>
      <c r="O3450" s="11"/>
      <c r="P3450" s="11"/>
    </row>
    <row r="3451" spans="1:16" ht="12.75" x14ac:dyDescent="0.35">
      <c r="A3451" s="11"/>
      <c r="B3451" s="9"/>
      <c r="C3451" s="9"/>
      <c r="D3451" s="9"/>
      <c r="E3451" s="11"/>
      <c r="F3451" s="11"/>
      <c r="G3451" s="11"/>
      <c r="H3451" s="11"/>
      <c r="I3451" s="11"/>
      <c r="J3451" s="11"/>
      <c r="K3451" s="11"/>
      <c r="L3451" s="11"/>
      <c r="M3451" s="12"/>
      <c r="N3451" s="12"/>
      <c r="O3451" s="11"/>
      <c r="P3451" s="11"/>
    </row>
    <row r="3452" spans="1:16" ht="12.75" x14ac:dyDescent="0.35">
      <c r="A3452" s="11"/>
      <c r="B3452" s="9"/>
      <c r="C3452" s="9"/>
      <c r="D3452" s="9"/>
      <c r="E3452" s="11"/>
      <c r="F3452" s="11"/>
      <c r="G3452" s="11"/>
      <c r="H3452" s="11"/>
      <c r="I3452" s="11"/>
      <c r="J3452" s="11"/>
      <c r="K3452" s="11"/>
      <c r="L3452" s="11"/>
      <c r="M3452" s="12"/>
      <c r="N3452" s="12"/>
      <c r="O3452" s="11"/>
      <c r="P3452" s="11"/>
    </row>
    <row r="3453" spans="1:16" ht="12.75" x14ac:dyDescent="0.35">
      <c r="A3453" s="11"/>
      <c r="B3453" s="9"/>
      <c r="C3453" s="9"/>
      <c r="D3453" s="9"/>
      <c r="E3453" s="11"/>
      <c r="F3453" s="11"/>
      <c r="G3453" s="11"/>
      <c r="H3453" s="11"/>
      <c r="I3453" s="11"/>
      <c r="J3453" s="11"/>
      <c r="K3453" s="11"/>
      <c r="L3453" s="11"/>
      <c r="M3453" s="12"/>
      <c r="N3453" s="12"/>
      <c r="O3453" s="11"/>
      <c r="P3453" s="11"/>
    </row>
    <row r="3454" spans="1:16" ht="12.75" x14ac:dyDescent="0.35">
      <c r="A3454" s="11"/>
      <c r="B3454" s="9"/>
      <c r="C3454" s="9"/>
      <c r="D3454" s="9"/>
      <c r="E3454" s="11"/>
      <c r="F3454" s="11"/>
      <c r="G3454" s="11"/>
      <c r="H3454" s="11"/>
      <c r="I3454" s="11"/>
      <c r="J3454" s="11"/>
      <c r="K3454" s="11"/>
      <c r="L3454" s="11"/>
      <c r="M3454" s="12"/>
      <c r="N3454" s="12"/>
      <c r="O3454" s="11"/>
      <c r="P3454" s="11"/>
    </row>
    <row r="3455" spans="1:16" ht="12.75" x14ac:dyDescent="0.35">
      <c r="A3455" s="11"/>
      <c r="B3455" s="9"/>
      <c r="C3455" s="9"/>
      <c r="D3455" s="9"/>
      <c r="E3455" s="11"/>
      <c r="F3455" s="11"/>
      <c r="G3455" s="11"/>
      <c r="H3455" s="11"/>
      <c r="I3455" s="11"/>
      <c r="J3455" s="11"/>
      <c r="K3455" s="11"/>
      <c r="L3455" s="11"/>
      <c r="M3455" s="12"/>
      <c r="N3455" s="12"/>
      <c r="O3455" s="11"/>
      <c r="P3455" s="11"/>
    </row>
    <row r="3456" spans="1:16" ht="12.75" x14ac:dyDescent="0.35">
      <c r="A3456" s="11"/>
      <c r="B3456" s="9"/>
      <c r="C3456" s="9"/>
      <c r="D3456" s="9"/>
      <c r="E3456" s="11"/>
      <c r="F3456" s="11"/>
      <c r="G3456" s="11"/>
      <c r="H3456" s="11"/>
      <c r="I3456" s="11"/>
      <c r="J3456" s="11"/>
      <c r="K3456" s="11"/>
      <c r="L3456" s="11"/>
      <c r="M3456" s="12"/>
      <c r="N3456" s="12"/>
      <c r="O3456" s="11"/>
      <c r="P3456" s="11"/>
    </row>
    <row r="3457" spans="1:16" ht="12.75" x14ac:dyDescent="0.35">
      <c r="A3457" s="11"/>
      <c r="B3457" s="9"/>
      <c r="C3457" s="9"/>
      <c r="D3457" s="9"/>
      <c r="E3457" s="11"/>
      <c r="F3457" s="11"/>
      <c r="G3457" s="11"/>
      <c r="H3457" s="11"/>
      <c r="I3457" s="11"/>
      <c r="J3457" s="11"/>
      <c r="K3457" s="11"/>
      <c r="L3457" s="11"/>
      <c r="M3457" s="12"/>
      <c r="N3457" s="12"/>
      <c r="O3457" s="11"/>
      <c r="P3457" s="11"/>
    </row>
    <row r="3458" spans="1:16" ht="12.75" x14ac:dyDescent="0.35">
      <c r="A3458" s="11"/>
      <c r="B3458" s="9"/>
      <c r="C3458" s="9"/>
      <c r="D3458" s="9"/>
      <c r="E3458" s="11"/>
      <c r="F3458" s="11"/>
      <c r="G3458" s="11"/>
      <c r="H3458" s="11"/>
      <c r="I3458" s="11"/>
      <c r="J3458" s="11"/>
      <c r="K3458" s="11"/>
      <c r="L3458" s="11"/>
      <c r="M3458" s="12"/>
      <c r="N3458" s="12"/>
      <c r="O3458" s="11"/>
      <c r="P3458" s="11"/>
    </row>
    <row r="3459" spans="1:16" ht="12.75" x14ac:dyDescent="0.35">
      <c r="A3459" s="11"/>
      <c r="B3459" s="9"/>
      <c r="C3459" s="9"/>
      <c r="D3459" s="9"/>
      <c r="E3459" s="11"/>
      <c r="F3459" s="11"/>
      <c r="G3459" s="11"/>
      <c r="H3459" s="11"/>
      <c r="I3459" s="11"/>
      <c r="J3459" s="11"/>
      <c r="K3459" s="11"/>
      <c r="L3459" s="11"/>
      <c r="M3459" s="12"/>
      <c r="N3459" s="12"/>
      <c r="O3459" s="11"/>
      <c r="P3459" s="11"/>
    </row>
    <row r="3460" spans="1:16" ht="12.75" x14ac:dyDescent="0.35">
      <c r="A3460" s="11"/>
      <c r="B3460" s="9"/>
      <c r="C3460" s="9"/>
      <c r="D3460" s="9"/>
      <c r="E3460" s="11"/>
      <c r="F3460" s="11"/>
      <c r="G3460" s="11"/>
      <c r="H3460" s="11"/>
      <c r="I3460" s="11"/>
      <c r="J3460" s="11"/>
      <c r="K3460" s="11"/>
      <c r="L3460" s="11"/>
      <c r="M3460" s="12"/>
      <c r="N3460" s="12"/>
      <c r="O3460" s="11"/>
      <c r="P3460" s="11"/>
    </row>
    <row r="3461" spans="1:16" ht="12.75" x14ac:dyDescent="0.35">
      <c r="A3461" s="11"/>
      <c r="B3461" s="9"/>
      <c r="C3461" s="9"/>
      <c r="D3461" s="9"/>
      <c r="E3461" s="11"/>
      <c r="F3461" s="11"/>
      <c r="G3461" s="11"/>
      <c r="H3461" s="11"/>
      <c r="I3461" s="11"/>
      <c r="J3461" s="11"/>
      <c r="K3461" s="11"/>
      <c r="L3461" s="11"/>
      <c r="M3461" s="12"/>
      <c r="N3461" s="12"/>
      <c r="O3461" s="11"/>
      <c r="P3461" s="11"/>
    </row>
    <row r="3462" spans="1:16" ht="12.75" x14ac:dyDescent="0.35">
      <c r="A3462" s="11"/>
      <c r="B3462" s="9"/>
      <c r="C3462" s="9"/>
      <c r="D3462" s="9"/>
      <c r="E3462" s="11"/>
      <c r="F3462" s="11"/>
      <c r="G3462" s="11"/>
      <c r="H3462" s="11"/>
      <c r="I3462" s="11"/>
      <c r="J3462" s="11"/>
      <c r="K3462" s="11"/>
      <c r="L3462" s="11"/>
      <c r="M3462" s="12"/>
      <c r="N3462" s="12"/>
      <c r="O3462" s="11"/>
      <c r="P3462" s="11"/>
    </row>
    <row r="3463" spans="1:16" ht="12.75" x14ac:dyDescent="0.35">
      <c r="A3463" s="11"/>
      <c r="B3463" s="9"/>
      <c r="C3463" s="9"/>
      <c r="D3463" s="9"/>
      <c r="E3463" s="11"/>
      <c r="F3463" s="11"/>
      <c r="G3463" s="11"/>
      <c r="H3463" s="11"/>
      <c r="I3463" s="11"/>
      <c r="J3463" s="11"/>
      <c r="K3463" s="11"/>
      <c r="L3463" s="11"/>
      <c r="M3463" s="12"/>
      <c r="N3463" s="12"/>
      <c r="O3463" s="11"/>
      <c r="P3463" s="11"/>
    </row>
    <row r="3464" spans="1:16" ht="12.75" x14ac:dyDescent="0.35">
      <c r="A3464" s="11"/>
      <c r="B3464" s="9"/>
      <c r="C3464" s="9"/>
      <c r="D3464" s="9"/>
      <c r="E3464" s="11"/>
      <c r="F3464" s="11"/>
      <c r="G3464" s="11"/>
      <c r="H3464" s="11"/>
      <c r="I3464" s="11"/>
      <c r="J3464" s="11"/>
      <c r="K3464" s="11"/>
      <c r="L3464" s="11"/>
      <c r="M3464" s="12"/>
      <c r="N3464" s="12"/>
      <c r="O3464" s="11"/>
      <c r="P3464" s="11"/>
    </row>
    <row r="3465" spans="1:16" ht="12.75" x14ac:dyDescent="0.35">
      <c r="A3465" s="11"/>
      <c r="B3465" s="9"/>
      <c r="C3465" s="9"/>
      <c r="D3465" s="9"/>
      <c r="E3465" s="11"/>
      <c r="F3465" s="11"/>
      <c r="G3465" s="11"/>
      <c r="H3465" s="11"/>
      <c r="I3465" s="11"/>
      <c r="J3465" s="11"/>
      <c r="K3465" s="11"/>
      <c r="L3465" s="11"/>
      <c r="M3465" s="12"/>
      <c r="N3465" s="12"/>
      <c r="O3465" s="11"/>
      <c r="P3465" s="11"/>
    </row>
    <row r="3466" spans="1:16" ht="12.75" x14ac:dyDescent="0.35">
      <c r="A3466" s="11"/>
      <c r="B3466" s="9"/>
      <c r="C3466" s="9"/>
      <c r="D3466" s="9"/>
      <c r="E3466" s="11"/>
      <c r="F3466" s="11"/>
      <c r="G3466" s="11"/>
      <c r="H3466" s="11"/>
      <c r="I3466" s="11"/>
      <c r="J3466" s="11"/>
      <c r="K3466" s="11"/>
      <c r="L3466" s="11"/>
      <c r="M3466" s="12"/>
      <c r="N3466" s="12"/>
      <c r="O3466" s="11"/>
      <c r="P3466" s="11"/>
    </row>
    <row r="3467" spans="1:16" ht="12.75" x14ac:dyDescent="0.35">
      <c r="A3467" s="11"/>
      <c r="B3467" s="9"/>
      <c r="C3467" s="9"/>
      <c r="D3467" s="9"/>
      <c r="E3467" s="11"/>
      <c r="F3467" s="11"/>
      <c r="G3467" s="11"/>
      <c r="H3467" s="11"/>
      <c r="I3467" s="11"/>
      <c r="J3467" s="11"/>
      <c r="K3467" s="11"/>
      <c r="L3467" s="11"/>
      <c r="M3467" s="12"/>
      <c r="N3467" s="12"/>
      <c r="O3467" s="11"/>
      <c r="P3467" s="11"/>
    </row>
    <row r="3468" spans="1:16" ht="12.75" x14ac:dyDescent="0.35">
      <c r="A3468" s="11"/>
      <c r="B3468" s="9"/>
      <c r="C3468" s="9"/>
      <c r="D3468" s="9"/>
      <c r="E3468" s="11"/>
      <c r="F3468" s="11"/>
      <c r="G3468" s="11"/>
      <c r="H3468" s="11"/>
      <c r="I3468" s="11"/>
      <c r="J3468" s="11"/>
      <c r="K3468" s="11"/>
      <c r="L3468" s="11"/>
      <c r="M3468" s="12"/>
      <c r="N3468" s="12"/>
      <c r="O3468" s="11"/>
      <c r="P3468" s="11"/>
    </row>
    <row r="3469" spans="1:16" ht="12.75" x14ac:dyDescent="0.35">
      <c r="A3469" s="11"/>
      <c r="B3469" s="9"/>
      <c r="C3469" s="9"/>
      <c r="D3469" s="9"/>
      <c r="E3469" s="11"/>
      <c r="F3469" s="11"/>
      <c r="G3469" s="11"/>
      <c r="H3469" s="11"/>
      <c r="I3469" s="11"/>
      <c r="J3469" s="11"/>
      <c r="K3469" s="11"/>
      <c r="L3469" s="11"/>
      <c r="M3469" s="12"/>
      <c r="N3469" s="12"/>
      <c r="O3469" s="11"/>
      <c r="P3469" s="11"/>
    </row>
    <row r="3470" spans="1:16" ht="12.75" x14ac:dyDescent="0.35">
      <c r="A3470" s="11"/>
      <c r="B3470" s="9"/>
      <c r="C3470" s="9"/>
      <c r="D3470" s="9"/>
      <c r="E3470" s="11"/>
      <c r="F3470" s="11"/>
      <c r="G3470" s="11"/>
      <c r="H3470" s="11"/>
      <c r="I3470" s="11"/>
      <c r="J3470" s="11"/>
      <c r="K3470" s="11"/>
      <c r="L3470" s="11"/>
      <c r="M3470" s="12"/>
      <c r="N3470" s="12"/>
      <c r="O3470" s="11"/>
      <c r="P3470" s="11"/>
    </row>
    <row r="3471" spans="1:16" ht="12.75" x14ac:dyDescent="0.35">
      <c r="A3471" s="11"/>
      <c r="B3471" s="9"/>
      <c r="C3471" s="9"/>
      <c r="D3471" s="9"/>
      <c r="E3471" s="11"/>
      <c r="F3471" s="11"/>
      <c r="G3471" s="11"/>
      <c r="H3471" s="11"/>
      <c r="I3471" s="11"/>
      <c r="J3471" s="11"/>
      <c r="K3471" s="11"/>
      <c r="L3471" s="11"/>
      <c r="M3471" s="12"/>
      <c r="N3471" s="12"/>
      <c r="O3471" s="11"/>
      <c r="P3471" s="11"/>
    </row>
    <row r="3472" spans="1:16" ht="12.75" x14ac:dyDescent="0.35">
      <c r="A3472" s="11"/>
      <c r="B3472" s="9"/>
      <c r="C3472" s="9"/>
      <c r="D3472" s="9"/>
      <c r="E3472" s="11"/>
      <c r="F3472" s="11"/>
      <c r="G3472" s="11"/>
      <c r="H3472" s="11"/>
      <c r="I3472" s="11"/>
      <c r="J3472" s="11"/>
      <c r="K3472" s="11"/>
      <c r="L3472" s="11"/>
      <c r="M3472" s="12"/>
      <c r="N3472" s="12"/>
      <c r="O3472" s="11"/>
      <c r="P3472" s="11"/>
    </row>
    <row r="3473" spans="1:16" ht="12.75" x14ac:dyDescent="0.35">
      <c r="A3473" s="11"/>
      <c r="B3473" s="9"/>
      <c r="C3473" s="9"/>
      <c r="D3473" s="9"/>
      <c r="E3473" s="11"/>
      <c r="F3473" s="11"/>
      <c r="G3473" s="11"/>
      <c r="H3473" s="11"/>
      <c r="I3473" s="11"/>
      <c r="J3473" s="11"/>
      <c r="K3473" s="11"/>
      <c r="L3473" s="11"/>
      <c r="M3473" s="12"/>
      <c r="N3473" s="12"/>
      <c r="O3473" s="11"/>
      <c r="P3473" s="11"/>
    </row>
    <row r="3474" spans="1:16" ht="12.75" x14ac:dyDescent="0.35">
      <c r="A3474" s="11"/>
      <c r="B3474" s="9"/>
      <c r="C3474" s="9"/>
      <c r="D3474" s="9"/>
      <c r="E3474" s="11"/>
      <c r="F3474" s="11"/>
      <c r="G3474" s="11"/>
      <c r="H3474" s="11"/>
      <c r="I3474" s="11"/>
      <c r="J3474" s="11"/>
      <c r="K3474" s="11"/>
      <c r="L3474" s="11"/>
      <c r="M3474" s="12"/>
      <c r="N3474" s="12"/>
      <c r="O3474" s="11"/>
      <c r="P3474" s="11"/>
    </row>
    <row r="3475" spans="1:16" ht="12.75" x14ac:dyDescent="0.35">
      <c r="A3475" s="11"/>
      <c r="B3475" s="9"/>
      <c r="C3475" s="9"/>
      <c r="D3475" s="9"/>
      <c r="E3475" s="11"/>
      <c r="F3475" s="11"/>
      <c r="G3475" s="11"/>
      <c r="H3475" s="11"/>
      <c r="I3475" s="11"/>
      <c r="J3475" s="11"/>
      <c r="K3475" s="11"/>
      <c r="L3475" s="11"/>
      <c r="M3475" s="12"/>
      <c r="N3475" s="12"/>
      <c r="O3475" s="11"/>
      <c r="P3475" s="11"/>
    </row>
    <row r="3476" spans="1:16" ht="12.75" x14ac:dyDescent="0.35">
      <c r="A3476" s="11"/>
      <c r="B3476" s="9"/>
      <c r="C3476" s="9"/>
      <c r="D3476" s="9"/>
      <c r="E3476" s="11"/>
      <c r="F3476" s="11"/>
      <c r="G3476" s="11"/>
      <c r="H3476" s="11"/>
      <c r="I3476" s="11"/>
      <c r="J3476" s="11"/>
      <c r="K3476" s="11"/>
      <c r="L3476" s="11"/>
      <c r="M3476" s="12"/>
      <c r="N3476" s="12"/>
      <c r="O3476" s="11"/>
      <c r="P3476" s="11"/>
    </row>
    <row r="3477" spans="1:16" ht="12.75" x14ac:dyDescent="0.35">
      <c r="A3477" s="11"/>
      <c r="B3477" s="9"/>
      <c r="C3477" s="9"/>
      <c r="D3477" s="9"/>
      <c r="E3477" s="11"/>
      <c r="F3477" s="11"/>
      <c r="G3477" s="11"/>
      <c r="H3477" s="11"/>
      <c r="I3477" s="11"/>
      <c r="J3477" s="11"/>
      <c r="K3477" s="11"/>
      <c r="L3477" s="11"/>
      <c r="M3477" s="12"/>
      <c r="N3477" s="12"/>
      <c r="O3477" s="11"/>
      <c r="P3477" s="11"/>
    </row>
    <row r="3478" spans="1:16" ht="12.75" x14ac:dyDescent="0.35">
      <c r="A3478" s="11"/>
      <c r="B3478" s="9"/>
      <c r="C3478" s="9"/>
      <c r="D3478" s="9"/>
      <c r="E3478" s="11"/>
      <c r="F3478" s="11"/>
      <c r="G3478" s="11"/>
      <c r="H3478" s="11"/>
      <c r="I3478" s="11"/>
      <c r="J3478" s="11"/>
      <c r="K3478" s="11"/>
      <c r="L3478" s="11"/>
      <c r="M3478" s="12"/>
      <c r="N3478" s="12"/>
      <c r="O3478" s="11"/>
      <c r="P3478" s="11"/>
    </row>
    <row r="3479" spans="1:16" ht="12.75" x14ac:dyDescent="0.35">
      <c r="A3479" s="11"/>
      <c r="B3479" s="9"/>
      <c r="C3479" s="9"/>
      <c r="D3479" s="9"/>
      <c r="E3479" s="11"/>
      <c r="F3479" s="11"/>
      <c r="G3479" s="11"/>
      <c r="H3479" s="11"/>
      <c r="I3479" s="11"/>
      <c r="J3479" s="11"/>
      <c r="K3479" s="11"/>
      <c r="L3479" s="11"/>
      <c r="M3479" s="12"/>
      <c r="N3479" s="12"/>
      <c r="O3479" s="11"/>
      <c r="P3479" s="11"/>
    </row>
    <row r="3480" spans="1:16" ht="12.75" x14ac:dyDescent="0.35">
      <c r="A3480" s="11"/>
      <c r="B3480" s="9"/>
      <c r="C3480" s="9"/>
      <c r="D3480" s="9"/>
      <c r="E3480" s="11"/>
      <c r="F3480" s="11"/>
      <c r="G3480" s="11"/>
      <c r="H3480" s="11"/>
      <c r="I3480" s="11"/>
      <c r="J3480" s="11"/>
      <c r="K3480" s="11"/>
      <c r="L3480" s="11"/>
      <c r="M3480" s="12"/>
      <c r="N3480" s="12"/>
      <c r="O3480" s="11"/>
      <c r="P3480" s="11"/>
    </row>
    <row r="3481" spans="1:16" ht="12.75" x14ac:dyDescent="0.35">
      <c r="A3481" s="11"/>
      <c r="B3481" s="9"/>
      <c r="C3481" s="9"/>
      <c r="D3481" s="9"/>
      <c r="E3481" s="11"/>
      <c r="F3481" s="11"/>
      <c r="G3481" s="11"/>
      <c r="H3481" s="11"/>
      <c r="I3481" s="11"/>
      <c r="J3481" s="11"/>
      <c r="K3481" s="11"/>
      <c r="L3481" s="11"/>
      <c r="M3481" s="12"/>
      <c r="N3481" s="12"/>
      <c r="O3481" s="11"/>
      <c r="P3481" s="11"/>
    </row>
    <row r="3482" spans="1:16" ht="12.75" x14ac:dyDescent="0.35">
      <c r="A3482" s="11"/>
      <c r="B3482" s="9"/>
      <c r="C3482" s="9"/>
      <c r="D3482" s="9"/>
      <c r="E3482" s="11"/>
      <c r="F3482" s="11"/>
      <c r="G3482" s="11"/>
      <c r="H3482" s="11"/>
      <c r="I3482" s="11"/>
      <c r="J3482" s="11"/>
      <c r="K3482" s="11"/>
      <c r="L3482" s="11"/>
      <c r="M3482" s="12"/>
      <c r="N3482" s="12"/>
      <c r="O3482" s="11"/>
      <c r="P3482" s="11"/>
    </row>
    <row r="3483" spans="1:16" ht="12.75" x14ac:dyDescent="0.35">
      <c r="A3483" s="11"/>
      <c r="B3483" s="9"/>
      <c r="C3483" s="9"/>
      <c r="D3483" s="9"/>
      <c r="E3483" s="11"/>
      <c r="F3483" s="11"/>
      <c r="G3483" s="11"/>
      <c r="H3483" s="11"/>
      <c r="I3483" s="11"/>
      <c r="J3483" s="11"/>
      <c r="K3483" s="11"/>
      <c r="L3483" s="11"/>
      <c r="M3483" s="12"/>
      <c r="N3483" s="12"/>
      <c r="O3483" s="11"/>
      <c r="P3483" s="11"/>
    </row>
    <row r="3484" spans="1:16" ht="12.75" x14ac:dyDescent="0.35">
      <c r="A3484" s="11"/>
      <c r="B3484" s="9"/>
      <c r="C3484" s="9"/>
      <c r="D3484" s="9"/>
      <c r="E3484" s="11"/>
      <c r="F3484" s="11"/>
      <c r="G3484" s="11"/>
      <c r="H3484" s="11"/>
      <c r="I3484" s="11"/>
      <c r="J3484" s="11"/>
      <c r="K3484" s="11"/>
      <c r="L3484" s="11"/>
      <c r="M3484" s="12"/>
      <c r="N3484" s="12"/>
      <c r="O3484" s="11"/>
      <c r="P3484" s="11"/>
    </row>
    <row r="3485" spans="1:16" ht="12.75" x14ac:dyDescent="0.35">
      <c r="A3485" s="11"/>
      <c r="B3485" s="9"/>
      <c r="C3485" s="9"/>
      <c r="D3485" s="9"/>
      <c r="E3485" s="11"/>
      <c r="F3485" s="11"/>
      <c r="G3485" s="11"/>
      <c r="H3485" s="11"/>
      <c r="I3485" s="11"/>
      <c r="J3485" s="11"/>
      <c r="K3485" s="11"/>
      <c r="L3485" s="11"/>
      <c r="M3485" s="12"/>
      <c r="N3485" s="12"/>
      <c r="O3485" s="11"/>
      <c r="P3485" s="11"/>
    </row>
    <row r="3486" spans="1:16" ht="12.75" x14ac:dyDescent="0.35">
      <c r="A3486" s="11"/>
      <c r="B3486" s="9"/>
      <c r="C3486" s="9"/>
      <c r="D3486" s="9"/>
      <c r="E3486" s="11"/>
      <c r="F3486" s="11"/>
      <c r="G3486" s="11"/>
      <c r="H3486" s="11"/>
      <c r="I3486" s="11"/>
      <c r="J3486" s="11"/>
      <c r="K3486" s="11"/>
      <c r="L3486" s="11"/>
      <c r="M3486" s="12"/>
      <c r="N3486" s="12"/>
      <c r="O3486" s="11"/>
      <c r="P3486" s="11"/>
    </row>
    <row r="3487" spans="1:16" ht="12.75" x14ac:dyDescent="0.35">
      <c r="A3487" s="11"/>
      <c r="B3487" s="9"/>
      <c r="C3487" s="9"/>
      <c r="D3487" s="9"/>
      <c r="E3487" s="11"/>
      <c r="F3487" s="11"/>
      <c r="G3487" s="11"/>
      <c r="H3487" s="11"/>
      <c r="I3487" s="11"/>
      <c r="J3487" s="11"/>
      <c r="K3487" s="11"/>
      <c r="L3487" s="11"/>
      <c r="M3487" s="12"/>
      <c r="N3487" s="12"/>
      <c r="O3487" s="11"/>
      <c r="P3487" s="11"/>
    </row>
    <row r="3488" spans="1:16" ht="12.75" x14ac:dyDescent="0.35">
      <c r="A3488" s="11"/>
      <c r="B3488" s="9"/>
      <c r="C3488" s="9"/>
      <c r="D3488" s="9"/>
      <c r="E3488" s="11"/>
      <c r="F3488" s="11"/>
      <c r="G3488" s="11"/>
      <c r="H3488" s="11"/>
      <c r="I3488" s="11"/>
      <c r="J3488" s="11"/>
      <c r="K3488" s="11"/>
      <c r="L3488" s="11"/>
      <c r="M3488" s="12"/>
      <c r="N3488" s="12"/>
      <c r="O3488" s="11"/>
      <c r="P3488" s="11"/>
    </row>
    <row r="3489" spans="1:16" ht="12.75" x14ac:dyDescent="0.35">
      <c r="A3489" s="11"/>
      <c r="B3489" s="9"/>
      <c r="C3489" s="9"/>
      <c r="D3489" s="9"/>
      <c r="E3489" s="11"/>
      <c r="F3489" s="11"/>
      <c r="G3489" s="11"/>
      <c r="H3489" s="11"/>
      <c r="I3489" s="11"/>
      <c r="J3489" s="11"/>
      <c r="K3489" s="11"/>
      <c r="L3489" s="11"/>
      <c r="M3489" s="12"/>
      <c r="N3489" s="12"/>
      <c r="O3489" s="11"/>
      <c r="P3489" s="11"/>
    </row>
    <row r="3490" spans="1:16" ht="12.75" x14ac:dyDescent="0.35">
      <c r="A3490" s="11"/>
      <c r="B3490" s="9"/>
      <c r="C3490" s="9"/>
      <c r="D3490" s="9"/>
      <c r="E3490" s="11"/>
      <c r="F3490" s="11"/>
      <c r="G3490" s="11"/>
      <c r="H3490" s="11"/>
      <c r="I3490" s="11"/>
      <c r="J3490" s="11"/>
      <c r="K3490" s="11"/>
      <c r="L3490" s="11"/>
      <c r="M3490" s="12"/>
      <c r="N3490" s="12"/>
      <c r="O3490" s="11"/>
      <c r="P3490" s="11"/>
    </row>
    <row r="3491" spans="1:16" ht="12.75" x14ac:dyDescent="0.35">
      <c r="A3491" s="11"/>
      <c r="B3491" s="9"/>
      <c r="C3491" s="9"/>
      <c r="D3491" s="9"/>
      <c r="E3491" s="11"/>
      <c r="F3491" s="11"/>
      <c r="G3491" s="11"/>
      <c r="H3491" s="11"/>
      <c r="I3491" s="11"/>
      <c r="J3491" s="11"/>
      <c r="K3491" s="11"/>
      <c r="L3491" s="11"/>
      <c r="M3491" s="12"/>
      <c r="N3491" s="12"/>
      <c r="O3491" s="11"/>
      <c r="P3491" s="11"/>
    </row>
    <row r="3492" spans="1:16" ht="12.75" x14ac:dyDescent="0.35">
      <c r="A3492" s="11"/>
      <c r="B3492" s="9"/>
      <c r="C3492" s="9"/>
      <c r="D3492" s="9"/>
      <c r="E3492" s="11"/>
      <c r="F3492" s="11"/>
      <c r="G3492" s="11"/>
      <c r="H3492" s="11"/>
      <c r="I3492" s="11"/>
      <c r="J3492" s="11"/>
      <c r="K3492" s="11"/>
      <c r="L3492" s="11"/>
      <c r="M3492" s="12"/>
      <c r="N3492" s="12"/>
      <c r="O3492" s="11"/>
      <c r="P3492" s="11"/>
    </row>
    <row r="3493" spans="1:16" ht="12.75" x14ac:dyDescent="0.35">
      <c r="A3493" s="11"/>
      <c r="B3493" s="9"/>
      <c r="C3493" s="9"/>
      <c r="D3493" s="9"/>
      <c r="E3493" s="11"/>
      <c r="F3493" s="11"/>
      <c r="G3493" s="11"/>
      <c r="H3493" s="11"/>
      <c r="I3493" s="11"/>
      <c r="J3493" s="11"/>
      <c r="K3493" s="11"/>
      <c r="L3493" s="11"/>
      <c r="M3493" s="12"/>
      <c r="N3493" s="12"/>
      <c r="O3493" s="11"/>
      <c r="P3493" s="11"/>
    </row>
    <row r="3494" spans="1:16" ht="12.75" x14ac:dyDescent="0.35">
      <c r="A3494" s="11"/>
      <c r="B3494" s="9"/>
      <c r="C3494" s="9"/>
      <c r="D3494" s="9"/>
      <c r="E3494" s="11"/>
      <c r="F3494" s="11"/>
      <c r="G3494" s="11"/>
      <c r="H3494" s="11"/>
      <c r="I3494" s="11"/>
      <c r="J3494" s="11"/>
      <c r="K3494" s="11"/>
      <c r="L3494" s="11"/>
      <c r="M3494" s="12"/>
      <c r="N3494" s="12"/>
      <c r="O3494" s="11"/>
      <c r="P3494" s="11"/>
    </row>
    <row r="3495" spans="1:16" ht="12.75" x14ac:dyDescent="0.35">
      <c r="A3495" s="11"/>
      <c r="B3495" s="9"/>
      <c r="C3495" s="9"/>
      <c r="D3495" s="9"/>
      <c r="E3495" s="11"/>
      <c r="F3495" s="11"/>
      <c r="G3495" s="11"/>
      <c r="H3495" s="11"/>
      <c r="I3495" s="11"/>
      <c r="J3495" s="11"/>
      <c r="K3495" s="11"/>
      <c r="L3495" s="11"/>
      <c r="M3495" s="12"/>
      <c r="N3495" s="12"/>
      <c r="O3495" s="11"/>
      <c r="P3495" s="11"/>
    </row>
    <row r="3496" spans="1:16" ht="12.75" x14ac:dyDescent="0.35">
      <c r="A3496" s="11"/>
      <c r="B3496" s="9"/>
      <c r="C3496" s="9"/>
      <c r="D3496" s="9"/>
      <c r="E3496" s="11"/>
      <c r="F3496" s="11"/>
      <c r="G3496" s="11"/>
      <c r="H3496" s="11"/>
      <c r="I3496" s="11"/>
      <c r="J3496" s="11"/>
      <c r="K3496" s="11"/>
      <c r="L3496" s="11"/>
      <c r="M3496" s="12"/>
      <c r="N3496" s="12"/>
      <c r="O3496" s="11"/>
      <c r="P3496" s="11"/>
    </row>
    <row r="3497" spans="1:16" ht="12.75" x14ac:dyDescent="0.35">
      <c r="A3497" s="11"/>
      <c r="B3497" s="9"/>
      <c r="C3497" s="9"/>
      <c r="D3497" s="9"/>
      <c r="E3497" s="11"/>
      <c r="F3497" s="11"/>
      <c r="G3497" s="11"/>
      <c r="H3497" s="11"/>
      <c r="I3497" s="11"/>
      <c r="J3497" s="11"/>
      <c r="K3497" s="11"/>
      <c r="L3497" s="11"/>
      <c r="M3497" s="12"/>
      <c r="N3497" s="12"/>
      <c r="O3497" s="11"/>
      <c r="P3497" s="11"/>
    </row>
    <row r="3498" spans="1:16" ht="12.75" x14ac:dyDescent="0.35">
      <c r="A3498" s="11"/>
      <c r="B3498" s="9"/>
      <c r="C3498" s="9"/>
      <c r="D3498" s="9"/>
      <c r="E3498" s="11"/>
      <c r="F3498" s="11"/>
      <c r="G3498" s="11"/>
      <c r="H3498" s="11"/>
      <c r="I3498" s="11"/>
      <c r="J3498" s="11"/>
      <c r="K3498" s="11"/>
      <c r="L3498" s="11"/>
      <c r="M3498" s="12"/>
      <c r="N3498" s="12"/>
      <c r="O3498" s="11"/>
      <c r="P3498" s="11"/>
    </row>
    <row r="3499" spans="1:16" ht="12.75" x14ac:dyDescent="0.35">
      <c r="A3499" s="11"/>
      <c r="B3499" s="9"/>
      <c r="C3499" s="9"/>
      <c r="D3499" s="9"/>
      <c r="E3499" s="11"/>
      <c r="F3499" s="11"/>
      <c r="G3499" s="11"/>
      <c r="H3499" s="11"/>
      <c r="I3499" s="11"/>
      <c r="J3499" s="11"/>
      <c r="K3499" s="11"/>
      <c r="L3499" s="11"/>
      <c r="M3499" s="12"/>
      <c r="N3499" s="12"/>
      <c r="O3499" s="11"/>
      <c r="P3499" s="11"/>
    </row>
    <row r="3500" spans="1:16" ht="12.75" x14ac:dyDescent="0.35">
      <c r="A3500" s="11"/>
      <c r="B3500" s="9"/>
      <c r="C3500" s="9"/>
      <c r="D3500" s="9"/>
      <c r="E3500" s="11"/>
      <c r="F3500" s="11"/>
      <c r="G3500" s="11"/>
      <c r="H3500" s="11"/>
      <c r="I3500" s="11"/>
      <c r="J3500" s="11"/>
      <c r="K3500" s="11"/>
      <c r="L3500" s="11"/>
      <c r="M3500" s="12"/>
      <c r="N3500" s="12"/>
      <c r="O3500" s="11"/>
      <c r="P3500" s="11"/>
    </row>
    <row r="3501" spans="1:16" ht="12.75" x14ac:dyDescent="0.35">
      <c r="A3501" s="11"/>
      <c r="B3501" s="9"/>
      <c r="C3501" s="9"/>
      <c r="D3501" s="9"/>
      <c r="E3501" s="11"/>
      <c r="F3501" s="11"/>
      <c r="G3501" s="11"/>
      <c r="H3501" s="11"/>
      <c r="I3501" s="11"/>
      <c r="J3501" s="11"/>
      <c r="K3501" s="11"/>
      <c r="L3501" s="11"/>
      <c r="M3501" s="12"/>
      <c r="N3501" s="12"/>
      <c r="O3501" s="11"/>
      <c r="P3501" s="11"/>
    </row>
    <row r="3502" spans="1:16" ht="12.75" x14ac:dyDescent="0.35">
      <c r="A3502" s="11"/>
      <c r="B3502" s="9"/>
      <c r="C3502" s="9"/>
      <c r="D3502" s="9"/>
      <c r="E3502" s="11"/>
      <c r="F3502" s="11"/>
      <c r="G3502" s="11"/>
      <c r="H3502" s="11"/>
      <c r="I3502" s="11"/>
      <c r="J3502" s="11"/>
      <c r="K3502" s="11"/>
      <c r="L3502" s="11"/>
      <c r="M3502" s="12"/>
      <c r="N3502" s="12"/>
      <c r="O3502" s="11"/>
      <c r="P3502" s="11"/>
    </row>
    <row r="3503" spans="1:16" ht="12.75" x14ac:dyDescent="0.35">
      <c r="A3503" s="11"/>
      <c r="B3503" s="9"/>
      <c r="C3503" s="9"/>
      <c r="D3503" s="9"/>
      <c r="E3503" s="11"/>
      <c r="F3503" s="11"/>
      <c r="G3503" s="11"/>
      <c r="H3503" s="11"/>
      <c r="I3503" s="11"/>
      <c r="J3503" s="11"/>
      <c r="K3503" s="11"/>
      <c r="L3503" s="11"/>
      <c r="M3503" s="12"/>
      <c r="N3503" s="12"/>
      <c r="O3503" s="11"/>
      <c r="P3503" s="11"/>
    </row>
    <row r="3504" spans="1:16" ht="12.75" x14ac:dyDescent="0.35">
      <c r="A3504" s="11"/>
      <c r="B3504" s="9"/>
      <c r="C3504" s="9"/>
      <c r="D3504" s="9"/>
      <c r="E3504" s="11"/>
      <c r="F3504" s="11"/>
      <c r="G3504" s="11"/>
      <c r="H3504" s="11"/>
      <c r="I3504" s="11"/>
      <c r="J3504" s="11"/>
      <c r="K3504" s="11"/>
      <c r="L3504" s="11"/>
      <c r="M3504" s="12"/>
      <c r="N3504" s="12"/>
      <c r="O3504" s="11"/>
      <c r="P3504" s="11"/>
    </row>
    <row r="3505" spans="1:16" ht="12.75" x14ac:dyDescent="0.35">
      <c r="A3505" s="11"/>
      <c r="B3505" s="9"/>
      <c r="C3505" s="9"/>
      <c r="D3505" s="9"/>
      <c r="E3505" s="11"/>
      <c r="F3505" s="11"/>
      <c r="G3505" s="11"/>
      <c r="H3505" s="11"/>
      <c r="I3505" s="11"/>
      <c r="J3505" s="11"/>
      <c r="K3505" s="11"/>
      <c r="L3505" s="11"/>
      <c r="M3505" s="12"/>
      <c r="N3505" s="12"/>
      <c r="O3505" s="11"/>
      <c r="P3505" s="11"/>
    </row>
    <row r="3506" spans="1:16" ht="12.75" x14ac:dyDescent="0.35">
      <c r="A3506" s="11"/>
      <c r="B3506" s="9"/>
      <c r="C3506" s="9"/>
      <c r="D3506" s="9"/>
      <c r="E3506" s="11"/>
      <c r="F3506" s="11"/>
      <c r="G3506" s="11"/>
      <c r="H3506" s="11"/>
      <c r="I3506" s="11"/>
      <c r="J3506" s="11"/>
      <c r="K3506" s="11"/>
      <c r="L3506" s="11"/>
      <c r="M3506" s="12"/>
      <c r="N3506" s="12"/>
      <c r="O3506" s="11"/>
      <c r="P3506" s="11"/>
    </row>
    <row r="3507" spans="1:16" ht="12.75" x14ac:dyDescent="0.35">
      <c r="A3507" s="11"/>
      <c r="B3507" s="9"/>
      <c r="C3507" s="9"/>
      <c r="D3507" s="9"/>
      <c r="E3507" s="11"/>
      <c r="F3507" s="11"/>
      <c r="G3507" s="11"/>
      <c r="H3507" s="11"/>
      <c r="I3507" s="11"/>
      <c r="J3507" s="11"/>
      <c r="K3507" s="11"/>
      <c r="L3507" s="11"/>
      <c r="M3507" s="12"/>
      <c r="N3507" s="12"/>
      <c r="O3507" s="11"/>
      <c r="P3507" s="11"/>
    </row>
    <row r="3508" spans="1:16" ht="12.75" x14ac:dyDescent="0.35">
      <c r="A3508" s="11"/>
      <c r="B3508" s="9"/>
      <c r="C3508" s="9"/>
      <c r="D3508" s="9"/>
      <c r="E3508" s="11"/>
      <c r="F3508" s="11"/>
      <c r="G3508" s="11"/>
      <c r="H3508" s="11"/>
      <c r="I3508" s="11"/>
      <c r="J3508" s="11"/>
      <c r="K3508" s="11"/>
      <c r="L3508" s="11"/>
      <c r="M3508" s="12"/>
      <c r="N3508" s="12"/>
      <c r="O3508" s="11"/>
      <c r="P3508" s="11"/>
    </row>
    <row r="3509" spans="1:16" ht="12.75" x14ac:dyDescent="0.35">
      <c r="A3509" s="11"/>
      <c r="B3509" s="9"/>
      <c r="C3509" s="9"/>
      <c r="D3509" s="9"/>
      <c r="E3509" s="11"/>
      <c r="F3509" s="11"/>
      <c r="G3509" s="11"/>
      <c r="H3509" s="11"/>
      <c r="I3509" s="11"/>
      <c r="J3509" s="11"/>
      <c r="K3509" s="11"/>
      <c r="L3509" s="11"/>
      <c r="M3509" s="12"/>
      <c r="N3509" s="12"/>
      <c r="O3509" s="11"/>
      <c r="P3509" s="11"/>
    </row>
    <row r="3510" spans="1:16" ht="12.75" x14ac:dyDescent="0.35">
      <c r="A3510" s="11"/>
      <c r="B3510" s="9"/>
      <c r="C3510" s="9"/>
      <c r="D3510" s="9"/>
      <c r="E3510" s="11"/>
      <c r="F3510" s="11"/>
      <c r="G3510" s="11"/>
      <c r="H3510" s="11"/>
      <c r="I3510" s="11"/>
      <c r="J3510" s="11"/>
      <c r="K3510" s="11"/>
      <c r="L3510" s="11"/>
      <c r="M3510" s="12"/>
      <c r="N3510" s="12"/>
      <c r="O3510" s="11"/>
      <c r="P3510" s="11"/>
    </row>
    <row r="3511" spans="1:16" ht="12.75" x14ac:dyDescent="0.35">
      <c r="A3511" s="11"/>
      <c r="B3511" s="9"/>
      <c r="C3511" s="9"/>
      <c r="D3511" s="9"/>
      <c r="E3511" s="11"/>
      <c r="F3511" s="11"/>
      <c r="G3511" s="11"/>
      <c r="H3511" s="11"/>
      <c r="I3511" s="11"/>
      <c r="J3511" s="11"/>
      <c r="K3511" s="11"/>
      <c r="L3511" s="11"/>
      <c r="M3511" s="12"/>
      <c r="N3511" s="12"/>
      <c r="O3511" s="11"/>
      <c r="P3511" s="11"/>
    </row>
    <row r="3512" spans="1:16" ht="12.75" x14ac:dyDescent="0.35">
      <c r="A3512" s="11"/>
      <c r="B3512" s="9"/>
      <c r="C3512" s="9"/>
      <c r="D3512" s="9"/>
      <c r="E3512" s="11"/>
      <c r="F3512" s="11"/>
      <c r="G3512" s="11"/>
      <c r="H3512" s="11"/>
      <c r="I3512" s="11"/>
      <c r="J3512" s="11"/>
      <c r="K3512" s="11"/>
      <c r="L3512" s="11"/>
      <c r="M3512" s="12"/>
      <c r="N3512" s="12"/>
      <c r="O3512" s="11"/>
      <c r="P3512" s="11"/>
    </row>
    <row r="3513" spans="1:16" ht="12.75" x14ac:dyDescent="0.35">
      <c r="A3513" s="11"/>
      <c r="B3513" s="9"/>
      <c r="C3513" s="9"/>
      <c r="D3513" s="9"/>
      <c r="E3513" s="11"/>
      <c r="F3513" s="11"/>
      <c r="G3513" s="11"/>
      <c r="H3513" s="11"/>
      <c r="I3513" s="11"/>
      <c r="J3513" s="11"/>
      <c r="K3513" s="11"/>
      <c r="L3513" s="11"/>
      <c r="M3513" s="12"/>
      <c r="N3513" s="12"/>
      <c r="O3513" s="11"/>
      <c r="P3513" s="11"/>
    </row>
    <row r="3514" spans="1:16" ht="12.75" x14ac:dyDescent="0.35">
      <c r="A3514" s="11"/>
      <c r="B3514" s="9"/>
      <c r="C3514" s="9"/>
      <c r="D3514" s="9"/>
      <c r="E3514" s="11"/>
      <c r="F3514" s="11"/>
      <c r="G3514" s="11"/>
      <c r="H3514" s="11"/>
      <c r="I3514" s="11"/>
      <c r="J3514" s="11"/>
      <c r="K3514" s="11"/>
      <c r="L3514" s="11"/>
      <c r="M3514" s="12"/>
      <c r="N3514" s="12"/>
      <c r="O3514" s="11"/>
      <c r="P3514" s="11"/>
    </row>
    <row r="3515" spans="1:16" ht="12.75" x14ac:dyDescent="0.35">
      <c r="A3515" s="11"/>
      <c r="B3515" s="9"/>
      <c r="C3515" s="9"/>
      <c r="D3515" s="9"/>
      <c r="E3515" s="11"/>
      <c r="F3515" s="11"/>
      <c r="G3515" s="11"/>
      <c r="H3515" s="11"/>
      <c r="I3515" s="11"/>
      <c r="J3515" s="11"/>
      <c r="K3515" s="11"/>
      <c r="L3515" s="11"/>
      <c r="M3515" s="12"/>
      <c r="N3515" s="12"/>
      <c r="O3515" s="11"/>
      <c r="P3515" s="11"/>
    </row>
    <row r="3516" spans="1:16" ht="12.75" x14ac:dyDescent="0.35">
      <c r="A3516" s="11"/>
      <c r="B3516" s="9"/>
      <c r="C3516" s="9"/>
      <c r="D3516" s="9"/>
      <c r="E3516" s="11"/>
      <c r="F3516" s="11"/>
      <c r="G3516" s="11"/>
      <c r="H3516" s="11"/>
      <c r="I3516" s="11"/>
      <c r="J3516" s="11"/>
      <c r="K3516" s="11"/>
      <c r="L3516" s="11"/>
      <c r="M3516" s="12"/>
      <c r="N3516" s="12"/>
      <c r="O3516" s="11"/>
      <c r="P3516" s="11"/>
    </row>
    <row r="3517" spans="1:16" ht="12.75" x14ac:dyDescent="0.35">
      <c r="A3517" s="11"/>
      <c r="B3517" s="9"/>
      <c r="C3517" s="9"/>
      <c r="D3517" s="9"/>
      <c r="E3517" s="11"/>
      <c r="F3517" s="11"/>
      <c r="G3517" s="11"/>
      <c r="H3517" s="11"/>
      <c r="I3517" s="11"/>
      <c r="J3517" s="11"/>
      <c r="K3517" s="11"/>
      <c r="L3517" s="11"/>
      <c r="M3517" s="12"/>
      <c r="N3517" s="12"/>
      <c r="O3517" s="11"/>
      <c r="P3517" s="11"/>
    </row>
    <row r="3518" spans="1:16" ht="12.75" x14ac:dyDescent="0.35">
      <c r="A3518" s="11"/>
      <c r="B3518" s="9"/>
      <c r="C3518" s="9"/>
      <c r="D3518" s="9"/>
      <c r="E3518" s="11"/>
      <c r="F3518" s="11"/>
      <c r="G3518" s="11"/>
      <c r="H3518" s="11"/>
      <c r="I3518" s="11"/>
      <c r="J3518" s="11"/>
      <c r="K3518" s="11"/>
      <c r="L3518" s="11"/>
      <c r="M3518" s="12"/>
      <c r="N3518" s="12"/>
      <c r="O3518" s="11"/>
      <c r="P3518" s="11"/>
    </row>
    <row r="3519" spans="1:16" ht="12.75" x14ac:dyDescent="0.35">
      <c r="A3519" s="11"/>
      <c r="B3519" s="9"/>
      <c r="C3519" s="9"/>
      <c r="D3519" s="9"/>
      <c r="E3519" s="11"/>
      <c r="F3519" s="11"/>
      <c r="G3519" s="11"/>
      <c r="H3519" s="11"/>
      <c r="I3519" s="11"/>
      <c r="J3519" s="11"/>
      <c r="K3519" s="11"/>
      <c r="L3519" s="11"/>
      <c r="M3519" s="12"/>
      <c r="N3519" s="12"/>
      <c r="O3519" s="11"/>
      <c r="P3519" s="11"/>
    </row>
    <row r="3520" spans="1:16" ht="12.75" x14ac:dyDescent="0.35">
      <c r="A3520" s="11"/>
      <c r="B3520" s="9"/>
      <c r="C3520" s="9"/>
      <c r="D3520" s="9"/>
      <c r="E3520" s="11"/>
      <c r="F3520" s="11"/>
      <c r="G3520" s="11"/>
      <c r="H3520" s="11"/>
      <c r="I3520" s="11"/>
      <c r="J3520" s="11"/>
      <c r="K3520" s="11"/>
      <c r="L3520" s="11"/>
      <c r="M3520" s="12"/>
      <c r="N3520" s="12"/>
      <c r="O3520" s="11"/>
      <c r="P3520" s="11"/>
    </row>
    <row r="3521" spans="1:16" ht="12.75" x14ac:dyDescent="0.35">
      <c r="A3521" s="11"/>
      <c r="B3521" s="9"/>
      <c r="C3521" s="9"/>
      <c r="D3521" s="9"/>
      <c r="E3521" s="11"/>
      <c r="F3521" s="11"/>
      <c r="G3521" s="11"/>
      <c r="H3521" s="11"/>
      <c r="I3521" s="11"/>
      <c r="J3521" s="11"/>
      <c r="K3521" s="11"/>
      <c r="L3521" s="11"/>
      <c r="M3521" s="12"/>
      <c r="N3521" s="12"/>
      <c r="O3521" s="11"/>
      <c r="P3521" s="11"/>
    </row>
    <row r="3522" spans="1:16" ht="12.75" x14ac:dyDescent="0.35">
      <c r="A3522" s="11"/>
      <c r="B3522" s="9"/>
      <c r="C3522" s="9"/>
      <c r="D3522" s="9"/>
      <c r="E3522" s="11"/>
      <c r="F3522" s="11"/>
      <c r="G3522" s="11"/>
      <c r="H3522" s="11"/>
      <c r="I3522" s="11"/>
      <c r="J3522" s="11"/>
      <c r="K3522" s="11"/>
      <c r="L3522" s="11"/>
      <c r="M3522" s="12"/>
      <c r="N3522" s="12"/>
      <c r="O3522" s="11"/>
      <c r="P3522" s="11"/>
    </row>
    <row r="3523" spans="1:16" ht="12.75" x14ac:dyDescent="0.35">
      <c r="A3523" s="11"/>
      <c r="B3523" s="9"/>
      <c r="C3523" s="9"/>
      <c r="D3523" s="9"/>
      <c r="E3523" s="11"/>
      <c r="F3523" s="11"/>
      <c r="G3523" s="11"/>
      <c r="H3523" s="11"/>
      <c r="I3523" s="11"/>
      <c r="J3523" s="11"/>
      <c r="K3523" s="11"/>
      <c r="L3523" s="11"/>
      <c r="M3523" s="12"/>
      <c r="N3523" s="12"/>
      <c r="O3523" s="11"/>
      <c r="P3523" s="11"/>
    </row>
    <row r="3524" spans="1:16" ht="12.75" x14ac:dyDescent="0.35">
      <c r="A3524" s="11"/>
      <c r="B3524" s="9"/>
      <c r="C3524" s="9"/>
      <c r="D3524" s="9"/>
      <c r="E3524" s="11"/>
      <c r="F3524" s="11"/>
      <c r="G3524" s="11"/>
      <c r="H3524" s="11"/>
      <c r="I3524" s="11"/>
      <c r="J3524" s="11"/>
      <c r="K3524" s="11"/>
      <c r="L3524" s="11"/>
      <c r="M3524" s="12"/>
      <c r="N3524" s="12"/>
      <c r="O3524" s="11"/>
      <c r="P3524" s="11"/>
    </row>
    <row r="3525" spans="1:16" ht="12.75" x14ac:dyDescent="0.35">
      <c r="A3525" s="11"/>
      <c r="B3525" s="9"/>
      <c r="C3525" s="9"/>
      <c r="D3525" s="9"/>
      <c r="E3525" s="11"/>
      <c r="F3525" s="11"/>
      <c r="G3525" s="11"/>
      <c r="H3525" s="11"/>
      <c r="I3525" s="11"/>
      <c r="J3525" s="11"/>
      <c r="K3525" s="11"/>
      <c r="L3525" s="11"/>
      <c r="M3525" s="12"/>
      <c r="N3525" s="12"/>
      <c r="O3525" s="11"/>
      <c r="P3525" s="11"/>
    </row>
    <row r="3526" spans="1:16" ht="12.75" x14ac:dyDescent="0.35">
      <c r="A3526" s="11"/>
      <c r="B3526" s="9"/>
      <c r="C3526" s="9"/>
      <c r="D3526" s="9"/>
      <c r="E3526" s="11"/>
      <c r="F3526" s="11"/>
      <c r="G3526" s="11"/>
      <c r="H3526" s="11"/>
      <c r="I3526" s="11"/>
      <c r="J3526" s="11"/>
      <c r="K3526" s="11"/>
      <c r="L3526" s="11"/>
      <c r="M3526" s="12"/>
      <c r="N3526" s="12"/>
      <c r="O3526" s="11"/>
      <c r="P3526" s="11"/>
    </row>
    <row r="3527" spans="1:16" ht="12.75" x14ac:dyDescent="0.35">
      <c r="A3527" s="11"/>
      <c r="B3527" s="9"/>
      <c r="C3527" s="9"/>
      <c r="D3527" s="9"/>
      <c r="E3527" s="11"/>
      <c r="F3527" s="11"/>
      <c r="G3527" s="11"/>
      <c r="H3527" s="11"/>
      <c r="I3527" s="11"/>
      <c r="J3527" s="11"/>
      <c r="K3527" s="11"/>
      <c r="L3527" s="11"/>
      <c r="M3527" s="12"/>
      <c r="N3527" s="12"/>
      <c r="O3527" s="11"/>
      <c r="P3527" s="11"/>
    </row>
    <row r="3528" spans="1:16" ht="12.75" x14ac:dyDescent="0.35">
      <c r="A3528" s="11"/>
      <c r="B3528" s="9"/>
      <c r="C3528" s="9"/>
      <c r="D3528" s="9"/>
      <c r="E3528" s="11"/>
      <c r="F3528" s="11"/>
      <c r="G3528" s="11"/>
      <c r="H3528" s="11"/>
      <c r="I3528" s="11"/>
      <c r="J3528" s="11"/>
      <c r="K3528" s="11"/>
      <c r="L3528" s="11"/>
      <c r="M3528" s="12"/>
      <c r="N3528" s="12"/>
      <c r="O3528" s="11"/>
      <c r="P3528" s="11"/>
    </row>
    <row r="3529" spans="1:16" ht="12.75" x14ac:dyDescent="0.35">
      <c r="A3529" s="11"/>
      <c r="B3529" s="9"/>
      <c r="C3529" s="9"/>
      <c r="D3529" s="9"/>
      <c r="E3529" s="11"/>
      <c r="F3529" s="11"/>
      <c r="G3529" s="11"/>
      <c r="H3529" s="11"/>
      <c r="I3529" s="11"/>
      <c r="J3529" s="11"/>
      <c r="K3529" s="11"/>
      <c r="L3529" s="11"/>
      <c r="M3529" s="12"/>
      <c r="N3529" s="12"/>
      <c r="O3529" s="11"/>
      <c r="P3529" s="11"/>
    </row>
    <row r="3530" spans="1:16" ht="12.75" x14ac:dyDescent="0.35">
      <c r="A3530" s="11"/>
      <c r="B3530" s="9"/>
      <c r="C3530" s="9"/>
      <c r="D3530" s="9"/>
      <c r="E3530" s="11"/>
      <c r="F3530" s="11"/>
      <c r="G3530" s="11"/>
      <c r="H3530" s="11"/>
      <c r="I3530" s="11"/>
      <c r="J3530" s="11"/>
      <c r="K3530" s="11"/>
      <c r="L3530" s="11"/>
      <c r="M3530" s="12"/>
      <c r="N3530" s="12"/>
      <c r="O3530" s="11"/>
      <c r="P3530" s="11"/>
    </row>
    <row r="3531" spans="1:16" ht="12.75" x14ac:dyDescent="0.35">
      <c r="A3531" s="11"/>
      <c r="B3531" s="9"/>
      <c r="C3531" s="9"/>
      <c r="D3531" s="9"/>
      <c r="E3531" s="11"/>
      <c r="F3531" s="11"/>
      <c r="G3531" s="11"/>
      <c r="H3531" s="11"/>
      <c r="I3531" s="11"/>
      <c r="J3531" s="11"/>
      <c r="K3531" s="11"/>
      <c r="L3531" s="11"/>
      <c r="M3531" s="12"/>
      <c r="N3531" s="12"/>
      <c r="O3531" s="11"/>
      <c r="P3531" s="11"/>
    </row>
    <row r="3532" spans="1:16" ht="12.75" x14ac:dyDescent="0.35">
      <c r="A3532" s="11"/>
      <c r="B3532" s="9"/>
      <c r="C3532" s="9"/>
      <c r="D3532" s="9"/>
      <c r="E3532" s="11"/>
      <c r="F3532" s="11"/>
      <c r="G3532" s="11"/>
      <c r="H3532" s="11"/>
      <c r="I3532" s="11"/>
      <c r="J3532" s="11"/>
      <c r="K3532" s="11"/>
      <c r="L3532" s="11"/>
      <c r="M3532" s="12"/>
      <c r="N3532" s="12"/>
      <c r="O3532" s="11"/>
      <c r="P3532" s="11"/>
    </row>
    <row r="3533" spans="1:16" ht="12.75" x14ac:dyDescent="0.35">
      <c r="A3533" s="11"/>
      <c r="B3533" s="9"/>
      <c r="C3533" s="9"/>
      <c r="D3533" s="9"/>
      <c r="E3533" s="11"/>
      <c r="F3533" s="11"/>
      <c r="G3533" s="11"/>
      <c r="H3533" s="11"/>
      <c r="I3533" s="11"/>
      <c r="J3533" s="11"/>
      <c r="K3533" s="11"/>
      <c r="L3533" s="11"/>
      <c r="M3533" s="12"/>
      <c r="N3533" s="12"/>
      <c r="O3533" s="11"/>
      <c r="P3533" s="11"/>
    </row>
    <row r="3534" spans="1:16" ht="12.75" x14ac:dyDescent="0.35">
      <c r="A3534" s="11"/>
      <c r="B3534" s="9"/>
      <c r="C3534" s="9"/>
      <c r="D3534" s="9"/>
      <c r="E3534" s="11"/>
      <c r="F3534" s="11"/>
      <c r="G3534" s="11"/>
      <c r="H3534" s="11"/>
      <c r="I3534" s="11"/>
      <c r="J3534" s="11"/>
      <c r="K3534" s="11"/>
      <c r="L3534" s="11"/>
      <c r="M3534" s="12"/>
      <c r="N3534" s="12"/>
      <c r="O3534" s="11"/>
      <c r="P3534" s="11"/>
    </row>
    <row r="3535" spans="1:16" ht="12.75" x14ac:dyDescent="0.35">
      <c r="A3535" s="11"/>
      <c r="B3535" s="9"/>
      <c r="C3535" s="9"/>
      <c r="D3535" s="9"/>
      <c r="E3535" s="11"/>
      <c r="F3535" s="11"/>
      <c r="G3535" s="11"/>
      <c r="H3535" s="11"/>
      <c r="I3535" s="11"/>
      <c r="J3535" s="11"/>
      <c r="K3535" s="11"/>
      <c r="L3535" s="11"/>
      <c r="M3535" s="12"/>
      <c r="N3535" s="12"/>
      <c r="O3535" s="11"/>
      <c r="P3535" s="11"/>
    </row>
    <row r="3536" spans="1:16" ht="12.75" x14ac:dyDescent="0.35">
      <c r="A3536" s="11"/>
      <c r="B3536" s="9"/>
      <c r="C3536" s="9"/>
      <c r="D3536" s="9"/>
      <c r="E3536" s="11"/>
      <c r="F3536" s="11"/>
      <c r="G3536" s="11"/>
      <c r="H3536" s="11"/>
      <c r="I3536" s="11"/>
      <c r="J3536" s="11"/>
      <c r="K3536" s="11"/>
      <c r="L3536" s="11"/>
      <c r="M3536" s="12"/>
      <c r="N3536" s="12"/>
      <c r="O3536" s="11"/>
      <c r="P3536" s="11"/>
    </row>
    <row r="3537" spans="1:16" ht="12.75" x14ac:dyDescent="0.35">
      <c r="A3537" s="11"/>
      <c r="B3537" s="9"/>
      <c r="C3537" s="9"/>
      <c r="D3537" s="9"/>
      <c r="E3537" s="11"/>
      <c r="F3537" s="11"/>
      <c r="G3537" s="11"/>
      <c r="H3537" s="11"/>
      <c r="I3537" s="11"/>
      <c r="J3537" s="11"/>
      <c r="K3537" s="11"/>
      <c r="L3537" s="11"/>
      <c r="M3537" s="12"/>
      <c r="N3537" s="12"/>
      <c r="O3537" s="11"/>
      <c r="P3537" s="11"/>
    </row>
    <row r="3538" spans="1:16" ht="12.75" x14ac:dyDescent="0.35">
      <c r="A3538" s="11"/>
      <c r="B3538" s="9"/>
      <c r="C3538" s="9"/>
      <c r="D3538" s="9"/>
      <c r="E3538" s="11"/>
      <c r="F3538" s="11"/>
      <c r="G3538" s="11"/>
      <c r="H3538" s="11"/>
      <c r="I3538" s="11"/>
      <c r="J3538" s="11"/>
      <c r="K3538" s="11"/>
      <c r="L3538" s="11"/>
      <c r="M3538" s="12"/>
      <c r="N3538" s="12"/>
      <c r="O3538" s="11"/>
      <c r="P3538" s="11"/>
    </row>
    <row r="3539" spans="1:16" ht="12.75" x14ac:dyDescent="0.35">
      <c r="A3539" s="11"/>
      <c r="B3539" s="9"/>
      <c r="C3539" s="9"/>
      <c r="D3539" s="9"/>
      <c r="E3539" s="11"/>
      <c r="F3539" s="11"/>
      <c r="G3539" s="11"/>
      <c r="H3539" s="11"/>
      <c r="I3539" s="11"/>
      <c r="J3539" s="11"/>
      <c r="K3539" s="11"/>
      <c r="L3539" s="11"/>
      <c r="M3539" s="12"/>
      <c r="N3539" s="12"/>
      <c r="O3539" s="11"/>
      <c r="P3539" s="11"/>
    </row>
    <row r="3540" spans="1:16" ht="12.75" x14ac:dyDescent="0.35">
      <c r="A3540" s="11"/>
      <c r="B3540" s="9"/>
      <c r="C3540" s="9"/>
      <c r="D3540" s="9"/>
      <c r="E3540" s="11"/>
      <c r="F3540" s="11"/>
      <c r="G3540" s="11"/>
      <c r="H3540" s="11"/>
      <c r="I3540" s="11"/>
      <c r="J3540" s="11"/>
      <c r="K3540" s="11"/>
      <c r="L3540" s="11"/>
      <c r="M3540" s="12"/>
      <c r="N3540" s="12"/>
      <c r="O3540" s="11"/>
      <c r="P3540" s="11"/>
    </row>
    <row r="3541" spans="1:16" ht="12.75" x14ac:dyDescent="0.35">
      <c r="A3541" s="11"/>
      <c r="B3541" s="9"/>
      <c r="C3541" s="9"/>
      <c r="D3541" s="9"/>
      <c r="E3541" s="11"/>
      <c r="F3541" s="11"/>
      <c r="G3541" s="11"/>
      <c r="H3541" s="11"/>
      <c r="I3541" s="11"/>
      <c r="J3541" s="11"/>
      <c r="K3541" s="11"/>
      <c r="L3541" s="11"/>
      <c r="M3541" s="12"/>
      <c r="N3541" s="12"/>
      <c r="O3541" s="11"/>
      <c r="P3541" s="11"/>
    </row>
    <row r="3542" spans="1:16" ht="12.75" x14ac:dyDescent="0.35">
      <c r="A3542" s="11"/>
      <c r="B3542" s="9"/>
      <c r="C3542" s="9"/>
      <c r="D3542" s="9"/>
      <c r="E3542" s="11"/>
      <c r="F3542" s="11"/>
      <c r="G3542" s="11"/>
      <c r="H3542" s="11"/>
      <c r="I3542" s="11"/>
      <c r="J3542" s="11"/>
      <c r="K3542" s="11"/>
      <c r="L3542" s="11"/>
      <c r="M3542" s="12"/>
      <c r="N3542" s="12"/>
      <c r="O3542" s="11"/>
      <c r="P3542" s="11"/>
    </row>
    <row r="3543" spans="1:16" ht="12.75" x14ac:dyDescent="0.35">
      <c r="A3543" s="11"/>
      <c r="B3543" s="9"/>
      <c r="C3543" s="9"/>
      <c r="D3543" s="9"/>
      <c r="E3543" s="11"/>
      <c r="F3543" s="11"/>
      <c r="G3543" s="11"/>
      <c r="H3543" s="11"/>
      <c r="I3543" s="11"/>
      <c r="J3543" s="11"/>
      <c r="K3543" s="11"/>
      <c r="L3543" s="11"/>
      <c r="M3543" s="12"/>
      <c r="N3543" s="12"/>
      <c r="O3543" s="11"/>
      <c r="P3543" s="11"/>
    </row>
    <row r="3544" spans="1:16" ht="12.75" x14ac:dyDescent="0.35">
      <c r="A3544" s="11"/>
      <c r="B3544" s="9"/>
      <c r="C3544" s="9"/>
      <c r="D3544" s="9"/>
      <c r="E3544" s="11"/>
      <c r="F3544" s="11"/>
      <c r="G3544" s="11"/>
      <c r="H3544" s="11"/>
      <c r="I3544" s="11"/>
      <c r="J3544" s="11"/>
      <c r="K3544" s="11"/>
      <c r="L3544" s="11"/>
      <c r="M3544" s="12"/>
      <c r="N3544" s="12"/>
      <c r="O3544" s="11"/>
      <c r="P3544" s="11"/>
    </row>
    <row r="3545" spans="1:16" ht="12.75" x14ac:dyDescent="0.35">
      <c r="A3545" s="11"/>
      <c r="B3545" s="9"/>
      <c r="C3545" s="9"/>
      <c r="D3545" s="9"/>
      <c r="E3545" s="11"/>
      <c r="F3545" s="11"/>
      <c r="G3545" s="11"/>
      <c r="H3545" s="11"/>
      <c r="I3545" s="11"/>
      <c r="J3545" s="11"/>
      <c r="K3545" s="11"/>
      <c r="L3545" s="11"/>
      <c r="M3545" s="12"/>
      <c r="N3545" s="12"/>
      <c r="O3545" s="11"/>
      <c r="P3545" s="11"/>
    </row>
    <row r="3546" spans="1:16" ht="12.75" x14ac:dyDescent="0.35">
      <c r="A3546" s="11"/>
      <c r="B3546" s="9"/>
      <c r="C3546" s="9"/>
      <c r="D3546" s="9"/>
      <c r="E3546" s="11"/>
      <c r="F3546" s="11"/>
      <c r="G3546" s="11"/>
      <c r="H3546" s="11"/>
      <c r="I3546" s="11"/>
      <c r="J3546" s="11"/>
      <c r="K3546" s="11"/>
      <c r="L3546" s="11"/>
      <c r="M3546" s="12"/>
      <c r="N3546" s="12"/>
      <c r="O3546" s="11"/>
      <c r="P3546" s="11"/>
    </row>
    <row r="3547" spans="1:16" ht="12.75" x14ac:dyDescent="0.35">
      <c r="A3547" s="11"/>
      <c r="B3547" s="9"/>
      <c r="C3547" s="9"/>
      <c r="D3547" s="9"/>
      <c r="E3547" s="11"/>
      <c r="F3547" s="11"/>
      <c r="G3547" s="11"/>
      <c r="H3547" s="11"/>
      <c r="I3547" s="11"/>
      <c r="J3547" s="11"/>
      <c r="K3547" s="11"/>
      <c r="L3547" s="11"/>
      <c r="M3547" s="12"/>
      <c r="N3547" s="12"/>
      <c r="O3547" s="11"/>
      <c r="P3547" s="11"/>
    </row>
    <row r="3548" spans="1:16" ht="12.75" x14ac:dyDescent="0.35">
      <c r="A3548" s="11"/>
      <c r="B3548" s="9"/>
      <c r="C3548" s="9"/>
      <c r="D3548" s="9"/>
      <c r="E3548" s="11"/>
      <c r="F3548" s="11"/>
      <c r="G3548" s="11"/>
      <c r="H3548" s="11"/>
      <c r="I3548" s="11"/>
      <c r="J3548" s="11"/>
      <c r="K3548" s="11"/>
      <c r="L3548" s="11"/>
      <c r="M3548" s="12"/>
      <c r="N3548" s="12"/>
      <c r="O3548" s="11"/>
      <c r="P3548" s="11"/>
    </row>
    <row r="3549" spans="1:16" ht="12.75" x14ac:dyDescent="0.35">
      <c r="A3549" s="11"/>
      <c r="B3549" s="9"/>
      <c r="C3549" s="9"/>
      <c r="D3549" s="9"/>
      <c r="E3549" s="11"/>
      <c r="F3549" s="11"/>
      <c r="G3549" s="11"/>
      <c r="H3549" s="11"/>
      <c r="I3549" s="11"/>
      <c r="J3549" s="11"/>
      <c r="K3549" s="11"/>
      <c r="L3549" s="11"/>
      <c r="M3549" s="12"/>
      <c r="N3549" s="12"/>
      <c r="O3549" s="11"/>
      <c r="P3549" s="11"/>
    </row>
    <row r="3550" spans="1:16" ht="12.75" x14ac:dyDescent="0.35">
      <c r="A3550" s="11"/>
      <c r="B3550" s="9"/>
      <c r="C3550" s="9"/>
      <c r="D3550" s="9"/>
      <c r="E3550" s="11"/>
      <c r="F3550" s="11"/>
      <c r="G3550" s="11"/>
      <c r="H3550" s="11"/>
      <c r="I3550" s="11"/>
      <c r="J3550" s="11"/>
      <c r="K3550" s="11"/>
      <c r="L3550" s="11"/>
      <c r="M3550" s="12"/>
      <c r="N3550" s="12"/>
      <c r="O3550" s="11"/>
      <c r="P3550" s="11"/>
    </row>
    <row r="3551" spans="1:16" ht="12.75" x14ac:dyDescent="0.35">
      <c r="A3551" s="11"/>
      <c r="B3551" s="9"/>
      <c r="C3551" s="9"/>
      <c r="D3551" s="9"/>
      <c r="E3551" s="11"/>
      <c r="F3551" s="11"/>
      <c r="G3551" s="11"/>
      <c r="H3551" s="11"/>
      <c r="I3551" s="11"/>
      <c r="J3551" s="11"/>
      <c r="K3551" s="11"/>
      <c r="L3551" s="11"/>
      <c r="M3551" s="12"/>
      <c r="N3551" s="12"/>
      <c r="O3551" s="11"/>
      <c r="P3551" s="11"/>
    </row>
    <row r="3552" spans="1:16" ht="12.75" x14ac:dyDescent="0.35">
      <c r="A3552" s="11"/>
      <c r="B3552" s="9"/>
      <c r="C3552" s="9"/>
      <c r="D3552" s="9"/>
      <c r="E3552" s="11"/>
      <c r="F3552" s="11"/>
      <c r="G3552" s="11"/>
      <c r="H3552" s="11"/>
      <c r="I3552" s="11"/>
      <c r="J3552" s="11"/>
      <c r="K3552" s="11"/>
      <c r="L3552" s="11"/>
      <c r="M3552" s="12"/>
      <c r="N3552" s="12"/>
      <c r="O3552" s="11"/>
      <c r="P3552" s="11"/>
    </row>
    <row r="3553" spans="1:16" ht="12.75" x14ac:dyDescent="0.35">
      <c r="A3553" s="11"/>
      <c r="B3553" s="9"/>
      <c r="C3553" s="9"/>
      <c r="D3553" s="9"/>
      <c r="E3553" s="11"/>
      <c r="F3553" s="11"/>
      <c r="G3553" s="11"/>
      <c r="H3553" s="11"/>
      <c r="I3553" s="11"/>
      <c r="J3553" s="11"/>
      <c r="K3553" s="11"/>
      <c r="L3553" s="11"/>
      <c r="M3553" s="12"/>
      <c r="N3553" s="12"/>
      <c r="O3553" s="11"/>
      <c r="P3553" s="11"/>
    </row>
    <row r="3554" spans="1:16" ht="12.75" x14ac:dyDescent="0.35">
      <c r="A3554" s="11"/>
      <c r="B3554" s="9"/>
      <c r="C3554" s="9"/>
      <c r="D3554" s="9"/>
      <c r="E3554" s="11"/>
      <c r="F3554" s="11"/>
      <c r="G3554" s="11"/>
      <c r="H3554" s="11"/>
      <c r="I3554" s="11"/>
      <c r="J3554" s="11"/>
      <c r="K3554" s="11"/>
      <c r="L3554" s="11"/>
      <c r="M3554" s="12"/>
      <c r="N3554" s="12"/>
      <c r="O3554" s="11"/>
      <c r="P3554" s="11"/>
    </row>
    <row r="3555" spans="1:16" ht="12.75" x14ac:dyDescent="0.35">
      <c r="A3555" s="11"/>
      <c r="B3555" s="9"/>
      <c r="C3555" s="9"/>
      <c r="D3555" s="9"/>
      <c r="E3555" s="11"/>
      <c r="F3555" s="11"/>
      <c r="G3555" s="11"/>
      <c r="H3555" s="11"/>
      <c r="I3555" s="11"/>
      <c r="J3555" s="11"/>
      <c r="K3555" s="11"/>
      <c r="L3555" s="11"/>
      <c r="M3555" s="12"/>
      <c r="N3555" s="12"/>
      <c r="O3555" s="11"/>
      <c r="P3555" s="11"/>
    </row>
    <row r="3556" spans="1:16" ht="12.75" x14ac:dyDescent="0.35">
      <c r="A3556" s="11"/>
      <c r="B3556" s="9"/>
      <c r="C3556" s="9"/>
      <c r="D3556" s="9"/>
      <c r="E3556" s="11"/>
      <c r="F3556" s="11"/>
      <c r="G3556" s="11"/>
      <c r="H3556" s="11"/>
      <c r="I3556" s="11"/>
      <c r="J3556" s="11"/>
      <c r="K3556" s="11"/>
      <c r="L3556" s="11"/>
      <c r="M3556" s="12"/>
      <c r="N3556" s="12"/>
      <c r="O3556" s="11"/>
      <c r="P3556" s="11"/>
    </row>
    <row r="3557" spans="1:16" ht="12.75" x14ac:dyDescent="0.35">
      <c r="A3557" s="11"/>
      <c r="B3557" s="9"/>
      <c r="C3557" s="9"/>
      <c r="D3557" s="9"/>
      <c r="E3557" s="11"/>
      <c r="F3557" s="11"/>
      <c r="G3557" s="11"/>
      <c r="H3557" s="11"/>
      <c r="I3557" s="11"/>
      <c r="J3557" s="11"/>
      <c r="K3557" s="11"/>
      <c r="L3557" s="11"/>
      <c r="M3557" s="12"/>
      <c r="N3557" s="12"/>
      <c r="O3557" s="11"/>
      <c r="P3557" s="11"/>
    </row>
    <row r="3558" spans="1:16" ht="12.75" x14ac:dyDescent="0.35">
      <c r="A3558" s="11"/>
      <c r="B3558" s="9"/>
      <c r="C3558" s="9"/>
      <c r="D3558" s="9"/>
      <c r="E3558" s="11"/>
      <c r="F3558" s="11"/>
      <c r="G3558" s="11"/>
      <c r="H3558" s="11"/>
      <c r="I3558" s="11"/>
      <c r="J3558" s="11"/>
      <c r="K3558" s="11"/>
      <c r="L3558" s="11"/>
      <c r="M3558" s="12"/>
      <c r="N3558" s="12"/>
      <c r="O3558" s="11"/>
      <c r="P3558" s="11"/>
    </row>
    <row r="3559" spans="1:16" ht="12.75" x14ac:dyDescent="0.35">
      <c r="A3559" s="11"/>
      <c r="B3559" s="9"/>
      <c r="C3559" s="9"/>
      <c r="D3559" s="9"/>
      <c r="E3559" s="11"/>
      <c r="F3559" s="11"/>
      <c r="G3559" s="11"/>
      <c r="H3559" s="11"/>
      <c r="I3559" s="11"/>
      <c r="J3559" s="11"/>
      <c r="K3559" s="11"/>
      <c r="L3559" s="11"/>
      <c r="M3559" s="12"/>
      <c r="N3559" s="12"/>
      <c r="O3559" s="11"/>
      <c r="P3559" s="11"/>
    </row>
    <row r="3560" spans="1:16" ht="12.75" x14ac:dyDescent="0.35">
      <c r="A3560" s="11"/>
      <c r="B3560" s="9"/>
      <c r="C3560" s="9"/>
      <c r="D3560" s="9"/>
      <c r="E3560" s="11"/>
      <c r="F3560" s="11"/>
      <c r="G3560" s="11"/>
      <c r="H3560" s="11"/>
      <c r="I3560" s="11"/>
      <c r="J3560" s="11"/>
      <c r="K3560" s="11"/>
      <c r="L3560" s="11"/>
      <c r="M3560" s="12"/>
      <c r="N3560" s="12"/>
      <c r="O3560" s="11"/>
      <c r="P3560" s="11"/>
    </row>
    <row r="3561" spans="1:16" ht="12.75" x14ac:dyDescent="0.35">
      <c r="A3561" s="11"/>
      <c r="B3561" s="9"/>
      <c r="C3561" s="9"/>
      <c r="D3561" s="9"/>
      <c r="E3561" s="11"/>
      <c r="F3561" s="11"/>
      <c r="G3561" s="11"/>
      <c r="H3561" s="11"/>
      <c r="I3561" s="11"/>
      <c r="J3561" s="11"/>
      <c r="K3561" s="11"/>
      <c r="L3561" s="11"/>
      <c r="M3561" s="12"/>
      <c r="N3561" s="12"/>
      <c r="O3561" s="11"/>
      <c r="P3561" s="11"/>
    </row>
    <row r="3562" spans="1:16" ht="12.75" x14ac:dyDescent="0.35">
      <c r="A3562" s="11"/>
      <c r="B3562" s="9"/>
      <c r="C3562" s="9"/>
      <c r="D3562" s="9"/>
      <c r="E3562" s="11"/>
      <c r="F3562" s="11"/>
      <c r="G3562" s="11"/>
      <c r="H3562" s="11"/>
      <c r="I3562" s="11"/>
      <c r="J3562" s="11"/>
      <c r="K3562" s="11"/>
      <c r="L3562" s="11"/>
      <c r="M3562" s="12"/>
      <c r="N3562" s="12"/>
      <c r="O3562" s="11"/>
      <c r="P3562" s="11"/>
    </row>
    <row r="3563" spans="1:16" ht="12.75" x14ac:dyDescent="0.35">
      <c r="A3563" s="11"/>
      <c r="B3563" s="9"/>
      <c r="C3563" s="9"/>
      <c r="D3563" s="9"/>
      <c r="E3563" s="11"/>
      <c r="F3563" s="11"/>
      <c r="G3563" s="11"/>
      <c r="H3563" s="11"/>
      <c r="I3563" s="11"/>
      <c r="J3563" s="11"/>
      <c r="K3563" s="11"/>
      <c r="L3563" s="11"/>
      <c r="M3563" s="12"/>
      <c r="N3563" s="12"/>
      <c r="O3563" s="11"/>
      <c r="P3563" s="11"/>
    </row>
    <row r="3564" spans="1:16" ht="12.75" x14ac:dyDescent="0.35">
      <c r="A3564" s="11"/>
      <c r="B3564" s="9"/>
      <c r="C3564" s="9"/>
      <c r="D3564" s="9"/>
      <c r="E3564" s="11"/>
      <c r="F3564" s="11"/>
      <c r="G3564" s="11"/>
      <c r="H3564" s="11"/>
      <c r="I3564" s="11"/>
      <c r="J3564" s="11"/>
      <c r="K3564" s="11"/>
      <c r="L3564" s="11"/>
      <c r="M3564" s="12"/>
      <c r="N3564" s="12"/>
      <c r="O3564" s="11"/>
      <c r="P3564" s="11"/>
    </row>
    <row r="3565" spans="1:16" ht="12.75" x14ac:dyDescent="0.35">
      <c r="A3565" s="11"/>
      <c r="B3565" s="9"/>
      <c r="C3565" s="9"/>
      <c r="D3565" s="9"/>
      <c r="E3565" s="11"/>
      <c r="F3565" s="11"/>
      <c r="G3565" s="11"/>
      <c r="H3565" s="11"/>
      <c r="I3565" s="11"/>
      <c r="J3565" s="11"/>
      <c r="K3565" s="11"/>
      <c r="L3565" s="11"/>
      <c r="M3565" s="12"/>
      <c r="N3565" s="12"/>
      <c r="O3565" s="11"/>
      <c r="P3565" s="11"/>
    </row>
    <row r="3566" spans="1:16" ht="12.75" x14ac:dyDescent="0.35">
      <c r="A3566" s="11"/>
      <c r="B3566" s="9"/>
      <c r="C3566" s="9"/>
      <c r="D3566" s="9"/>
      <c r="E3566" s="11"/>
      <c r="F3566" s="11"/>
      <c r="G3566" s="11"/>
      <c r="H3566" s="11"/>
      <c r="I3566" s="11"/>
      <c r="J3566" s="11"/>
      <c r="K3566" s="11"/>
      <c r="L3566" s="11"/>
      <c r="M3566" s="12"/>
      <c r="N3566" s="12"/>
      <c r="O3566" s="11"/>
      <c r="P3566" s="11"/>
    </row>
    <row r="3567" spans="1:16" ht="12.75" x14ac:dyDescent="0.35">
      <c r="A3567" s="11"/>
      <c r="B3567" s="9"/>
      <c r="C3567" s="9"/>
      <c r="D3567" s="9"/>
      <c r="E3567" s="11"/>
      <c r="F3567" s="11"/>
      <c r="G3567" s="11"/>
      <c r="H3567" s="11"/>
      <c r="I3567" s="11"/>
      <c r="J3567" s="11"/>
      <c r="K3567" s="11"/>
      <c r="L3567" s="11"/>
      <c r="M3567" s="12"/>
      <c r="N3567" s="12"/>
      <c r="O3567" s="11"/>
      <c r="P3567" s="11"/>
    </row>
    <row r="3568" spans="1:16" ht="12.75" x14ac:dyDescent="0.35">
      <c r="A3568" s="11"/>
      <c r="B3568" s="9"/>
      <c r="C3568" s="9"/>
      <c r="D3568" s="9"/>
      <c r="E3568" s="11"/>
      <c r="F3568" s="11"/>
      <c r="G3568" s="11"/>
      <c r="H3568" s="11"/>
      <c r="I3568" s="11"/>
      <c r="J3568" s="11"/>
      <c r="K3568" s="11"/>
      <c r="L3568" s="11"/>
      <c r="M3568" s="12"/>
      <c r="N3568" s="12"/>
      <c r="O3568" s="11"/>
      <c r="P3568" s="11"/>
    </row>
    <row r="3569" spans="1:16" ht="12.75" x14ac:dyDescent="0.35">
      <c r="A3569" s="11"/>
      <c r="B3569" s="9"/>
      <c r="C3569" s="9"/>
      <c r="D3569" s="9"/>
      <c r="E3569" s="11"/>
      <c r="F3569" s="11"/>
      <c r="G3569" s="11"/>
      <c r="H3569" s="11"/>
      <c r="I3569" s="11"/>
      <c r="J3569" s="11"/>
      <c r="K3569" s="11"/>
      <c r="L3569" s="11"/>
      <c r="M3569" s="12"/>
      <c r="N3569" s="12"/>
      <c r="O3569" s="11"/>
      <c r="P3569" s="11"/>
    </row>
    <row r="3570" spans="1:16" ht="12.75" x14ac:dyDescent="0.35">
      <c r="A3570" s="11"/>
      <c r="B3570" s="9"/>
      <c r="C3570" s="9"/>
      <c r="D3570" s="9"/>
      <c r="E3570" s="11"/>
      <c r="F3570" s="11"/>
      <c r="G3570" s="11"/>
      <c r="H3570" s="11"/>
      <c r="I3570" s="11"/>
      <c r="J3570" s="11"/>
      <c r="K3570" s="11"/>
      <c r="L3570" s="11"/>
      <c r="M3570" s="12"/>
      <c r="N3570" s="12"/>
      <c r="O3570" s="11"/>
      <c r="P3570" s="11"/>
    </row>
    <row r="3571" spans="1:16" ht="12.75" x14ac:dyDescent="0.35">
      <c r="A3571" s="11"/>
      <c r="B3571" s="9"/>
      <c r="C3571" s="9"/>
      <c r="D3571" s="9"/>
      <c r="E3571" s="11"/>
      <c r="F3571" s="11"/>
      <c r="G3571" s="11"/>
      <c r="H3571" s="11"/>
      <c r="I3571" s="11"/>
      <c r="J3571" s="11"/>
      <c r="K3571" s="11"/>
      <c r="L3571" s="11"/>
      <c r="M3571" s="12"/>
      <c r="N3571" s="12"/>
      <c r="O3571" s="11"/>
      <c r="P3571" s="11"/>
    </row>
    <row r="3572" spans="1:16" ht="12.75" x14ac:dyDescent="0.35">
      <c r="A3572" s="11"/>
      <c r="B3572" s="9"/>
      <c r="C3572" s="9"/>
      <c r="D3572" s="9"/>
      <c r="E3572" s="11"/>
      <c r="F3572" s="11"/>
      <c r="G3572" s="11"/>
      <c r="H3572" s="11"/>
      <c r="I3572" s="11"/>
      <c r="J3572" s="11"/>
      <c r="K3572" s="11"/>
      <c r="L3572" s="11"/>
      <c r="M3572" s="12"/>
      <c r="N3572" s="12"/>
      <c r="O3572" s="11"/>
      <c r="P3572" s="11"/>
    </row>
    <row r="3573" spans="1:16" ht="12.75" x14ac:dyDescent="0.35">
      <c r="A3573" s="11"/>
      <c r="B3573" s="9"/>
      <c r="C3573" s="9"/>
      <c r="D3573" s="9"/>
      <c r="E3573" s="11"/>
      <c r="F3573" s="11"/>
      <c r="G3573" s="11"/>
      <c r="H3573" s="11"/>
      <c r="I3573" s="11"/>
      <c r="J3573" s="11"/>
      <c r="K3573" s="11"/>
      <c r="L3573" s="11"/>
      <c r="M3573" s="12"/>
      <c r="N3573" s="12"/>
      <c r="O3573" s="11"/>
      <c r="P3573" s="11"/>
    </row>
    <row r="3574" spans="1:16" ht="12.75" x14ac:dyDescent="0.35">
      <c r="A3574" s="11"/>
      <c r="B3574" s="9"/>
      <c r="C3574" s="9"/>
      <c r="D3574" s="9"/>
      <c r="E3574" s="11"/>
      <c r="F3574" s="11"/>
      <c r="G3574" s="11"/>
      <c r="H3574" s="11"/>
      <c r="I3574" s="11"/>
      <c r="J3574" s="11"/>
      <c r="K3574" s="11"/>
      <c r="L3574" s="11"/>
      <c r="M3574" s="12"/>
      <c r="N3574" s="12"/>
      <c r="O3574" s="11"/>
      <c r="P3574" s="11"/>
    </row>
    <row r="3575" spans="1:16" ht="12.75" x14ac:dyDescent="0.35">
      <c r="A3575" s="11"/>
      <c r="B3575" s="9"/>
      <c r="C3575" s="9"/>
      <c r="D3575" s="9"/>
      <c r="E3575" s="11"/>
      <c r="F3575" s="11"/>
      <c r="G3575" s="11"/>
      <c r="H3575" s="11"/>
      <c r="I3575" s="11"/>
      <c r="J3575" s="11"/>
      <c r="K3575" s="11"/>
      <c r="L3575" s="11"/>
      <c r="M3575" s="12"/>
      <c r="N3575" s="12"/>
      <c r="O3575" s="11"/>
      <c r="P3575" s="11"/>
    </row>
    <row r="3576" spans="1:16" ht="12.75" x14ac:dyDescent="0.35">
      <c r="A3576" s="11"/>
      <c r="B3576" s="9"/>
      <c r="C3576" s="9"/>
      <c r="D3576" s="9"/>
      <c r="E3576" s="11"/>
      <c r="F3576" s="11"/>
      <c r="G3576" s="11"/>
      <c r="H3576" s="11"/>
      <c r="I3576" s="11"/>
      <c r="J3576" s="11"/>
      <c r="K3576" s="11"/>
      <c r="L3576" s="11"/>
      <c r="M3576" s="12"/>
      <c r="N3576" s="12"/>
      <c r="O3576" s="11"/>
      <c r="P3576" s="11"/>
    </row>
    <row r="3577" spans="1:16" ht="12.75" x14ac:dyDescent="0.35">
      <c r="A3577" s="11"/>
      <c r="B3577" s="9"/>
      <c r="C3577" s="9"/>
      <c r="D3577" s="9"/>
      <c r="E3577" s="11"/>
      <c r="F3577" s="11"/>
      <c r="G3577" s="11"/>
      <c r="H3577" s="11"/>
      <c r="I3577" s="11"/>
      <c r="J3577" s="11"/>
      <c r="K3577" s="11"/>
      <c r="L3577" s="11"/>
      <c r="M3577" s="12"/>
      <c r="N3577" s="12"/>
      <c r="O3577" s="11"/>
      <c r="P3577" s="11"/>
    </row>
    <row r="3578" spans="1:16" ht="12.75" x14ac:dyDescent="0.35">
      <c r="A3578" s="11"/>
      <c r="B3578" s="9"/>
      <c r="C3578" s="9"/>
      <c r="D3578" s="9"/>
      <c r="E3578" s="11"/>
      <c r="F3578" s="11"/>
      <c r="G3578" s="11"/>
      <c r="H3578" s="11"/>
      <c r="I3578" s="11"/>
      <c r="J3578" s="11"/>
      <c r="K3578" s="11"/>
      <c r="L3578" s="11"/>
      <c r="M3578" s="12"/>
      <c r="N3578" s="12"/>
      <c r="O3578" s="11"/>
      <c r="P3578" s="11"/>
    </row>
    <row r="3579" spans="1:16" ht="12.75" x14ac:dyDescent="0.35">
      <c r="A3579" s="11"/>
      <c r="B3579" s="9"/>
      <c r="C3579" s="9"/>
      <c r="D3579" s="9"/>
      <c r="E3579" s="11"/>
      <c r="F3579" s="11"/>
      <c r="G3579" s="11"/>
      <c r="H3579" s="11"/>
      <c r="I3579" s="11"/>
      <c r="J3579" s="11"/>
      <c r="K3579" s="11"/>
      <c r="L3579" s="11"/>
      <c r="M3579" s="12"/>
      <c r="N3579" s="12"/>
      <c r="O3579" s="11"/>
      <c r="P3579" s="11"/>
    </row>
    <row r="3580" spans="1:16" ht="12.75" x14ac:dyDescent="0.35">
      <c r="A3580" s="11"/>
      <c r="B3580" s="9"/>
      <c r="C3580" s="9"/>
      <c r="D3580" s="9"/>
      <c r="E3580" s="11"/>
      <c r="F3580" s="11"/>
      <c r="G3580" s="11"/>
      <c r="H3580" s="11"/>
      <c r="I3580" s="11"/>
      <c r="J3580" s="11"/>
      <c r="K3580" s="11"/>
      <c r="L3580" s="11"/>
      <c r="M3580" s="12"/>
      <c r="N3580" s="12"/>
      <c r="O3580" s="11"/>
      <c r="P3580" s="11"/>
    </row>
    <row r="3581" spans="1:16" ht="12.75" x14ac:dyDescent="0.35">
      <c r="A3581" s="11"/>
      <c r="B3581" s="9"/>
      <c r="C3581" s="9"/>
      <c r="D3581" s="9"/>
      <c r="E3581" s="11"/>
      <c r="F3581" s="11"/>
      <c r="G3581" s="11"/>
      <c r="H3581" s="11"/>
      <c r="I3581" s="11"/>
      <c r="J3581" s="11"/>
      <c r="K3581" s="11"/>
      <c r="L3581" s="11"/>
      <c r="M3581" s="12"/>
      <c r="N3581" s="12"/>
      <c r="O3581" s="11"/>
      <c r="P3581" s="11"/>
    </row>
    <row r="3582" spans="1:16" ht="12.75" x14ac:dyDescent="0.35">
      <c r="A3582" s="11"/>
      <c r="B3582" s="9"/>
      <c r="C3582" s="9"/>
      <c r="D3582" s="9"/>
      <c r="E3582" s="11"/>
      <c r="F3582" s="11"/>
      <c r="G3582" s="11"/>
      <c r="H3582" s="11"/>
      <c r="I3582" s="11"/>
      <c r="J3582" s="11"/>
      <c r="K3582" s="11"/>
      <c r="L3582" s="11"/>
      <c r="M3582" s="12"/>
      <c r="N3582" s="12"/>
      <c r="O3582" s="11"/>
      <c r="P3582" s="11"/>
    </row>
    <row r="3583" spans="1:16" ht="12.75" x14ac:dyDescent="0.35">
      <c r="A3583" s="11"/>
      <c r="B3583" s="9"/>
      <c r="C3583" s="9"/>
      <c r="D3583" s="9"/>
      <c r="E3583" s="11"/>
      <c r="F3583" s="11"/>
      <c r="G3583" s="11"/>
      <c r="H3583" s="11"/>
      <c r="I3583" s="11"/>
      <c r="J3583" s="11"/>
      <c r="K3583" s="11"/>
      <c r="L3583" s="11"/>
      <c r="M3583" s="12"/>
      <c r="N3583" s="12"/>
      <c r="O3583" s="11"/>
      <c r="P3583" s="11"/>
    </row>
    <row r="3584" spans="1:16" ht="12.75" x14ac:dyDescent="0.35">
      <c r="A3584" s="11"/>
      <c r="B3584" s="9"/>
      <c r="C3584" s="9"/>
      <c r="D3584" s="9"/>
      <c r="E3584" s="11"/>
      <c r="F3584" s="11"/>
      <c r="G3584" s="11"/>
      <c r="H3584" s="11"/>
      <c r="I3584" s="11"/>
      <c r="J3584" s="11"/>
      <c r="K3584" s="11"/>
      <c r="L3584" s="11"/>
      <c r="M3584" s="12"/>
      <c r="N3584" s="12"/>
      <c r="O3584" s="11"/>
      <c r="P3584" s="11"/>
    </row>
    <row r="3585" spans="1:16" ht="12.75" x14ac:dyDescent="0.35">
      <c r="A3585" s="11"/>
      <c r="B3585" s="9"/>
      <c r="C3585" s="9"/>
      <c r="D3585" s="9"/>
      <c r="E3585" s="11"/>
      <c r="F3585" s="11"/>
      <c r="G3585" s="11"/>
      <c r="H3585" s="11"/>
      <c r="I3585" s="11"/>
      <c r="J3585" s="11"/>
      <c r="K3585" s="11"/>
      <c r="L3585" s="11"/>
      <c r="M3585" s="12"/>
      <c r="N3585" s="12"/>
      <c r="O3585" s="11"/>
      <c r="P3585" s="11"/>
    </row>
    <row r="3586" spans="1:16" ht="12.75" x14ac:dyDescent="0.35">
      <c r="A3586" s="11"/>
      <c r="B3586" s="9"/>
      <c r="C3586" s="9"/>
      <c r="D3586" s="9"/>
      <c r="E3586" s="11"/>
      <c r="F3586" s="11"/>
      <c r="G3586" s="11"/>
      <c r="H3586" s="11"/>
      <c r="I3586" s="11"/>
      <c r="J3586" s="11"/>
      <c r="K3586" s="11"/>
      <c r="L3586" s="11"/>
      <c r="M3586" s="12"/>
      <c r="N3586" s="12"/>
      <c r="O3586" s="11"/>
      <c r="P3586" s="11"/>
    </row>
    <row r="3587" spans="1:16" ht="12.75" x14ac:dyDescent="0.35">
      <c r="A3587" s="11"/>
      <c r="B3587" s="9"/>
      <c r="C3587" s="9"/>
      <c r="D3587" s="9"/>
      <c r="E3587" s="11"/>
      <c r="F3587" s="11"/>
      <c r="G3587" s="11"/>
      <c r="H3587" s="11"/>
      <c r="I3587" s="11"/>
      <c r="J3587" s="11"/>
      <c r="K3587" s="11"/>
      <c r="L3587" s="11"/>
      <c r="M3587" s="12"/>
      <c r="N3587" s="12"/>
      <c r="O3587" s="11"/>
      <c r="P3587" s="11"/>
    </row>
    <row r="3588" spans="1:16" ht="12.75" x14ac:dyDescent="0.35">
      <c r="A3588" s="11"/>
      <c r="B3588" s="9"/>
      <c r="C3588" s="9"/>
      <c r="D3588" s="9"/>
      <c r="E3588" s="11"/>
      <c r="F3588" s="11"/>
      <c r="G3588" s="11"/>
      <c r="H3588" s="11"/>
      <c r="I3588" s="11"/>
      <c r="J3588" s="11"/>
      <c r="K3588" s="11"/>
      <c r="L3588" s="11"/>
      <c r="M3588" s="12"/>
      <c r="N3588" s="12"/>
      <c r="O3588" s="11"/>
      <c r="P3588" s="11"/>
    </row>
    <row r="3589" spans="1:16" ht="12.75" x14ac:dyDescent="0.35">
      <c r="A3589" s="11"/>
      <c r="B3589" s="9"/>
      <c r="C3589" s="9"/>
      <c r="D3589" s="9"/>
      <c r="E3589" s="11"/>
      <c r="F3589" s="11"/>
      <c r="G3589" s="11"/>
      <c r="H3589" s="11"/>
      <c r="I3589" s="11"/>
      <c r="J3589" s="11"/>
      <c r="K3589" s="11"/>
      <c r="L3589" s="11"/>
      <c r="M3589" s="12"/>
      <c r="N3589" s="12"/>
      <c r="O3589" s="11"/>
      <c r="P3589" s="11"/>
    </row>
    <row r="3590" spans="1:16" ht="12.75" x14ac:dyDescent="0.35">
      <c r="A3590" s="11"/>
      <c r="B3590" s="9"/>
      <c r="C3590" s="9"/>
      <c r="D3590" s="9"/>
      <c r="E3590" s="11"/>
      <c r="F3590" s="11"/>
      <c r="G3590" s="11"/>
      <c r="H3590" s="11"/>
      <c r="I3590" s="11"/>
      <c r="J3590" s="11"/>
      <c r="K3590" s="11"/>
      <c r="L3590" s="11"/>
      <c r="M3590" s="12"/>
      <c r="N3590" s="12"/>
      <c r="O3590" s="11"/>
      <c r="P3590" s="11"/>
    </row>
    <row r="3591" spans="1:16" ht="12.75" x14ac:dyDescent="0.35">
      <c r="A3591" s="11"/>
      <c r="B3591" s="9"/>
      <c r="C3591" s="9"/>
      <c r="D3591" s="9"/>
      <c r="E3591" s="11"/>
      <c r="F3591" s="11"/>
      <c r="G3591" s="11"/>
      <c r="H3591" s="11"/>
      <c r="I3591" s="11"/>
      <c r="J3591" s="11"/>
      <c r="K3591" s="11"/>
      <c r="L3591" s="11"/>
      <c r="M3591" s="12"/>
      <c r="N3591" s="12"/>
      <c r="O3591" s="11"/>
      <c r="P3591" s="11"/>
    </row>
    <row r="3592" spans="1:16" ht="12.75" x14ac:dyDescent="0.35">
      <c r="A3592" s="11"/>
      <c r="B3592" s="9"/>
      <c r="C3592" s="9"/>
      <c r="D3592" s="9"/>
      <c r="E3592" s="11"/>
      <c r="F3592" s="11"/>
      <c r="G3592" s="11"/>
      <c r="H3592" s="11"/>
      <c r="I3592" s="11"/>
      <c r="J3592" s="11"/>
      <c r="K3592" s="11"/>
      <c r="L3592" s="11"/>
      <c r="M3592" s="12"/>
      <c r="N3592" s="12"/>
      <c r="O3592" s="11"/>
      <c r="P3592" s="11"/>
    </row>
    <row r="3593" spans="1:16" ht="12.75" x14ac:dyDescent="0.35">
      <c r="A3593" s="11"/>
      <c r="B3593" s="9"/>
      <c r="C3593" s="9"/>
      <c r="D3593" s="9"/>
      <c r="E3593" s="11"/>
      <c r="F3593" s="11"/>
      <c r="G3593" s="11"/>
      <c r="H3593" s="11"/>
      <c r="I3593" s="11"/>
      <c r="J3593" s="11"/>
      <c r="K3593" s="11"/>
      <c r="L3593" s="11"/>
      <c r="M3593" s="12"/>
      <c r="N3593" s="12"/>
      <c r="O3593" s="11"/>
      <c r="P3593" s="11"/>
    </row>
    <row r="3594" spans="1:16" ht="12.75" x14ac:dyDescent="0.35">
      <c r="A3594" s="11"/>
      <c r="B3594" s="9"/>
      <c r="C3594" s="9"/>
      <c r="D3594" s="9"/>
      <c r="E3594" s="11"/>
      <c r="F3594" s="11"/>
      <c r="G3594" s="11"/>
      <c r="H3594" s="11"/>
      <c r="I3594" s="11"/>
      <c r="J3594" s="11"/>
      <c r="K3594" s="11"/>
      <c r="L3594" s="11"/>
      <c r="M3594" s="12"/>
      <c r="N3594" s="12"/>
      <c r="O3594" s="11"/>
      <c r="P3594" s="11"/>
    </row>
    <row r="3595" spans="1:16" ht="12.75" x14ac:dyDescent="0.35">
      <c r="A3595" s="11"/>
      <c r="B3595" s="9"/>
      <c r="C3595" s="9"/>
      <c r="D3595" s="9"/>
      <c r="E3595" s="11"/>
      <c r="F3595" s="11"/>
      <c r="G3595" s="11"/>
      <c r="H3595" s="11"/>
      <c r="I3595" s="11"/>
      <c r="J3595" s="11"/>
      <c r="K3595" s="11"/>
      <c r="L3595" s="11"/>
      <c r="M3595" s="12"/>
      <c r="N3595" s="12"/>
      <c r="O3595" s="11"/>
      <c r="P3595" s="11"/>
    </row>
    <row r="3596" spans="1:16" ht="12.75" x14ac:dyDescent="0.35">
      <c r="A3596" s="11"/>
      <c r="B3596" s="9"/>
      <c r="C3596" s="9"/>
      <c r="D3596" s="9"/>
      <c r="E3596" s="11"/>
      <c r="F3596" s="11"/>
      <c r="G3596" s="11"/>
      <c r="H3596" s="11"/>
      <c r="I3596" s="11"/>
      <c r="J3596" s="11"/>
      <c r="K3596" s="11"/>
      <c r="L3596" s="11"/>
      <c r="M3596" s="12"/>
      <c r="N3596" s="12"/>
      <c r="O3596" s="11"/>
      <c r="P3596" s="11"/>
    </row>
    <row r="3597" spans="1:16" ht="12.75" x14ac:dyDescent="0.35">
      <c r="A3597" s="11"/>
      <c r="B3597" s="9"/>
      <c r="C3597" s="9"/>
      <c r="D3597" s="9"/>
      <c r="E3597" s="11"/>
      <c r="F3597" s="11"/>
      <c r="G3597" s="11"/>
      <c r="H3597" s="11"/>
      <c r="I3597" s="11"/>
      <c r="J3597" s="11"/>
      <c r="K3597" s="11"/>
      <c r="L3597" s="11"/>
      <c r="M3597" s="12"/>
      <c r="N3597" s="12"/>
      <c r="O3597" s="11"/>
      <c r="P3597" s="11"/>
    </row>
    <row r="3598" spans="1:16" ht="12.75" x14ac:dyDescent="0.35">
      <c r="A3598" s="11"/>
      <c r="B3598" s="9"/>
      <c r="C3598" s="9"/>
      <c r="D3598" s="9"/>
      <c r="E3598" s="11"/>
      <c r="F3598" s="11"/>
      <c r="G3598" s="11"/>
      <c r="H3598" s="11"/>
      <c r="I3598" s="11"/>
      <c r="J3598" s="11"/>
      <c r="K3598" s="11"/>
      <c r="L3598" s="11"/>
      <c r="M3598" s="12"/>
      <c r="N3598" s="12"/>
      <c r="O3598" s="11"/>
      <c r="P3598" s="11"/>
    </row>
    <row r="3599" spans="1:16" ht="12.75" x14ac:dyDescent="0.35">
      <c r="A3599" s="11"/>
      <c r="B3599" s="9"/>
      <c r="C3599" s="9"/>
      <c r="D3599" s="9"/>
      <c r="E3599" s="11"/>
      <c r="F3599" s="11"/>
      <c r="G3599" s="11"/>
      <c r="H3599" s="11"/>
      <c r="I3599" s="11"/>
      <c r="J3599" s="11"/>
      <c r="K3599" s="11"/>
      <c r="L3599" s="11"/>
      <c r="M3599" s="12"/>
      <c r="N3599" s="12"/>
      <c r="O3599" s="11"/>
      <c r="P3599" s="11"/>
    </row>
    <row r="3600" spans="1:16" ht="12.75" x14ac:dyDescent="0.35">
      <c r="A3600" s="11"/>
      <c r="B3600" s="9"/>
      <c r="C3600" s="9"/>
      <c r="D3600" s="9"/>
      <c r="E3600" s="11"/>
      <c r="F3600" s="11"/>
      <c r="G3600" s="11"/>
      <c r="H3600" s="11"/>
      <c r="I3600" s="11"/>
      <c r="J3600" s="11"/>
      <c r="K3600" s="11"/>
      <c r="L3600" s="11"/>
      <c r="M3600" s="12"/>
      <c r="N3600" s="12"/>
      <c r="O3600" s="11"/>
      <c r="P3600" s="11"/>
    </row>
    <row r="3601" spans="1:16" ht="12.75" x14ac:dyDescent="0.35">
      <c r="A3601" s="11"/>
      <c r="B3601" s="9"/>
      <c r="C3601" s="9"/>
      <c r="D3601" s="9"/>
      <c r="E3601" s="11"/>
      <c r="F3601" s="11"/>
      <c r="G3601" s="11"/>
      <c r="H3601" s="11"/>
      <c r="I3601" s="11"/>
      <c r="J3601" s="11"/>
      <c r="K3601" s="11"/>
      <c r="L3601" s="11"/>
      <c r="M3601" s="12"/>
      <c r="N3601" s="12"/>
      <c r="O3601" s="11"/>
      <c r="P3601" s="11"/>
    </row>
    <row r="3602" spans="1:16" ht="12.75" x14ac:dyDescent="0.35">
      <c r="A3602" s="11"/>
      <c r="B3602" s="9"/>
      <c r="C3602" s="9"/>
      <c r="D3602" s="9"/>
      <c r="E3602" s="11"/>
      <c r="F3602" s="11"/>
      <c r="G3602" s="11"/>
      <c r="H3602" s="11"/>
      <c r="I3602" s="11"/>
      <c r="J3602" s="11"/>
      <c r="K3602" s="11"/>
      <c r="L3602" s="11"/>
      <c r="M3602" s="12"/>
      <c r="N3602" s="12"/>
      <c r="O3602" s="11"/>
      <c r="P3602" s="11"/>
    </row>
    <row r="3603" spans="1:16" ht="12.75" x14ac:dyDescent="0.35">
      <c r="A3603" s="11"/>
      <c r="B3603" s="9"/>
      <c r="C3603" s="9"/>
      <c r="D3603" s="9"/>
      <c r="E3603" s="11"/>
      <c r="F3603" s="11"/>
      <c r="G3603" s="11"/>
      <c r="H3603" s="11"/>
      <c r="I3603" s="11"/>
      <c r="J3603" s="11"/>
      <c r="K3603" s="11"/>
      <c r="L3603" s="11"/>
      <c r="M3603" s="12"/>
      <c r="N3603" s="12"/>
      <c r="O3603" s="11"/>
      <c r="P3603" s="11"/>
    </row>
    <row r="3604" spans="1:16" ht="12.75" x14ac:dyDescent="0.35">
      <c r="A3604" s="11"/>
      <c r="B3604" s="9"/>
      <c r="C3604" s="9"/>
      <c r="D3604" s="9"/>
      <c r="E3604" s="11"/>
      <c r="F3604" s="11"/>
      <c r="G3604" s="11"/>
      <c r="H3604" s="11"/>
      <c r="I3604" s="11"/>
      <c r="J3604" s="11"/>
      <c r="K3604" s="11"/>
      <c r="L3604" s="11"/>
      <c r="M3604" s="12"/>
      <c r="N3604" s="12"/>
      <c r="O3604" s="11"/>
      <c r="P3604" s="11"/>
    </row>
    <row r="3605" spans="1:16" ht="12.75" x14ac:dyDescent="0.35">
      <c r="A3605" s="11"/>
      <c r="B3605" s="9"/>
      <c r="C3605" s="9"/>
      <c r="D3605" s="9"/>
      <c r="E3605" s="11"/>
      <c r="F3605" s="11"/>
      <c r="G3605" s="11"/>
      <c r="H3605" s="11"/>
      <c r="I3605" s="11"/>
      <c r="J3605" s="11"/>
      <c r="K3605" s="11"/>
      <c r="L3605" s="11"/>
      <c r="M3605" s="12"/>
      <c r="N3605" s="12"/>
      <c r="O3605" s="11"/>
      <c r="P3605" s="11"/>
    </row>
    <row r="3606" spans="1:16" ht="12.75" x14ac:dyDescent="0.35">
      <c r="A3606" s="11"/>
      <c r="B3606" s="9"/>
      <c r="C3606" s="9"/>
      <c r="D3606" s="9"/>
      <c r="E3606" s="11"/>
      <c r="F3606" s="11"/>
      <c r="G3606" s="11"/>
      <c r="H3606" s="11"/>
      <c r="I3606" s="11"/>
      <c r="J3606" s="11"/>
      <c r="K3606" s="11"/>
      <c r="L3606" s="11"/>
      <c r="M3606" s="12"/>
      <c r="N3606" s="12"/>
      <c r="O3606" s="11"/>
      <c r="P3606" s="11"/>
    </row>
    <row r="3607" spans="1:16" ht="12.75" x14ac:dyDescent="0.35">
      <c r="A3607" s="11"/>
      <c r="B3607" s="9"/>
      <c r="C3607" s="9"/>
      <c r="D3607" s="9"/>
      <c r="E3607" s="11"/>
      <c r="F3607" s="11"/>
      <c r="G3607" s="11"/>
      <c r="H3607" s="11"/>
      <c r="I3607" s="11"/>
      <c r="J3607" s="11"/>
      <c r="K3607" s="11"/>
      <c r="L3607" s="11"/>
      <c r="M3607" s="12"/>
      <c r="N3607" s="12"/>
      <c r="O3607" s="11"/>
      <c r="P3607" s="11"/>
    </row>
    <row r="3608" spans="1:16" ht="12.75" x14ac:dyDescent="0.35">
      <c r="A3608" s="11"/>
      <c r="B3608" s="9"/>
      <c r="C3608" s="9"/>
      <c r="D3608" s="9"/>
      <c r="E3608" s="11"/>
      <c r="F3608" s="11"/>
      <c r="G3608" s="11"/>
      <c r="H3608" s="11"/>
      <c r="I3608" s="11"/>
      <c r="J3608" s="11"/>
      <c r="K3608" s="11"/>
      <c r="L3608" s="11"/>
      <c r="M3608" s="12"/>
      <c r="N3608" s="12"/>
      <c r="O3608" s="11"/>
      <c r="P3608" s="11"/>
    </row>
    <row r="3609" spans="1:16" ht="12.75" x14ac:dyDescent="0.35">
      <c r="A3609" s="11"/>
      <c r="B3609" s="9"/>
      <c r="C3609" s="9"/>
      <c r="D3609" s="9"/>
      <c r="E3609" s="11"/>
      <c r="F3609" s="11"/>
      <c r="G3609" s="11"/>
      <c r="H3609" s="11"/>
      <c r="I3609" s="11"/>
      <c r="J3609" s="11"/>
      <c r="K3609" s="11"/>
      <c r="L3609" s="11"/>
      <c r="M3609" s="12"/>
      <c r="N3609" s="12"/>
      <c r="O3609" s="11"/>
      <c r="P3609" s="11"/>
    </row>
    <row r="3610" spans="1:16" ht="12.75" x14ac:dyDescent="0.35">
      <c r="A3610" s="11"/>
      <c r="B3610" s="9"/>
      <c r="C3610" s="9"/>
      <c r="D3610" s="9"/>
      <c r="E3610" s="11"/>
      <c r="F3610" s="11"/>
      <c r="G3610" s="11"/>
      <c r="H3610" s="11"/>
      <c r="I3610" s="11"/>
      <c r="J3610" s="11"/>
      <c r="K3610" s="11"/>
      <c r="L3610" s="11"/>
      <c r="M3610" s="12"/>
      <c r="N3610" s="12"/>
      <c r="O3610" s="11"/>
      <c r="P3610" s="11"/>
    </row>
    <row r="3611" spans="1:16" ht="12.75" x14ac:dyDescent="0.35">
      <c r="A3611" s="11"/>
      <c r="B3611" s="9"/>
      <c r="C3611" s="9"/>
      <c r="D3611" s="9"/>
      <c r="E3611" s="11"/>
      <c r="F3611" s="11"/>
      <c r="G3611" s="11"/>
      <c r="H3611" s="11"/>
      <c r="I3611" s="11"/>
      <c r="J3611" s="11"/>
      <c r="K3611" s="11"/>
      <c r="L3611" s="11"/>
      <c r="M3611" s="12"/>
      <c r="N3611" s="12"/>
      <c r="O3611" s="11"/>
      <c r="P3611" s="11"/>
    </row>
    <row r="3612" spans="1:16" ht="12.75" x14ac:dyDescent="0.35">
      <c r="A3612" s="11"/>
      <c r="B3612" s="9"/>
      <c r="C3612" s="9"/>
      <c r="D3612" s="9"/>
      <c r="E3612" s="11"/>
      <c r="F3612" s="11"/>
      <c r="G3612" s="11"/>
      <c r="H3612" s="11"/>
      <c r="I3612" s="11"/>
      <c r="J3612" s="11"/>
      <c r="K3612" s="11"/>
      <c r="L3612" s="11"/>
      <c r="M3612" s="12"/>
      <c r="N3612" s="12"/>
      <c r="O3612" s="11"/>
      <c r="P3612" s="11"/>
    </row>
    <row r="3613" spans="1:16" ht="12.75" x14ac:dyDescent="0.35">
      <c r="A3613" s="11"/>
      <c r="B3613" s="9"/>
      <c r="C3613" s="9"/>
      <c r="D3613" s="9"/>
      <c r="E3613" s="11"/>
      <c r="F3613" s="11"/>
      <c r="G3613" s="11"/>
      <c r="H3613" s="11"/>
      <c r="I3613" s="11"/>
      <c r="J3613" s="11"/>
      <c r="K3613" s="11"/>
      <c r="L3613" s="11"/>
      <c r="M3613" s="12"/>
      <c r="N3613" s="12"/>
      <c r="O3613" s="11"/>
      <c r="P3613" s="11"/>
    </row>
    <row r="3614" spans="1:16" ht="12.75" x14ac:dyDescent="0.35">
      <c r="A3614" s="11"/>
      <c r="B3614" s="9"/>
      <c r="C3614" s="9"/>
      <c r="D3614" s="9"/>
      <c r="E3614" s="11"/>
      <c r="F3614" s="11"/>
      <c r="G3614" s="11"/>
      <c r="H3614" s="11"/>
      <c r="I3614" s="11"/>
      <c r="J3614" s="11"/>
      <c r="K3614" s="11"/>
      <c r="L3614" s="11"/>
      <c r="M3614" s="12"/>
      <c r="N3614" s="12"/>
      <c r="O3614" s="11"/>
      <c r="P3614" s="11"/>
    </row>
    <row r="3615" spans="1:16" ht="12.75" x14ac:dyDescent="0.35">
      <c r="A3615" s="11"/>
      <c r="B3615" s="9"/>
      <c r="C3615" s="9"/>
      <c r="D3615" s="9"/>
      <c r="E3615" s="11"/>
      <c r="F3615" s="11"/>
      <c r="G3615" s="11"/>
      <c r="H3615" s="11"/>
      <c r="I3615" s="11"/>
      <c r="J3615" s="11"/>
      <c r="K3615" s="11"/>
      <c r="L3615" s="11"/>
      <c r="M3615" s="12"/>
      <c r="N3615" s="12"/>
      <c r="O3615" s="11"/>
      <c r="P3615" s="11"/>
    </row>
    <row r="3616" spans="1:16" ht="12.75" x14ac:dyDescent="0.35">
      <c r="A3616" s="11"/>
      <c r="B3616" s="9"/>
      <c r="C3616" s="9"/>
      <c r="D3616" s="9"/>
      <c r="E3616" s="11"/>
      <c r="F3616" s="11"/>
      <c r="G3616" s="11"/>
      <c r="H3616" s="11"/>
      <c r="I3616" s="11"/>
      <c r="J3616" s="11"/>
      <c r="K3616" s="11"/>
      <c r="L3616" s="11"/>
      <c r="M3616" s="12"/>
      <c r="N3616" s="12"/>
      <c r="O3616" s="11"/>
      <c r="P3616" s="11"/>
    </row>
    <row r="3617" spans="1:16" ht="12.75" x14ac:dyDescent="0.35">
      <c r="A3617" s="11"/>
      <c r="B3617" s="9"/>
      <c r="C3617" s="9"/>
      <c r="D3617" s="9"/>
      <c r="E3617" s="11"/>
      <c r="F3617" s="11"/>
      <c r="G3617" s="11"/>
      <c r="H3617" s="11"/>
      <c r="I3617" s="11"/>
      <c r="J3617" s="11"/>
      <c r="K3617" s="11"/>
      <c r="L3617" s="11"/>
      <c r="M3617" s="12"/>
      <c r="N3617" s="12"/>
      <c r="O3617" s="11"/>
      <c r="P3617" s="11"/>
    </row>
    <row r="3618" spans="1:16" ht="12.75" x14ac:dyDescent="0.35">
      <c r="A3618" s="11"/>
      <c r="B3618" s="9"/>
      <c r="C3618" s="9"/>
      <c r="D3618" s="9"/>
      <c r="E3618" s="11"/>
      <c r="F3618" s="11"/>
      <c r="G3618" s="11"/>
      <c r="H3618" s="11"/>
      <c r="I3618" s="11"/>
      <c r="J3618" s="11"/>
      <c r="K3618" s="11"/>
      <c r="L3618" s="11"/>
      <c r="M3618" s="12"/>
      <c r="N3618" s="12"/>
      <c r="O3618" s="11"/>
      <c r="P3618" s="11"/>
    </row>
    <row r="3619" spans="1:16" ht="12.75" x14ac:dyDescent="0.35">
      <c r="A3619" s="11"/>
      <c r="B3619" s="9"/>
      <c r="C3619" s="9"/>
      <c r="D3619" s="9"/>
      <c r="E3619" s="11"/>
      <c r="F3619" s="11"/>
      <c r="G3619" s="11"/>
      <c r="H3619" s="11"/>
      <c r="I3619" s="11"/>
      <c r="J3619" s="11"/>
      <c r="K3619" s="11"/>
      <c r="L3619" s="11"/>
      <c r="M3619" s="12"/>
      <c r="N3619" s="12"/>
      <c r="O3619" s="11"/>
      <c r="P3619" s="11"/>
    </row>
    <row r="3620" spans="1:16" ht="12.75" x14ac:dyDescent="0.35">
      <c r="A3620" s="11"/>
      <c r="B3620" s="9"/>
      <c r="C3620" s="9"/>
      <c r="D3620" s="9"/>
      <c r="E3620" s="11"/>
      <c r="F3620" s="11"/>
      <c r="G3620" s="11"/>
      <c r="H3620" s="11"/>
      <c r="I3620" s="11"/>
      <c r="J3620" s="11"/>
      <c r="K3620" s="11"/>
      <c r="L3620" s="11"/>
      <c r="M3620" s="12"/>
      <c r="N3620" s="12"/>
      <c r="O3620" s="11"/>
      <c r="P3620" s="11"/>
    </row>
    <row r="3621" spans="1:16" ht="12.75" x14ac:dyDescent="0.35">
      <c r="A3621" s="11"/>
      <c r="B3621" s="9"/>
      <c r="C3621" s="9"/>
      <c r="D3621" s="9"/>
      <c r="E3621" s="11"/>
      <c r="F3621" s="11"/>
      <c r="G3621" s="11"/>
      <c r="H3621" s="11"/>
      <c r="I3621" s="11"/>
      <c r="J3621" s="11"/>
      <c r="K3621" s="11"/>
      <c r="L3621" s="11"/>
      <c r="M3621" s="12"/>
      <c r="N3621" s="12"/>
      <c r="O3621" s="11"/>
      <c r="P3621" s="11"/>
    </row>
    <row r="3622" spans="1:16" ht="12.75" x14ac:dyDescent="0.35">
      <c r="A3622" s="11"/>
      <c r="B3622" s="9"/>
      <c r="C3622" s="9"/>
      <c r="D3622" s="9"/>
      <c r="E3622" s="11"/>
      <c r="F3622" s="11"/>
      <c r="G3622" s="11"/>
      <c r="H3622" s="11"/>
      <c r="I3622" s="11"/>
      <c r="J3622" s="11"/>
      <c r="K3622" s="11"/>
      <c r="L3622" s="11"/>
      <c r="M3622" s="12"/>
      <c r="N3622" s="12"/>
      <c r="O3622" s="11"/>
      <c r="P3622" s="11"/>
    </row>
    <row r="3623" spans="1:16" ht="12.75" x14ac:dyDescent="0.35">
      <c r="A3623" s="11"/>
      <c r="B3623" s="9"/>
      <c r="C3623" s="9"/>
      <c r="D3623" s="9"/>
      <c r="E3623" s="11"/>
      <c r="F3623" s="11"/>
      <c r="G3623" s="11"/>
      <c r="H3623" s="11"/>
      <c r="I3623" s="11"/>
      <c r="J3623" s="11"/>
      <c r="K3623" s="11"/>
      <c r="L3623" s="11"/>
      <c r="M3623" s="12"/>
      <c r="N3623" s="12"/>
      <c r="O3623" s="11"/>
      <c r="P3623" s="11"/>
    </row>
    <row r="3624" spans="1:16" ht="12.75" x14ac:dyDescent="0.35">
      <c r="A3624" s="11"/>
      <c r="B3624" s="9"/>
      <c r="C3624" s="9"/>
      <c r="D3624" s="9"/>
      <c r="E3624" s="11"/>
      <c r="F3624" s="11"/>
      <c r="G3624" s="11"/>
      <c r="H3624" s="11"/>
      <c r="I3624" s="11"/>
      <c r="J3624" s="11"/>
      <c r="K3624" s="11"/>
      <c r="L3624" s="11"/>
      <c r="M3624" s="12"/>
      <c r="N3624" s="12"/>
      <c r="O3624" s="11"/>
      <c r="P3624" s="11"/>
    </row>
    <row r="3625" spans="1:16" ht="12.75" x14ac:dyDescent="0.35">
      <c r="A3625" s="11"/>
      <c r="B3625" s="9"/>
      <c r="C3625" s="9"/>
      <c r="D3625" s="9"/>
      <c r="E3625" s="11"/>
      <c r="F3625" s="11"/>
      <c r="G3625" s="11"/>
      <c r="H3625" s="11"/>
      <c r="I3625" s="11"/>
      <c r="J3625" s="11"/>
      <c r="K3625" s="11"/>
      <c r="L3625" s="11"/>
      <c r="M3625" s="12"/>
      <c r="N3625" s="12"/>
      <c r="O3625" s="11"/>
      <c r="P3625" s="11"/>
    </row>
    <row r="3626" spans="1:16" ht="12.75" x14ac:dyDescent="0.35">
      <c r="A3626" s="11"/>
      <c r="B3626" s="9"/>
      <c r="C3626" s="9"/>
      <c r="D3626" s="9"/>
      <c r="E3626" s="11"/>
      <c r="F3626" s="11"/>
      <c r="G3626" s="11"/>
      <c r="H3626" s="11"/>
      <c r="I3626" s="11"/>
      <c r="J3626" s="11"/>
      <c r="K3626" s="11"/>
      <c r="L3626" s="11"/>
      <c r="M3626" s="12"/>
      <c r="N3626" s="12"/>
      <c r="O3626" s="11"/>
      <c r="P3626" s="11"/>
    </row>
    <row r="3627" spans="1:16" ht="12.75" x14ac:dyDescent="0.35">
      <c r="A3627" s="11"/>
      <c r="B3627" s="9"/>
      <c r="C3627" s="9"/>
      <c r="D3627" s="9"/>
      <c r="E3627" s="11"/>
      <c r="F3627" s="11"/>
      <c r="G3627" s="11"/>
      <c r="H3627" s="11"/>
      <c r="I3627" s="11"/>
      <c r="J3627" s="11"/>
      <c r="K3627" s="11"/>
      <c r="L3627" s="11"/>
      <c r="M3627" s="12"/>
      <c r="N3627" s="12"/>
      <c r="O3627" s="11"/>
      <c r="P3627" s="11"/>
    </row>
    <row r="3628" spans="1:16" ht="12.75" x14ac:dyDescent="0.35">
      <c r="A3628" s="11"/>
      <c r="B3628" s="9"/>
      <c r="C3628" s="9"/>
      <c r="D3628" s="9"/>
      <c r="E3628" s="11"/>
      <c r="F3628" s="11"/>
      <c r="G3628" s="11"/>
      <c r="H3628" s="11"/>
      <c r="I3628" s="11"/>
      <c r="J3628" s="11"/>
      <c r="K3628" s="11"/>
      <c r="L3628" s="11"/>
      <c r="M3628" s="12"/>
      <c r="N3628" s="12"/>
      <c r="O3628" s="11"/>
      <c r="P3628" s="11"/>
    </row>
    <row r="3629" spans="1:16" ht="12.75" x14ac:dyDescent="0.35">
      <c r="A3629" s="11"/>
      <c r="B3629" s="9"/>
      <c r="C3629" s="9"/>
      <c r="D3629" s="9"/>
      <c r="E3629" s="11"/>
      <c r="F3629" s="11"/>
      <c r="G3629" s="11"/>
      <c r="H3629" s="11"/>
      <c r="I3629" s="11"/>
      <c r="J3629" s="11"/>
      <c r="K3629" s="11"/>
      <c r="L3629" s="11"/>
      <c r="M3629" s="12"/>
      <c r="N3629" s="12"/>
      <c r="O3629" s="11"/>
      <c r="P3629" s="11"/>
    </row>
    <row r="3630" spans="1:16" ht="12.75" x14ac:dyDescent="0.35">
      <c r="A3630" s="11"/>
      <c r="B3630" s="9"/>
      <c r="C3630" s="9"/>
      <c r="D3630" s="9"/>
      <c r="E3630" s="11"/>
      <c r="F3630" s="11"/>
      <c r="G3630" s="11"/>
      <c r="H3630" s="11"/>
      <c r="I3630" s="11"/>
      <c r="J3630" s="11"/>
      <c r="K3630" s="11"/>
      <c r="L3630" s="11"/>
      <c r="M3630" s="12"/>
      <c r="N3630" s="12"/>
      <c r="O3630" s="11"/>
      <c r="P3630" s="11"/>
    </row>
    <row r="3631" spans="1:16" ht="12.75" x14ac:dyDescent="0.35">
      <c r="A3631" s="11"/>
      <c r="B3631" s="9"/>
      <c r="C3631" s="9"/>
      <c r="D3631" s="9"/>
      <c r="E3631" s="11"/>
      <c r="F3631" s="11"/>
      <c r="G3631" s="11"/>
      <c r="H3631" s="11"/>
      <c r="I3631" s="11"/>
      <c r="J3631" s="11"/>
      <c r="K3631" s="11"/>
      <c r="L3631" s="11"/>
      <c r="M3631" s="12"/>
      <c r="N3631" s="12"/>
      <c r="O3631" s="11"/>
      <c r="P3631" s="11"/>
    </row>
    <row r="3632" spans="1:16" ht="12.75" x14ac:dyDescent="0.35">
      <c r="A3632" s="11"/>
      <c r="B3632" s="9"/>
      <c r="C3632" s="9"/>
      <c r="D3632" s="9"/>
      <c r="E3632" s="11"/>
      <c r="F3632" s="11"/>
      <c r="G3632" s="11"/>
      <c r="H3632" s="11"/>
      <c r="I3632" s="11"/>
      <c r="J3632" s="11"/>
      <c r="K3632" s="11"/>
      <c r="L3632" s="11"/>
      <c r="M3632" s="12"/>
      <c r="N3632" s="12"/>
      <c r="O3632" s="11"/>
      <c r="P3632" s="11"/>
    </row>
    <row r="3633" spans="1:16" ht="12.75" x14ac:dyDescent="0.35">
      <c r="A3633" s="11"/>
      <c r="B3633" s="9"/>
      <c r="C3633" s="9"/>
      <c r="D3633" s="9"/>
      <c r="E3633" s="11"/>
      <c r="F3633" s="11"/>
      <c r="G3633" s="11"/>
      <c r="H3633" s="11"/>
      <c r="I3633" s="11"/>
      <c r="J3633" s="11"/>
      <c r="K3633" s="11"/>
      <c r="L3633" s="11"/>
      <c r="M3633" s="12"/>
      <c r="N3633" s="12"/>
      <c r="O3633" s="11"/>
      <c r="P3633" s="11"/>
    </row>
    <row r="3634" spans="1:16" ht="12.75" x14ac:dyDescent="0.35">
      <c r="A3634" s="11"/>
      <c r="B3634" s="9"/>
      <c r="C3634" s="9"/>
      <c r="D3634" s="9"/>
      <c r="E3634" s="11"/>
      <c r="F3634" s="11"/>
      <c r="G3634" s="11"/>
      <c r="H3634" s="11"/>
      <c r="I3634" s="11"/>
      <c r="J3634" s="11"/>
      <c r="K3634" s="11"/>
      <c r="L3634" s="11"/>
      <c r="M3634" s="12"/>
      <c r="N3634" s="12"/>
      <c r="O3634" s="11"/>
      <c r="P3634" s="11"/>
    </row>
    <row r="3635" spans="1:16" ht="12.75" x14ac:dyDescent="0.35">
      <c r="A3635" s="11"/>
      <c r="B3635" s="9"/>
      <c r="C3635" s="9"/>
      <c r="D3635" s="9"/>
      <c r="E3635" s="11"/>
      <c r="F3635" s="11"/>
      <c r="G3635" s="11"/>
      <c r="H3635" s="11"/>
      <c r="I3635" s="11"/>
      <c r="J3635" s="11"/>
      <c r="K3635" s="11"/>
      <c r="L3635" s="11"/>
      <c r="M3635" s="12"/>
      <c r="N3635" s="12"/>
      <c r="O3635" s="11"/>
      <c r="P3635" s="11"/>
    </row>
    <row r="3636" spans="1:16" ht="12.75" x14ac:dyDescent="0.35">
      <c r="A3636" s="11"/>
      <c r="B3636" s="9"/>
      <c r="C3636" s="9"/>
      <c r="D3636" s="9"/>
      <c r="E3636" s="11"/>
      <c r="F3636" s="11"/>
      <c r="G3636" s="11"/>
      <c r="H3636" s="11"/>
      <c r="I3636" s="11"/>
      <c r="J3636" s="11"/>
      <c r="K3636" s="11"/>
      <c r="L3636" s="11"/>
      <c r="M3636" s="12"/>
      <c r="N3636" s="12"/>
      <c r="O3636" s="11"/>
      <c r="P3636" s="11"/>
    </row>
    <row r="3637" spans="1:16" ht="12.75" x14ac:dyDescent="0.35">
      <c r="A3637" s="11"/>
      <c r="B3637" s="9"/>
      <c r="C3637" s="9"/>
      <c r="D3637" s="9"/>
      <c r="E3637" s="11"/>
      <c r="F3637" s="11"/>
      <c r="G3637" s="11"/>
      <c r="H3637" s="11"/>
      <c r="I3637" s="11"/>
      <c r="J3637" s="11"/>
      <c r="K3637" s="11"/>
      <c r="L3637" s="11"/>
      <c r="M3637" s="12"/>
      <c r="N3637" s="12"/>
      <c r="O3637" s="11"/>
      <c r="P3637" s="11"/>
    </row>
    <row r="3638" spans="1:16" ht="12.75" x14ac:dyDescent="0.35">
      <c r="A3638" s="11"/>
      <c r="B3638" s="9"/>
      <c r="C3638" s="9"/>
      <c r="D3638" s="9"/>
      <c r="E3638" s="11"/>
      <c r="F3638" s="11"/>
      <c r="G3638" s="11"/>
      <c r="H3638" s="11"/>
      <c r="I3638" s="11"/>
      <c r="J3638" s="11"/>
      <c r="K3638" s="11"/>
      <c r="L3638" s="11"/>
      <c r="M3638" s="12"/>
      <c r="N3638" s="12"/>
      <c r="O3638" s="11"/>
      <c r="P3638" s="11"/>
    </row>
    <row r="3639" spans="1:16" ht="12.75" x14ac:dyDescent="0.35">
      <c r="A3639" s="11"/>
      <c r="B3639" s="9"/>
      <c r="C3639" s="9"/>
      <c r="D3639" s="9"/>
      <c r="E3639" s="11"/>
      <c r="F3639" s="11"/>
      <c r="G3639" s="11"/>
      <c r="H3639" s="11"/>
      <c r="I3639" s="11"/>
      <c r="J3639" s="11"/>
      <c r="K3639" s="11"/>
      <c r="L3639" s="11"/>
      <c r="M3639" s="12"/>
      <c r="N3639" s="12"/>
      <c r="O3639" s="11"/>
      <c r="P3639" s="11"/>
    </row>
    <row r="3640" spans="1:16" ht="12.75" x14ac:dyDescent="0.35">
      <c r="A3640" s="11"/>
      <c r="B3640" s="9"/>
      <c r="C3640" s="9"/>
      <c r="D3640" s="9"/>
      <c r="E3640" s="11"/>
      <c r="F3640" s="11"/>
      <c r="G3640" s="11"/>
      <c r="H3640" s="11"/>
      <c r="I3640" s="11"/>
      <c r="J3640" s="11"/>
      <c r="K3640" s="11"/>
      <c r="L3640" s="11"/>
      <c r="M3640" s="12"/>
      <c r="N3640" s="12"/>
      <c r="O3640" s="11"/>
      <c r="P3640" s="11"/>
    </row>
    <row r="3641" spans="1:16" ht="12.75" x14ac:dyDescent="0.35">
      <c r="A3641" s="11"/>
      <c r="B3641" s="9"/>
      <c r="C3641" s="9"/>
      <c r="D3641" s="9"/>
      <c r="E3641" s="11"/>
      <c r="F3641" s="11"/>
      <c r="G3641" s="11"/>
      <c r="H3641" s="11"/>
      <c r="I3641" s="11"/>
      <c r="J3641" s="11"/>
      <c r="K3641" s="11"/>
      <c r="L3641" s="11"/>
      <c r="M3641" s="12"/>
      <c r="N3641" s="12"/>
      <c r="O3641" s="11"/>
      <c r="P3641" s="11"/>
    </row>
    <row r="3642" spans="1:16" ht="12.75" x14ac:dyDescent="0.35">
      <c r="A3642" s="11"/>
      <c r="B3642" s="9"/>
      <c r="C3642" s="9"/>
      <c r="D3642" s="9"/>
      <c r="E3642" s="11"/>
      <c r="F3642" s="11"/>
      <c r="G3642" s="11"/>
      <c r="H3642" s="11"/>
      <c r="I3642" s="11"/>
      <c r="J3642" s="11"/>
      <c r="K3642" s="11"/>
      <c r="L3642" s="11"/>
      <c r="M3642" s="12"/>
      <c r="N3642" s="12"/>
      <c r="O3642" s="11"/>
      <c r="P3642" s="11"/>
    </row>
    <row r="3643" spans="1:16" ht="12.75" x14ac:dyDescent="0.35">
      <c r="A3643" s="11"/>
      <c r="B3643" s="9"/>
      <c r="C3643" s="9"/>
      <c r="D3643" s="9"/>
      <c r="E3643" s="11"/>
      <c r="F3643" s="11"/>
      <c r="G3643" s="11"/>
      <c r="H3643" s="11"/>
      <c r="I3643" s="11"/>
      <c r="J3643" s="11"/>
      <c r="K3643" s="11"/>
      <c r="L3643" s="11"/>
      <c r="M3643" s="12"/>
      <c r="N3643" s="12"/>
      <c r="O3643" s="11"/>
      <c r="P3643" s="11"/>
    </row>
    <row r="3644" spans="1:16" ht="12.75" x14ac:dyDescent="0.35">
      <c r="A3644" s="11"/>
      <c r="B3644" s="9"/>
      <c r="C3644" s="9"/>
      <c r="D3644" s="9"/>
      <c r="E3644" s="11"/>
      <c r="F3644" s="11"/>
      <c r="G3644" s="11"/>
      <c r="H3644" s="11"/>
      <c r="I3644" s="11"/>
      <c r="J3644" s="11"/>
      <c r="K3644" s="11"/>
      <c r="L3644" s="11"/>
      <c r="M3644" s="12"/>
      <c r="N3644" s="12"/>
      <c r="O3644" s="11"/>
      <c r="P3644" s="11"/>
    </row>
    <row r="3645" spans="1:16" ht="12.75" x14ac:dyDescent="0.35">
      <c r="A3645" s="11"/>
      <c r="B3645" s="9"/>
      <c r="C3645" s="9"/>
      <c r="D3645" s="9"/>
      <c r="E3645" s="11"/>
      <c r="F3645" s="11"/>
      <c r="G3645" s="11"/>
      <c r="H3645" s="11"/>
      <c r="I3645" s="11"/>
      <c r="J3645" s="11"/>
      <c r="K3645" s="11"/>
      <c r="L3645" s="11"/>
      <c r="M3645" s="12"/>
      <c r="N3645" s="12"/>
      <c r="O3645" s="11"/>
      <c r="P3645" s="11"/>
    </row>
    <row r="3646" spans="1:16" ht="12.75" x14ac:dyDescent="0.35">
      <c r="A3646" s="11"/>
      <c r="B3646" s="9"/>
      <c r="C3646" s="9"/>
      <c r="D3646" s="9"/>
      <c r="E3646" s="11"/>
      <c r="F3646" s="11"/>
      <c r="G3646" s="11"/>
      <c r="H3646" s="11"/>
      <c r="I3646" s="11"/>
      <c r="J3646" s="11"/>
      <c r="K3646" s="11"/>
      <c r="L3646" s="11"/>
      <c r="M3646" s="12"/>
      <c r="N3646" s="12"/>
      <c r="O3646" s="11"/>
      <c r="P3646" s="11"/>
    </row>
    <row r="3647" spans="1:16" ht="12.75" x14ac:dyDescent="0.35">
      <c r="A3647" s="11"/>
      <c r="B3647" s="9"/>
      <c r="C3647" s="9"/>
      <c r="D3647" s="9"/>
      <c r="E3647" s="11"/>
      <c r="F3647" s="11"/>
      <c r="G3647" s="11"/>
      <c r="H3647" s="11"/>
      <c r="I3647" s="11"/>
      <c r="J3647" s="11"/>
      <c r="K3647" s="11"/>
      <c r="L3647" s="11"/>
      <c r="M3647" s="12"/>
      <c r="N3647" s="12"/>
      <c r="O3647" s="11"/>
      <c r="P3647" s="11"/>
    </row>
    <row r="3648" spans="1:16" ht="12.75" x14ac:dyDescent="0.35">
      <c r="A3648" s="11"/>
      <c r="B3648" s="9"/>
      <c r="C3648" s="9"/>
      <c r="D3648" s="9"/>
      <c r="E3648" s="11"/>
      <c r="F3648" s="11"/>
      <c r="G3648" s="11"/>
      <c r="H3648" s="11"/>
      <c r="I3648" s="11"/>
      <c r="J3648" s="11"/>
      <c r="K3648" s="11"/>
      <c r="L3648" s="11"/>
      <c r="M3648" s="12"/>
      <c r="N3648" s="12"/>
      <c r="O3648" s="11"/>
      <c r="P3648" s="11"/>
    </row>
    <row r="3649" spans="1:16" ht="12.75" x14ac:dyDescent="0.35">
      <c r="A3649" s="11"/>
      <c r="B3649" s="9"/>
      <c r="C3649" s="9"/>
      <c r="D3649" s="9"/>
      <c r="E3649" s="11"/>
      <c r="F3649" s="11"/>
      <c r="G3649" s="11"/>
      <c r="H3649" s="11"/>
      <c r="I3649" s="11"/>
      <c r="J3649" s="11"/>
      <c r="K3649" s="11"/>
      <c r="L3649" s="11"/>
      <c r="M3649" s="12"/>
      <c r="N3649" s="12"/>
      <c r="O3649" s="11"/>
      <c r="P3649" s="11"/>
    </row>
    <row r="3650" spans="1:16" ht="12.75" x14ac:dyDescent="0.35">
      <c r="A3650" s="11"/>
      <c r="B3650" s="9"/>
      <c r="C3650" s="9"/>
      <c r="D3650" s="9"/>
      <c r="E3650" s="11"/>
      <c r="F3650" s="11"/>
      <c r="G3650" s="11"/>
      <c r="H3650" s="11"/>
      <c r="I3650" s="11"/>
      <c r="J3650" s="11"/>
      <c r="K3650" s="11"/>
      <c r="L3650" s="11"/>
      <c r="M3650" s="12"/>
      <c r="N3650" s="12"/>
      <c r="O3650" s="11"/>
      <c r="P3650" s="11"/>
    </row>
    <row r="3651" spans="1:16" ht="12.75" x14ac:dyDescent="0.35">
      <c r="A3651" s="11"/>
      <c r="B3651" s="9"/>
      <c r="C3651" s="9"/>
      <c r="D3651" s="9"/>
      <c r="E3651" s="11"/>
      <c r="F3651" s="11"/>
      <c r="G3651" s="11"/>
      <c r="H3651" s="11"/>
      <c r="I3651" s="11"/>
      <c r="J3651" s="11"/>
      <c r="K3651" s="11"/>
      <c r="L3651" s="11"/>
      <c r="M3651" s="12"/>
      <c r="N3651" s="12"/>
      <c r="O3651" s="11"/>
      <c r="P3651" s="11"/>
    </row>
    <row r="3652" spans="1:16" ht="12.75" x14ac:dyDescent="0.35">
      <c r="A3652" s="11"/>
      <c r="B3652" s="9"/>
      <c r="C3652" s="9"/>
      <c r="D3652" s="9"/>
      <c r="E3652" s="11"/>
      <c r="F3652" s="11"/>
      <c r="G3652" s="11"/>
      <c r="H3652" s="11"/>
      <c r="I3652" s="11"/>
      <c r="J3652" s="11"/>
      <c r="K3652" s="11"/>
      <c r="L3652" s="11"/>
      <c r="M3652" s="12"/>
      <c r="N3652" s="12"/>
      <c r="O3652" s="11"/>
      <c r="P3652" s="11"/>
    </row>
    <row r="3653" spans="1:16" ht="12.75" x14ac:dyDescent="0.35">
      <c r="A3653" s="11"/>
      <c r="B3653" s="9"/>
      <c r="C3653" s="9"/>
      <c r="D3653" s="9"/>
      <c r="E3653" s="11"/>
      <c r="F3653" s="11"/>
      <c r="G3653" s="11"/>
      <c r="H3653" s="11"/>
      <c r="I3653" s="11"/>
      <c r="J3653" s="11"/>
      <c r="K3653" s="11"/>
      <c r="L3653" s="11"/>
      <c r="M3653" s="12"/>
      <c r="N3653" s="12"/>
      <c r="O3653" s="11"/>
      <c r="P3653" s="11"/>
    </row>
    <row r="3654" spans="1:16" ht="12.75" x14ac:dyDescent="0.35">
      <c r="A3654" s="11"/>
      <c r="B3654" s="9"/>
      <c r="C3654" s="9"/>
      <c r="D3654" s="9"/>
      <c r="E3654" s="11"/>
      <c r="F3654" s="11"/>
      <c r="G3654" s="11"/>
      <c r="H3654" s="11"/>
      <c r="I3654" s="11"/>
      <c r="J3654" s="11"/>
      <c r="K3654" s="11"/>
      <c r="L3654" s="11"/>
      <c r="M3654" s="12"/>
      <c r="N3654" s="12"/>
      <c r="O3654" s="11"/>
      <c r="P3654" s="11"/>
    </row>
    <row r="3655" spans="1:16" ht="12.75" x14ac:dyDescent="0.35">
      <c r="A3655" s="11"/>
      <c r="B3655" s="9"/>
      <c r="C3655" s="9"/>
      <c r="D3655" s="9"/>
      <c r="E3655" s="11"/>
      <c r="F3655" s="11"/>
      <c r="G3655" s="11"/>
      <c r="H3655" s="11"/>
      <c r="I3655" s="11"/>
      <c r="J3655" s="11"/>
      <c r="K3655" s="11"/>
      <c r="L3655" s="11"/>
      <c r="M3655" s="12"/>
      <c r="N3655" s="12"/>
      <c r="O3655" s="11"/>
      <c r="P3655" s="11"/>
    </row>
    <row r="3656" spans="1:16" ht="12.75" x14ac:dyDescent="0.35">
      <c r="A3656" s="11"/>
      <c r="B3656" s="9"/>
      <c r="C3656" s="9"/>
      <c r="D3656" s="9"/>
      <c r="E3656" s="11"/>
      <c r="F3656" s="11"/>
      <c r="G3656" s="11"/>
      <c r="H3656" s="11"/>
      <c r="I3656" s="11"/>
      <c r="J3656" s="11"/>
      <c r="K3656" s="11"/>
      <c r="L3656" s="11"/>
      <c r="M3656" s="12"/>
      <c r="N3656" s="12"/>
      <c r="O3656" s="11"/>
      <c r="P3656" s="11"/>
    </row>
    <row r="3657" spans="1:16" ht="12.75" x14ac:dyDescent="0.35">
      <c r="A3657" s="11"/>
      <c r="B3657" s="9"/>
      <c r="C3657" s="9"/>
      <c r="D3657" s="9"/>
      <c r="E3657" s="11"/>
      <c r="F3657" s="11"/>
      <c r="G3657" s="11"/>
      <c r="H3657" s="11"/>
      <c r="I3657" s="11"/>
      <c r="J3657" s="11"/>
      <c r="K3657" s="11"/>
      <c r="L3657" s="11"/>
      <c r="M3657" s="12"/>
      <c r="N3657" s="12"/>
      <c r="O3657" s="11"/>
      <c r="P3657" s="11"/>
    </row>
    <row r="3658" spans="1:16" ht="12.75" x14ac:dyDescent="0.35">
      <c r="A3658" s="11"/>
      <c r="B3658" s="9"/>
      <c r="C3658" s="9"/>
      <c r="D3658" s="9"/>
      <c r="E3658" s="11"/>
      <c r="F3658" s="11"/>
      <c r="G3658" s="11"/>
      <c r="H3658" s="11"/>
      <c r="I3658" s="11"/>
      <c r="J3658" s="11"/>
      <c r="K3658" s="11"/>
      <c r="L3658" s="11"/>
      <c r="M3658" s="12"/>
      <c r="N3658" s="12"/>
      <c r="O3658" s="11"/>
      <c r="P3658" s="11"/>
    </row>
    <row r="3659" spans="1:16" ht="12.75" x14ac:dyDescent="0.35">
      <c r="A3659" s="11"/>
      <c r="B3659" s="9"/>
      <c r="C3659" s="9"/>
      <c r="D3659" s="9"/>
      <c r="E3659" s="11"/>
      <c r="F3659" s="11"/>
      <c r="G3659" s="11"/>
      <c r="H3659" s="11"/>
      <c r="I3659" s="11"/>
      <c r="J3659" s="11"/>
      <c r="K3659" s="11"/>
      <c r="L3659" s="11"/>
      <c r="M3659" s="12"/>
      <c r="N3659" s="12"/>
      <c r="O3659" s="11"/>
      <c r="P3659" s="11"/>
    </row>
    <row r="3660" spans="1:16" ht="12.75" x14ac:dyDescent="0.35">
      <c r="A3660" s="11"/>
      <c r="B3660" s="9"/>
      <c r="C3660" s="9"/>
      <c r="D3660" s="9"/>
      <c r="E3660" s="11"/>
      <c r="F3660" s="11"/>
      <c r="G3660" s="11"/>
      <c r="H3660" s="11"/>
      <c r="I3660" s="11"/>
      <c r="J3660" s="11"/>
      <c r="K3660" s="11"/>
      <c r="L3660" s="11"/>
      <c r="M3660" s="12"/>
      <c r="N3660" s="12"/>
      <c r="O3660" s="11"/>
      <c r="P3660" s="11"/>
    </row>
    <row r="3661" spans="1:16" ht="12.75" x14ac:dyDescent="0.35">
      <c r="A3661" s="11"/>
      <c r="B3661" s="9"/>
      <c r="C3661" s="9"/>
      <c r="D3661" s="9"/>
      <c r="E3661" s="11"/>
      <c r="F3661" s="11"/>
      <c r="G3661" s="11"/>
      <c r="H3661" s="11"/>
      <c r="I3661" s="11"/>
      <c r="J3661" s="11"/>
      <c r="K3661" s="11"/>
      <c r="L3661" s="11"/>
      <c r="M3661" s="12"/>
      <c r="N3661" s="12"/>
      <c r="O3661" s="11"/>
      <c r="P3661" s="11"/>
    </row>
    <row r="3662" spans="1:16" ht="12.75" x14ac:dyDescent="0.35">
      <c r="A3662" s="11"/>
      <c r="B3662" s="9"/>
      <c r="C3662" s="9"/>
      <c r="D3662" s="9"/>
      <c r="E3662" s="11"/>
      <c r="F3662" s="11"/>
      <c r="G3662" s="11"/>
      <c r="H3662" s="11"/>
      <c r="I3662" s="11"/>
      <c r="J3662" s="11"/>
      <c r="K3662" s="11"/>
      <c r="L3662" s="11"/>
      <c r="M3662" s="12"/>
      <c r="N3662" s="12"/>
      <c r="O3662" s="11"/>
      <c r="P3662" s="11"/>
    </row>
    <row r="3663" spans="1:16" ht="12.75" x14ac:dyDescent="0.35">
      <c r="A3663" s="11"/>
      <c r="B3663" s="9"/>
      <c r="C3663" s="9"/>
      <c r="D3663" s="9"/>
      <c r="E3663" s="11"/>
      <c r="F3663" s="11"/>
      <c r="G3663" s="11"/>
      <c r="H3663" s="11"/>
      <c r="I3663" s="11"/>
      <c r="J3663" s="11"/>
      <c r="K3663" s="11"/>
      <c r="L3663" s="11"/>
      <c r="M3663" s="12"/>
      <c r="N3663" s="12"/>
      <c r="O3663" s="11"/>
      <c r="P3663" s="11"/>
    </row>
    <row r="3664" spans="1:16" ht="12.75" x14ac:dyDescent="0.35">
      <c r="A3664" s="11"/>
      <c r="B3664" s="9"/>
      <c r="C3664" s="9"/>
      <c r="D3664" s="9"/>
      <c r="E3664" s="11"/>
      <c r="F3664" s="11"/>
      <c r="G3664" s="11"/>
      <c r="H3664" s="11"/>
      <c r="I3664" s="11"/>
      <c r="J3664" s="11"/>
      <c r="K3664" s="11"/>
      <c r="L3664" s="11"/>
      <c r="M3664" s="12"/>
      <c r="N3664" s="12"/>
      <c r="O3664" s="11"/>
      <c r="P3664" s="11"/>
    </row>
    <row r="3665" spans="1:16" ht="12.75" x14ac:dyDescent="0.35">
      <c r="A3665" s="11"/>
      <c r="B3665" s="9"/>
      <c r="C3665" s="9"/>
      <c r="D3665" s="9"/>
      <c r="E3665" s="11"/>
      <c r="F3665" s="11"/>
      <c r="G3665" s="11"/>
      <c r="H3665" s="11"/>
      <c r="I3665" s="11"/>
      <c r="J3665" s="11"/>
      <c r="K3665" s="11"/>
      <c r="L3665" s="11"/>
      <c r="M3665" s="12"/>
      <c r="N3665" s="12"/>
      <c r="O3665" s="11"/>
      <c r="P3665" s="11"/>
    </row>
    <row r="3666" spans="1:16" ht="12.75" x14ac:dyDescent="0.35">
      <c r="A3666" s="11"/>
      <c r="B3666" s="9"/>
      <c r="C3666" s="9"/>
      <c r="D3666" s="9"/>
      <c r="E3666" s="11"/>
      <c r="F3666" s="11"/>
      <c r="G3666" s="11"/>
      <c r="H3666" s="11"/>
      <c r="I3666" s="11"/>
      <c r="J3666" s="11"/>
      <c r="K3666" s="11"/>
      <c r="L3666" s="11"/>
      <c r="M3666" s="12"/>
      <c r="N3666" s="12"/>
      <c r="O3666" s="11"/>
      <c r="P3666" s="11"/>
    </row>
    <row r="3667" spans="1:16" ht="12.75" x14ac:dyDescent="0.35">
      <c r="A3667" s="11"/>
      <c r="B3667" s="9"/>
      <c r="C3667" s="9"/>
      <c r="D3667" s="9"/>
      <c r="E3667" s="11"/>
      <c r="F3667" s="11"/>
      <c r="G3667" s="11"/>
      <c r="H3667" s="11"/>
      <c r="I3667" s="11"/>
      <c r="J3667" s="11"/>
      <c r="K3667" s="11"/>
      <c r="L3667" s="11"/>
      <c r="M3667" s="12"/>
      <c r="N3667" s="12"/>
      <c r="O3667" s="11"/>
      <c r="P3667" s="11"/>
    </row>
    <row r="3668" spans="1:16" ht="12.75" x14ac:dyDescent="0.35">
      <c r="A3668" s="11"/>
      <c r="B3668" s="9"/>
      <c r="C3668" s="9"/>
      <c r="D3668" s="9"/>
      <c r="E3668" s="11"/>
      <c r="F3668" s="11"/>
      <c r="G3668" s="11"/>
      <c r="H3668" s="11"/>
      <c r="I3668" s="11"/>
      <c r="J3668" s="11"/>
      <c r="K3668" s="11"/>
      <c r="L3668" s="11"/>
      <c r="M3668" s="12"/>
      <c r="N3668" s="12"/>
      <c r="O3668" s="11"/>
      <c r="P3668" s="11"/>
    </row>
    <row r="3669" spans="1:16" ht="12.75" x14ac:dyDescent="0.35">
      <c r="A3669" s="11"/>
      <c r="B3669" s="9"/>
      <c r="C3669" s="9"/>
      <c r="D3669" s="9"/>
      <c r="E3669" s="11"/>
      <c r="F3669" s="11"/>
      <c r="G3669" s="11"/>
      <c r="H3669" s="11"/>
      <c r="I3669" s="11"/>
      <c r="J3669" s="11"/>
      <c r="K3669" s="11"/>
      <c r="L3669" s="11"/>
      <c r="M3669" s="12"/>
      <c r="N3669" s="12"/>
      <c r="O3669" s="11"/>
      <c r="P3669" s="11"/>
    </row>
    <row r="3670" spans="1:16" ht="12.75" x14ac:dyDescent="0.35">
      <c r="A3670" s="11"/>
      <c r="B3670" s="9"/>
      <c r="C3670" s="9"/>
      <c r="D3670" s="9"/>
      <c r="E3670" s="11"/>
      <c r="F3670" s="11"/>
      <c r="G3670" s="11"/>
      <c r="H3670" s="11"/>
      <c r="I3670" s="11"/>
      <c r="J3670" s="11"/>
      <c r="K3670" s="11"/>
      <c r="L3670" s="11"/>
      <c r="M3670" s="12"/>
      <c r="N3670" s="12"/>
      <c r="O3670" s="11"/>
      <c r="P3670" s="11"/>
    </row>
    <row r="3671" spans="1:16" ht="12.75" x14ac:dyDescent="0.35">
      <c r="A3671" s="11"/>
      <c r="B3671" s="9"/>
      <c r="C3671" s="9"/>
      <c r="D3671" s="9"/>
      <c r="E3671" s="11"/>
      <c r="F3671" s="11"/>
      <c r="G3671" s="11"/>
      <c r="H3671" s="11"/>
      <c r="I3671" s="11"/>
      <c r="J3671" s="11"/>
      <c r="K3671" s="11"/>
      <c r="L3671" s="11"/>
      <c r="M3671" s="12"/>
      <c r="N3671" s="12"/>
      <c r="O3671" s="11"/>
      <c r="P3671" s="11"/>
    </row>
    <row r="3672" spans="1:16" ht="12.75" x14ac:dyDescent="0.35">
      <c r="A3672" s="11"/>
      <c r="B3672" s="9"/>
      <c r="C3672" s="9"/>
      <c r="D3672" s="9"/>
      <c r="E3672" s="11"/>
      <c r="F3672" s="11"/>
      <c r="G3672" s="11"/>
      <c r="H3672" s="11"/>
      <c r="I3672" s="11"/>
      <c r="J3672" s="11"/>
      <c r="K3672" s="11"/>
      <c r="L3672" s="11"/>
      <c r="M3672" s="12"/>
      <c r="N3672" s="12"/>
      <c r="O3672" s="11"/>
      <c r="P3672" s="11"/>
    </row>
    <row r="3673" spans="1:16" ht="12.75" x14ac:dyDescent="0.35">
      <c r="A3673" s="11"/>
      <c r="B3673" s="9"/>
      <c r="C3673" s="9"/>
      <c r="D3673" s="9"/>
      <c r="E3673" s="11"/>
      <c r="F3673" s="11"/>
      <c r="G3673" s="11"/>
      <c r="H3673" s="11"/>
      <c r="I3673" s="11"/>
      <c r="J3673" s="11"/>
      <c r="K3673" s="11"/>
      <c r="L3673" s="11"/>
      <c r="M3673" s="12"/>
      <c r="N3673" s="12"/>
      <c r="O3673" s="11"/>
      <c r="P3673" s="11"/>
    </row>
    <row r="3674" spans="1:16" ht="12.75" x14ac:dyDescent="0.35">
      <c r="A3674" s="11"/>
      <c r="B3674" s="9"/>
      <c r="C3674" s="9"/>
      <c r="D3674" s="9"/>
      <c r="E3674" s="11"/>
      <c r="F3674" s="11"/>
      <c r="G3674" s="11"/>
      <c r="H3674" s="11"/>
      <c r="I3674" s="11"/>
      <c r="J3674" s="11"/>
      <c r="K3674" s="11"/>
      <c r="L3674" s="11"/>
      <c r="M3674" s="12"/>
      <c r="N3674" s="12"/>
      <c r="O3674" s="11"/>
      <c r="P3674" s="11"/>
    </row>
    <row r="3675" spans="1:16" ht="12.75" x14ac:dyDescent="0.35">
      <c r="A3675" s="11"/>
      <c r="B3675" s="9"/>
      <c r="C3675" s="9"/>
      <c r="D3675" s="9"/>
      <c r="E3675" s="11"/>
      <c r="F3675" s="11"/>
      <c r="G3675" s="11"/>
      <c r="H3675" s="11"/>
      <c r="I3675" s="11"/>
      <c r="J3675" s="11"/>
      <c r="K3675" s="11"/>
      <c r="L3675" s="11"/>
      <c r="M3675" s="12"/>
      <c r="N3675" s="12"/>
      <c r="O3675" s="11"/>
      <c r="P3675" s="11"/>
    </row>
    <row r="3676" spans="1:16" ht="12.75" x14ac:dyDescent="0.35">
      <c r="A3676" s="11"/>
      <c r="B3676" s="9"/>
      <c r="C3676" s="9"/>
      <c r="D3676" s="9"/>
      <c r="E3676" s="11"/>
      <c r="F3676" s="11"/>
      <c r="G3676" s="11"/>
      <c r="H3676" s="11"/>
      <c r="I3676" s="11"/>
      <c r="J3676" s="11"/>
      <c r="K3676" s="11"/>
      <c r="L3676" s="11"/>
      <c r="M3676" s="12"/>
      <c r="N3676" s="12"/>
      <c r="O3676" s="11"/>
      <c r="P3676" s="11"/>
    </row>
    <row r="3677" spans="1:16" ht="12.75" x14ac:dyDescent="0.35">
      <c r="A3677" s="11"/>
      <c r="B3677" s="9"/>
      <c r="C3677" s="9"/>
      <c r="D3677" s="9"/>
      <c r="E3677" s="11"/>
      <c r="F3677" s="11"/>
      <c r="G3677" s="11"/>
      <c r="H3677" s="11"/>
      <c r="I3677" s="11"/>
      <c r="J3677" s="11"/>
      <c r="K3677" s="11"/>
      <c r="L3677" s="11"/>
      <c r="M3677" s="12"/>
      <c r="N3677" s="12"/>
      <c r="O3677" s="11"/>
      <c r="P3677" s="11"/>
    </row>
    <row r="3678" spans="1:16" ht="12.75" x14ac:dyDescent="0.35">
      <c r="A3678" s="11"/>
      <c r="B3678" s="9"/>
      <c r="C3678" s="9"/>
      <c r="D3678" s="9"/>
      <c r="E3678" s="11"/>
      <c r="F3678" s="11"/>
      <c r="G3678" s="11"/>
      <c r="H3678" s="11"/>
      <c r="I3678" s="11"/>
      <c r="J3678" s="11"/>
      <c r="K3678" s="11"/>
      <c r="L3678" s="11"/>
      <c r="M3678" s="12"/>
      <c r="N3678" s="12"/>
      <c r="O3678" s="11"/>
      <c r="P3678" s="11"/>
    </row>
    <row r="3679" spans="1:16" ht="12.75" x14ac:dyDescent="0.35">
      <c r="A3679" s="11"/>
      <c r="B3679" s="9"/>
      <c r="C3679" s="9"/>
      <c r="D3679" s="9"/>
      <c r="E3679" s="11"/>
      <c r="F3679" s="11"/>
      <c r="G3679" s="11"/>
      <c r="H3679" s="11"/>
      <c r="I3679" s="11"/>
      <c r="J3679" s="11"/>
      <c r="K3679" s="11"/>
      <c r="L3679" s="11"/>
      <c r="M3679" s="12"/>
      <c r="N3679" s="12"/>
      <c r="O3679" s="11"/>
      <c r="P3679" s="11"/>
    </row>
    <row r="3680" spans="1:16" ht="12.75" x14ac:dyDescent="0.35">
      <c r="A3680" s="11"/>
      <c r="B3680" s="9"/>
      <c r="C3680" s="9"/>
      <c r="D3680" s="9"/>
      <c r="E3680" s="11"/>
      <c r="F3680" s="11"/>
      <c r="G3680" s="11"/>
      <c r="H3680" s="11"/>
      <c r="I3680" s="11"/>
      <c r="J3680" s="11"/>
      <c r="K3680" s="11"/>
      <c r="L3680" s="11"/>
      <c r="M3680" s="12"/>
      <c r="N3680" s="12"/>
      <c r="O3680" s="11"/>
      <c r="P3680" s="11"/>
    </row>
    <row r="3681" spans="1:16" ht="12.75" x14ac:dyDescent="0.35">
      <c r="A3681" s="11"/>
      <c r="B3681" s="9"/>
      <c r="C3681" s="9"/>
      <c r="D3681" s="9"/>
      <c r="E3681" s="11"/>
      <c r="F3681" s="11"/>
      <c r="G3681" s="11"/>
      <c r="H3681" s="11"/>
      <c r="I3681" s="11"/>
      <c r="J3681" s="11"/>
      <c r="K3681" s="11"/>
      <c r="L3681" s="11"/>
      <c r="M3681" s="12"/>
      <c r="N3681" s="12"/>
      <c r="O3681" s="11"/>
      <c r="P3681" s="11"/>
    </row>
    <row r="3682" spans="1:16" ht="12.75" x14ac:dyDescent="0.35">
      <c r="A3682" s="11"/>
      <c r="B3682" s="9"/>
      <c r="C3682" s="9"/>
      <c r="D3682" s="9"/>
      <c r="E3682" s="11"/>
      <c r="F3682" s="11"/>
      <c r="G3682" s="11"/>
      <c r="H3682" s="11"/>
      <c r="I3682" s="11"/>
      <c r="J3682" s="11"/>
      <c r="K3682" s="11"/>
      <c r="L3682" s="11"/>
      <c r="M3682" s="12"/>
      <c r="N3682" s="12"/>
      <c r="O3682" s="11"/>
      <c r="P3682" s="11"/>
    </row>
    <row r="3683" spans="1:16" ht="12.75" x14ac:dyDescent="0.35">
      <c r="A3683" s="11"/>
      <c r="B3683" s="9"/>
      <c r="C3683" s="9"/>
      <c r="D3683" s="9"/>
      <c r="E3683" s="11"/>
      <c r="F3683" s="11"/>
      <c r="G3683" s="11"/>
      <c r="H3683" s="11"/>
      <c r="I3683" s="11"/>
      <c r="J3683" s="11"/>
      <c r="K3683" s="11"/>
      <c r="L3683" s="11"/>
      <c r="M3683" s="12"/>
      <c r="N3683" s="12"/>
      <c r="O3683" s="11"/>
      <c r="P3683" s="11"/>
    </row>
    <row r="3684" spans="1:16" ht="12.75" x14ac:dyDescent="0.35">
      <c r="A3684" s="11"/>
      <c r="B3684" s="9"/>
      <c r="C3684" s="9"/>
      <c r="D3684" s="9"/>
      <c r="E3684" s="11"/>
      <c r="F3684" s="11"/>
      <c r="G3684" s="11"/>
      <c r="H3684" s="11"/>
      <c r="I3684" s="11"/>
      <c r="J3684" s="11"/>
      <c r="K3684" s="11"/>
      <c r="L3684" s="11"/>
      <c r="M3684" s="12"/>
      <c r="N3684" s="12"/>
      <c r="O3684" s="11"/>
      <c r="P3684" s="11"/>
    </row>
    <row r="3685" spans="1:16" ht="12.75" x14ac:dyDescent="0.35">
      <c r="A3685" s="11"/>
      <c r="B3685" s="9"/>
      <c r="C3685" s="9"/>
      <c r="D3685" s="9"/>
      <c r="E3685" s="11"/>
      <c r="F3685" s="11"/>
      <c r="G3685" s="11"/>
      <c r="H3685" s="11"/>
      <c r="I3685" s="11"/>
      <c r="J3685" s="11"/>
      <c r="K3685" s="11"/>
      <c r="L3685" s="11"/>
      <c r="M3685" s="12"/>
      <c r="N3685" s="12"/>
      <c r="O3685" s="11"/>
      <c r="P3685" s="11"/>
    </row>
    <row r="3686" spans="1:16" ht="12.75" x14ac:dyDescent="0.35">
      <c r="A3686" s="11"/>
      <c r="B3686" s="9"/>
      <c r="C3686" s="9"/>
      <c r="D3686" s="9"/>
      <c r="E3686" s="11"/>
      <c r="F3686" s="11"/>
      <c r="G3686" s="11"/>
      <c r="H3686" s="11"/>
      <c r="I3686" s="11"/>
      <c r="J3686" s="11"/>
      <c r="K3686" s="11"/>
      <c r="L3686" s="11"/>
      <c r="M3686" s="12"/>
      <c r="N3686" s="12"/>
      <c r="O3686" s="11"/>
      <c r="P3686" s="11"/>
    </row>
    <row r="3687" spans="1:16" ht="12.75" x14ac:dyDescent="0.35">
      <c r="A3687" s="11"/>
      <c r="B3687" s="9"/>
      <c r="C3687" s="9"/>
      <c r="D3687" s="9"/>
      <c r="E3687" s="11"/>
      <c r="F3687" s="11"/>
      <c r="G3687" s="11"/>
      <c r="H3687" s="11"/>
      <c r="I3687" s="11"/>
      <c r="J3687" s="11"/>
      <c r="K3687" s="11"/>
      <c r="L3687" s="11"/>
      <c r="M3687" s="12"/>
      <c r="N3687" s="12"/>
      <c r="O3687" s="11"/>
      <c r="P3687" s="11"/>
    </row>
    <row r="3688" spans="1:16" ht="12.75" x14ac:dyDescent="0.35">
      <c r="A3688" s="11"/>
      <c r="B3688" s="9"/>
      <c r="C3688" s="9"/>
      <c r="D3688" s="9"/>
      <c r="E3688" s="11"/>
      <c r="F3688" s="11"/>
      <c r="G3688" s="11"/>
      <c r="H3688" s="11"/>
      <c r="I3688" s="11"/>
      <c r="J3688" s="11"/>
      <c r="K3688" s="11"/>
      <c r="L3688" s="11"/>
      <c r="M3688" s="12"/>
      <c r="N3688" s="12"/>
      <c r="O3688" s="11"/>
      <c r="P3688" s="11"/>
    </row>
    <row r="3689" spans="1:16" ht="12.75" x14ac:dyDescent="0.35">
      <c r="A3689" s="11"/>
      <c r="B3689" s="9"/>
      <c r="C3689" s="9"/>
      <c r="D3689" s="9"/>
      <c r="E3689" s="11"/>
      <c r="F3689" s="11"/>
      <c r="G3689" s="11"/>
      <c r="H3689" s="11"/>
      <c r="I3689" s="11"/>
      <c r="J3689" s="11"/>
      <c r="K3689" s="11"/>
      <c r="L3689" s="11"/>
      <c r="M3689" s="12"/>
      <c r="N3689" s="12"/>
      <c r="O3689" s="11"/>
      <c r="P3689" s="11"/>
    </row>
    <row r="3690" spans="1:16" ht="12.75" x14ac:dyDescent="0.35">
      <c r="A3690" s="11"/>
      <c r="B3690" s="9"/>
      <c r="C3690" s="9"/>
      <c r="D3690" s="9"/>
      <c r="E3690" s="11"/>
      <c r="F3690" s="11"/>
      <c r="G3690" s="11"/>
      <c r="H3690" s="11"/>
      <c r="I3690" s="11"/>
      <c r="J3690" s="11"/>
      <c r="K3690" s="11"/>
      <c r="L3690" s="11"/>
      <c r="M3690" s="12"/>
      <c r="N3690" s="12"/>
      <c r="O3690" s="11"/>
      <c r="P3690" s="11"/>
    </row>
    <row r="3691" spans="1:16" ht="12.75" x14ac:dyDescent="0.35">
      <c r="A3691" s="11"/>
      <c r="B3691" s="9"/>
      <c r="C3691" s="9"/>
      <c r="D3691" s="9"/>
      <c r="E3691" s="11"/>
      <c r="F3691" s="11"/>
      <c r="G3691" s="11"/>
      <c r="H3691" s="11"/>
      <c r="I3691" s="11"/>
      <c r="J3691" s="11"/>
      <c r="K3691" s="11"/>
      <c r="L3691" s="11"/>
      <c r="M3691" s="12"/>
      <c r="N3691" s="12"/>
      <c r="O3691" s="11"/>
      <c r="P3691" s="11"/>
    </row>
    <row r="3692" spans="1:16" ht="12.75" x14ac:dyDescent="0.35">
      <c r="A3692" s="11"/>
      <c r="B3692" s="9"/>
      <c r="C3692" s="9"/>
      <c r="D3692" s="9"/>
      <c r="E3692" s="11"/>
      <c r="F3692" s="11"/>
      <c r="G3692" s="11"/>
      <c r="H3692" s="11"/>
      <c r="I3692" s="11"/>
      <c r="J3692" s="11"/>
      <c r="K3692" s="11"/>
      <c r="L3692" s="11"/>
      <c r="M3692" s="12"/>
      <c r="N3692" s="12"/>
      <c r="O3692" s="11"/>
      <c r="P3692" s="11"/>
    </row>
    <row r="3693" spans="1:16" ht="12.75" x14ac:dyDescent="0.35">
      <c r="A3693" s="11"/>
      <c r="B3693" s="9"/>
      <c r="C3693" s="9"/>
      <c r="D3693" s="9"/>
      <c r="E3693" s="11"/>
      <c r="F3693" s="11"/>
      <c r="G3693" s="11"/>
      <c r="H3693" s="11"/>
      <c r="I3693" s="11"/>
      <c r="J3693" s="11"/>
      <c r="K3693" s="11"/>
      <c r="L3693" s="11"/>
      <c r="M3693" s="12"/>
      <c r="N3693" s="12"/>
      <c r="O3693" s="11"/>
      <c r="P3693" s="11"/>
    </row>
    <row r="3694" spans="1:16" ht="12.75" x14ac:dyDescent="0.35">
      <c r="A3694" s="11"/>
      <c r="B3694" s="9"/>
      <c r="C3694" s="9"/>
      <c r="D3694" s="9"/>
      <c r="E3694" s="11"/>
      <c r="F3694" s="11"/>
      <c r="G3694" s="11"/>
      <c r="H3694" s="11"/>
      <c r="I3694" s="11"/>
      <c r="J3694" s="11"/>
      <c r="K3694" s="11"/>
      <c r="L3694" s="11"/>
      <c r="M3694" s="12"/>
      <c r="N3694" s="12"/>
      <c r="O3694" s="11"/>
      <c r="P3694" s="11"/>
    </row>
    <row r="3695" spans="1:16" ht="12.75" x14ac:dyDescent="0.35">
      <c r="A3695" s="11"/>
      <c r="B3695" s="9"/>
      <c r="C3695" s="9"/>
      <c r="D3695" s="9"/>
      <c r="E3695" s="11"/>
      <c r="F3695" s="11"/>
      <c r="G3695" s="11"/>
      <c r="H3695" s="11"/>
      <c r="I3695" s="11"/>
      <c r="J3695" s="11"/>
      <c r="K3695" s="11"/>
      <c r="L3695" s="11"/>
      <c r="M3695" s="12"/>
      <c r="N3695" s="12"/>
      <c r="O3695" s="11"/>
      <c r="P3695" s="11"/>
    </row>
    <row r="3696" spans="1:16" ht="12.75" x14ac:dyDescent="0.35">
      <c r="A3696" s="11"/>
      <c r="B3696" s="9"/>
      <c r="C3696" s="9"/>
      <c r="D3696" s="9"/>
      <c r="E3696" s="11"/>
      <c r="F3696" s="11"/>
      <c r="G3696" s="11"/>
      <c r="H3696" s="11"/>
      <c r="I3696" s="11"/>
      <c r="J3696" s="11"/>
      <c r="K3696" s="11"/>
      <c r="L3696" s="11"/>
      <c r="M3696" s="12"/>
      <c r="N3696" s="12"/>
      <c r="O3696" s="11"/>
      <c r="P3696" s="11"/>
    </row>
    <row r="3697" spans="1:16" ht="12.75" x14ac:dyDescent="0.35">
      <c r="A3697" s="11"/>
      <c r="B3697" s="9"/>
      <c r="C3697" s="9"/>
      <c r="D3697" s="9"/>
      <c r="E3697" s="11"/>
      <c r="F3697" s="11"/>
      <c r="G3697" s="11"/>
      <c r="H3697" s="11"/>
      <c r="I3697" s="11"/>
      <c r="J3697" s="11"/>
      <c r="K3697" s="11"/>
      <c r="L3697" s="11"/>
      <c r="M3697" s="12"/>
      <c r="N3697" s="12"/>
      <c r="O3697" s="11"/>
      <c r="P3697" s="11"/>
    </row>
    <row r="3698" spans="1:16" ht="12.75" x14ac:dyDescent="0.35">
      <c r="A3698" s="11"/>
      <c r="B3698" s="9"/>
      <c r="C3698" s="9"/>
      <c r="D3698" s="9"/>
      <c r="E3698" s="11"/>
      <c r="F3698" s="11"/>
      <c r="G3698" s="11"/>
      <c r="H3698" s="11"/>
      <c r="I3698" s="11"/>
      <c r="J3698" s="11"/>
      <c r="K3698" s="11"/>
      <c r="L3698" s="11"/>
      <c r="M3698" s="12"/>
      <c r="N3698" s="12"/>
      <c r="O3698" s="11"/>
      <c r="P3698" s="11"/>
    </row>
    <row r="3699" spans="1:16" ht="12.75" x14ac:dyDescent="0.35">
      <c r="A3699" s="11"/>
      <c r="B3699" s="9"/>
      <c r="C3699" s="9"/>
      <c r="D3699" s="9"/>
      <c r="E3699" s="11"/>
      <c r="F3699" s="11"/>
      <c r="G3699" s="11"/>
      <c r="H3699" s="11"/>
      <c r="I3699" s="11"/>
      <c r="J3699" s="11"/>
      <c r="K3699" s="11"/>
      <c r="L3699" s="11"/>
      <c r="M3699" s="12"/>
      <c r="N3699" s="12"/>
      <c r="O3699" s="11"/>
      <c r="P3699" s="11"/>
    </row>
    <row r="3700" spans="1:16" ht="12.75" x14ac:dyDescent="0.35">
      <c r="A3700" s="11"/>
      <c r="B3700" s="9"/>
      <c r="C3700" s="9"/>
      <c r="D3700" s="9"/>
      <c r="E3700" s="11"/>
      <c r="F3700" s="11"/>
      <c r="G3700" s="11"/>
      <c r="H3700" s="11"/>
      <c r="I3700" s="11"/>
      <c r="J3700" s="11"/>
      <c r="K3700" s="11"/>
      <c r="L3700" s="11"/>
      <c r="M3700" s="12"/>
      <c r="N3700" s="12"/>
      <c r="O3700" s="11"/>
      <c r="P3700" s="11"/>
    </row>
    <row r="3701" spans="1:16" ht="12.75" x14ac:dyDescent="0.35">
      <c r="A3701" s="11"/>
      <c r="B3701" s="9"/>
      <c r="C3701" s="9"/>
      <c r="D3701" s="9"/>
      <c r="E3701" s="11"/>
      <c r="F3701" s="11"/>
      <c r="G3701" s="11"/>
      <c r="H3701" s="11"/>
      <c r="I3701" s="11"/>
      <c r="J3701" s="11"/>
      <c r="K3701" s="11"/>
      <c r="L3701" s="11"/>
      <c r="M3701" s="12"/>
      <c r="N3701" s="12"/>
      <c r="O3701" s="11"/>
      <c r="P3701" s="11"/>
    </row>
    <row r="3702" spans="1:16" ht="12.75" x14ac:dyDescent="0.35">
      <c r="A3702" s="11"/>
      <c r="B3702" s="9"/>
      <c r="C3702" s="9"/>
      <c r="D3702" s="9"/>
      <c r="E3702" s="11"/>
      <c r="F3702" s="11"/>
      <c r="G3702" s="11"/>
      <c r="H3702" s="11"/>
      <c r="I3702" s="11"/>
      <c r="J3702" s="11"/>
      <c r="K3702" s="11"/>
      <c r="L3702" s="11"/>
      <c r="M3702" s="12"/>
      <c r="N3702" s="12"/>
      <c r="O3702" s="11"/>
      <c r="P3702" s="11"/>
    </row>
    <row r="3703" spans="1:16" ht="12.75" x14ac:dyDescent="0.35">
      <c r="A3703" s="11"/>
      <c r="B3703" s="9"/>
      <c r="C3703" s="9"/>
      <c r="D3703" s="9"/>
      <c r="E3703" s="11"/>
      <c r="F3703" s="11"/>
      <c r="G3703" s="11"/>
      <c r="H3703" s="11"/>
      <c r="I3703" s="11"/>
      <c r="J3703" s="11"/>
      <c r="K3703" s="11"/>
      <c r="L3703" s="11"/>
      <c r="M3703" s="12"/>
      <c r="N3703" s="12"/>
      <c r="O3703" s="11"/>
      <c r="P3703" s="11"/>
    </row>
    <row r="3704" spans="1:16" ht="12.75" x14ac:dyDescent="0.35">
      <c r="A3704" s="11"/>
      <c r="B3704" s="9"/>
      <c r="C3704" s="9"/>
      <c r="D3704" s="9"/>
      <c r="E3704" s="11"/>
      <c r="F3704" s="11"/>
      <c r="G3704" s="11"/>
      <c r="H3704" s="11"/>
      <c r="I3704" s="11"/>
      <c r="J3704" s="11"/>
      <c r="K3704" s="11"/>
      <c r="L3704" s="11"/>
      <c r="M3704" s="12"/>
      <c r="N3704" s="12"/>
      <c r="O3704" s="11"/>
      <c r="P3704" s="11"/>
    </row>
    <row r="3705" spans="1:16" ht="12.75" x14ac:dyDescent="0.35">
      <c r="A3705" s="11"/>
      <c r="B3705" s="9"/>
      <c r="C3705" s="9"/>
      <c r="D3705" s="9"/>
      <c r="E3705" s="11"/>
      <c r="F3705" s="11"/>
      <c r="G3705" s="11"/>
      <c r="H3705" s="11"/>
      <c r="I3705" s="11"/>
      <c r="J3705" s="11"/>
      <c r="K3705" s="11"/>
      <c r="L3705" s="11"/>
      <c r="M3705" s="12"/>
      <c r="N3705" s="12"/>
      <c r="O3705" s="11"/>
      <c r="P3705" s="11"/>
    </row>
    <row r="3706" spans="1:16" ht="12.75" x14ac:dyDescent="0.35">
      <c r="A3706" s="11"/>
      <c r="B3706" s="9"/>
      <c r="C3706" s="9"/>
      <c r="D3706" s="9"/>
      <c r="E3706" s="11"/>
      <c r="F3706" s="11"/>
      <c r="G3706" s="11"/>
      <c r="H3706" s="11"/>
      <c r="I3706" s="11"/>
      <c r="J3706" s="11"/>
      <c r="K3706" s="11"/>
      <c r="L3706" s="11"/>
      <c r="M3706" s="12"/>
      <c r="N3706" s="12"/>
      <c r="O3706" s="11"/>
      <c r="P3706" s="11"/>
    </row>
    <row r="3707" spans="1:16" ht="12.75" x14ac:dyDescent="0.35">
      <c r="A3707" s="11"/>
      <c r="B3707" s="9"/>
      <c r="C3707" s="9"/>
      <c r="D3707" s="9"/>
      <c r="E3707" s="11"/>
      <c r="F3707" s="11"/>
      <c r="G3707" s="11"/>
      <c r="H3707" s="11"/>
      <c r="I3707" s="11"/>
      <c r="J3707" s="11"/>
      <c r="K3707" s="11"/>
      <c r="L3707" s="11"/>
      <c r="M3707" s="12"/>
      <c r="N3707" s="12"/>
      <c r="O3707" s="11"/>
      <c r="P3707" s="11"/>
    </row>
    <row r="3708" spans="1:16" ht="12.75" x14ac:dyDescent="0.35">
      <c r="A3708" s="11"/>
      <c r="B3708" s="9"/>
      <c r="C3708" s="9"/>
      <c r="D3708" s="9"/>
      <c r="E3708" s="11"/>
      <c r="F3708" s="11"/>
      <c r="G3708" s="11"/>
      <c r="H3708" s="11"/>
      <c r="I3708" s="11"/>
      <c r="J3708" s="11"/>
      <c r="K3708" s="11"/>
      <c r="L3708" s="11"/>
      <c r="M3708" s="12"/>
      <c r="N3708" s="12"/>
      <c r="O3708" s="11"/>
      <c r="P3708" s="11"/>
    </row>
    <row r="3709" spans="1:16" ht="12.75" x14ac:dyDescent="0.35">
      <c r="A3709" s="11"/>
      <c r="B3709" s="9"/>
      <c r="C3709" s="9"/>
      <c r="D3709" s="9"/>
      <c r="E3709" s="11"/>
      <c r="F3709" s="11"/>
      <c r="G3709" s="11"/>
      <c r="H3709" s="11"/>
      <c r="I3709" s="11"/>
      <c r="J3709" s="11"/>
      <c r="K3709" s="11"/>
      <c r="L3709" s="11"/>
      <c r="M3709" s="12"/>
      <c r="N3709" s="12"/>
      <c r="O3709" s="11"/>
      <c r="P3709" s="11"/>
    </row>
    <row r="3710" spans="1:16" ht="12.75" x14ac:dyDescent="0.35">
      <c r="A3710" s="11"/>
      <c r="B3710" s="9"/>
      <c r="C3710" s="9"/>
      <c r="D3710" s="9"/>
      <c r="E3710" s="11"/>
      <c r="F3710" s="11"/>
      <c r="G3710" s="11"/>
      <c r="H3710" s="11"/>
      <c r="I3710" s="11"/>
      <c r="J3710" s="11"/>
      <c r="K3710" s="11"/>
      <c r="L3710" s="11"/>
      <c r="M3710" s="12"/>
      <c r="N3710" s="12"/>
      <c r="O3710" s="11"/>
      <c r="P3710" s="11"/>
    </row>
    <row r="3711" spans="1:16" ht="12.75" x14ac:dyDescent="0.35">
      <c r="A3711" s="11"/>
      <c r="B3711" s="9"/>
      <c r="C3711" s="9"/>
      <c r="D3711" s="9"/>
      <c r="E3711" s="11"/>
      <c r="F3711" s="11"/>
      <c r="G3711" s="11"/>
      <c r="H3711" s="11"/>
      <c r="I3711" s="11"/>
      <c r="J3711" s="11"/>
      <c r="K3711" s="11"/>
      <c r="L3711" s="11"/>
      <c r="M3711" s="12"/>
      <c r="N3711" s="12"/>
      <c r="O3711" s="11"/>
      <c r="P3711" s="11"/>
    </row>
    <row r="3712" spans="1:16" ht="12.75" x14ac:dyDescent="0.35">
      <c r="A3712" s="11"/>
      <c r="B3712" s="9"/>
      <c r="C3712" s="9"/>
      <c r="D3712" s="9"/>
      <c r="E3712" s="11"/>
      <c r="F3712" s="11"/>
      <c r="G3712" s="11"/>
      <c r="H3712" s="11"/>
      <c r="I3712" s="11"/>
      <c r="J3712" s="11"/>
      <c r="K3712" s="11"/>
      <c r="L3712" s="11"/>
      <c r="M3712" s="12"/>
      <c r="N3712" s="12"/>
      <c r="O3712" s="11"/>
      <c r="P3712" s="11"/>
    </row>
    <row r="3713" spans="1:16" ht="12.75" x14ac:dyDescent="0.35">
      <c r="A3713" s="11"/>
      <c r="B3713" s="9"/>
      <c r="C3713" s="9"/>
      <c r="D3713" s="9"/>
      <c r="E3713" s="11"/>
      <c r="F3713" s="11"/>
      <c r="G3713" s="11"/>
      <c r="H3713" s="11"/>
      <c r="I3713" s="11"/>
      <c r="J3713" s="11"/>
      <c r="K3713" s="11"/>
      <c r="L3713" s="11"/>
      <c r="M3713" s="12"/>
      <c r="N3713" s="12"/>
      <c r="O3713" s="11"/>
      <c r="P3713" s="11"/>
    </row>
    <row r="3714" spans="1:16" ht="12.75" x14ac:dyDescent="0.35">
      <c r="A3714" s="11"/>
      <c r="B3714" s="9"/>
      <c r="C3714" s="9"/>
      <c r="D3714" s="9"/>
      <c r="E3714" s="11"/>
      <c r="F3714" s="11"/>
      <c r="G3714" s="11"/>
      <c r="H3714" s="11"/>
      <c r="I3714" s="11"/>
      <c r="J3714" s="11"/>
      <c r="K3714" s="11"/>
      <c r="L3714" s="11"/>
      <c r="M3714" s="12"/>
      <c r="N3714" s="12"/>
      <c r="O3714" s="11"/>
      <c r="P3714" s="11"/>
    </row>
    <row r="3715" spans="1:16" ht="12.75" x14ac:dyDescent="0.35">
      <c r="A3715" s="11"/>
      <c r="B3715" s="9"/>
      <c r="C3715" s="9"/>
      <c r="D3715" s="9"/>
      <c r="E3715" s="11"/>
      <c r="F3715" s="11"/>
      <c r="G3715" s="11"/>
      <c r="H3715" s="11"/>
      <c r="I3715" s="11"/>
      <c r="J3715" s="11"/>
      <c r="K3715" s="11"/>
      <c r="L3715" s="11"/>
      <c r="M3715" s="12"/>
      <c r="N3715" s="12"/>
      <c r="O3715" s="11"/>
      <c r="P3715" s="11"/>
    </row>
    <row r="3716" spans="1:16" ht="12.75" x14ac:dyDescent="0.35">
      <c r="A3716" s="11"/>
      <c r="B3716" s="9"/>
      <c r="C3716" s="9"/>
      <c r="D3716" s="9"/>
      <c r="E3716" s="11"/>
      <c r="F3716" s="11"/>
      <c r="G3716" s="11"/>
      <c r="H3716" s="11"/>
      <c r="I3716" s="11"/>
      <c r="J3716" s="11"/>
      <c r="K3716" s="11"/>
      <c r="L3716" s="11"/>
      <c r="M3716" s="12"/>
      <c r="N3716" s="12"/>
      <c r="O3716" s="11"/>
      <c r="P3716" s="11"/>
    </row>
    <row r="3717" spans="1:16" ht="12.75" x14ac:dyDescent="0.35">
      <c r="A3717" s="11"/>
      <c r="B3717" s="9"/>
      <c r="C3717" s="9"/>
      <c r="D3717" s="9"/>
      <c r="E3717" s="11"/>
      <c r="F3717" s="11"/>
      <c r="G3717" s="11"/>
      <c r="H3717" s="11"/>
      <c r="I3717" s="11"/>
      <c r="J3717" s="11"/>
      <c r="K3717" s="11"/>
      <c r="L3717" s="11"/>
      <c r="M3717" s="12"/>
      <c r="N3717" s="12"/>
      <c r="O3717" s="11"/>
      <c r="P3717" s="11"/>
    </row>
    <row r="3718" spans="1:16" ht="12.75" x14ac:dyDescent="0.35">
      <c r="A3718" s="11"/>
      <c r="B3718" s="9"/>
      <c r="C3718" s="9"/>
      <c r="D3718" s="9"/>
      <c r="E3718" s="11"/>
      <c r="F3718" s="11"/>
      <c r="G3718" s="11"/>
      <c r="H3718" s="11"/>
      <c r="I3718" s="11"/>
      <c r="J3718" s="11"/>
      <c r="K3718" s="11"/>
      <c r="L3718" s="11"/>
      <c r="M3718" s="12"/>
      <c r="N3718" s="12"/>
      <c r="O3718" s="11"/>
      <c r="P3718" s="11"/>
    </row>
    <row r="3719" spans="1:16" ht="12.75" x14ac:dyDescent="0.35">
      <c r="A3719" s="11"/>
      <c r="B3719" s="9"/>
      <c r="C3719" s="9"/>
      <c r="D3719" s="9"/>
      <c r="E3719" s="11"/>
      <c r="F3719" s="11"/>
      <c r="G3719" s="11"/>
      <c r="H3719" s="11"/>
      <c r="I3719" s="11"/>
      <c r="J3719" s="11"/>
      <c r="K3719" s="11"/>
      <c r="L3719" s="11"/>
      <c r="M3719" s="12"/>
      <c r="N3719" s="12"/>
      <c r="O3719" s="11"/>
      <c r="P3719" s="11"/>
    </row>
    <row r="3720" spans="1:16" ht="12.75" x14ac:dyDescent="0.35">
      <c r="A3720" s="11"/>
      <c r="B3720" s="9"/>
      <c r="C3720" s="9"/>
      <c r="D3720" s="9"/>
      <c r="E3720" s="11"/>
      <c r="F3720" s="11"/>
      <c r="G3720" s="11"/>
      <c r="H3720" s="11"/>
      <c r="I3720" s="11"/>
      <c r="J3720" s="11"/>
      <c r="K3720" s="11"/>
      <c r="L3720" s="11"/>
      <c r="M3720" s="12"/>
      <c r="N3720" s="12"/>
      <c r="O3720" s="11"/>
      <c r="P3720" s="11"/>
    </row>
    <row r="3721" spans="1:16" ht="12.75" x14ac:dyDescent="0.35">
      <c r="A3721" s="11"/>
      <c r="B3721" s="9"/>
      <c r="C3721" s="9"/>
      <c r="D3721" s="9"/>
      <c r="E3721" s="11"/>
      <c r="F3721" s="11"/>
      <c r="G3721" s="11"/>
      <c r="H3721" s="11"/>
      <c r="I3721" s="11"/>
      <c r="J3721" s="11"/>
      <c r="K3721" s="11"/>
      <c r="L3721" s="11"/>
      <c r="M3721" s="12"/>
      <c r="N3721" s="12"/>
      <c r="O3721" s="11"/>
      <c r="P3721" s="11"/>
    </row>
    <row r="3722" spans="1:16" ht="12.75" x14ac:dyDescent="0.35">
      <c r="A3722" s="11"/>
      <c r="B3722" s="9"/>
      <c r="C3722" s="9"/>
      <c r="D3722" s="9"/>
      <c r="E3722" s="11"/>
      <c r="F3722" s="11"/>
      <c r="G3722" s="11"/>
      <c r="H3722" s="11"/>
      <c r="I3722" s="11"/>
      <c r="J3722" s="11"/>
      <c r="K3722" s="11"/>
      <c r="L3722" s="11"/>
      <c r="M3722" s="12"/>
      <c r="N3722" s="12"/>
      <c r="O3722" s="11"/>
      <c r="P3722" s="11"/>
    </row>
    <row r="3723" spans="1:16" ht="12.75" x14ac:dyDescent="0.35">
      <c r="A3723" s="11"/>
      <c r="B3723" s="9"/>
      <c r="C3723" s="9"/>
      <c r="D3723" s="9"/>
      <c r="E3723" s="11"/>
      <c r="F3723" s="11"/>
      <c r="G3723" s="11"/>
      <c r="H3723" s="11"/>
      <c r="I3723" s="11"/>
      <c r="J3723" s="11"/>
      <c r="K3723" s="11"/>
      <c r="L3723" s="11"/>
      <c r="M3723" s="12"/>
      <c r="N3723" s="12"/>
      <c r="O3723" s="11"/>
      <c r="P3723" s="11"/>
    </row>
    <row r="3724" spans="1:16" ht="12.75" x14ac:dyDescent="0.35">
      <c r="A3724" s="11"/>
      <c r="B3724" s="9"/>
      <c r="C3724" s="9"/>
      <c r="D3724" s="9"/>
      <c r="E3724" s="11"/>
      <c r="F3724" s="11"/>
      <c r="G3724" s="11"/>
      <c r="H3724" s="11"/>
      <c r="I3724" s="11"/>
      <c r="J3724" s="11"/>
      <c r="K3724" s="11"/>
      <c r="L3724" s="11"/>
      <c r="M3724" s="12"/>
      <c r="N3724" s="12"/>
      <c r="O3724" s="11"/>
      <c r="P3724" s="11"/>
    </row>
    <row r="3725" spans="1:16" ht="12.75" x14ac:dyDescent="0.35">
      <c r="A3725" s="11"/>
      <c r="B3725" s="9"/>
      <c r="C3725" s="9"/>
      <c r="D3725" s="9"/>
      <c r="E3725" s="11"/>
      <c r="F3725" s="11"/>
      <c r="G3725" s="11"/>
      <c r="H3725" s="11"/>
      <c r="I3725" s="11"/>
      <c r="J3725" s="11"/>
      <c r="K3725" s="11"/>
      <c r="L3725" s="11"/>
      <c r="M3725" s="12"/>
      <c r="N3725" s="12"/>
      <c r="O3725" s="11"/>
      <c r="P3725" s="11"/>
    </row>
    <row r="3726" spans="1:16" ht="12.75" x14ac:dyDescent="0.35">
      <c r="A3726" s="11"/>
      <c r="B3726" s="9"/>
      <c r="C3726" s="9"/>
      <c r="D3726" s="9"/>
      <c r="E3726" s="11"/>
      <c r="F3726" s="11"/>
      <c r="G3726" s="11"/>
      <c r="H3726" s="11"/>
      <c r="I3726" s="11"/>
      <c r="J3726" s="11"/>
      <c r="K3726" s="11"/>
      <c r="L3726" s="11"/>
      <c r="M3726" s="12"/>
      <c r="N3726" s="12"/>
      <c r="O3726" s="11"/>
      <c r="P3726" s="11"/>
    </row>
    <row r="3727" spans="1:16" ht="12.75" x14ac:dyDescent="0.35">
      <c r="A3727" s="11"/>
      <c r="B3727" s="9"/>
      <c r="C3727" s="9"/>
      <c r="D3727" s="9"/>
      <c r="E3727" s="11"/>
      <c r="F3727" s="11"/>
      <c r="G3727" s="11"/>
      <c r="H3727" s="11"/>
      <c r="I3727" s="11"/>
      <c r="J3727" s="11"/>
      <c r="K3727" s="11"/>
      <c r="L3727" s="11"/>
      <c r="M3727" s="12"/>
      <c r="N3727" s="12"/>
      <c r="O3727" s="11"/>
      <c r="P3727" s="11"/>
    </row>
    <row r="3728" spans="1:16" ht="12.75" x14ac:dyDescent="0.35">
      <c r="A3728" s="11"/>
      <c r="B3728" s="9"/>
      <c r="C3728" s="9"/>
      <c r="D3728" s="9"/>
      <c r="E3728" s="11"/>
      <c r="F3728" s="11"/>
      <c r="G3728" s="11"/>
      <c r="H3728" s="11"/>
      <c r="I3728" s="11"/>
      <c r="J3728" s="11"/>
      <c r="K3728" s="11"/>
      <c r="L3728" s="11"/>
      <c r="M3728" s="12"/>
      <c r="N3728" s="12"/>
      <c r="O3728" s="11"/>
      <c r="P3728" s="11"/>
    </row>
    <row r="3729" spans="1:16" ht="12.75" x14ac:dyDescent="0.35">
      <c r="A3729" s="11"/>
      <c r="B3729" s="9"/>
      <c r="C3729" s="9"/>
      <c r="D3729" s="9"/>
      <c r="E3729" s="11"/>
      <c r="F3729" s="11"/>
      <c r="G3729" s="11"/>
      <c r="H3729" s="11"/>
      <c r="I3729" s="11"/>
      <c r="J3729" s="11"/>
      <c r="K3729" s="11"/>
      <c r="L3729" s="11"/>
      <c r="M3729" s="12"/>
      <c r="N3729" s="12"/>
      <c r="O3729" s="11"/>
      <c r="P3729" s="11"/>
    </row>
    <row r="3730" spans="1:16" ht="12.75" x14ac:dyDescent="0.35">
      <c r="A3730" s="11"/>
      <c r="B3730" s="9"/>
      <c r="C3730" s="9"/>
      <c r="D3730" s="9"/>
      <c r="E3730" s="11"/>
      <c r="F3730" s="11"/>
      <c r="G3730" s="11"/>
      <c r="H3730" s="11"/>
      <c r="I3730" s="11"/>
      <c r="J3730" s="11"/>
      <c r="K3730" s="11"/>
      <c r="L3730" s="11"/>
      <c r="M3730" s="12"/>
      <c r="N3730" s="12"/>
      <c r="O3730" s="11"/>
      <c r="P3730" s="11"/>
    </row>
    <row r="3731" spans="1:16" ht="12.75" x14ac:dyDescent="0.35">
      <c r="A3731" s="11"/>
      <c r="B3731" s="9"/>
      <c r="C3731" s="9"/>
      <c r="D3731" s="9"/>
      <c r="E3731" s="11"/>
      <c r="F3731" s="11"/>
      <c r="G3731" s="11"/>
      <c r="H3731" s="11"/>
      <c r="I3731" s="11"/>
      <c r="J3731" s="11"/>
      <c r="K3731" s="11"/>
      <c r="L3731" s="11"/>
      <c r="M3731" s="12"/>
      <c r="N3731" s="12"/>
      <c r="O3731" s="11"/>
      <c r="P3731" s="11"/>
    </row>
    <row r="3732" spans="1:16" ht="12.75" x14ac:dyDescent="0.35">
      <c r="A3732" s="11"/>
      <c r="B3732" s="9"/>
      <c r="C3732" s="9"/>
      <c r="D3732" s="9"/>
      <c r="E3732" s="11"/>
      <c r="F3732" s="11"/>
      <c r="G3732" s="11"/>
      <c r="H3732" s="11"/>
      <c r="I3732" s="11"/>
      <c r="J3732" s="11"/>
      <c r="K3732" s="11"/>
      <c r="L3732" s="11"/>
      <c r="M3732" s="12"/>
      <c r="N3732" s="12"/>
      <c r="O3732" s="11"/>
      <c r="P3732" s="11"/>
    </row>
    <row r="3733" spans="1:16" ht="12.75" x14ac:dyDescent="0.35">
      <c r="A3733" s="11"/>
      <c r="B3733" s="9"/>
      <c r="C3733" s="9"/>
      <c r="D3733" s="9"/>
      <c r="E3733" s="11"/>
      <c r="F3733" s="11"/>
      <c r="G3733" s="11"/>
      <c r="H3733" s="11"/>
      <c r="I3733" s="11"/>
      <c r="J3733" s="11"/>
      <c r="K3733" s="11"/>
      <c r="L3733" s="11"/>
      <c r="M3733" s="12"/>
      <c r="N3733" s="12"/>
      <c r="O3733" s="11"/>
      <c r="P3733" s="11"/>
    </row>
    <row r="3734" spans="1:16" ht="12.75" x14ac:dyDescent="0.35">
      <c r="A3734" s="11"/>
      <c r="B3734" s="9"/>
      <c r="C3734" s="9"/>
      <c r="D3734" s="9"/>
      <c r="E3734" s="11"/>
      <c r="F3734" s="11"/>
      <c r="G3734" s="11"/>
      <c r="H3734" s="11"/>
      <c r="I3734" s="11"/>
      <c r="J3734" s="11"/>
      <c r="K3734" s="11"/>
      <c r="L3734" s="11"/>
      <c r="M3734" s="12"/>
      <c r="N3734" s="12"/>
      <c r="O3734" s="11"/>
      <c r="P3734" s="11"/>
    </row>
    <row r="3735" spans="1:16" ht="12.75" x14ac:dyDescent="0.35">
      <c r="A3735" s="11"/>
      <c r="B3735" s="9"/>
      <c r="C3735" s="9"/>
      <c r="D3735" s="9"/>
      <c r="E3735" s="11"/>
      <c r="F3735" s="11"/>
      <c r="G3735" s="11"/>
      <c r="H3735" s="11"/>
      <c r="I3735" s="11"/>
      <c r="J3735" s="11"/>
      <c r="K3735" s="11"/>
      <c r="L3735" s="11"/>
      <c r="M3735" s="12"/>
      <c r="N3735" s="12"/>
      <c r="O3735" s="11"/>
      <c r="P3735" s="11"/>
    </row>
    <row r="3736" spans="1:16" ht="12.75" x14ac:dyDescent="0.35">
      <c r="A3736" s="11"/>
      <c r="B3736" s="9"/>
      <c r="C3736" s="9"/>
      <c r="D3736" s="9"/>
      <c r="E3736" s="11"/>
      <c r="F3736" s="11"/>
      <c r="G3736" s="11"/>
      <c r="H3736" s="11"/>
      <c r="I3736" s="11"/>
      <c r="J3736" s="11"/>
      <c r="K3736" s="11"/>
      <c r="L3736" s="11"/>
      <c r="M3736" s="12"/>
      <c r="N3736" s="12"/>
      <c r="O3736" s="11"/>
      <c r="P3736" s="11"/>
    </row>
    <row r="3737" spans="1:16" ht="12.75" x14ac:dyDescent="0.35">
      <c r="A3737" s="11"/>
      <c r="B3737" s="9"/>
      <c r="C3737" s="9"/>
      <c r="D3737" s="9"/>
      <c r="E3737" s="11"/>
      <c r="F3737" s="11"/>
      <c r="G3737" s="11"/>
      <c r="H3737" s="11"/>
      <c r="I3737" s="11"/>
      <c r="J3737" s="11"/>
      <c r="K3737" s="11"/>
      <c r="L3737" s="11"/>
      <c r="M3737" s="12"/>
      <c r="N3737" s="12"/>
      <c r="O3737" s="11"/>
      <c r="P3737" s="11"/>
    </row>
    <row r="3738" spans="1:16" ht="12.75" x14ac:dyDescent="0.35">
      <c r="A3738" s="11"/>
      <c r="B3738" s="9"/>
      <c r="C3738" s="9"/>
      <c r="D3738" s="9"/>
      <c r="E3738" s="11"/>
      <c r="F3738" s="11"/>
      <c r="G3738" s="11"/>
      <c r="H3738" s="11"/>
      <c r="I3738" s="11"/>
      <c r="J3738" s="11"/>
      <c r="K3738" s="11"/>
      <c r="L3738" s="11"/>
      <c r="M3738" s="12"/>
      <c r="N3738" s="12"/>
      <c r="O3738" s="11"/>
      <c r="P3738" s="11"/>
    </row>
    <row r="3739" spans="1:16" ht="12.75" x14ac:dyDescent="0.35">
      <c r="A3739" s="11"/>
      <c r="B3739" s="9"/>
      <c r="C3739" s="9"/>
      <c r="D3739" s="9"/>
      <c r="E3739" s="11"/>
      <c r="F3739" s="11"/>
      <c r="G3739" s="11"/>
      <c r="H3739" s="11"/>
      <c r="I3739" s="11"/>
      <c r="J3739" s="11"/>
      <c r="K3739" s="11"/>
      <c r="L3739" s="11"/>
      <c r="M3739" s="12"/>
      <c r="N3739" s="12"/>
      <c r="O3739" s="11"/>
      <c r="P3739" s="11"/>
    </row>
    <row r="3740" spans="1:16" ht="12.75" x14ac:dyDescent="0.35">
      <c r="A3740" s="11"/>
      <c r="B3740" s="9"/>
      <c r="C3740" s="9"/>
      <c r="D3740" s="9"/>
      <c r="E3740" s="11"/>
      <c r="F3740" s="11"/>
      <c r="G3740" s="11"/>
      <c r="H3740" s="11"/>
      <c r="I3740" s="11"/>
      <c r="J3740" s="11"/>
      <c r="K3740" s="11"/>
      <c r="L3740" s="11"/>
      <c r="M3740" s="12"/>
      <c r="N3740" s="12"/>
      <c r="O3740" s="11"/>
      <c r="P3740" s="11"/>
    </row>
    <row r="3741" spans="1:16" ht="12.75" x14ac:dyDescent="0.35">
      <c r="A3741" s="11"/>
      <c r="B3741" s="9"/>
      <c r="C3741" s="9"/>
      <c r="D3741" s="9"/>
      <c r="E3741" s="11"/>
      <c r="F3741" s="11"/>
      <c r="G3741" s="11"/>
      <c r="H3741" s="11"/>
      <c r="I3741" s="11"/>
      <c r="J3741" s="11"/>
      <c r="K3741" s="11"/>
      <c r="L3741" s="11"/>
      <c r="M3741" s="12"/>
      <c r="N3741" s="12"/>
      <c r="O3741" s="11"/>
      <c r="P3741" s="11"/>
    </row>
    <row r="3742" spans="1:16" ht="12.75" x14ac:dyDescent="0.35">
      <c r="A3742" s="11"/>
      <c r="B3742" s="9"/>
      <c r="C3742" s="9"/>
      <c r="D3742" s="9"/>
      <c r="E3742" s="11"/>
      <c r="F3742" s="11"/>
      <c r="G3742" s="11"/>
      <c r="H3742" s="11"/>
      <c r="I3742" s="11"/>
      <c r="J3742" s="11"/>
      <c r="K3742" s="11"/>
      <c r="L3742" s="11"/>
      <c r="M3742" s="12"/>
      <c r="N3742" s="12"/>
      <c r="O3742" s="11"/>
      <c r="P3742" s="11"/>
    </row>
    <row r="3743" spans="1:16" ht="12.75" x14ac:dyDescent="0.35">
      <c r="A3743" s="11"/>
      <c r="B3743" s="9"/>
      <c r="C3743" s="9"/>
      <c r="D3743" s="9"/>
      <c r="E3743" s="11"/>
      <c r="F3743" s="11"/>
      <c r="G3743" s="11"/>
      <c r="H3743" s="11"/>
      <c r="I3743" s="11"/>
      <c r="J3743" s="11"/>
      <c r="K3743" s="11"/>
      <c r="L3743" s="11"/>
      <c r="M3743" s="12"/>
      <c r="N3743" s="12"/>
      <c r="O3743" s="11"/>
      <c r="P3743" s="11"/>
    </row>
    <row r="3744" spans="1:16" ht="12.75" x14ac:dyDescent="0.35">
      <c r="A3744" s="11"/>
      <c r="B3744" s="9"/>
      <c r="C3744" s="9"/>
      <c r="D3744" s="9"/>
      <c r="E3744" s="11"/>
      <c r="F3744" s="11"/>
      <c r="G3744" s="11"/>
      <c r="H3744" s="11"/>
      <c r="I3744" s="11"/>
      <c r="J3744" s="11"/>
      <c r="K3744" s="11"/>
      <c r="L3744" s="11"/>
      <c r="M3744" s="12"/>
      <c r="N3744" s="12"/>
      <c r="O3744" s="11"/>
      <c r="P3744" s="11"/>
    </row>
    <row r="3745" spans="1:16" ht="12.75" x14ac:dyDescent="0.35">
      <c r="A3745" s="11"/>
      <c r="B3745" s="9"/>
      <c r="C3745" s="9"/>
      <c r="D3745" s="9"/>
      <c r="E3745" s="11"/>
      <c r="F3745" s="11"/>
      <c r="G3745" s="11"/>
      <c r="H3745" s="11"/>
      <c r="I3745" s="11"/>
      <c r="J3745" s="11"/>
      <c r="K3745" s="11"/>
      <c r="L3745" s="11"/>
      <c r="M3745" s="12"/>
      <c r="N3745" s="12"/>
      <c r="O3745" s="11"/>
      <c r="P3745" s="11"/>
    </row>
    <row r="3746" spans="1:16" ht="12.75" x14ac:dyDescent="0.35">
      <c r="A3746" s="11"/>
      <c r="B3746" s="9"/>
      <c r="C3746" s="9"/>
      <c r="D3746" s="9"/>
      <c r="E3746" s="11"/>
      <c r="F3746" s="11"/>
      <c r="G3746" s="11"/>
      <c r="H3746" s="11"/>
      <c r="I3746" s="11"/>
      <c r="J3746" s="11"/>
      <c r="K3746" s="11"/>
      <c r="L3746" s="11"/>
      <c r="M3746" s="12"/>
      <c r="N3746" s="12"/>
      <c r="O3746" s="11"/>
      <c r="P3746" s="11"/>
    </row>
    <row r="3747" spans="1:16" ht="12.75" x14ac:dyDescent="0.35">
      <c r="A3747" s="11"/>
      <c r="B3747" s="9"/>
      <c r="C3747" s="9"/>
      <c r="D3747" s="9"/>
      <c r="E3747" s="11"/>
      <c r="F3747" s="11"/>
      <c r="G3747" s="11"/>
      <c r="H3747" s="11"/>
      <c r="I3747" s="11"/>
      <c r="J3747" s="11"/>
      <c r="K3747" s="11"/>
      <c r="L3747" s="11"/>
      <c r="M3747" s="12"/>
      <c r="N3747" s="12"/>
      <c r="O3747" s="11"/>
      <c r="P3747" s="11"/>
    </row>
    <row r="3748" spans="1:16" ht="12.75" x14ac:dyDescent="0.35">
      <c r="A3748" s="11"/>
      <c r="B3748" s="9"/>
      <c r="C3748" s="9"/>
      <c r="D3748" s="9"/>
      <c r="E3748" s="11"/>
      <c r="F3748" s="11"/>
      <c r="G3748" s="11"/>
      <c r="H3748" s="11"/>
      <c r="I3748" s="11"/>
      <c r="J3748" s="11"/>
      <c r="K3748" s="11"/>
      <c r="L3748" s="11"/>
      <c r="M3748" s="12"/>
      <c r="N3748" s="12"/>
      <c r="O3748" s="11"/>
      <c r="P3748" s="11"/>
    </row>
    <row r="3749" spans="1:16" ht="12.75" x14ac:dyDescent="0.35">
      <c r="A3749" s="11"/>
      <c r="B3749" s="9"/>
      <c r="C3749" s="9"/>
      <c r="D3749" s="9"/>
      <c r="E3749" s="11"/>
      <c r="F3749" s="11"/>
      <c r="G3749" s="11"/>
      <c r="H3749" s="11"/>
      <c r="I3749" s="11"/>
      <c r="J3749" s="11"/>
      <c r="K3749" s="11"/>
      <c r="L3749" s="11"/>
      <c r="M3749" s="12"/>
      <c r="N3749" s="12"/>
      <c r="O3749" s="11"/>
      <c r="P3749" s="11"/>
    </row>
    <row r="3750" spans="1:16" ht="12.75" x14ac:dyDescent="0.35">
      <c r="A3750" s="11"/>
      <c r="B3750" s="9"/>
      <c r="C3750" s="9"/>
      <c r="D3750" s="9"/>
      <c r="E3750" s="11"/>
      <c r="F3750" s="11"/>
      <c r="G3750" s="11"/>
      <c r="H3750" s="11"/>
      <c r="I3750" s="11"/>
      <c r="J3750" s="11"/>
      <c r="K3750" s="11"/>
      <c r="L3750" s="11"/>
      <c r="M3750" s="12"/>
      <c r="N3750" s="12"/>
      <c r="O3750" s="11"/>
      <c r="P3750" s="11"/>
    </row>
    <row r="3751" spans="1:16" ht="12.75" x14ac:dyDescent="0.35">
      <c r="A3751" s="11"/>
      <c r="B3751" s="9"/>
      <c r="C3751" s="9"/>
      <c r="D3751" s="9"/>
      <c r="E3751" s="11"/>
      <c r="F3751" s="11"/>
      <c r="G3751" s="11"/>
      <c r="H3751" s="11"/>
      <c r="I3751" s="11"/>
      <c r="J3751" s="11"/>
      <c r="K3751" s="11"/>
      <c r="L3751" s="11"/>
      <c r="M3751" s="12"/>
      <c r="N3751" s="12"/>
      <c r="O3751" s="11"/>
      <c r="P3751" s="11"/>
    </row>
    <row r="3752" spans="1:16" ht="12.75" x14ac:dyDescent="0.35">
      <c r="A3752" s="11"/>
      <c r="B3752" s="9"/>
      <c r="C3752" s="9"/>
      <c r="D3752" s="9"/>
      <c r="E3752" s="11"/>
      <c r="F3752" s="11"/>
      <c r="G3752" s="11"/>
      <c r="H3752" s="11"/>
      <c r="I3752" s="11"/>
      <c r="J3752" s="11"/>
      <c r="K3752" s="11"/>
      <c r="L3752" s="11"/>
      <c r="M3752" s="12"/>
      <c r="N3752" s="12"/>
      <c r="O3752" s="11"/>
      <c r="P3752" s="11"/>
    </row>
    <row r="3753" spans="1:16" ht="12.75" x14ac:dyDescent="0.35">
      <c r="A3753" s="11"/>
      <c r="B3753" s="9"/>
      <c r="C3753" s="9"/>
      <c r="D3753" s="9"/>
      <c r="E3753" s="11"/>
      <c r="F3753" s="11"/>
      <c r="G3753" s="11"/>
      <c r="H3753" s="11"/>
      <c r="I3753" s="11"/>
      <c r="J3753" s="11"/>
      <c r="K3753" s="11"/>
      <c r="L3753" s="11"/>
      <c r="M3753" s="12"/>
      <c r="N3753" s="12"/>
      <c r="O3753" s="11"/>
      <c r="P3753" s="11"/>
    </row>
    <row r="3754" spans="1:16" ht="12.75" x14ac:dyDescent="0.35">
      <c r="A3754" s="11"/>
      <c r="B3754" s="9"/>
      <c r="C3754" s="9"/>
      <c r="D3754" s="9"/>
      <c r="E3754" s="11"/>
      <c r="F3754" s="11"/>
      <c r="G3754" s="11"/>
      <c r="H3754" s="11"/>
      <c r="I3754" s="11"/>
      <c r="J3754" s="11"/>
      <c r="K3754" s="11"/>
      <c r="L3754" s="11"/>
      <c r="M3754" s="12"/>
      <c r="N3754" s="12"/>
      <c r="O3754" s="11"/>
      <c r="P3754" s="11"/>
    </row>
    <row r="3755" spans="1:16" ht="12.75" x14ac:dyDescent="0.35">
      <c r="A3755" s="11"/>
      <c r="B3755" s="9"/>
      <c r="C3755" s="9"/>
      <c r="D3755" s="9"/>
      <c r="E3755" s="11"/>
      <c r="F3755" s="11"/>
      <c r="G3755" s="11"/>
      <c r="H3755" s="11"/>
      <c r="I3755" s="11"/>
      <c r="J3755" s="11"/>
      <c r="K3755" s="11"/>
      <c r="L3755" s="11"/>
      <c r="M3755" s="12"/>
      <c r="N3755" s="12"/>
      <c r="O3755" s="11"/>
      <c r="P3755" s="11"/>
    </row>
    <row r="3756" spans="1:16" ht="12.75" x14ac:dyDescent="0.35">
      <c r="A3756" s="11"/>
      <c r="B3756" s="9"/>
      <c r="C3756" s="9"/>
      <c r="D3756" s="9"/>
      <c r="E3756" s="11"/>
      <c r="F3756" s="11"/>
      <c r="G3756" s="11"/>
      <c r="H3756" s="11"/>
      <c r="I3756" s="11"/>
      <c r="J3756" s="11"/>
      <c r="K3756" s="11"/>
      <c r="L3756" s="11"/>
      <c r="M3756" s="12"/>
      <c r="N3756" s="12"/>
      <c r="O3756" s="11"/>
      <c r="P3756" s="11"/>
    </row>
    <row r="3757" spans="1:16" ht="12.75" x14ac:dyDescent="0.35">
      <c r="A3757" s="11"/>
      <c r="B3757" s="9"/>
      <c r="C3757" s="9"/>
      <c r="D3757" s="9"/>
      <c r="E3757" s="11"/>
      <c r="F3757" s="11"/>
      <c r="G3757" s="11"/>
      <c r="H3757" s="11"/>
      <c r="I3757" s="11"/>
      <c r="J3757" s="11"/>
      <c r="K3757" s="11"/>
      <c r="L3757" s="11"/>
      <c r="M3757" s="12"/>
      <c r="N3757" s="12"/>
      <c r="O3757" s="11"/>
      <c r="P3757" s="11"/>
    </row>
    <row r="3758" spans="1:16" ht="12.75" x14ac:dyDescent="0.35">
      <c r="A3758" s="11"/>
      <c r="B3758" s="9"/>
      <c r="C3758" s="9"/>
      <c r="D3758" s="9"/>
      <c r="E3758" s="11"/>
      <c r="F3758" s="11"/>
      <c r="G3758" s="11"/>
      <c r="H3758" s="11"/>
      <c r="I3758" s="11"/>
      <c r="J3758" s="11"/>
      <c r="K3758" s="11"/>
      <c r="L3758" s="11"/>
      <c r="M3758" s="12"/>
      <c r="N3758" s="12"/>
      <c r="O3758" s="11"/>
      <c r="P3758" s="11"/>
    </row>
    <row r="3759" spans="1:16" ht="12.75" x14ac:dyDescent="0.35">
      <c r="A3759" s="11"/>
      <c r="B3759" s="9"/>
      <c r="C3759" s="9"/>
      <c r="D3759" s="9"/>
      <c r="E3759" s="11"/>
      <c r="F3759" s="11"/>
      <c r="G3759" s="11"/>
      <c r="H3759" s="11"/>
      <c r="I3759" s="11"/>
      <c r="J3759" s="11"/>
      <c r="K3759" s="11"/>
      <c r="L3759" s="11"/>
      <c r="M3759" s="12"/>
      <c r="N3759" s="12"/>
      <c r="O3759" s="11"/>
      <c r="P3759" s="11"/>
    </row>
    <row r="3760" spans="1:16" ht="12.75" x14ac:dyDescent="0.35">
      <c r="A3760" s="11"/>
      <c r="B3760" s="9"/>
      <c r="C3760" s="9"/>
      <c r="D3760" s="9"/>
      <c r="E3760" s="11"/>
      <c r="F3760" s="11"/>
      <c r="G3760" s="11"/>
      <c r="H3760" s="11"/>
      <c r="I3760" s="11"/>
      <c r="J3760" s="11"/>
      <c r="K3760" s="11"/>
      <c r="L3760" s="11"/>
      <c r="M3760" s="12"/>
      <c r="N3760" s="12"/>
      <c r="O3760" s="11"/>
      <c r="P3760" s="11"/>
    </row>
    <row r="3761" spans="1:16" ht="12.75" x14ac:dyDescent="0.35">
      <c r="A3761" s="11"/>
      <c r="B3761" s="9"/>
      <c r="C3761" s="9"/>
      <c r="D3761" s="9"/>
      <c r="E3761" s="11"/>
      <c r="F3761" s="11"/>
      <c r="G3761" s="11"/>
      <c r="H3761" s="11"/>
      <c r="I3761" s="11"/>
      <c r="J3761" s="11"/>
      <c r="K3761" s="11"/>
      <c r="L3761" s="11"/>
      <c r="M3761" s="12"/>
      <c r="N3761" s="12"/>
      <c r="O3761" s="11"/>
      <c r="P3761" s="11"/>
    </row>
    <row r="3762" spans="1:16" ht="12.75" x14ac:dyDescent="0.35">
      <c r="A3762" s="11"/>
      <c r="B3762" s="9"/>
      <c r="C3762" s="9"/>
      <c r="D3762" s="9"/>
      <c r="E3762" s="11"/>
      <c r="F3762" s="11"/>
      <c r="G3762" s="11"/>
      <c r="H3762" s="11"/>
      <c r="I3762" s="11"/>
      <c r="J3762" s="11"/>
      <c r="K3762" s="11"/>
      <c r="L3762" s="11"/>
      <c r="M3762" s="12"/>
      <c r="N3762" s="12"/>
      <c r="O3762" s="11"/>
      <c r="P3762" s="11"/>
    </row>
    <row r="3763" spans="1:16" ht="12.75" x14ac:dyDescent="0.35">
      <c r="A3763" s="11"/>
      <c r="B3763" s="9"/>
      <c r="C3763" s="9"/>
      <c r="D3763" s="9"/>
      <c r="E3763" s="11"/>
      <c r="F3763" s="11"/>
      <c r="G3763" s="11"/>
      <c r="H3763" s="11"/>
      <c r="I3763" s="11"/>
      <c r="J3763" s="11"/>
      <c r="K3763" s="11"/>
      <c r="L3763" s="11"/>
      <c r="M3763" s="12"/>
      <c r="N3763" s="12"/>
      <c r="O3763" s="11"/>
      <c r="P3763" s="11"/>
    </row>
    <row r="3764" spans="1:16" ht="12.75" x14ac:dyDescent="0.35">
      <c r="A3764" s="11"/>
      <c r="B3764" s="9"/>
      <c r="C3764" s="9"/>
      <c r="D3764" s="9"/>
      <c r="E3764" s="11"/>
      <c r="F3764" s="11"/>
      <c r="G3764" s="11"/>
      <c r="H3764" s="11"/>
      <c r="I3764" s="11"/>
      <c r="J3764" s="11"/>
      <c r="K3764" s="11"/>
      <c r="L3764" s="11"/>
      <c r="M3764" s="12"/>
      <c r="N3764" s="12"/>
      <c r="O3764" s="11"/>
      <c r="P3764" s="11"/>
    </row>
    <row r="3765" spans="1:16" ht="12.75" x14ac:dyDescent="0.35">
      <c r="A3765" s="11"/>
      <c r="B3765" s="9"/>
      <c r="C3765" s="9"/>
      <c r="D3765" s="9"/>
      <c r="E3765" s="11"/>
      <c r="F3765" s="11"/>
      <c r="G3765" s="11"/>
      <c r="H3765" s="11"/>
      <c r="I3765" s="11"/>
      <c r="J3765" s="11"/>
      <c r="K3765" s="11"/>
      <c r="L3765" s="11"/>
      <c r="M3765" s="12"/>
      <c r="N3765" s="12"/>
      <c r="O3765" s="11"/>
      <c r="P3765" s="11"/>
    </row>
    <row r="3766" spans="1:16" ht="12.75" x14ac:dyDescent="0.35">
      <c r="A3766" s="11"/>
      <c r="B3766" s="9"/>
      <c r="C3766" s="9"/>
      <c r="D3766" s="9"/>
      <c r="E3766" s="11"/>
      <c r="F3766" s="11"/>
      <c r="G3766" s="11"/>
      <c r="H3766" s="11"/>
      <c r="I3766" s="11"/>
      <c r="J3766" s="11"/>
      <c r="K3766" s="11"/>
      <c r="L3766" s="11"/>
      <c r="M3766" s="12"/>
      <c r="N3766" s="12"/>
      <c r="O3766" s="11"/>
      <c r="P3766" s="11"/>
    </row>
    <row r="3767" spans="1:16" ht="12.75" x14ac:dyDescent="0.35">
      <c r="A3767" s="11"/>
      <c r="B3767" s="9"/>
      <c r="C3767" s="9"/>
      <c r="D3767" s="9"/>
      <c r="E3767" s="11"/>
      <c r="F3767" s="11"/>
      <c r="G3767" s="11"/>
      <c r="H3767" s="11"/>
      <c r="I3767" s="11"/>
      <c r="J3767" s="11"/>
      <c r="K3767" s="11"/>
      <c r="L3767" s="11"/>
      <c r="M3767" s="12"/>
      <c r="N3767" s="12"/>
      <c r="O3767" s="11"/>
      <c r="P3767" s="11"/>
    </row>
    <row r="3768" spans="1:16" ht="12.75" x14ac:dyDescent="0.35">
      <c r="A3768" s="11"/>
      <c r="B3768" s="9"/>
      <c r="C3768" s="9"/>
      <c r="D3768" s="9"/>
      <c r="E3768" s="11"/>
      <c r="F3768" s="11"/>
      <c r="G3768" s="11"/>
      <c r="H3768" s="11"/>
      <c r="I3768" s="11"/>
      <c r="J3768" s="11"/>
      <c r="K3768" s="11"/>
      <c r="L3768" s="11"/>
      <c r="M3768" s="12"/>
      <c r="N3768" s="12"/>
      <c r="O3768" s="11"/>
      <c r="P3768" s="11"/>
    </row>
    <row r="3769" spans="1:16" ht="12.75" x14ac:dyDescent="0.35">
      <c r="A3769" s="11"/>
      <c r="B3769" s="9"/>
      <c r="C3769" s="9"/>
      <c r="D3769" s="9"/>
      <c r="E3769" s="11"/>
      <c r="F3769" s="11"/>
      <c r="G3769" s="11"/>
      <c r="H3769" s="11"/>
      <c r="I3769" s="11"/>
      <c r="J3769" s="11"/>
      <c r="K3769" s="11"/>
      <c r="L3769" s="11"/>
      <c r="M3769" s="12"/>
      <c r="N3769" s="12"/>
      <c r="O3769" s="11"/>
      <c r="P3769" s="11"/>
    </row>
    <row r="3770" spans="1:16" ht="12.75" x14ac:dyDescent="0.35">
      <c r="A3770" s="11"/>
      <c r="B3770" s="9"/>
      <c r="C3770" s="9"/>
      <c r="D3770" s="9"/>
      <c r="E3770" s="11"/>
      <c r="F3770" s="11"/>
      <c r="G3770" s="11"/>
      <c r="H3770" s="11"/>
      <c r="I3770" s="11"/>
      <c r="J3770" s="11"/>
      <c r="K3770" s="11"/>
      <c r="L3770" s="11"/>
      <c r="M3770" s="12"/>
      <c r="N3770" s="12"/>
      <c r="O3770" s="11"/>
      <c r="P3770" s="11"/>
    </row>
    <row r="3771" spans="1:16" ht="12.75" x14ac:dyDescent="0.35">
      <c r="A3771" s="11"/>
      <c r="B3771" s="9"/>
      <c r="C3771" s="9"/>
      <c r="D3771" s="9"/>
      <c r="E3771" s="11"/>
      <c r="F3771" s="11"/>
      <c r="G3771" s="11"/>
      <c r="H3771" s="11"/>
      <c r="I3771" s="11"/>
      <c r="J3771" s="11"/>
      <c r="K3771" s="11"/>
      <c r="L3771" s="11"/>
      <c r="M3771" s="12"/>
      <c r="N3771" s="12"/>
      <c r="O3771" s="11"/>
      <c r="P3771" s="11"/>
    </row>
    <row r="3772" spans="1:16" ht="12.75" x14ac:dyDescent="0.35">
      <c r="A3772" s="11"/>
      <c r="B3772" s="9"/>
      <c r="C3772" s="9"/>
      <c r="D3772" s="9"/>
      <c r="E3772" s="11"/>
      <c r="F3772" s="11"/>
      <c r="G3772" s="11"/>
      <c r="H3772" s="11"/>
      <c r="I3772" s="11"/>
      <c r="J3772" s="11"/>
      <c r="K3772" s="11"/>
      <c r="L3772" s="11"/>
      <c r="M3772" s="12"/>
      <c r="N3772" s="12"/>
      <c r="O3772" s="11"/>
      <c r="P3772" s="11"/>
    </row>
    <row r="3773" spans="1:16" ht="12.75" x14ac:dyDescent="0.35">
      <c r="A3773" s="11"/>
      <c r="B3773" s="9"/>
      <c r="C3773" s="9"/>
      <c r="D3773" s="9"/>
      <c r="E3773" s="11"/>
      <c r="F3773" s="11"/>
      <c r="G3773" s="11"/>
      <c r="H3773" s="11"/>
      <c r="I3773" s="11"/>
      <c r="J3773" s="11"/>
      <c r="K3773" s="11"/>
      <c r="L3773" s="11"/>
      <c r="M3773" s="12"/>
      <c r="N3773" s="12"/>
      <c r="O3773" s="11"/>
      <c r="P3773" s="11"/>
    </row>
    <row r="3774" spans="1:16" ht="12.75" x14ac:dyDescent="0.35">
      <c r="A3774" s="11"/>
      <c r="B3774" s="9"/>
      <c r="C3774" s="9"/>
      <c r="D3774" s="9"/>
      <c r="E3774" s="11"/>
      <c r="F3774" s="11"/>
      <c r="G3774" s="11"/>
      <c r="H3774" s="11"/>
      <c r="I3774" s="11"/>
      <c r="J3774" s="11"/>
      <c r="K3774" s="11"/>
      <c r="L3774" s="11"/>
      <c r="M3774" s="12"/>
      <c r="N3774" s="12"/>
      <c r="O3774" s="11"/>
      <c r="P3774" s="11"/>
    </row>
    <row r="3775" spans="1:16" ht="12.75" x14ac:dyDescent="0.35">
      <c r="A3775" s="11"/>
      <c r="B3775" s="9"/>
      <c r="C3775" s="9"/>
      <c r="D3775" s="9"/>
      <c r="E3775" s="11"/>
      <c r="F3775" s="11"/>
      <c r="G3775" s="11"/>
      <c r="H3775" s="11"/>
      <c r="I3775" s="11"/>
      <c r="J3775" s="11"/>
      <c r="K3775" s="11"/>
      <c r="L3775" s="11"/>
      <c r="M3775" s="12"/>
      <c r="N3775" s="12"/>
      <c r="O3775" s="11"/>
      <c r="P3775" s="11"/>
    </row>
    <row r="3776" spans="1:16" ht="12.75" x14ac:dyDescent="0.35">
      <c r="A3776" s="11"/>
      <c r="B3776" s="9"/>
      <c r="C3776" s="9"/>
      <c r="D3776" s="9"/>
      <c r="E3776" s="11"/>
      <c r="F3776" s="11"/>
      <c r="G3776" s="11"/>
      <c r="H3776" s="11"/>
      <c r="I3776" s="11"/>
      <c r="J3776" s="11"/>
      <c r="K3776" s="11"/>
      <c r="L3776" s="11"/>
      <c r="M3776" s="12"/>
      <c r="N3776" s="12"/>
      <c r="O3776" s="11"/>
      <c r="P3776" s="11"/>
    </row>
    <row r="3777" spans="1:16" ht="12.75" x14ac:dyDescent="0.35">
      <c r="A3777" s="11"/>
      <c r="B3777" s="9"/>
      <c r="C3777" s="9"/>
      <c r="D3777" s="9"/>
      <c r="E3777" s="11"/>
      <c r="F3777" s="11"/>
      <c r="G3777" s="11"/>
      <c r="H3777" s="11"/>
      <c r="I3777" s="11"/>
      <c r="J3777" s="11"/>
      <c r="K3777" s="11"/>
      <c r="L3777" s="11"/>
      <c r="M3777" s="12"/>
      <c r="N3777" s="12"/>
      <c r="O3777" s="11"/>
      <c r="P3777" s="11"/>
    </row>
    <row r="3778" spans="1:16" ht="12.75" x14ac:dyDescent="0.35">
      <c r="A3778" s="11"/>
      <c r="B3778" s="9"/>
      <c r="C3778" s="9"/>
      <c r="D3778" s="9"/>
      <c r="E3778" s="11"/>
      <c r="F3778" s="11"/>
      <c r="G3778" s="11"/>
      <c r="H3778" s="11"/>
      <c r="I3778" s="11"/>
      <c r="J3778" s="11"/>
      <c r="K3778" s="11"/>
      <c r="L3778" s="11"/>
      <c r="M3778" s="12"/>
      <c r="N3778" s="12"/>
      <c r="O3778" s="11"/>
      <c r="P3778" s="11"/>
    </row>
    <row r="3779" spans="1:16" ht="12.75" x14ac:dyDescent="0.35">
      <c r="A3779" s="11"/>
      <c r="B3779" s="9"/>
      <c r="C3779" s="9"/>
      <c r="D3779" s="9"/>
      <c r="E3779" s="11"/>
      <c r="F3779" s="11"/>
      <c r="G3779" s="11"/>
      <c r="H3779" s="11"/>
      <c r="I3779" s="11"/>
      <c r="J3779" s="11"/>
      <c r="K3779" s="11"/>
      <c r="L3779" s="11"/>
      <c r="M3779" s="12"/>
      <c r="N3779" s="12"/>
      <c r="O3779" s="11"/>
      <c r="P3779" s="11"/>
    </row>
    <row r="3780" spans="1:16" ht="12.75" x14ac:dyDescent="0.35">
      <c r="A3780" s="11"/>
      <c r="B3780" s="9"/>
      <c r="C3780" s="9"/>
      <c r="D3780" s="9"/>
      <c r="E3780" s="11"/>
      <c r="F3780" s="11"/>
      <c r="G3780" s="11"/>
      <c r="H3780" s="11"/>
      <c r="I3780" s="11"/>
      <c r="J3780" s="11"/>
      <c r="K3780" s="11"/>
      <c r="L3780" s="11"/>
      <c r="M3780" s="12"/>
      <c r="N3780" s="12"/>
      <c r="O3780" s="11"/>
      <c r="P3780" s="11"/>
    </row>
    <row r="3781" spans="1:16" ht="12.75" x14ac:dyDescent="0.35">
      <c r="A3781" s="11"/>
      <c r="B3781" s="9"/>
      <c r="C3781" s="9"/>
      <c r="D3781" s="9"/>
      <c r="E3781" s="11"/>
      <c r="F3781" s="11"/>
      <c r="G3781" s="11"/>
      <c r="H3781" s="11"/>
      <c r="I3781" s="11"/>
      <c r="J3781" s="11"/>
      <c r="K3781" s="11"/>
      <c r="L3781" s="11"/>
      <c r="M3781" s="12"/>
      <c r="N3781" s="12"/>
      <c r="O3781" s="11"/>
      <c r="P3781" s="11"/>
    </row>
    <row r="3782" spans="1:16" ht="12.75" x14ac:dyDescent="0.35">
      <c r="A3782" s="11"/>
      <c r="B3782" s="9"/>
      <c r="C3782" s="9"/>
      <c r="D3782" s="9"/>
      <c r="E3782" s="11"/>
      <c r="F3782" s="11"/>
      <c r="G3782" s="11"/>
      <c r="H3782" s="11"/>
      <c r="I3782" s="11"/>
      <c r="J3782" s="11"/>
      <c r="K3782" s="11"/>
      <c r="L3782" s="11"/>
      <c r="M3782" s="12"/>
      <c r="N3782" s="12"/>
      <c r="O3782" s="11"/>
      <c r="P3782" s="11"/>
    </row>
    <row r="3783" spans="1:16" ht="12.75" x14ac:dyDescent="0.35">
      <c r="A3783" s="11"/>
      <c r="B3783" s="9"/>
      <c r="C3783" s="9"/>
      <c r="D3783" s="9"/>
      <c r="E3783" s="11"/>
      <c r="F3783" s="11"/>
      <c r="G3783" s="11"/>
      <c r="H3783" s="11"/>
      <c r="I3783" s="11"/>
      <c r="J3783" s="11"/>
      <c r="K3783" s="11"/>
      <c r="L3783" s="11"/>
      <c r="M3783" s="12"/>
      <c r="N3783" s="12"/>
      <c r="O3783" s="11"/>
      <c r="P3783" s="11"/>
    </row>
    <row r="3784" spans="1:16" ht="12.75" x14ac:dyDescent="0.35">
      <c r="A3784" s="11"/>
      <c r="B3784" s="9"/>
      <c r="C3784" s="9"/>
      <c r="D3784" s="9"/>
      <c r="E3784" s="11"/>
      <c r="F3784" s="11"/>
      <c r="G3784" s="11"/>
      <c r="H3784" s="11"/>
      <c r="I3784" s="11"/>
      <c r="J3784" s="11"/>
      <c r="K3784" s="11"/>
      <c r="L3784" s="11"/>
      <c r="M3784" s="12"/>
      <c r="N3784" s="12"/>
      <c r="O3784" s="11"/>
      <c r="P3784" s="11"/>
    </row>
    <row r="3785" spans="1:16" ht="12.75" x14ac:dyDescent="0.35">
      <c r="A3785" s="11"/>
      <c r="B3785" s="9"/>
      <c r="C3785" s="9"/>
      <c r="D3785" s="9"/>
      <c r="E3785" s="11"/>
      <c r="F3785" s="11"/>
      <c r="G3785" s="11"/>
      <c r="H3785" s="11"/>
      <c r="I3785" s="11"/>
      <c r="J3785" s="11"/>
      <c r="K3785" s="11"/>
      <c r="L3785" s="11"/>
      <c r="M3785" s="12"/>
      <c r="N3785" s="12"/>
      <c r="O3785" s="11"/>
      <c r="P3785" s="11"/>
    </row>
    <row r="3786" spans="1:16" ht="12.75" x14ac:dyDescent="0.35">
      <c r="A3786" s="11"/>
      <c r="B3786" s="9"/>
      <c r="C3786" s="9"/>
      <c r="D3786" s="9"/>
      <c r="E3786" s="11"/>
      <c r="F3786" s="11"/>
      <c r="G3786" s="11"/>
      <c r="H3786" s="11"/>
      <c r="I3786" s="11"/>
      <c r="J3786" s="11"/>
      <c r="K3786" s="11"/>
      <c r="L3786" s="11"/>
      <c r="M3786" s="12"/>
      <c r="N3786" s="12"/>
      <c r="O3786" s="11"/>
      <c r="P3786" s="11"/>
    </row>
    <row r="3787" spans="1:16" ht="12.75" x14ac:dyDescent="0.35">
      <c r="A3787" s="11"/>
      <c r="B3787" s="9"/>
      <c r="C3787" s="9"/>
      <c r="D3787" s="9"/>
      <c r="E3787" s="11"/>
      <c r="F3787" s="11"/>
      <c r="G3787" s="11"/>
      <c r="H3787" s="11"/>
      <c r="I3787" s="11"/>
      <c r="J3787" s="11"/>
      <c r="K3787" s="11"/>
      <c r="L3787" s="11"/>
      <c r="M3787" s="12"/>
      <c r="N3787" s="12"/>
      <c r="O3787" s="11"/>
      <c r="P3787" s="11"/>
    </row>
    <row r="3788" spans="1:16" ht="12.75" x14ac:dyDescent="0.35">
      <c r="A3788" s="11"/>
      <c r="B3788" s="9"/>
      <c r="C3788" s="9"/>
      <c r="D3788" s="9"/>
      <c r="E3788" s="11"/>
      <c r="F3788" s="11"/>
      <c r="G3788" s="11"/>
      <c r="H3788" s="11"/>
      <c r="I3788" s="11"/>
      <c r="J3788" s="11"/>
      <c r="K3788" s="11"/>
      <c r="L3788" s="11"/>
      <c r="M3788" s="12"/>
      <c r="N3788" s="12"/>
      <c r="O3788" s="11"/>
      <c r="P3788" s="11"/>
    </row>
    <row r="3789" spans="1:16" ht="12.75" x14ac:dyDescent="0.35">
      <c r="A3789" s="11"/>
      <c r="B3789" s="9"/>
      <c r="C3789" s="9"/>
      <c r="D3789" s="9"/>
      <c r="E3789" s="11"/>
      <c r="F3789" s="11"/>
      <c r="G3789" s="11"/>
      <c r="H3789" s="11"/>
      <c r="I3789" s="11"/>
      <c r="J3789" s="11"/>
      <c r="K3789" s="11"/>
      <c r="L3789" s="11"/>
      <c r="M3789" s="12"/>
      <c r="N3789" s="12"/>
      <c r="O3789" s="11"/>
      <c r="P3789" s="11"/>
    </row>
    <row r="3790" spans="1:16" ht="12.75" x14ac:dyDescent="0.35">
      <c r="A3790" s="11"/>
      <c r="B3790" s="9"/>
      <c r="C3790" s="9"/>
      <c r="D3790" s="9"/>
      <c r="E3790" s="11"/>
      <c r="F3790" s="11"/>
      <c r="G3790" s="11"/>
      <c r="H3790" s="11"/>
      <c r="I3790" s="11"/>
      <c r="J3790" s="11"/>
      <c r="K3790" s="11"/>
      <c r="L3790" s="11"/>
      <c r="M3790" s="12"/>
      <c r="N3790" s="12"/>
      <c r="O3790" s="11"/>
      <c r="P3790" s="11"/>
    </row>
    <row r="3791" spans="1:16" ht="12.75" x14ac:dyDescent="0.35">
      <c r="A3791" s="11"/>
      <c r="B3791" s="9"/>
      <c r="C3791" s="9"/>
      <c r="D3791" s="9"/>
      <c r="E3791" s="11"/>
      <c r="F3791" s="11"/>
      <c r="G3791" s="11"/>
      <c r="H3791" s="11"/>
      <c r="I3791" s="11"/>
      <c r="J3791" s="11"/>
      <c r="K3791" s="11"/>
      <c r="L3791" s="11"/>
      <c r="M3791" s="12"/>
      <c r="N3791" s="12"/>
      <c r="O3791" s="11"/>
      <c r="P3791" s="11"/>
    </row>
    <row r="3792" spans="1:16" ht="12.75" x14ac:dyDescent="0.35">
      <c r="A3792" s="11"/>
      <c r="B3792" s="9"/>
      <c r="C3792" s="9"/>
      <c r="D3792" s="9"/>
      <c r="E3792" s="11"/>
      <c r="F3792" s="11"/>
      <c r="G3792" s="11"/>
      <c r="H3792" s="11"/>
      <c r="I3792" s="11"/>
      <c r="J3792" s="11"/>
      <c r="K3792" s="11"/>
      <c r="L3792" s="11"/>
      <c r="M3792" s="12"/>
      <c r="N3792" s="12"/>
      <c r="O3792" s="11"/>
      <c r="P3792" s="11"/>
    </row>
    <row r="3793" spans="1:16" ht="12.75" x14ac:dyDescent="0.35">
      <c r="A3793" s="11"/>
      <c r="B3793" s="9"/>
      <c r="C3793" s="9"/>
      <c r="D3793" s="9"/>
      <c r="E3793" s="11"/>
      <c r="F3793" s="11"/>
      <c r="G3793" s="11"/>
      <c r="H3793" s="11"/>
      <c r="I3793" s="11"/>
      <c r="J3793" s="11"/>
      <c r="K3793" s="11"/>
      <c r="L3793" s="11"/>
      <c r="M3793" s="12"/>
      <c r="N3793" s="12"/>
      <c r="O3793" s="11"/>
      <c r="P3793" s="11"/>
    </row>
    <row r="3794" spans="1:16" ht="12.75" x14ac:dyDescent="0.35">
      <c r="A3794" s="11"/>
      <c r="B3794" s="9"/>
      <c r="C3794" s="9"/>
      <c r="D3794" s="9"/>
      <c r="E3794" s="11"/>
      <c r="F3794" s="11"/>
      <c r="G3794" s="11"/>
      <c r="H3794" s="11"/>
      <c r="I3794" s="11"/>
      <c r="J3794" s="11"/>
      <c r="K3794" s="11"/>
      <c r="L3794" s="11"/>
      <c r="M3794" s="12"/>
      <c r="N3794" s="12"/>
      <c r="O3794" s="11"/>
      <c r="P3794" s="11"/>
    </row>
    <row r="3795" spans="1:16" ht="12.75" x14ac:dyDescent="0.35">
      <c r="A3795" s="11"/>
      <c r="B3795" s="9"/>
      <c r="C3795" s="9"/>
      <c r="D3795" s="9"/>
      <c r="E3795" s="11"/>
      <c r="F3795" s="11"/>
      <c r="G3795" s="11"/>
      <c r="H3795" s="11"/>
      <c r="I3795" s="11"/>
      <c r="J3795" s="11"/>
      <c r="K3795" s="11"/>
      <c r="L3795" s="11"/>
      <c r="M3795" s="12"/>
      <c r="N3795" s="12"/>
      <c r="O3795" s="11"/>
      <c r="P3795" s="11"/>
    </row>
    <row r="3796" spans="1:16" ht="12.75" x14ac:dyDescent="0.35">
      <c r="A3796" s="11"/>
      <c r="B3796" s="9"/>
      <c r="C3796" s="9"/>
      <c r="D3796" s="9"/>
      <c r="E3796" s="11"/>
      <c r="F3796" s="11"/>
      <c r="G3796" s="11"/>
      <c r="H3796" s="11"/>
      <c r="I3796" s="11"/>
      <c r="J3796" s="11"/>
      <c r="K3796" s="11"/>
      <c r="L3796" s="11"/>
      <c r="M3796" s="12"/>
      <c r="N3796" s="12"/>
      <c r="O3796" s="11"/>
      <c r="P3796" s="11"/>
    </row>
    <row r="3797" spans="1:16" ht="12.75" x14ac:dyDescent="0.35">
      <c r="A3797" s="11"/>
      <c r="B3797" s="9"/>
      <c r="C3797" s="9"/>
      <c r="D3797" s="9"/>
      <c r="E3797" s="11"/>
      <c r="F3797" s="11"/>
      <c r="G3797" s="11"/>
      <c r="H3797" s="11"/>
      <c r="I3797" s="11"/>
      <c r="J3797" s="11"/>
      <c r="K3797" s="11"/>
      <c r="L3797" s="11"/>
      <c r="M3797" s="12"/>
      <c r="N3797" s="12"/>
      <c r="O3797" s="11"/>
      <c r="P3797" s="11"/>
    </row>
    <row r="3798" spans="1:16" ht="12.75" x14ac:dyDescent="0.35">
      <c r="A3798" s="11"/>
      <c r="B3798" s="9"/>
      <c r="C3798" s="9"/>
      <c r="D3798" s="9"/>
      <c r="E3798" s="11"/>
      <c r="F3798" s="11"/>
      <c r="G3798" s="11"/>
      <c r="H3798" s="11"/>
      <c r="I3798" s="11"/>
      <c r="J3798" s="11"/>
      <c r="K3798" s="11"/>
      <c r="L3798" s="11"/>
      <c r="M3798" s="12"/>
      <c r="N3798" s="12"/>
      <c r="O3798" s="11"/>
      <c r="P3798" s="11"/>
    </row>
    <row r="3799" spans="1:16" ht="12.75" x14ac:dyDescent="0.35">
      <c r="A3799" s="11"/>
      <c r="B3799" s="9"/>
      <c r="C3799" s="9"/>
      <c r="D3799" s="9"/>
      <c r="E3799" s="11"/>
      <c r="F3799" s="11"/>
      <c r="G3799" s="11"/>
      <c r="H3799" s="11"/>
      <c r="I3799" s="11"/>
      <c r="J3799" s="11"/>
      <c r="K3799" s="11"/>
      <c r="L3799" s="11"/>
      <c r="M3799" s="12"/>
      <c r="N3799" s="12"/>
      <c r="O3799" s="11"/>
      <c r="P3799" s="11"/>
    </row>
    <row r="3800" spans="1:16" ht="12.75" x14ac:dyDescent="0.35">
      <c r="A3800" s="11"/>
      <c r="B3800" s="9"/>
      <c r="C3800" s="9"/>
      <c r="D3800" s="9"/>
      <c r="E3800" s="11"/>
      <c r="F3800" s="11"/>
      <c r="G3800" s="11"/>
      <c r="H3800" s="11"/>
      <c r="I3800" s="11"/>
      <c r="J3800" s="11"/>
      <c r="K3800" s="11"/>
      <c r="L3800" s="11"/>
      <c r="M3800" s="12"/>
      <c r="N3800" s="12"/>
      <c r="O3800" s="11"/>
      <c r="P3800" s="11"/>
    </row>
    <row r="3801" spans="1:16" ht="12.75" x14ac:dyDescent="0.35">
      <c r="A3801" s="11"/>
      <c r="B3801" s="9"/>
      <c r="C3801" s="9"/>
      <c r="D3801" s="9"/>
      <c r="E3801" s="11"/>
      <c r="F3801" s="11"/>
      <c r="G3801" s="11"/>
      <c r="H3801" s="11"/>
      <c r="I3801" s="11"/>
      <c r="J3801" s="11"/>
      <c r="K3801" s="11"/>
      <c r="L3801" s="11"/>
      <c r="M3801" s="12"/>
      <c r="N3801" s="12"/>
      <c r="O3801" s="11"/>
      <c r="P3801" s="11"/>
    </row>
    <row r="3802" spans="1:16" ht="12.75" x14ac:dyDescent="0.35">
      <c r="A3802" s="11"/>
      <c r="B3802" s="9"/>
      <c r="C3802" s="9"/>
      <c r="D3802" s="9"/>
      <c r="E3802" s="11"/>
      <c r="F3802" s="11"/>
      <c r="G3802" s="11"/>
      <c r="H3802" s="11"/>
      <c r="I3802" s="11"/>
      <c r="J3802" s="11"/>
      <c r="K3802" s="11"/>
      <c r="L3802" s="11"/>
      <c r="M3802" s="12"/>
      <c r="N3802" s="12"/>
      <c r="O3802" s="11"/>
      <c r="P3802" s="11"/>
    </row>
    <row r="3803" spans="1:16" ht="12.75" x14ac:dyDescent="0.35">
      <c r="A3803" s="11"/>
      <c r="B3803" s="9"/>
      <c r="C3803" s="9"/>
      <c r="D3803" s="9"/>
      <c r="E3803" s="11"/>
      <c r="F3803" s="11"/>
      <c r="G3803" s="11"/>
      <c r="H3803" s="11"/>
      <c r="I3803" s="11"/>
      <c r="J3803" s="11"/>
      <c r="K3803" s="11"/>
      <c r="L3803" s="11"/>
      <c r="M3803" s="12"/>
      <c r="N3803" s="12"/>
      <c r="O3803" s="11"/>
      <c r="P3803" s="11"/>
    </row>
    <row r="3804" spans="1:16" ht="12.75" x14ac:dyDescent="0.35">
      <c r="A3804" s="11"/>
      <c r="B3804" s="9"/>
      <c r="C3804" s="9"/>
      <c r="D3804" s="9"/>
      <c r="E3804" s="11"/>
      <c r="F3804" s="11"/>
      <c r="G3804" s="11"/>
      <c r="H3804" s="11"/>
      <c r="I3804" s="11"/>
      <c r="J3804" s="11"/>
      <c r="K3804" s="11"/>
      <c r="L3804" s="11"/>
      <c r="M3804" s="12"/>
      <c r="N3804" s="12"/>
      <c r="O3804" s="11"/>
      <c r="P3804" s="11"/>
    </row>
    <row r="3805" spans="1:16" ht="12.75" x14ac:dyDescent="0.35">
      <c r="A3805" s="11"/>
      <c r="B3805" s="9"/>
      <c r="C3805" s="9"/>
      <c r="D3805" s="9"/>
      <c r="E3805" s="11"/>
      <c r="F3805" s="11"/>
      <c r="G3805" s="11"/>
      <c r="H3805" s="11"/>
      <c r="I3805" s="11"/>
      <c r="J3805" s="11"/>
      <c r="K3805" s="11"/>
      <c r="L3805" s="11"/>
      <c r="M3805" s="12"/>
      <c r="N3805" s="12"/>
      <c r="O3805" s="11"/>
      <c r="P3805" s="11"/>
    </row>
    <row r="3806" spans="1:16" ht="12.75" x14ac:dyDescent="0.35">
      <c r="A3806" s="11"/>
      <c r="B3806" s="9"/>
      <c r="C3806" s="9"/>
      <c r="D3806" s="9"/>
      <c r="E3806" s="11"/>
      <c r="F3806" s="11"/>
      <c r="G3806" s="11"/>
      <c r="H3806" s="11"/>
      <c r="I3806" s="11"/>
      <c r="J3806" s="11"/>
      <c r="K3806" s="11"/>
      <c r="L3806" s="11"/>
      <c r="M3806" s="12"/>
      <c r="N3806" s="12"/>
      <c r="O3806" s="11"/>
      <c r="P3806" s="11"/>
    </row>
    <row r="3807" spans="1:16" ht="12.75" x14ac:dyDescent="0.35">
      <c r="A3807" s="11"/>
      <c r="B3807" s="9"/>
      <c r="C3807" s="9"/>
      <c r="D3807" s="9"/>
      <c r="E3807" s="11"/>
      <c r="F3807" s="11"/>
      <c r="G3807" s="11"/>
      <c r="H3807" s="11"/>
      <c r="I3807" s="11"/>
      <c r="J3807" s="11"/>
      <c r="K3807" s="11"/>
      <c r="L3807" s="11"/>
      <c r="M3807" s="12"/>
      <c r="N3807" s="12"/>
      <c r="O3807" s="11"/>
      <c r="P3807" s="11"/>
    </row>
    <row r="3808" spans="1:16" ht="12.75" x14ac:dyDescent="0.35">
      <c r="A3808" s="11"/>
      <c r="B3808" s="9"/>
      <c r="C3808" s="9"/>
      <c r="D3808" s="9"/>
      <c r="E3808" s="11"/>
      <c r="F3808" s="11"/>
      <c r="G3808" s="11"/>
      <c r="H3808" s="11"/>
      <c r="I3808" s="11"/>
      <c r="J3808" s="11"/>
      <c r="K3808" s="11"/>
      <c r="L3808" s="11"/>
      <c r="M3808" s="12"/>
      <c r="N3808" s="12"/>
      <c r="O3808" s="11"/>
      <c r="P3808" s="11"/>
    </row>
    <row r="3809" spans="1:16" ht="12.75" x14ac:dyDescent="0.35">
      <c r="A3809" s="11"/>
      <c r="B3809" s="9"/>
      <c r="C3809" s="9"/>
      <c r="D3809" s="9"/>
      <c r="E3809" s="11"/>
      <c r="F3809" s="11"/>
      <c r="G3809" s="11"/>
      <c r="H3809" s="11"/>
      <c r="I3809" s="11"/>
      <c r="J3809" s="11"/>
      <c r="K3809" s="11"/>
      <c r="L3809" s="11"/>
      <c r="M3809" s="12"/>
      <c r="N3809" s="12"/>
      <c r="O3809" s="11"/>
      <c r="P3809" s="11"/>
    </row>
    <row r="3810" spans="1:16" ht="12.75" x14ac:dyDescent="0.35">
      <c r="A3810" s="11"/>
      <c r="B3810" s="9"/>
      <c r="C3810" s="9"/>
      <c r="D3810" s="9"/>
      <c r="E3810" s="11"/>
      <c r="F3810" s="11"/>
      <c r="G3810" s="11"/>
      <c r="H3810" s="11"/>
      <c r="I3810" s="11"/>
      <c r="J3810" s="11"/>
      <c r="K3810" s="11"/>
      <c r="L3810" s="11"/>
      <c r="M3810" s="12"/>
      <c r="N3810" s="12"/>
      <c r="O3810" s="11"/>
      <c r="P3810" s="11"/>
    </row>
    <row r="3811" spans="1:16" ht="12.75" x14ac:dyDescent="0.35">
      <c r="A3811" s="11"/>
      <c r="B3811" s="9"/>
      <c r="C3811" s="9"/>
      <c r="D3811" s="9"/>
      <c r="E3811" s="11"/>
      <c r="F3811" s="11"/>
      <c r="G3811" s="11"/>
      <c r="H3811" s="11"/>
      <c r="I3811" s="11"/>
      <c r="J3811" s="11"/>
      <c r="K3811" s="11"/>
      <c r="L3811" s="11"/>
      <c r="M3811" s="12"/>
      <c r="N3811" s="12"/>
      <c r="O3811" s="11"/>
      <c r="P3811" s="11"/>
    </row>
    <row r="3812" spans="1:16" ht="12.75" x14ac:dyDescent="0.35">
      <c r="A3812" s="11"/>
      <c r="B3812" s="9"/>
      <c r="C3812" s="9"/>
      <c r="D3812" s="9"/>
      <c r="E3812" s="11"/>
      <c r="F3812" s="11"/>
      <c r="G3812" s="11"/>
      <c r="H3812" s="11"/>
      <c r="I3812" s="11"/>
      <c r="J3812" s="11"/>
      <c r="K3812" s="11"/>
      <c r="L3812" s="11"/>
      <c r="M3812" s="12"/>
      <c r="N3812" s="12"/>
      <c r="O3812" s="11"/>
      <c r="P3812" s="11"/>
    </row>
    <row r="3813" spans="1:16" ht="12.75" x14ac:dyDescent="0.35">
      <c r="A3813" s="11"/>
      <c r="B3813" s="9"/>
      <c r="C3813" s="9"/>
      <c r="D3813" s="9"/>
      <c r="E3813" s="11"/>
      <c r="F3813" s="11"/>
      <c r="G3813" s="11"/>
      <c r="H3813" s="11"/>
      <c r="I3813" s="11"/>
      <c r="J3813" s="11"/>
      <c r="K3813" s="11"/>
      <c r="L3813" s="11"/>
      <c r="M3813" s="12"/>
      <c r="N3813" s="12"/>
      <c r="O3813" s="11"/>
      <c r="P3813" s="11"/>
    </row>
    <row r="3814" spans="1:16" ht="12.75" x14ac:dyDescent="0.35">
      <c r="A3814" s="11"/>
      <c r="B3814" s="9"/>
      <c r="C3814" s="9"/>
      <c r="D3814" s="9"/>
      <c r="E3814" s="11"/>
      <c r="F3814" s="11"/>
      <c r="G3814" s="11"/>
      <c r="H3814" s="11"/>
      <c r="I3814" s="11"/>
      <c r="J3814" s="11"/>
      <c r="K3814" s="11"/>
      <c r="L3814" s="11"/>
      <c r="M3814" s="12"/>
      <c r="N3814" s="12"/>
      <c r="O3814" s="11"/>
      <c r="P3814" s="11"/>
    </row>
    <row r="3815" spans="1:16" ht="12.75" x14ac:dyDescent="0.35">
      <c r="A3815" s="11"/>
      <c r="B3815" s="9"/>
      <c r="C3815" s="9"/>
      <c r="D3815" s="9"/>
      <c r="E3815" s="11"/>
      <c r="F3815" s="11"/>
      <c r="G3815" s="11"/>
      <c r="H3815" s="11"/>
      <c r="I3815" s="11"/>
      <c r="J3815" s="11"/>
      <c r="K3815" s="11"/>
      <c r="L3815" s="11"/>
      <c r="M3815" s="12"/>
      <c r="N3815" s="12"/>
      <c r="O3815" s="11"/>
      <c r="P3815" s="11"/>
    </row>
    <row r="3816" spans="1:16" ht="12.75" x14ac:dyDescent="0.35">
      <c r="A3816" s="11"/>
      <c r="B3816" s="9"/>
      <c r="C3816" s="9"/>
      <c r="D3816" s="9"/>
      <c r="E3816" s="11"/>
      <c r="F3816" s="11"/>
      <c r="G3816" s="11"/>
      <c r="H3816" s="11"/>
      <c r="I3816" s="11"/>
      <c r="J3816" s="11"/>
      <c r="K3816" s="11"/>
      <c r="L3816" s="11"/>
      <c r="M3816" s="12"/>
      <c r="N3816" s="12"/>
      <c r="O3816" s="11"/>
      <c r="P3816" s="11"/>
    </row>
    <row r="3817" spans="1:16" ht="12.75" x14ac:dyDescent="0.35">
      <c r="A3817" s="11"/>
      <c r="B3817" s="9"/>
      <c r="C3817" s="9"/>
      <c r="D3817" s="9"/>
      <c r="E3817" s="11"/>
      <c r="F3817" s="11"/>
      <c r="G3817" s="11"/>
      <c r="H3817" s="11"/>
      <c r="I3817" s="11"/>
      <c r="J3817" s="11"/>
      <c r="K3817" s="11"/>
      <c r="L3817" s="11"/>
      <c r="M3817" s="12"/>
      <c r="N3817" s="12"/>
      <c r="O3817" s="11"/>
      <c r="P3817" s="11"/>
    </row>
    <row r="3818" spans="1:16" ht="12.75" x14ac:dyDescent="0.35">
      <c r="A3818" s="11"/>
      <c r="B3818" s="9"/>
      <c r="C3818" s="9"/>
      <c r="D3818" s="9"/>
      <c r="E3818" s="11"/>
      <c r="F3818" s="11"/>
      <c r="G3818" s="11"/>
      <c r="H3818" s="11"/>
      <c r="I3818" s="11"/>
      <c r="J3818" s="11"/>
      <c r="K3818" s="11"/>
      <c r="L3818" s="11"/>
      <c r="M3818" s="12"/>
      <c r="N3818" s="12"/>
      <c r="O3818" s="11"/>
      <c r="P3818" s="11"/>
    </row>
    <row r="3819" spans="1:16" ht="12.75" x14ac:dyDescent="0.35">
      <c r="A3819" s="11"/>
      <c r="B3819" s="9"/>
      <c r="C3819" s="9"/>
      <c r="D3819" s="9"/>
      <c r="E3819" s="11"/>
      <c r="F3819" s="11"/>
      <c r="G3819" s="11"/>
      <c r="H3819" s="11"/>
      <c r="I3819" s="11"/>
      <c r="J3819" s="11"/>
      <c r="K3819" s="11"/>
      <c r="L3819" s="11"/>
      <c r="M3819" s="12"/>
      <c r="N3819" s="12"/>
      <c r="O3819" s="11"/>
      <c r="P3819" s="11"/>
    </row>
    <row r="3820" spans="1:16" ht="12.75" x14ac:dyDescent="0.35">
      <c r="A3820" s="11"/>
      <c r="B3820" s="9"/>
      <c r="C3820" s="9"/>
      <c r="D3820" s="9"/>
      <c r="E3820" s="11"/>
      <c r="F3820" s="11"/>
      <c r="G3820" s="11"/>
      <c r="H3820" s="11"/>
      <c r="I3820" s="11"/>
      <c r="J3820" s="11"/>
      <c r="K3820" s="11"/>
      <c r="L3820" s="11"/>
      <c r="M3820" s="12"/>
      <c r="N3820" s="12"/>
      <c r="O3820" s="11"/>
      <c r="P3820" s="11"/>
    </row>
    <row r="3821" spans="1:16" ht="12.75" x14ac:dyDescent="0.35">
      <c r="A3821" s="11"/>
      <c r="B3821" s="9"/>
      <c r="C3821" s="9"/>
      <c r="D3821" s="9"/>
      <c r="E3821" s="11"/>
      <c r="F3821" s="11"/>
      <c r="G3821" s="11"/>
      <c r="H3821" s="11"/>
      <c r="I3821" s="11"/>
      <c r="J3821" s="11"/>
      <c r="K3821" s="11"/>
      <c r="L3821" s="11"/>
      <c r="M3821" s="12"/>
      <c r="N3821" s="12"/>
      <c r="O3821" s="11"/>
      <c r="P3821" s="11"/>
    </row>
    <row r="3822" spans="1:16" ht="12.75" x14ac:dyDescent="0.35">
      <c r="A3822" s="11"/>
      <c r="B3822" s="9"/>
      <c r="C3822" s="9"/>
      <c r="D3822" s="9"/>
      <c r="E3822" s="11"/>
      <c r="F3822" s="11"/>
      <c r="G3822" s="11"/>
      <c r="H3822" s="11"/>
      <c r="I3822" s="11"/>
      <c r="J3822" s="11"/>
      <c r="K3822" s="11"/>
      <c r="L3822" s="11"/>
      <c r="M3822" s="12"/>
      <c r="N3822" s="12"/>
      <c r="O3822" s="11"/>
      <c r="P3822" s="11"/>
    </row>
    <row r="3823" spans="1:16" ht="12.75" x14ac:dyDescent="0.35">
      <c r="A3823" s="11"/>
      <c r="B3823" s="9"/>
      <c r="C3823" s="9"/>
      <c r="D3823" s="9"/>
      <c r="E3823" s="11"/>
      <c r="F3823" s="11"/>
      <c r="G3823" s="11"/>
      <c r="H3823" s="11"/>
      <c r="I3823" s="11"/>
      <c r="J3823" s="11"/>
      <c r="K3823" s="11"/>
      <c r="L3823" s="11"/>
      <c r="M3823" s="12"/>
      <c r="N3823" s="12"/>
      <c r="O3823" s="11"/>
      <c r="P3823" s="11"/>
    </row>
    <row r="3824" spans="1:16" ht="12.75" x14ac:dyDescent="0.35">
      <c r="A3824" s="11"/>
      <c r="B3824" s="9"/>
      <c r="C3824" s="9"/>
      <c r="D3824" s="9"/>
      <c r="E3824" s="11"/>
      <c r="F3824" s="11"/>
      <c r="G3824" s="11"/>
      <c r="H3824" s="11"/>
      <c r="I3824" s="11"/>
      <c r="J3824" s="11"/>
      <c r="K3824" s="11"/>
      <c r="L3824" s="11"/>
      <c r="M3824" s="12"/>
      <c r="N3824" s="12"/>
      <c r="O3824" s="11"/>
      <c r="P3824" s="11"/>
    </row>
    <row r="3825" spans="1:16" ht="12.75" x14ac:dyDescent="0.35">
      <c r="A3825" s="11"/>
      <c r="B3825" s="9"/>
      <c r="C3825" s="9"/>
      <c r="D3825" s="9"/>
      <c r="E3825" s="11"/>
      <c r="F3825" s="11"/>
      <c r="G3825" s="11"/>
      <c r="H3825" s="11"/>
      <c r="I3825" s="11"/>
      <c r="J3825" s="11"/>
      <c r="K3825" s="11"/>
      <c r="L3825" s="11"/>
      <c r="M3825" s="12"/>
      <c r="N3825" s="12"/>
      <c r="O3825" s="11"/>
      <c r="P3825" s="11"/>
    </row>
    <row r="3826" spans="1:16" ht="12.75" x14ac:dyDescent="0.35">
      <c r="A3826" s="11"/>
      <c r="B3826" s="9"/>
      <c r="C3826" s="9"/>
      <c r="D3826" s="9"/>
      <c r="E3826" s="11"/>
      <c r="F3826" s="11"/>
      <c r="G3826" s="11"/>
      <c r="H3826" s="11"/>
      <c r="I3826" s="11"/>
      <c r="J3826" s="11"/>
      <c r="K3826" s="11"/>
      <c r="L3826" s="11"/>
      <c r="M3826" s="12"/>
      <c r="N3826" s="12"/>
      <c r="O3826" s="11"/>
      <c r="P3826" s="11"/>
    </row>
    <row r="3827" spans="1:16" ht="12.75" x14ac:dyDescent="0.35">
      <c r="A3827" s="11"/>
      <c r="B3827" s="9"/>
      <c r="C3827" s="9"/>
      <c r="D3827" s="9"/>
      <c r="E3827" s="11"/>
      <c r="F3827" s="11"/>
      <c r="G3827" s="11"/>
      <c r="H3827" s="11"/>
      <c r="I3827" s="11"/>
      <c r="J3827" s="11"/>
      <c r="K3827" s="11"/>
      <c r="L3827" s="11"/>
      <c r="M3827" s="12"/>
      <c r="N3827" s="12"/>
      <c r="O3827" s="11"/>
      <c r="P3827" s="11"/>
    </row>
    <row r="3828" spans="1:16" ht="12.75" x14ac:dyDescent="0.35">
      <c r="A3828" s="11"/>
      <c r="B3828" s="9"/>
      <c r="C3828" s="9"/>
      <c r="D3828" s="9"/>
      <c r="E3828" s="11"/>
      <c r="F3828" s="11"/>
      <c r="G3828" s="11"/>
      <c r="H3828" s="11"/>
      <c r="I3828" s="11"/>
      <c r="J3828" s="11"/>
      <c r="K3828" s="11"/>
      <c r="L3828" s="11"/>
      <c r="M3828" s="12"/>
      <c r="N3828" s="12"/>
      <c r="O3828" s="11"/>
      <c r="P3828" s="11"/>
    </row>
    <row r="3829" spans="1:16" ht="12.75" x14ac:dyDescent="0.35">
      <c r="A3829" s="11"/>
      <c r="B3829" s="9"/>
      <c r="C3829" s="9"/>
      <c r="D3829" s="9"/>
      <c r="E3829" s="11"/>
      <c r="F3829" s="11"/>
      <c r="G3829" s="11"/>
      <c r="H3829" s="11"/>
      <c r="I3829" s="11"/>
      <c r="J3829" s="11"/>
      <c r="K3829" s="11"/>
      <c r="L3829" s="11"/>
      <c r="M3829" s="12"/>
      <c r="N3829" s="12"/>
      <c r="O3829" s="11"/>
      <c r="P3829" s="11"/>
    </row>
    <row r="3830" spans="1:16" ht="12.75" x14ac:dyDescent="0.35">
      <c r="A3830" s="11"/>
      <c r="B3830" s="9"/>
      <c r="C3830" s="9"/>
      <c r="D3830" s="9"/>
      <c r="E3830" s="11"/>
      <c r="F3830" s="11"/>
      <c r="G3830" s="11"/>
      <c r="H3830" s="11"/>
      <c r="I3830" s="11"/>
      <c r="J3830" s="11"/>
      <c r="K3830" s="11"/>
      <c r="L3830" s="11"/>
      <c r="M3830" s="12"/>
      <c r="N3830" s="12"/>
      <c r="O3830" s="11"/>
      <c r="P3830" s="11"/>
    </row>
    <row r="3831" spans="1:16" ht="12.75" x14ac:dyDescent="0.35">
      <c r="A3831" s="11"/>
      <c r="B3831" s="9"/>
      <c r="C3831" s="9"/>
      <c r="D3831" s="9"/>
      <c r="E3831" s="11"/>
      <c r="F3831" s="11"/>
      <c r="G3831" s="11"/>
      <c r="H3831" s="11"/>
      <c r="I3831" s="11"/>
      <c r="J3831" s="11"/>
      <c r="K3831" s="11"/>
      <c r="L3831" s="11"/>
      <c r="M3831" s="12"/>
      <c r="N3831" s="12"/>
      <c r="O3831" s="11"/>
      <c r="P3831" s="11"/>
    </row>
    <row r="3832" spans="1:16" ht="12.75" x14ac:dyDescent="0.35">
      <c r="A3832" s="11"/>
      <c r="B3832" s="9"/>
      <c r="C3832" s="9"/>
      <c r="D3832" s="9"/>
      <c r="E3832" s="11"/>
      <c r="F3832" s="11"/>
      <c r="G3832" s="11"/>
      <c r="H3832" s="11"/>
      <c r="I3832" s="11"/>
      <c r="J3832" s="11"/>
      <c r="K3832" s="11"/>
      <c r="L3832" s="11"/>
      <c r="M3832" s="12"/>
      <c r="N3832" s="12"/>
      <c r="O3832" s="11"/>
      <c r="P3832" s="11"/>
    </row>
    <row r="3833" spans="1:16" ht="12.75" x14ac:dyDescent="0.35">
      <c r="A3833" s="11"/>
      <c r="B3833" s="9"/>
      <c r="C3833" s="9"/>
      <c r="D3833" s="9"/>
      <c r="E3833" s="11"/>
      <c r="F3833" s="11"/>
      <c r="G3833" s="11"/>
      <c r="H3833" s="11"/>
      <c r="I3833" s="11"/>
      <c r="J3833" s="11"/>
      <c r="K3833" s="11"/>
      <c r="L3833" s="11"/>
      <c r="M3833" s="12"/>
      <c r="N3833" s="12"/>
      <c r="O3833" s="11"/>
      <c r="P3833" s="11"/>
    </row>
    <row r="3834" spans="1:16" ht="12.75" x14ac:dyDescent="0.35">
      <c r="A3834" s="11"/>
      <c r="B3834" s="9"/>
      <c r="C3834" s="9"/>
      <c r="D3834" s="9"/>
      <c r="E3834" s="11"/>
      <c r="F3834" s="11"/>
      <c r="G3834" s="11"/>
      <c r="H3834" s="11"/>
      <c r="I3834" s="11"/>
      <c r="J3834" s="11"/>
      <c r="K3834" s="11"/>
      <c r="L3834" s="11"/>
      <c r="M3834" s="12"/>
      <c r="N3834" s="12"/>
      <c r="O3834" s="11"/>
      <c r="P3834" s="11"/>
    </row>
    <row r="3835" spans="1:16" ht="12.75" x14ac:dyDescent="0.35">
      <c r="A3835" s="11"/>
      <c r="B3835" s="9"/>
      <c r="C3835" s="9"/>
      <c r="D3835" s="9"/>
      <c r="E3835" s="11"/>
      <c r="F3835" s="11"/>
      <c r="G3835" s="11"/>
      <c r="H3835" s="11"/>
      <c r="I3835" s="11"/>
      <c r="J3835" s="11"/>
      <c r="K3835" s="11"/>
      <c r="L3835" s="11"/>
      <c r="M3835" s="12"/>
      <c r="N3835" s="12"/>
      <c r="O3835" s="11"/>
      <c r="P3835" s="11"/>
    </row>
    <row r="3836" spans="1:16" ht="12.75" x14ac:dyDescent="0.35">
      <c r="A3836" s="11"/>
      <c r="B3836" s="9"/>
      <c r="C3836" s="9"/>
      <c r="D3836" s="9"/>
      <c r="E3836" s="11"/>
      <c r="F3836" s="11"/>
      <c r="G3836" s="11"/>
      <c r="H3836" s="11"/>
      <c r="I3836" s="11"/>
      <c r="J3836" s="11"/>
      <c r="K3836" s="11"/>
      <c r="L3836" s="11"/>
      <c r="M3836" s="12"/>
      <c r="N3836" s="12"/>
      <c r="O3836" s="11"/>
      <c r="P3836" s="11"/>
    </row>
    <row r="3837" spans="1:16" ht="12.75" x14ac:dyDescent="0.35">
      <c r="A3837" s="11"/>
      <c r="B3837" s="9"/>
      <c r="C3837" s="9"/>
      <c r="D3837" s="9"/>
      <c r="E3837" s="11"/>
      <c r="F3837" s="11"/>
      <c r="G3837" s="11"/>
      <c r="H3837" s="11"/>
      <c r="I3837" s="11"/>
      <c r="J3837" s="11"/>
      <c r="K3837" s="11"/>
      <c r="L3837" s="11"/>
      <c r="M3837" s="12"/>
      <c r="N3837" s="12"/>
      <c r="O3837" s="11"/>
      <c r="P3837" s="11"/>
    </row>
    <row r="3838" spans="1:16" ht="12.75" x14ac:dyDescent="0.35">
      <c r="A3838" s="11"/>
      <c r="B3838" s="9"/>
      <c r="C3838" s="9"/>
      <c r="D3838" s="9"/>
      <c r="E3838" s="11"/>
      <c r="F3838" s="11"/>
      <c r="G3838" s="11"/>
      <c r="H3838" s="11"/>
      <c r="I3838" s="11"/>
      <c r="J3838" s="11"/>
      <c r="K3838" s="11"/>
      <c r="L3838" s="11"/>
      <c r="M3838" s="12"/>
      <c r="N3838" s="12"/>
      <c r="O3838" s="11"/>
      <c r="P3838" s="11"/>
    </row>
    <row r="3839" spans="1:16" ht="12.75" x14ac:dyDescent="0.35">
      <c r="A3839" s="11"/>
      <c r="B3839" s="9"/>
      <c r="C3839" s="9"/>
      <c r="D3839" s="9"/>
      <c r="E3839" s="11"/>
      <c r="F3839" s="11"/>
      <c r="G3839" s="11"/>
      <c r="H3839" s="11"/>
      <c r="I3839" s="11"/>
      <c r="J3839" s="11"/>
      <c r="K3839" s="11"/>
      <c r="L3839" s="11"/>
      <c r="M3839" s="12"/>
      <c r="N3839" s="12"/>
      <c r="O3839" s="11"/>
      <c r="P3839" s="11"/>
    </row>
    <row r="3840" spans="1:16" ht="12.75" x14ac:dyDescent="0.35">
      <c r="A3840" s="11"/>
      <c r="B3840" s="9"/>
      <c r="C3840" s="9"/>
      <c r="D3840" s="9"/>
      <c r="E3840" s="11"/>
      <c r="F3840" s="11"/>
      <c r="G3840" s="11"/>
      <c r="H3840" s="11"/>
      <c r="I3840" s="11"/>
      <c r="J3840" s="11"/>
      <c r="K3840" s="11"/>
      <c r="L3840" s="11"/>
      <c r="M3840" s="12"/>
      <c r="N3840" s="12"/>
      <c r="O3840" s="11"/>
      <c r="P3840" s="11"/>
    </row>
    <row r="3841" spans="1:16" ht="12.75" x14ac:dyDescent="0.35">
      <c r="A3841" s="11"/>
      <c r="B3841" s="9"/>
      <c r="C3841" s="9"/>
      <c r="D3841" s="9"/>
      <c r="E3841" s="11"/>
      <c r="F3841" s="11"/>
      <c r="G3841" s="11"/>
      <c r="H3841" s="11"/>
      <c r="I3841" s="11"/>
      <c r="J3841" s="11"/>
      <c r="K3841" s="11"/>
      <c r="L3841" s="11"/>
      <c r="M3841" s="12"/>
      <c r="N3841" s="12"/>
      <c r="O3841" s="11"/>
      <c r="P3841" s="11"/>
    </row>
    <row r="3842" spans="1:16" ht="12.75" x14ac:dyDescent="0.35">
      <c r="A3842" s="11"/>
      <c r="B3842" s="9"/>
      <c r="C3842" s="9"/>
      <c r="D3842" s="9"/>
      <c r="E3842" s="11"/>
      <c r="F3842" s="11"/>
      <c r="G3842" s="11"/>
      <c r="H3842" s="11"/>
      <c r="I3842" s="11"/>
      <c r="J3842" s="11"/>
      <c r="K3842" s="11"/>
      <c r="L3842" s="11"/>
      <c r="M3842" s="12"/>
      <c r="N3842" s="12"/>
      <c r="O3842" s="11"/>
      <c r="P3842" s="11"/>
    </row>
    <row r="3843" spans="1:16" ht="12.75" x14ac:dyDescent="0.35">
      <c r="A3843" s="11"/>
      <c r="B3843" s="9"/>
      <c r="C3843" s="9"/>
      <c r="D3843" s="9"/>
      <c r="E3843" s="11"/>
      <c r="F3843" s="11"/>
      <c r="G3843" s="11"/>
      <c r="H3843" s="11"/>
      <c r="I3843" s="11"/>
      <c r="J3843" s="11"/>
      <c r="K3843" s="11"/>
      <c r="L3843" s="11"/>
      <c r="M3843" s="12"/>
      <c r="N3843" s="12"/>
      <c r="O3843" s="11"/>
      <c r="P3843" s="11"/>
    </row>
    <row r="3844" spans="1:16" ht="12.75" x14ac:dyDescent="0.35">
      <c r="A3844" s="11"/>
      <c r="B3844" s="9"/>
      <c r="C3844" s="9"/>
      <c r="D3844" s="9"/>
      <c r="E3844" s="11"/>
      <c r="F3844" s="11"/>
      <c r="G3844" s="11"/>
      <c r="H3844" s="11"/>
      <c r="I3844" s="11"/>
      <c r="J3844" s="11"/>
      <c r="K3844" s="11"/>
      <c r="L3844" s="11"/>
      <c r="M3844" s="12"/>
      <c r="N3844" s="12"/>
      <c r="O3844" s="11"/>
      <c r="P3844" s="11"/>
    </row>
    <row r="3845" spans="1:16" ht="12.75" x14ac:dyDescent="0.35">
      <c r="A3845" s="11"/>
      <c r="B3845" s="9"/>
      <c r="C3845" s="9"/>
      <c r="D3845" s="9"/>
      <c r="E3845" s="11"/>
      <c r="F3845" s="11"/>
      <c r="G3845" s="11"/>
      <c r="H3845" s="11"/>
      <c r="I3845" s="11"/>
      <c r="J3845" s="11"/>
      <c r="K3845" s="11"/>
      <c r="L3845" s="11"/>
      <c r="M3845" s="12"/>
      <c r="N3845" s="12"/>
      <c r="O3845" s="11"/>
      <c r="P3845" s="11"/>
    </row>
    <row r="3846" spans="1:16" ht="12.75" x14ac:dyDescent="0.35">
      <c r="A3846" s="11"/>
      <c r="B3846" s="9"/>
      <c r="C3846" s="9"/>
      <c r="D3846" s="9"/>
      <c r="E3846" s="11"/>
      <c r="F3846" s="11"/>
      <c r="G3846" s="11"/>
      <c r="H3846" s="11"/>
      <c r="I3846" s="11"/>
      <c r="J3846" s="11"/>
      <c r="K3846" s="11"/>
      <c r="L3846" s="11"/>
      <c r="M3846" s="12"/>
      <c r="N3846" s="12"/>
      <c r="O3846" s="11"/>
      <c r="P3846" s="11"/>
    </row>
    <row r="3847" spans="1:16" ht="12.75" x14ac:dyDescent="0.35">
      <c r="A3847" s="11"/>
      <c r="B3847" s="9"/>
      <c r="C3847" s="9"/>
      <c r="D3847" s="9"/>
      <c r="E3847" s="11"/>
      <c r="F3847" s="11"/>
      <c r="G3847" s="11"/>
      <c r="H3847" s="11"/>
      <c r="I3847" s="11"/>
      <c r="J3847" s="11"/>
      <c r="K3847" s="11"/>
      <c r="L3847" s="11"/>
      <c r="M3847" s="12"/>
      <c r="N3847" s="12"/>
      <c r="O3847" s="11"/>
      <c r="P3847" s="11"/>
    </row>
    <row r="3848" spans="1:16" ht="12.75" x14ac:dyDescent="0.35">
      <c r="A3848" s="11"/>
      <c r="B3848" s="9"/>
      <c r="C3848" s="9"/>
      <c r="D3848" s="9"/>
      <c r="E3848" s="11"/>
      <c r="F3848" s="11"/>
      <c r="G3848" s="11"/>
      <c r="H3848" s="11"/>
      <c r="I3848" s="11"/>
      <c r="J3848" s="11"/>
      <c r="K3848" s="11"/>
      <c r="L3848" s="11"/>
      <c r="M3848" s="12"/>
      <c r="N3848" s="12"/>
      <c r="O3848" s="11"/>
      <c r="P3848" s="11"/>
    </row>
    <row r="3849" spans="1:16" ht="12.75" x14ac:dyDescent="0.35">
      <c r="A3849" s="11"/>
      <c r="B3849" s="9"/>
      <c r="C3849" s="9"/>
      <c r="D3849" s="9"/>
      <c r="E3849" s="11"/>
      <c r="F3849" s="11"/>
      <c r="G3849" s="11"/>
      <c r="H3849" s="11"/>
      <c r="I3849" s="11"/>
      <c r="J3849" s="11"/>
      <c r="K3849" s="11"/>
      <c r="L3849" s="11"/>
      <c r="M3849" s="12"/>
      <c r="N3849" s="12"/>
      <c r="O3849" s="11"/>
      <c r="P3849" s="11"/>
    </row>
    <row r="3850" spans="1:16" ht="12.75" x14ac:dyDescent="0.35">
      <c r="A3850" s="11"/>
      <c r="B3850" s="9"/>
      <c r="C3850" s="9"/>
      <c r="D3850" s="9"/>
      <c r="E3850" s="11"/>
      <c r="F3850" s="11"/>
      <c r="G3850" s="11"/>
      <c r="H3850" s="11"/>
      <c r="I3850" s="11"/>
      <c r="J3850" s="11"/>
      <c r="K3850" s="11"/>
      <c r="L3850" s="11"/>
      <c r="M3850" s="12"/>
      <c r="N3850" s="12"/>
      <c r="O3850" s="11"/>
      <c r="P3850" s="11"/>
    </row>
    <row r="3851" spans="1:16" ht="12.75" x14ac:dyDescent="0.35">
      <c r="A3851" s="11"/>
      <c r="B3851" s="9"/>
      <c r="C3851" s="9"/>
      <c r="D3851" s="9"/>
      <c r="E3851" s="11"/>
      <c r="F3851" s="11"/>
      <c r="G3851" s="11"/>
      <c r="H3851" s="11"/>
      <c r="I3851" s="11"/>
      <c r="J3851" s="11"/>
      <c r="K3851" s="11"/>
      <c r="L3851" s="11"/>
      <c r="M3851" s="12"/>
      <c r="N3851" s="12"/>
      <c r="O3851" s="11"/>
      <c r="P3851" s="11"/>
    </row>
    <row r="3852" spans="1:16" ht="12.75" x14ac:dyDescent="0.35">
      <c r="A3852" s="11"/>
      <c r="B3852" s="9"/>
      <c r="C3852" s="9"/>
      <c r="D3852" s="9"/>
      <c r="E3852" s="11"/>
      <c r="F3852" s="11"/>
      <c r="G3852" s="11"/>
      <c r="H3852" s="11"/>
      <c r="I3852" s="11"/>
      <c r="J3852" s="11"/>
      <c r="K3852" s="11"/>
      <c r="L3852" s="11"/>
      <c r="M3852" s="12"/>
      <c r="N3852" s="12"/>
      <c r="O3852" s="11"/>
      <c r="P3852" s="11"/>
    </row>
    <row r="3853" spans="1:16" ht="12.75" x14ac:dyDescent="0.35">
      <c r="A3853" s="11"/>
      <c r="B3853" s="9"/>
      <c r="C3853" s="9"/>
      <c r="D3853" s="9"/>
      <c r="E3853" s="11"/>
      <c r="F3853" s="11"/>
      <c r="G3853" s="11"/>
      <c r="H3853" s="11"/>
      <c r="I3853" s="11"/>
      <c r="J3853" s="11"/>
      <c r="K3853" s="11"/>
      <c r="L3853" s="11"/>
      <c r="M3853" s="12"/>
      <c r="N3853" s="12"/>
      <c r="O3853" s="11"/>
      <c r="P3853" s="11"/>
    </row>
    <row r="3854" spans="1:16" ht="12.75" x14ac:dyDescent="0.35">
      <c r="A3854" s="11"/>
      <c r="B3854" s="9"/>
      <c r="C3854" s="9"/>
      <c r="D3854" s="9"/>
      <c r="E3854" s="11"/>
      <c r="F3854" s="11"/>
      <c r="G3854" s="11"/>
      <c r="H3854" s="11"/>
      <c r="I3854" s="11"/>
      <c r="J3854" s="11"/>
      <c r="K3854" s="11"/>
      <c r="L3854" s="11"/>
      <c r="M3854" s="12"/>
      <c r="N3854" s="12"/>
      <c r="O3854" s="11"/>
      <c r="P3854" s="11"/>
    </row>
    <row r="3855" spans="1:16" ht="12.75" x14ac:dyDescent="0.35">
      <c r="A3855" s="11"/>
      <c r="B3855" s="9"/>
      <c r="C3855" s="9"/>
      <c r="D3855" s="9"/>
      <c r="E3855" s="11"/>
      <c r="F3855" s="11"/>
      <c r="G3855" s="11"/>
      <c r="H3855" s="11"/>
      <c r="I3855" s="11"/>
      <c r="J3855" s="11"/>
      <c r="K3855" s="11"/>
      <c r="L3855" s="11"/>
      <c r="M3855" s="12"/>
      <c r="N3855" s="12"/>
      <c r="O3855" s="11"/>
      <c r="P3855" s="11"/>
    </row>
    <row r="3856" spans="1:16" ht="12.75" x14ac:dyDescent="0.35">
      <c r="A3856" s="11"/>
      <c r="B3856" s="9"/>
      <c r="C3856" s="9"/>
      <c r="D3856" s="9"/>
      <c r="E3856" s="11"/>
      <c r="F3856" s="11"/>
      <c r="G3856" s="11"/>
      <c r="H3856" s="11"/>
      <c r="I3856" s="11"/>
      <c r="J3856" s="11"/>
      <c r="K3856" s="11"/>
      <c r="L3856" s="11"/>
      <c r="M3856" s="12"/>
      <c r="N3856" s="12"/>
      <c r="O3856" s="11"/>
      <c r="P3856" s="11"/>
    </row>
    <row r="3857" spans="1:16" ht="12.75" x14ac:dyDescent="0.35">
      <c r="A3857" s="11"/>
      <c r="B3857" s="9"/>
      <c r="C3857" s="9"/>
      <c r="D3857" s="9"/>
      <c r="E3857" s="11"/>
      <c r="F3857" s="11"/>
      <c r="G3857" s="11"/>
      <c r="H3857" s="11"/>
      <c r="I3857" s="11"/>
      <c r="J3857" s="11"/>
      <c r="K3857" s="11"/>
      <c r="L3857" s="11"/>
      <c r="M3857" s="12"/>
      <c r="N3857" s="12"/>
      <c r="O3857" s="11"/>
      <c r="P3857" s="11"/>
    </row>
    <row r="3858" spans="1:16" ht="12.75" x14ac:dyDescent="0.35">
      <c r="A3858" s="11"/>
      <c r="B3858" s="9"/>
      <c r="C3858" s="9"/>
      <c r="D3858" s="9"/>
      <c r="E3858" s="11"/>
      <c r="F3858" s="11"/>
      <c r="G3858" s="11"/>
      <c r="H3858" s="11"/>
      <c r="I3858" s="11"/>
      <c r="J3858" s="11"/>
      <c r="K3858" s="11"/>
      <c r="L3858" s="11"/>
      <c r="M3858" s="12"/>
      <c r="N3858" s="12"/>
      <c r="O3858" s="11"/>
      <c r="P3858" s="11"/>
    </row>
    <row r="3859" spans="1:16" ht="12.75" x14ac:dyDescent="0.35">
      <c r="A3859" s="11"/>
      <c r="B3859" s="9"/>
      <c r="C3859" s="9"/>
      <c r="D3859" s="9"/>
      <c r="E3859" s="11"/>
      <c r="F3859" s="11"/>
      <c r="G3859" s="11"/>
      <c r="H3859" s="11"/>
      <c r="I3859" s="11"/>
      <c r="J3859" s="11"/>
      <c r="K3859" s="11"/>
      <c r="L3859" s="11"/>
      <c r="M3859" s="12"/>
      <c r="N3859" s="12"/>
      <c r="O3859" s="11"/>
      <c r="P3859" s="11"/>
    </row>
    <row r="3860" spans="1:16" ht="12.75" x14ac:dyDescent="0.35">
      <c r="A3860" s="11"/>
      <c r="B3860" s="9"/>
      <c r="C3860" s="9"/>
      <c r="D3860" s="9"/>
      <c r="E3860" s="11"/>
      <c r="F3860" s="11"/>
      <c r="G3860" s="11"/>
      <c r="H3860" s="11"/>
      <c r="I3860" s="11"/>
      <c r="J3860" s="11"/>
      <c r="K3860" s="11"/>
      <c r="L3860" s="11"/>
      <c r="M3860" s="12"/>
      <c r="N3860" s="12"/>
      <c r="O3860" s="11"/>
      <c r="P3860" s="11"/>
    </row>
    <row r="3861" spans="1:16" ht="12.75" x14ac:dyDescent="0.35">
      <c r="A3861" s="11"/>
      <c r="B3861" s="9"/>
      <c r="C3861" s="9"/>
      <c r="D3861" s="9"/>
      <c r="E3861" s="11"/>
      <c r="F3861" s="11"/>
      <c r="G3861" s="11"/>
      <c r="H3861" s="11"/>
      <c r="I3861" s="11"/>
      <c r="J3861" s="11"/>
      <c r="K3861" s="11"/>
      <c r="L3861" s="11"/>
      <c r="M3861" s="12"/>
      <c r="N3861" s="12"/>
      <c r="O3861" s="11"/>
      <c r="P3861" s="11"/>
    </row>
    <row r="3862" spans="1:16" ht="12.75" x14ac:dyDescent="0.35">
      <c r="A3862" s="11"/>
      <c r="B3862" s="9"/>
      <c r="C3862" s="9"/>
      <c r="D3862" s="9"/>
      <c r="E3862" s="11"/>
      <c r="F3862" s="11"/>
      <c r="G3862" s="11"/>
      <c r="H3862" s="11"/>
      <c r="I3862" s="11"/>
      <c r="J3862" s="11"/>
      <c r="K3862" s="11"/>
      <c r="L3862" s="11"/>
      <c r="M3862" s="12"/>
      <c r="N3862" s="12"/>
      <c r="O3862" s="11"/>
      <c r="P3862" s="11"/>
    </row>
    <row r="3863" spans="1:16" ht="12.75" x14ac:dyDescent="0.35">
      <c r="A3863" s="11"/>
      <c r="B3863" s="9"/>
      <c r="C3863" s="9"/>
      <c r="D3863" s="9"/>
      <c r="E3863" s="11"/>
      <c r="F3863" s="11"/>
      <c r="G3863" s="11"/>
      <c r="H3863" s="11"/>
      <c r="I3863" s="11"/>
      <c r="J3863" s="11"/>
      <c r="K3863" s="11"/>
      <c r="L3863" s="11"/>
      <c r="M3863" s="12"/>
      <c r="N3863" s="12"/>
      <c r="O3863" s="11"/>
      <c r="P3863" s="11"/>
    </row>
    <row r="3864" spans="1:16" ht="12.75" x14ac:dyDescent="0.35">
      <c r="A3864" s="11"/>
      <c r="B3864" s="9"/>
      <c r="C3864" s="9"/>
      <c r="D3864" s="9"/>
      <c r="E3864" s="11"/>
      <c r="F3864" s="11"/>
      <c r="G3864" s="11"/>
      <c r="H3864" s="11"/>
      <c r="I3864" s="11"/>
      <c r="J3864" s="11"/>
      <c r="K3864" s="11"/>
      <c r="L3864" s="11"/>
      <c r="M3864" s="12"/>
      <c r="N3864" s="12"/>
      <c r="O3864" s="11"/>
      <c r="P3864" s="11"/>
    </row>
    <row r="3865" spans="1:16" ht="12.75" x14ac:dyDescent="0.35">
      <c r="A3865" s="11"/>
      <c r="B3865" s="9"/>
      <c r="C3865" s="9"/>
      <c r="D3865" s="9"/>
      <c r="E3865" s="11"/>
      <c r="F3865" s="11"/>
      <c r="G3865" s="11"/>
      <c r="H3865" s="11"/>
      <c r="I3865" s="11"/>
      <c r="J3865" s="11"/>
      <c r="K3865" s="11"/>
      <c r="L3865" s="11"/>
      <c r="M3865" s="12"/>
      <c r="N3865" s="12"/>
      <c r="O3865" s="11"/>
      <c r="P3865" s="11"/>
    </row>
    <row r="3866" spans="1:16" ht="12.75" x14ac:dyDescent="0.35">
      <c r="A3866" s="11"/>
      <c r="B3866" s="9"/>
      <c r="C3866" s="9"/>
      <c r="D3866" s="9"/>
      <c r="E3866" s="11"/>
      <c r="F3866" s="11"/>
      <c r="G3866" s="11"/>
      <c r="H3866" s="11"/>
      <c r="I3866" s="11"/>
      <c r="J3866" s="11"/>
      <c r="K3866" s="11"/>
      <c r="L3866" s="11"/>
      <c r="M3866" s="12"/>
      <c r="N3866" s="12"/>
      <c r="O3866" s="11"/>
      <c r="P3866" s="11"/>
    </row>
    <row r="3867" spans="1:16" ht="12.75" x14ac:dyDescent="0.35">
      <c r="A3867" s="11"/>
      <c r="B3867" s="9"/>
      <c r="C3867" s="9"/>
      <c r="D3867" s="9"/>
      <c r="E3867" s="11"/>
      <c r="F3867" s="11"/>
      <c r="G3867" s="11"/>
      <c r="H3867" s="11"/>
      <c r="I3867" s="11"/>
      <c r="J3867" s="11"/>
      <c r="K3867" s="11"/>
      <c r="L3867" s="11"/>
      <c r="M3867" s="12"/>
      <c r="N3867" s="12"/>
      <c r="O3867" s="11"/>
      <c r="P3867" s="11"/>
    </row>
    <row r="3868" spans="1:16" ht="12.75" x14ac:dyDescent="0.35">
      <c r="A3868" s="11"/>
      <c r="B3868" s="9"/>
      <c r="C3868" s="9"/>
      <c r="D3868" s="9"/>
      <c r="E3868" s="11"/>
      <c r="F3868" s="11"/>
      <c r="G3868" s="11"/>
      <c r="H3868" s="11"/>
      <c r="I3868" s="11"/>
      <c r="J3868" s="11"/>
      <c r="K3868" s="11"/>
      <c r="L3868" s="11"/>
      <c r="M3868" s="12"/>
      <c r="N3868" s="12"/>
      <c r="O3868" s="11"/>
      <c r="P3868" s="11"/>
    </row>
    <row r="3869" spans="1:16" ht="12.75" x14ac:dyDescent="0.35">
      <c r="A3869" s="11"/>
      <c r="B3869" s="9"/>
      <c r="C3869" s="9"/>
      <c r="D3869" s="9"/>
      <c r="E3869" s="11"/>
      <c r="F3869" s="11"/>
      <c r="G3869" s="11"/>
      <c r="H3869" s="11"/>
      <c r="I3869" s="11"/>
      <c r="J3869" s="11"/>
      <c r="K3869" s="11"/>
      <c r="L3869" s="11"/>
      <c r="M3869" s="12"/>
      <c r="N3869" s="12"/>
      <c r="O3869" s="11"/>
      <c r="P3869" s="11"/>
    </row>
    <row r="3870" spans="1:16" ht="12.75" x14ac:dyDescent="0.35">
      <c r="A3870" s="11"/>
      <c r="B3870" s="9"/>
      <c r="C3870" s="9"/>
      <c r="D3870" s="9"/>
      <c r="E3870" s="11"/>
      <c r="F3870" s="11"/>
      <c r="G3870" s="11"/>
      <c r="H3870" s="11"/>
      <c r="I3870" s="11"/>
      <c r="J3870" s="11"/>
      <c r="K3870" s="11"/>
      <c r="L3870" s="11"/>
      <c r="M3870" s="12"/>
      <c r="N3870" s="12"/>
      <c r="O3870" s="11"/>
      <c r="P3870" s="11"/>
    </row>
    <row r="3871" spans="1:16" ht="12.75" x14ac:dyDescent="0.35">
      <c r="A3871" s="11"/>
      <c r="B3871" s="9"/>
      <c r="C3871" s="9"/>
      <c r="D3871" s="9"/>
      <c r="E3871" s="11"/>
      <c r="F3871" s="11"/>
      <c r="G3871" s="11"/>
      <c r="H3871" s="11"/>
      <c r="I3871" s="11"/>
      <c r="J3871" s="11"/>
      <c r="K3871" s="11"/>
      <c r="L3871" s="11"/>
      <c r="M3871" s="12"/>
      <c r="N3871" s="12"/>
      <c r="O3871" s="11"/>
      <c r="P3871" s="11"/>
    </row>
    <row r="3872" spans="1:16" ht="12.75" x14ac:dyDescent="0.35">
      <c r="A3872" s="11"/>
      <c r="B3872" s="9"/>
      <c r="C3872" s="9"/>
      <c r="D3872" s="9"/>
      <c r="E3872" s="11"/>
      <c r="F3872" s="11"/>
      <c r="G3872" s="11"/>
      <c r="H3872" s="11"/>
      <c r="I3872" s="11"/>
      <c r="J3872" s="11"/>
      <c r="K3872" s="11"/>
      <c r="L3872" s="11"/>
      <c r="M3872" s="12"/>
      <c r="N3872" s="12"/>
      <c r="O3872" s="11"/>
      <c r="P3872" s="11"/>
    </row>
    <row r="3873" spans="1:16" ht="12.75" x14ac:dyDescent="0.35">
      <c r="A3873" s="11"/>
      <c r="B3873" s="9"/>
      <c r="C3873" s="9"/>
      <c r="D3873" s="9"/>
      <c r="E3873" s="11"/>
      <c r="F3873" s="11"/>
      <c r="G3873" s="11"/>
      <c r="H3873" s="11"/>
      <c r="I3873" s="11"/>
      <c r="J3873" s="11"/>
      <c r="K3873" s="11"/>
      <c r="L3873" s="11"/>
      <c r="M3873" s="12"/>
      <c r="N3873" s="12"/>
      <c r="O3873" s="11"/>
      <c r="P3873" s="11"/>
    </row>
    <row r="3874" spans="1:16" ht="12.75" x14ac:dyDescent="0.35">
      <c r="A3874" s="11"/>
      <c r="B3874" s="9"/>
      <c r="C3874" s="9"/>
      <c r="D3874" s="9"/>
      <c r="E3874" s="11"/>
      <c r="F3874" s="11"/>
      <c r="G3874" s="11"/>
      <c r="H3874" s="11"/>
      <c r="I3874" s="11"/>
      <c r="J3874" s="11"/>
      <c r="K3874" s="11"/>
      <c r="L3874" s="11"/>
      <c r="M3874" s="12"/>
      <c r="N3874" s="12"/>
      <c r="O3874" s="11"/>
      <c r="P3874" s="11"/>
    </row>
    <row r="3875" spans="1:16" ht="12.75" x14ac:dyDescent="0.35">
      <c r="A3875" s="11"/>
      <c r="B3875" s="9"/>
      <c r="C3875" s="9"/>
      <c r="D3875" s="9"/>
      <c r="E3875" s="11"/>
      <c r="F3875" s="11"/>
      <c r="G3875" s="11"/>
      <c r="H3875" s="11"/>
      <c r="I3875" s="11"/>
      <c r="J3875" s="11"/>
      <c r="K3875" s="11"/>
      <c r="L3875" s="11"/>
      <c r="M3875" s="12"/>
      <c r="N3875" s="12"/>
      <c r="O3875" s="11"/>
      <c r="P3875" s="11"/>
    </row>
    <row r="3876" spans="1:16" ht="12.75" x14ac:dyDescent="0.35">
      <c r="A3876" s="11"/>
      <c r="B3876" s="9"/>
      <c r="C3876" s="9"/>
      <c r="D3876" s="9"/>
      <c r="E3876" s="11"/>
      <c r="F3876" s="11"/>
      <c r="G3876" s="11"/>
      <c r="H3876" s="11"/>
      <c r="I3876" s="11"/>
      <c r="J3876" s="11"/>
      <c r="K3876" s="11"/>
      <c r="L3876" s="11"/>
      <c r="M3876" s="12"/>
      <c r="N3876" s="12"/>
      <c r="O3876" s="11"/>
      <c r="P3876" s="11"/>
    </row>
    <row r="3877" spans="1:16" ht="12.75" x14ac:dyDescent="0.35">
      <c r="A3877" s="11"/>
      <c r="B3877" s="9"/>
      <c r="C3877" s="9"/>
      <c r="D3877" s="9"/>
      <c r="E3877" s="11"/>
      <c r="F3877" s="11"/>
      <c r="G3877" s="11"/>
      <c r="H3877" s="11"/>
      <c r="I3877" s="11"/>
      <c r="J3877" s="11"/>
      <c r="K3877" s="11"/>
      <c r="L3877" s="11"/>
      <c r="M3877" s="12"/>
      <c r="N3877" s="12"/>
      <c r="O3877" s="11"/>
      <c r="P3877" s="11"/>
    </row>
    <row r="3878" spans="1:16" ht="12.75" x14ac:dyDescent="0.35">
      <c r="A3878" s="11"/>
      <c r="B3878" s="9"/>
      <c r="C3878" s="9"/>
      <c r="D3878" s="9"/>
      <c r="E3878" s="11"/>
      <c r="F3878" s="11"/>
      <c r="G3878" s="11"/>
      <c r="H3878" s="11"/>
      <c r="I3878" s="11"/>
      <c r="J3878" s="11"/>
      <c r="K3878" s="11"/>
      <c r="L3878" s="11"/>
      <c r="M3878" s="12"/>
      <c r="N3878" s="12"/>
      <c r="O3878" s="11"/>
      <c r="P3878" s="11"/>
    </row>
    <row r="3879" spans="1:16" ht="12.75" x14ac:dyDescent="0.35">
      <c r="A3879" s="11"/>
      <c r="B3879" s="9"/>
      <c r="C3879" s="9"/>
      <c r="D3879" s="9"/>
      <c r="E3879" s="11"/>
      <c r="F3879" s="11"/>
      <c r="G3879" s="11"/>
      <c r="H3879" s="11"/>
      <c r="I3879" s="11"/>
      <c r="J3879" s="11"/>
      <c r="K3879" s="11"/>
      <c r="L3879" s="11"/>
      <c r="M3879" s="12"/>
      <c r="N3879" s="12"/>
      <c r="O3879" s="11"/>
      <c r="P3879" s="11"/>
    </row>
    <row r="3880" spans="1:16" ht="12.75" x14ac:dyDescent="0.35">
      <c r="A3880" s="11"/>
      <c r="B3880" s="9"/>
      <c r="C3880" s="9"/>
      <c r="D3880" s="9"/>
      <c r="E3880" s="11"/>
      <c r="F3880" s="11"/>
      <c r="G3880" s="11"/>
      <c r="H3880" s="11"/>
      <c r="I3880" s="11"/>
      <c r="J3880" s="11"/>
      <c r="K3880" s="11"/>
      <c r="L3880" s="11"/>
      <c r="M3880" s="12"/>
      <c r="N3880" s="12"/>
      <c r="O3880" s="11"/>
      <c r="P3880" s="11"/>
    </row>
    <row r="3881" spans="1:16" ht="12.75" x14ac:dyDescent="0.35">
      <c r="A3881" s="11"/>
      <c r="B3881" s="9"/>
      <c r="C3881" s="9"/>
      <c r="D3881" s="9"/>
      <c r="E3881" s="11"/>
      <c r="F3881" s="11"/>
      <c r="G3881" s="11"/>
      <c r="H3881" s="11"/>
      <c r="I3881" s="11"/>
      <c r="J3881" s="11"/>
      <c r="K3881" s="11"/>
      <c r="L3881" s="11"/>
      <c r="M3881" s="12"/>
      <c r="N3881" s="12"/>
      <c r="O3881" s="11"/>
      <c r="P3881" s="11"/>
    </row>
    <row r="3882" spans="1:16" ht="12.75" x14ac:dyDescent="0.35">
      <c r="A3882" s="11"/>
      <c r="B3882" s="9"/>
      <c r="C3882" s="9"/>
      <c r="D3882" s="9"/>
      <c r="E3882" s="11"/>
      <c r="F3882" s="11"/>
      <c r="G3882" s="11"/>
      <c r="H3882" s="11"/>
      <c r="I3882" s="11"/>
      <c r="J3882" s="11"/>
      <c r="K3882" s="11"/>
      <c r="L3882" s="11"/>
      <c r="M3882" s="12"/>
      <c r="N3882" s="12"/>
      <c r="O3882" s="11"/>
      <c r="P3882" s="11"/>
    </row>
    <row r="3883" spans="1:16" ht="12.75" x14ac:dyDescent="0.35">
      <c r="A3883" s="11"/>
      <c r="B3883" s="9"/>
      <c r="C3883" s="9"/>
      <c r="D3883" s="9"/>
      <c r="E3883" s="11"/>
      <c r="F3883" s="11"/>
      <c r="G3883" s="11"/>
      <c r="H3883" s="11"/>
      <c r="I3883" s="11"/>
      <c r="J3883" s="11"/>
      <c r="K3883" s="11"/>
      <c r="L3883" s="11"/>
      <c r="M3883" s="12"/>
      <c r="N3883" s="12"/>
      <c r="O3883" s="11"/>
      <c r="P3883" s="11"/>
    </row>
    <row r="3884" spans="1:16" ht="12.75" x14ac:dyDescent="0.35">
      <c r="A3884" s="11"/>
      <c r="B3884" s="9"/>
      <c r="C3884" s="9"/>
      <c r="D3884" s="9"/>
      <c r="E3884" s="11"/>
      <c r="F3884" s="11"/>
      <c r="G3884" s="11"/>
      <c r="H3884" s="11"/>
      <c r="I3884" s="11"/>
      <c r="J3884" s="11"/>
      <c r="K3884" s="11"/>
      <c r="L3884" s="11"/>
      <c r="M3884" s="12"/>
      <c r="N3884" s="12"/>
      <c r="O3884" s="11"/>
      <c r="P3884" s="11"/>
    </row>
    <row r="3885" spans="1:16" ht="12.75" x14ac:dyDescent="0.35">
      <c r="A3885" s="11"/>
      <c r="B3885" s="9"/>
      <c r="C3885" s="9"/>
      <c r="D3885" s="9"/>
      <c r="E3885" s="11"/>
      <c r="F3885" s="11"/>
      <c r="G3885" s="11"/>
      <c r="H3885" s="11"/>
      <c r="I3885" s="11"/>
      <c r="J3885" s="11"/>
      <c r="K3885" s="11"/>
      <c r="L3885" s="11"/>
      <c r="M3885" s="12"/>
      <c r="N3885" s="12"/>
      <c r="O3885" s="11"/>
      <c r="P3885" s="11"/>
    </row>
    <row r="3886" spans="1:16" ht="12.75" x14ac:dyDescent="0.35">
      <c r="A3886" s="11"/>
      <c r="B3886" s="9"/>
      <c r="C3886" s="9"/>
      <c r="D3886" s="9"/>
      <c r="E3886" s="11"/>
      <c r="F3886" s="11"/>
      <c r="G3886" s="11"/>
      <c r="H3886" s="11"/>
      <c r="I3886" s="11"/>
      <c r="J3886" s="11"/>
      <c r="K3886" s="11"/>
      <c r="L3886" s="11"/>
      <c r="M3886" s="12"/>
      <c r="N3886" s="12"/>
      <c r="O3886" s="11"/>
      <c r="P3886" s="11"/>
    </row>
    <row r="3887" spans="1:16" ht="12.75" x14ac:dyDescent="0.35">
      <c r="A3887" s="11"/>
      <c r="B3887" s="9"/>
      <c r="C3887" s="9"/>
      <c r="D3887" s="9"/>
      <c r="E3887" s="11"/>
      <c r="F3887" s="11"/>
      <c r="G3887" s="11"/>
      <c r="H3887" s="11"/>
      <c r="I3887" s="11"/>
      <c r="J3887" s="11"/>
      <c r="K3887" s="11"/>
      <c r="L3887" s="11"/>
      <c r="M3887" s="12"/>
      <c r="N3887" s="12"/>
      <c r="O3887" s="11"/>
      <c r="P3887" s="11"/>
    </row>
    <row r="3888" spans="1:16" ht="12.75" x14ac:dyDescent="0.35">
      <c r="A3888" s="11"/>
      <c r="B3888" s="9"/>
      <c r="C3888" s="9"/>
      <c r="D3888" s="9"/>
      <c r="E3888" s="11"/>
      <c r="F3888" s="11"/>
      <c r="G3888" s="11"/>
      <c r="H3888" s="11"/>
      <c r="I3888" s="11"/>
      <c r="J3888" s="11"/>
      <c r="K3888" s="11"/>
      <c r="L3888" s="11"/>
      <c r="M3888" s="12"/>
      <c r="N3888" s="12"/>
      <c r="O3888" s="11"/>
      <c r="P3888" s="11"/>
    </row>
    <row r="3889" spans="1:16" ht="12.75" x14ac:dyDescent="0.35">
      <c r="A3889" s="11"/>
      <c r="B3889" s="9"/>
      <c r="C3889" s="9"/>
      <c r="D3889" s="9"/>
      <c r="E3889" s="11"/>
      <c r="F3889" s="11"/>
      <c r="G3889" s="11"/>
      <c r="H3889" s="11"/>
      <c r="I3889" s="11"/>
      <c r="J3889" s="11"/>
      <c r="K3889" s="11"/>
      <c r="L3889" s="11"/>
      <c r="M3889" s="12"/>
      <c r="N3889" s="12"/>
      <c r="O3889" s="11"/>
      <c r="P3889" s="11"/>
    </row>
    <row r="3890" spans="1:16" ht="12.75" x14ac:dyDescent="0.35">
      <c r="A3890" s="11"/>
      <c r="B3890" s="9"/>
      <c r="C3890" s="9"/>
      <c r="D3890" s="9"/>
      <c r="E3890" s="11"/>
      <c r="F3890" s="11"/>
      <c r="G3890" s="11"/>
      <c r="H3890" s="11"/>
      <c r="I3890" s="11"/>
      <c r="J3890" s="11"/>
      <c r="K3890" s="11"/>
      <c r="L3890" s="11"/>
      <c r="M3890" s="12"/>
      <c r="N3890" s="12"/>
      <c r="O3890" s="11"/>
      <c r="P3890" s="11"/>
    </row>
    <row r="3891" spans="1:16" ht="12.75" x14ac:dyDescent="0.35">
      <c r="A3891" s="11"/>
      <c r="B3891" s="9"/>
      <c r="C3891" s="9"/>
      <c r="D3891" s="9"/>
      <c r="E3891" s="11"/>
      <c r="F3891" s="11"/>
      <c r="G3891" s="11"/>
      <c r="H3891" s="11"/>
      <c r="I3891" s="11"/>
      <c r="J3891" s="11"/>
      <c r="K3891" s="11"/>
      <c r="L3891" s="11"/>
      <c r="M3891" s="12"/>
      <c r="N3891" s="12"/>
      <c r="O3891" s="11"/>
      <c r="P3891" s="11"/>
    </row>
    <row r="3892" spans="1:16" ht="12.75" x14ac:dyDescent="0.35">
      <c r="A3892" s="11"/>
      <c r="B3892" s="9"/>
      <c r="C3892" s="9"/>
      <c r="D3892" s="9"/>
      <c r="E3892" s="11"/>
      <c r="F3892" s="11"/>
      <c r="G3892" s="11"/>
      <c r="H3892" s="11"/>
      <c r="I3892" s="11"/>
      <c r="J3892" s="11"/>
      <c r="K3892" s="11"/>
      <c r="L3892" s="11"/>
      <c r="M3892" s="12"/>
      <c r="N3892" s="12"/>
      <c r="O3892" s="11"/>
      <c r="P3892" s="11"/>
    </row>
    <row r="3893" spans="1:16" ht="12.75" x14ac:dyDescent="0.35">
      <c r="A3893" s="11"/>
      <c r="B3893" s="9"/>
      <c r="C3893" s="9"/>
      <c r="D3893" s="9"/>
      <c r="E3893" s="11"/>
      <c r="F3893" s="11"/>
      <c r="G3893" s="11"/>
      <c r="H3893" s="11"/>
      <c r="I3893" s="11"/>
      <c r="J3893" s="11"/>
      <c r="K3893" s="11"/>
      <c r="L3893" s="11"/>
      <c r="M3893" s="12"/>
      <c r="N3893" s="12"/>
      <c r="O3893" s="11"/>
      <c r="P3893" s="11"/>
    </row>
    <row r="3894" spans="1:16" ht="12.75" x14ac:dyDescent="0.35">
      <c r="A3894" s="11"/>
      <c r="B3894" s="9"/>
      <c r="C3894" s="9"/>
      <c r="D3894" s="9"/>
      <c r="E3894" s="11"/>
      <c r="F3894" s="11"/>
      <c r="G3894" s="11"/>
      <c r="H3894" s="11"/>
      <c r="I3894" s="11"/>
      <c r="J3894" s="11"/>
      <c r="K3894" s="11"/>
      <c r="L3894" s="11"/>
      <c r="M3894" s="12"/>
      <c r="N3894" s="12"/>
      <c r="O3894" s="11"/>
      <c r="P3894" s="11"/>
    </row>
    <row r="3895" spans="1:16" ht="12.75" x14ac:dyDescent="0.35">
      <c r="A3895" s="11"/>
      <c r="B3895" s="9"/>
      <c r="C3895" s="9"/>
      <c r="D3895" s="9"/>
      <c r="E3895" s="11"/>
      <c r="F3895" s="11"/>
      <c r="G3895" s="11"/>
      <c r="H3895" s="11"/>
      <c r="I3895" s="11"/>
      <c r="J3895" s="11"/>
      <c r="K3895" s="11"/>
      <c r="L3895" s="11"/>
      <c r="M3895" s="12"/>
      <c r="N3895" s="12"/>
      <c r="O3895" s="11"/>
      <c r="P3895" s="11"/>
    </row>
    <row r="3896" spans="1:16" ht="12.75" x14ac:dyDescent="0.35">
      <c r="A3896" s="11"/>
      <c r="B3896" s="9"/>
      <c r="C3896" s="9"/>
      <c r="D3896" s="9"/>
      <c r="E3896" s="11"/>
      <c r="F3896" s="11"/>
      <c r="G3896" s="11"/>
      <c r="H3896" s="11"/>
      <c r="I3896" s="11"/>
      <c r="J3896" s="11"/>
      <c r="K3896" s="11"/>
      <c r="L3896" s="11"/>
      <c r="M3896" s="12"/>
      <c r="N3896" s="12"/>
      <c r="O3896" s="11"/>
      <c r="P3896" s="11"/>
    </row>
    <row r="3897" spans="1:16" ht="12.75" x14ac:dyDescent="0.35">
      <c r="A3897" s="11"/>
      <c r="B3897" s="9"/>
      <c r="C3897" s="9"/>
      <c r="D3897" s="9"/>
      <c r="E3897" s="11"/>
      <c r="F3897" s="11"/>
      <c r="G3897" s="11"/>
      <c r="H3897" s="11"/>
      <c r="I3897" s="11"/>
      <c r="J3897" s="11"/>
      <c r="K3897" s="11"/>
      <c r="L3897" s="11"/>
      <c r="M3897" s="12"/>
      <c r="N3897" s="12"/>
      <c r="O3897" s="11"/>
      <c r="P3897" s="11"/>
    </row>
    <row r="3898" spans="1:16" ht="12.75" x14ac:dyDescent="0.35">
      <c r="A3898" s="11"/>
      <c r="B3898" s="9"/>
      <c r="C3898" s="9"/>
      <c r="D3898" s="9"/>
      <c r="E3898" s="11"/>
      <c r="F3898" s="11"/>
      <c r="G3898" s="11"/>
      <c r="H3898" s="11"/>
      <c r="I3898" s="11"/>
      <c r="J3898" s="11"/>
      <c r="K3898" s="11"/>
      <c r="L3898" s="11"/>
      <c r="M3898" s="12"/>
      <c r="N3898" s="12"/>
      <c r="O3898" s="11"/>
      <c r="P3898" s="11"/>
    </row>
    <row r="3899" spans="1:16" ht="12.75" x14ac:dyDescent="0.35">
      <c r="A3899" s="11"/>
      <c r="B3899" s="9"/>
      <c r="C3899" s="9"/>
      <c r="D3899" s="9"/>
      <c r="E3899" s="11"/>
      <c r="F3899" s="11"/>
      <c r="G3899" s="11"/>
      <c r="H3899" s="11"/>
      <c r="I3899" s="11"/>
      <c r="J3899" s="11"/>
      <c r="K3899" s="11"/>
      <c r="L3899" s="11"/>
      <c r="M3899" s="12"/>
      <c r="N3899" s="12"/>
      <c r="O3899" s="11"/>
      <c r="P3899" s="11"/>
    </row>
    <row r="3900" spans="1:16" ht="12.75" x14ac:dyDescent="0.35">
      <c r="A3900" s="11"/>
      <c r="B3900" s="9"/>
      <c r="C3900" s="9"/>
      <c r="D3900" s="9"/>
      <c r="E3900" s="11"/>
      <c r="F3900" s="11"/>
      <c r="G3900" s="11"/>
      <c r="H3900" s="11"/>
      <c r="I3900" s="11"/>
      <c r="J3900" s="11"/>
      <c r="K3900" s="11"/>
      <c r="L3900" s="11"/>
      <c r="M3900" s="12"/>
      <c r="N3900" s="12"/>
      <c r="O3900" s="11"/>
      <c r="P3900" s="11"/>
    </row>
    <row r="3901" spans="1:16" ht="12.75" x14ac:dyDescent="0.35">
      <c r="A3901" s="11"/>
      <c r="B3901" s="9"/>
      <c r="C3901" s="9"/>
      <c r="D3901" s="9"/>
      <c r="E3901" s="11"/>
      <c r="F3901" s="11"/>
      <c r="G3901" s="11"/>
      <c r="H3901" s="11"/>
      <c r="I3901" s="11"/>
      <c r="J3901" s="11"/>
      <c r="K3901" s="11"/>
      <c r="L3901" s="11"/>
      <c r="M3901" s="12"/>
      <c r="N3901" s="12"/>
      <c r="O3901" s="11"/>
      <c r="P3901" s="11"/>
    </row>
    <row r="3902" spans="1:16" ht="12.75" x14ac:dyDescent="0.35">
      <c r="A3902" s="11"/>
      <c r="B3902" s="9"/>
      <c r="C3902" s="9"/>
      <c r="D3902" s="9"/>
      <c r="E3902" s="11"/>
      <c r="F3902" s="11"/>
      <c r="G3902" s="11"/>
      <c r="H3902" s="11"/>
      <c r="I3902" s="11"/>
      <c r="J3902" s="11"/>
      <c r="K3902" s="11"/>
      <c r="L3902" s="11"/>
      <c r="M3902" s="12"/>
      <c r="N3902" s="12"/>
      <c r="O3902" s="11"/>
      <c r="P3902" s="11"/>
    </row>
    <row r="3903" spans="1:16" ht="12.75" x14ac:dyDescent="0.35">
      <c r="A3903" s="11"/>
      <c r="B3903" s="9"/>
      <c r="C3903" s="9"/>
      <c r="D3903" s="9"/>
      <c r="E3903" s="11"/>
      <c r="F3903" s="11"/>
      <c r="G3903" s="11"/>
      <c r="H3903" s="11"/>
      <c r="I3903" s="11"/>
      <c r="J3903" s="11"/>
      <c r="K3903" s="11"/>
      <c r="L3903" s="11"/>
      <c r="M3903" s="12"/>
      <c r="N3903" s="12"/>
      <c r="O3903" s="11"/>
      <c r="P3903" s="11"/>
    </row>
    <row r="3904" spans="1:16" ht="12.75" x14ac:dyDescent="0.35">
      <c r="A3904" s="11"/>
      <c r="B3904" s="9"/>
      <c r="C3904" s="9"/>
      <c r="D3904" s="9"/>
      <c r="E3904" s="11"/>
      <c r="F3904" s="11"/>
      <c r="G3904" s="11"/>
      <c r="H3904" s="11"/>
      <c r="I3904" s="11"/>
      <c r="J3904" s="11"/>
      <c r="K3904" s="11"/>
      <c r="L3904" s="11"/>
      <c r="M3904" s="12"/>
      <c r="N3904" s="12"/>
      <c r="O3904" s="11"/>
      <c r="P3904" s="11"/>
    </row>
    <row r="3905" spans="1:16" ht="12.75" x14ac:dyDescent="0.35">
      <c r="A3905" s="11"/>
      <c r="B3905" s="9"/>
      <c r="C3905" s="9"/>
      <c r="D3905" s="9"/>
      <c r="E3905" s="11"/>
      <c r="F3905" s="11"/>
      <c r="G3905" s="11"/>
      <c r="H3905" s="11"/>
      <c r="I3905" s="11"/>
      <c r="J3905" s="11"/>
      <c r="K3905" s="11"/>
      <c r="L3905" s="11"/>
      <c r="M3905" s="12"/>
      <c r="N3905" s="12"/>
      <c r="O3905" s="11"/>
      <c r="P3905" s="11"/>
    </row>
    <row r="3906" spans="1:16" ht="12.75" x14ac:dyDescent="0.35">
      <c r="A3906" s="11"/>
      <c r="B3906" s="9"/>
      <c r="C3906" s="9"/>
      <c r="D3906" s="9"/>
      <c r="E3906" s="11"/>
      <c r="F3906" s="11"/>
      <c r="G3906" s="11"/>
      <c r="H3906" s="11"/>
      <c r="I3906" s="11"/>
      <c r="J3906" s="11"/>
      <c r="K3906" s="11"/>
      <c r="L3906" s="11"/>
      <c r="M3906" s="12"/>
      <c r="N3906" s="12"/>
      <c r="O3906" s="11"/>
      <c r="P3906" s="11"/>
    </row>
    <row r="3907" spans="1:16" ht="12.75" x14ac:dyDescent="0.35">
      <c r="A3907" s="11"/>
      <c r="B3907" s="9"/>
      <c r="C3907" s="9"/>
      <c r="D3907" s="9"/>
      <c r="E3907" s="11"/>
      <c r="F3907" s="11"/>
      <c r="G3907" s="11"/>
      <c r="H3907" s="11"/>
      <c r="I3907" s="11"/>
      <c r="J3907" s="11"/>
      <c r="K3907" s="11"/>
      <c r="L3907" s="11"/>
      <c r="M3907" s="12"/>
      <c r="N3907" s="12"/>
      <c r="O3907" s="11"/>
      <c r="P3907" s="11"/>
    </row>
    <row r="3908" spans="1:16" ht="12.75" x14ac:dyDescent="0.35">
      <c r="A3908" s="11"/>
      <c r="B3908" s="9"/>
      <c r="C3908" s="9"/>
      <c r="D3908" s="9"/>
      <c r="E3908" s="11"/>
      <c r="F3908" s="11"/>
      <c r="G3908" s="11"/>
      <c r="H3908" s="11"/>
      <c r="I3908" s="11"/>
      <c r="J3908" s="11"/>
      <c r="K3908" s="11"/>
      <c r="L3908" s="11"/>
      <c r="M3908" s="12"/>
      <c r="N3908" s="12"/>
      <c r="O3908" s="11"/>
      <c r="P3908" s="11"/>
    </row>
    <row r="3909" spans="1:16" ht="12.75" x14ac:dyDescent="0.35">
      <c r="A3909" s="11"/>
      <c r="B3909" s="9"/>
      <c r="C3909" s="9"/>
      <c r="D3909" s="9"/>
      <c r="E3909" s="11"/>
      <c r="F3909" s="11"/>
      <c r="G3909" s="11"/>
      <c r="H3909" s="11"/>
      <c r="I3909" s="11"/>
      <c r="J3909" s="11"/>
      <c r="K3909" s="11"/>
      <c r="L3909" s="11"/>
      <c r="M3909" s="12"/>
      <c r="N3909" s="12"/>
      <c r="O3909" s="11"/>
      <c r="P3909" s="11"/>
    </row>
    <row r="3910" spans="1:16" ht="12.75" x14ac:dyDescent="0.35">
      <c r="A3910" s="11"/>
      <c r="B3910" s="9"/>
      <c r="C3910" s="9"/>
      <c r="D3910" s="9"/>
      <c r="E3910" s="11"/>
      <c r="F3910" s="11"/>
      <c r="G3910" s="11"/>
      <c r="H3910" s="11"/>
      <c r="I3910" s="11"/>
      <c r="J3910" s="11"/>
      <c r="K3910" s="11"/>
      <c r="L3910" s="11"/>
      <c r="M3910" s="12"/>
      <c r="N3910" s="12"/>
      <c r="O3910" s="11"/>
      <c r="P3910" s="11"/>
    </row>
    <row r="3911" spans="1:16" ht="12.75" x14ac:dyDescent="0.35">
      <c r="A3911" s="11"/>
      <c r="B3911" s="9"/>
      <c r="C3911" s="9"/>
      <c r="D3911" s="9"/>
      <c r="E3911" s="11"/>
      <c r="F3911" s="11"/>
      <c r="G3911" s="11"/>
      <c r="H3911" s="11"/>
      <c r="I3911" s="11"/>
      <c r="J3911" s="11"/>
      <c r="K3911" s="11"/>
      <c r="L3911" s="11"/>
      <c r="M3911" s="12"/>
      <c r="N3911" s="12"/>
      <c r="O3911" s="11"/>
      <c r="P3911" s="11"/>
    </row>
    <row r="3912" spans="1:16" ht="12.75" x14ac:dyDescent="0.35">
      <c r="A3912" s="11"/>
      <c r="B3912" s="9"/>
      <c r="C3912" s="9"/>
      <c r="D3912" s="9"/>
      <c r="E3912" s="11"/>
      <c r="F3912" s="11"/>
      <c r="G3912" s="11"/>
      <c r="H3912" s="11"/>
      <c r="I3912" s="11"/>
      <c r="J3912" s="11"/>
      <c r="K3912" s="11"/>
      <c r="L3912" s="11"/>
      <c r="M3912" s="12"/>
      <c r="N3912" s="12"/>
      <c r="O3912" s="11"/>
      <c r="P3912" s="11"/>
    </row>
    <row r="3913" spans="1:16" ht="12.75" x14ac:dyDescent="0.35">
      <c r="A3913" s="11"/>
      <c r="B3913" s="9"/>
      <c r="C3913" s="9"/>
      <c r="D3913" s="9"/>
      <c r="E3913" s="11"/>
      <c r="F3913" s="11"/>
      <c r="G3913" s="11"/>
      <c r="H3913" s="11"/>
      <c r="I3913" s="11"/>
      <c r="J3913" s="11"/>
      <c r="K3913" s="11"/>
      <c r="L3913" s="11"/>
      <c r="M3913" s="12"/>
      <c r="N3913" s="12"/>
      <c r="O3913" s="11"/>
      <c r="P3913" s="11"/>
    </row>
    <row r="3914" spans="1:16" ht="12.75" x14ac:dyDescent="0.35">
      <c r="A3914" s="11"/>
      <c r="B3914" s="9"/>
      <c r="C3914" s="9"/>
      <c r="D3914" s="9"/>
      <c r="E3914" s="11"/>
      <c r="F3914" s="11"/>
      <c r="G3914" s="11"/>
      <c r="H3914" s="11"/>
      <c r="I3914" s="11"/>
      <c r="J3914" s="11"/>
      <c r="K3914" s="11"/>
      <c r="L3914" s="11"/>
      <c r="M3914" s="12"/>
      <c r="N3914" s="12"/>
      <c r="O3914" s="11"/>
      <c r="P3914" s="11"/>
    </row>
    <row r="3915" spans="1:16" ht="12.75" x14ac:dyDescent="0.35">
      <c r="A3915" s="11"/>
      <c r="B3915" s="9"/>
      <c r="C3915" s="9"/>
      <c r="D3915" s="9"/>
      <c r="E3915" s="11"/>
      <c r="F3915" s="11"/>
      <c r="G3915" s="11"/>
      <c r="H3915" s="11"/>
      <c r="I3915" s="11"/>
      <c r="J3915" s="11"/>
      <c r="K3915" s="11"/>
      <c r="L3915" s="11"/>
      <c r="M3915" s="12"/>
      <c r="N3915" s="12"/>
      <c r="O3915" s="11"/>
      <c r="P3915" s="11"/>
    </row>
    <row r="3916" spans="1:16" ht="12.75" x14ac:dyDescent="0.35">
      <c r="A3916" s="11"/>
      <c r="B3916" s="9"/>
      <c r="C3916" s="9"/>
      <c r="D3916" s="9"/>
      <c r="E3916" s="11"/>
      <c r="F3916" s="11"/>
      <c r="G3916" s="11"/>
      <c r="H3916" s="11"/>
      <c r="I3916" s="11"/>
      <c r="J3916" s="11"/>
      <c r="K3916" s="11"/>
      <c r="L3916" s="11"/>
      <c r="M3916" s="12"/>
      <c r="N3916" s="12"/>
      <c r="O3916" s="11"/>
      <c r="P3916" s="11"/>
    </row>
    <row r="3917" spans="1:16" ht="12.75" x14ac:dyDescent="0.35">
      <c r="A3917" s="11"/>
      <c r="B3917" s="9"/>
      <c r="C3917" s="9"/>
      <c r="D3917" s="9"/>
      <c r="E3917" s="11"/>
      <c r="F3917" s="11"/>
      <c r="G3917" s="11"/>
      <c r="H3917" s="11"/>
      <c r="I3917" s="11"/>
      <c r="J3917" s="11"/>
      <c r="K3917" s="11"/>
      <c r="L3917" s="11"/>
      <c r="M3917" s="12"/>
      <c r="N3917" s="12"/>
      <c r="O3917" s="11"/>
      <c r="P3917" s="11"/>
    </row>
    <row r="3918" spans="1:16" ht="12.75" x14ac:dyDescent="0.35">
      <c r="A3918" s="11"/>
      <c r="B3918" s="9"/>
      <c r="C3918" s="9"/>
      <c r="D3918" s="9"/>
      <c r="E3918" s="11"/>
      <c r="F3918" s="11"/>
      <c r="G3918" s="11"/>
      <c r="H3918" s="11"/>
      <c r="I3918" s="11"/>
      <c r="J3918" s="11"/>
      <c r="K3918" s="11"/>
      <c r="L3918" s="11"/>
      <c r="M3918" s="12"/>
      <c r="N3918" s="12"/>
      <c r="O3918" s="11"/>
      <c r="P3918" s="11"/>
    </row>
    <row r="3919" spans="1:16" ht="12.75" x14ac:dyDescent="0.35">
      <c r="A3919" s="11"/>
      <c r="B3919" s="9"/>
      <c r="C3919" s="9"/>
      <c r="D3919" s="9"/>
      <c r="E3919" s="11"/>
      <c r="F3919" s="11"/>
      <c r="G3919" s="11"/>
      <c r="H3919" s="11"/>
      <c r="I3919" s="11"/>
      <c r="J3919" s="11"/>
      <c r="K3919" s="11"/>
      <c r="L3919" s="11"/>
      <c r="M3919" s="12"/>
      <c r="N3919" s="12"/>
      <c r="O3919" s="11"/>
      <c r="P3919" s="11"/>
    </row>
    <row r="3920" spans="1:16" ht="12.75" x14ac:dyDescent="0.35">
      <c r="A3920" s="11"/>
      <c r="B3920" s="9"/>
      <c r="C3920" s="9"/>
      <c r="D3920" s="9"/>
      <c r="E3920" s="11"/>
      <c r="F3920" s="11"/>
      <c r="G3920" s="11"/>
      <c r="H3920" s="11"/>
      <c r="I3920" s="11"/>
      <c r="J3920" s="11"/>
      <c r="K3920" s="11"/>
      <c r="L3920" s="11"/>
      <c r="M3920" s="12"/>
      <c r="N3920" s="12"/>
      <c r="O3920" s="11"/>
      <c r="P3920" s="11"/>
    </row>
    <row r="3921" spans="1:16" ht="12.75" x14ac:dyDescent="0.35">
      <c r="A3921" s="11"/>
      <c r="B3921" s="9"/>
      <c r="C3921" s="9"/>
      <c r="D3921" s="9"/>
      <c r="E3921" s="11"/>
      <c r="F3921" s="11"/>
      <c r="G3921" s="11"/>
      <c r="H3921" s="11"/>
      <c r="I3921" s="11"/>
      <c r="J3921" s="11"/>
      <c r="K3921" s="11"/>
      <c r="L3921" s="11"/>
      <c r="M3921" s="12"/>
      <c r="N3921" s="12"/>
      <c r="O3921" s="11"/>
      <c r="P3921" s="11"/>
    </row>
    <row r="3922" spans="1:16" ht="12.75" x14ac:dyDescent="0.35">
      <c r="A3922" s="11"/>
      <c r="B3922" s="9"/>
      <c r="C3922" s="9"/>
      <c r="D3922" s="9"/>
      <c r="E3922" s="11"/>
      <c r="F3922" s="11"/>
      <c r="G3922" s="11"/>
      <c r="H3922" s="11"/>
      <c r="I3922" s="11"/>
      <c r="J3922" s="11"/>
      <c r="K3922" s="11"/>
      <c r="L3922" s="11"/>
      <c r="M3922" s="12"/>
      <c r="N3922" s="12"/>
      <c r="O3922" s="11"/>
      <c r="P3922" s="11"/>
    </row>
    <row r="3923" spans="1:16" ht="12.75" x14ac:dyDescent="0.35">
      <c r="A3923" s="11"/>
      <c r="B3923" s="9"/>
      <c r="C3923" s="9"/>
      <c r="D3923" s="9"/>
      <c r="E3923" s="11"/>
      <c r="F3923" s="11"/>
      <c r="G3923" s="11"/>
      <c r="H3923" s="11"/>
      <c r="I3923" s="11"/>
      <c r="J3923" s="11"/>
      <c r="K3923" s="11"/>
      <c r="L3923" s="11"/>
      <c r="M3923" s="12"/>
      <c r="N3923" s="12"/>
      <c r="O3923" s="11"/>
      <c r="P3923" s="11"/>
    </row>
    <row r="3924" spans="1:16" ht="12.75" x14ac:dyDescent="0.35">
      <c r="A3924" s="11"/>
      <c r="B3924" s="9"/>
      <c r="C3924" s="9"/>
      <c r="D3924" s="9"/>
      <c r="E3924" s="11"/>
      <c r="F3924" s="11"/>
      <c r="G3924" s="11"/>
      <c r="H3924" s="11"/>
      <c r="I3924" s="11"/>
      <c r="J3924" s="11"/>
      <c r="K3924" s="11"/>
      <c r="L3924" s="11"/>
      <c r="M3924" s="12"/>
      <c r="N3924" s="12"/>
      <c r="O3924" s="11"/>
      <c r="P3924" s="11"/>
    </row>
    <row r="3925" spans="1:16" ht="12.75" x14ac:dyDescent="0.35">
      <c r="A3925" s="11"/>
      <c r="B3925" s="9"/>
      <c r="C3925" s="9"/>
      <c r="D3925" s="9"/>
      <c r="E3925" s="11"/>
      <c r="F3925" s="11"/>
      <c r="G3925" s="11"/>
      <c r="H3925" s="11"/>
      <c r="I3925" s="11"/>
      <c r="J3925" s="11"/>
      <c r="K3925" s="11"/>
      <c r="L3925" s="11"/>
      <c r="M3925" s="12"/>
      <c r="N3925" s="12"/>
      <c r="O3925" s="11"/>
      <c r="P3925" s="11"/>
    </row>
    <row r="3926" spans="1:16" ht="12.75" x14ac:dyDescent="0.35">
      <c r="A3926" s="11"/>
      <c r="B3926" s="9"/>
      <c r="C3926" s="9"/>
      <c r="D3926" s="9"/>
      <c r="E3926" s="11"/>
      <c r="F3926" s="11"/>
      <c r="G3926" s="11"/>
      <c r="H3926" s="11"/>
      <c r="I3926" s="11"/>
      <c r="J3926" s="11"/>
      <c r="K3926" s="11"/>
      <c r="L3926" s="11"/>
      <c r="M3926" s="12"/>
      <c r="N3926" s="12"/>
      <c r="O3926" s="11"/>
      <c r="P3926" s="11"/>
    </row>
    <row r="3927" spans="1:16" ht="12.75" x14ac:dyDescent="0.35">
      <c r="A3927" s="11"/>
      <c r="B3927" s="9"/>
      <c r="C3927" s="9"/>
      <c r="D3927" s="9"/>
      <c r="E3927" s="11"/>
      <c r="F3927" s="11"/>
      <c r="G3927" s="11"/>
      <c r="H3927" s="11"/>
      <c r="I3927" s="11"/>
      <c r="J3927" s="11"/>
      <c r="K3927" s="11"/>
      <c r="L3927" s="11"/>
      <c r="M3927" s="12"/>
      <c r="N3927" s="12"/>
      <c r="O3927" s="11"/>
      <c r="P3927" s="11"/>
    </row>
    <row r="3928" spans="1:16" ht="12.75" x14ac:dyDescent="0.35">
      <c r="A3928" s="11"/>
      <c r="B3928" s="9"/>
      <c r="C3928" s="9"/>
      <c r="D3928" s="9"/>
      <c r="E3928" s="11"/>
      <c r="F3928" s="11"/>
      <c r="G3928" s="11"/>
      <c r="H3928" s="11"/>
      <c r="I3928" s="11"/>
      <c r="J3928" s="11"/>
      <c r="K3928" s="11"/>
      <c r="L3928" s="11"/>
      <c r="M3928" s="12"/>
      <c r="N3928" s="12"/>
      <c r="O3928" s="11"/>
      <c r="P3928" s="11"/>
    </row>
    <row r="3929" spans="1:16" ht="12.75" x14ac:dyDescent="0.35">
      <c r="A3929" s="11"/>
      <c r="B3929" s="9"/>
      <c r="C3929" s="9"/>
      <c r="D3929" s="9"/>
      <c r="E3929" s="11"/>
      <c r="F3929" s="11"/>
      <c r="G3929" s="11"/>
      <c r="H3929" s="11"/>
      <c r="I3929" s="11"/>
      <c r="J3929" s="11"/>
      <c r="K3929" s="11"/>
      <c r="L3929" s="11"/>
      <c r="M3929" s="12"/>
      <c r="N3929" s="12"/>
      <c r="O3929" s="11"/>
      <c r="P3929" s="11"/>
    </row>
    <row r="3930" spans="1:16" ht="12.75" x14ac:dyDescent="0.35">
      <c r="A3930" s="11"/>
      <c r="B3930" s="9"/>
      <c r="C3930" s="9"/>
      <c r="D3930" s="9"/>
      <c r="E3930" s="11"/>
      <c r="F3930" s="11"/>
      <c r="G3930" s="11"/>
      <c r="H3930" s="11"/>
      <c r="I3930" s="11"/>
      <c r="J3930" s="11"/>
      <c r="K3930" s="11"/>
      <c r="L3930" s="11"/>
      <c r="M3930" s="12"/>
      <c r="N3930" s="12"/>
      <c r="O3930" s="11"/>
      <c r="P3930" s="11"/>
    </row>
    <row r="3931" spans="1:16" ht="12.75" x14ac:dyDescent="0.35">
      <c r="A3931" s="11"/>
      <c r="B3931" s="9"/>
      <c r="C3931" s="9"/>
      <c r="D3931" s="9"/>
      <c r="E3931" s="11"/>
      <c r="F3931" s="11"/>
      <c r="G3931" s="11"/>
      <c r="H3931" s="11"/>
      <c r="I3931" s="11"/>
      <c r="J3931" s="11"/>
      <c r="K3931" s="11"/>
      <c r="L3931" s="11"/>
      <c r="M3931" s="12"/>
      <c r="N3931" s="12"/>
      <c r="O3931" s="11"/>
      <c r="P3931" s="11"/>
    </row>
    <row r="3932" spans="1:16" ht="12.75" x14ac:dyDescent="0.35">
      <c r="A3932" s="11"/>
      <c r="B3932" s="9"/>
      <c r="C3932" s="9"/>
      <c r="D3932" s="9"/>
      <c r="E3932" s="11"/>
      <c r="F3932" s="11"/>
      <c r="G3932" s="11"/>
      <c r="H3932" s="11"/>
      <c r="I3932" s="11"/>
      <c r="J3932" s="11"/>
      <c r="K3932" s="11"/>
      <c r="L3932" s="11"/>
      <c r="M3932" s="12"/>
      <c r="N3932" s="12"/>
      <c r="O3932" s="11"/>
      <c r="P3932" s="11"/>
    </row>
    <row r="3933" spans="1:16" ht="12.75" x14ac:dyDescent="0.35">
      <c r="A3933" s="11"/>
      <c r="B3933" s="9"/>
      <c r="C3933" s="9"/>
      <c r="D3933" s="9"/>
      <c r="E3933" s="11"/>
      <c r="F3933" s="11"/>
      <c r="G3933" s="11"/>
      <c r="H3933" s="11"/>
      <c r="I3933" s="11"/>
      <c r="J3933" s="11"/>
      <c r="K3933" s="11"/>
      <c r="L3933" s="11"/>
      <c r="M3933" s="12"/>
      <c r="N3933" s="12"/>
      <c r="O3933" s="11"/>
      <c r="P3933" s="11"/>
    </row>
    <row r="3934" spans="1:16" ht="12.75" x14ac:dyDescent="0.35">
      <c r="A3934" s="11"/>
      <c r="B3934" s="9"/>
      <c r="C3934" s="9"/>
      <c r="D3934" s="9"/>
      <c r="E3934" s="11"/>
      <c r="F3934" s="11"/>
      <c r="G3934" s="11"/>
      <c r="H3934" s="11"/>
      <c r="I3934" s="11"/>
      <c r="J3934" s="11"/>
      <c r="K3934" s="11"/>
      <c r="L3934" s="11"/>
      <c r="M3934" s="12"/>
      <c r="N3934" s="12"/>
      <c r="O3934" s="11"/>
      <c r="P3934" s="11"/>
    </row>
    <row r="3935" spans="1:16" ht="12.75" x14ac:dyDescent="0.35">
      <c r="A3935" s="11"/>
      <c r="B3935" s="9"/>
      <c r="C3935" s="9"/>
      <c r="D3935" s="9"/>
      <c r="E3935" s="11"/>
      <c r="F3935" s="11"/>
      <c r="G3935" s="11"/>
      <c r="H3935" s="11"/>
      <c r="I3935" s="11"/>
      <c r="J3935" s="11"/>
      <c r="K3935" s="11"/>
      <c r="L3935" s="11"/>
      <c r="M3935" s="12"/>
      <c r="N3935" s="12"/>
      <c r="O3935" s="11"/>
      <c r="P3935" s="11"/>
    </row>
    <row r="3936" spans="1:16" ht="12.75" x14ac:dyDescent="0.35">
      <c r="A3936" s="11"/>
      <c r="B3936" s="9"/>
      <c r="C3936" s="9"/>
      <c r="D3936" s="9"/>
      <c r="E3936" s="11"/>
      <c r="F3936" s="11"/>
      <c r="G3936" s="11"/>
      <c r="H3936" s="11"/>
      <c r="I3936" s="11"/>
      <c r="J3936" s="11"/>
      <c r="K3936" s="11"/>
      <c r="L3936" s="11"/>
      <c r="M3936" s="12"/>
      <c r="N3936" s="12"/>
      <c r="O3936" s="11"/>
      <c r="P3936" s="11"/>
    </row>
    <row r="3937" spans="1:16" ht="12.75" x14ac:dyDescent="0.35">
      <c r="A3937" s="11"/>
      <c r="B3937" s="9"/>
      <c r="C3937" s="9"/>
      <c r="D3937" s="9"/>
      <c r="E3937" s="11"/>
      <c r="F3937" s="11"/>
      <c r="G3937" s="11"/>
      <c r="H3937" s="11"/>
      <c r="I3937" s="11"/>
      <c r="J3937" s="11"/>
      <c r="K3937" s="11"/>
      <c r="L3937" s="11"/>
      <c r="M3937" s="12"/>
      <c r="N3937" s="12"/>
      <c r="O3937" s="11"/>
      <c r="P3937" s="11"/>
    </row>
    <row r="3938" spans="1:16" ht="12.75" x14ac:dyDescent="0.35">
      <c r="A3938" s="11"/>
      <c r="B3938" s="9"/>
      <c r="C3938" s="9"/>
      <c r="D3938" s="9"/>
      <c r="E3938" s="11"/>
      <c r="F3938" s="11"/>
      <c r="G3938" s="11"/>
      <c r="H3938" s="11"/>
      <c r="I3938" s="11"/>
      <c r="J3938" s="11"/>
      <c r="K3938" s="11"/>
      <c r="L3938" s="11"/>
      <c r="M3938" s="12"/>
      <c r="N3938" s="12"/>
      <c r="O3938" s="11"/>
      <c r="P3938" s="11"/>
    </row>
    <row r="3939" spans="1:16" ht="12.75" x14ac:dyDescent="0.35">
      <c r="A3939" s="11"/>
      <c r="B3939" s="9"/>
      <c r="C3939" s="9"/>
      <c r="D3939" s="9"/>
      <c r="E3939" s="11"/>
      <c r="F3939" s="11"/>
      <c r="G3939" s="11"/>
      <c r="H3939" s="11"/>
      <c r="I3939" s="11"/>
      <c r="J3939" s="11"/>
      <c r="K3939" s="11"/>
      <c r="L3939" s="11"/>
      <c r="M3939" s="12"/>
      <c r="N3939" s="12"/>
      <c r="O3939" s="11"/>
      <c r="P3939" s="11"/>
    </row>
    <row r="3940" spans="1:16" ht="12.75" x14ac:dyDescent="0.35">
      <c r="A3940" s="11"/>
      <c r="B3940" s="9"/>
      <c r="C3940" s="9"/>
      <c r="D3940" s="9"/>
      <c r="E3940" s="11"/>
      <c r="F3940" s="11"/>
      <c r="G3940" s="11"/>
      <c r="H3940" s="11"/>
      <c r="I3940" s="11"/>
      <c r="J3940" s="11"/>
      <c r="K3940" s="11"/>
      <c r="L3940" s="11"/>
      <c r="M3940" s="12"/>
      <c r="N3940" s="12"/>
      <c r="O3940" s="11"/>
      <c r="P3940" s="11"/>
    </row>
    <row r="3941" spans="1:16" ht="12.75" x14ac:dyDescent="0.35">
      <c r="A3941" s="11"/>
      <c r="B3941" s="9"/>
      <c r="C3941" s="9"/>
      <c r="D3941" s="9"/>
      <c r="E3941" s="11"/>
      <c r="F3941" s="11"/>
      <c r="G3941" s="11"/>
      <c r="H3941" s="11"/>
      <c r="I3941" s="11"/>
      <c r="J3941" s="11"/>
      <c r="K3941" s="11"/>
      <c r="L3941" s="11"/>
      <c r="M3941" s="12"/>
      <c r="N3941" s="12"/>
      <c r="O3941" s="11"/>
      <c r="P3941" s="11"/>
    </row>
    <row r="3942" spans="1:16" ht="12.75" x14ac:dyDescent="0.35">
      <c r="A3942" s="11"/>
      <c r="B3942" s="9"/>
      <c r="C3942" s="9"/>
      <c r="D3942" s="9"/>
      <c r="E3942" s="11"/>
      <c r="F3942" s="11"/>
      <c r="G3942" s="11"/>
      <c r="H3942" s="11"/>
      <c r="I3942" s="11"/>
      <c r="J3942" s="11"/>
      <c r="K3942" s="11"/>
      <c r="L3942" s="11"/>
      <c r="M3942" s="12"/>
      <c r="N3942" s="12"/>
      <c r="O3942" s="11"/>
      <c r="P3942" s="11"/>
    </row>
    <row r="3943" spans="1:16" ht="12.75" x14ac:dyDescent="0.35">
      <c r="A3943" s="11"/>
      <c r="B3943" s="9"/>
      <c r="C3943" s="9"/>
      <c r="D3943" s="9"/>
      <c r="E3943" s="11"/>
      <c r="F3943" s="11"/>
      <c r="G3943" s="11"/>
      <c r="H3943" s="11"/>
      <c r="I3943" s="11"/>
      <c r="J3943" s="11"/>
      <c r="K3943" s="11"/>
      <c r="L3943" s="11"/>
      <c r="M3943" s="12"/>
      <c r="N3943" s="12"/>
      <c r="O3943" s="11"/>
      <c r="P3943" s="11"/>
    </row>
    <row r="3944" spans="1:16" ht="12.75" x14ac:dyDescent="0.35">
      <c r="A3944" s="11"/>
      <c r="B3944" s="9"/>
      <c r="C3944" s="9"/>
      <c r="D3944" s="9"/>
      <c r="E3944" s="11"/>
      <c r="F3944" s="11"/>
      <c r="G3944" s="11"/>
      <c r="H3944" s="11"/>
      <c r="I3944" s="11"/>
      <c r="J3944" s="11"/>
      <c r="K3944" s="11"/>
      <c r="L3944" s="11"/>
      <c r="M3944" s="12"/>
      <c r="N3944" s="12"/>
      <c r="O3944" s="11"/>
      <c r="P3944" s="11"/>
    </row>
    <row r="3945" spans="1:16" ht="12.75" x14ac:dyDescent="0.35">
      <c r="A3945" s="11"/>
      <c r="B3945" s="9"/>
      <c r="C3945" s="9"/>
      <c r="D3945" s="9"/>
      <c r="E3945" s="11"/>
      <c r="F3945" s="11"/>
      <c r="G3945" s="11"/>
      <c r="H3945" s="11"/>
      <c r="I3945" s="11"/>
      <c r="J3945" s="11"/>
      <c r="K3945" s="11"/>
      <c r="L3945" s="11"/>
      <c r="M3945" s="12"/>
      <c r="N3945" s="12"/>
      <c r="O3945" s="11"/>
      <c r="P3945" s="11"/>
    </row>
    <row r="3946" spans="1:16" ht="12.75" x14ac:dyDescent="0.35">
      <c r="A3946" s="11"/>
      <c r="B3946" s="9"/>
      <c r="C3946" s="9"/>
      <c r="D3946" s="9"/>
      <c r="E3946" s="11"/>
      <c r="F3946" s="11"/>
      <c r="G3946" s="11"/>
      <c r="H3946" s="11"/>
      <c r="I3946" s="11"/>
      <c r="J3946" s="11"/>
      <c r="K3946" s="11"/>
      <c r="L3946" s="11"/>
      <c r="M3946" s="12"/>
      <c r="N3946" s="12"/>
      <c r="O3946" s="11"/>
      <c r="P3946" s="11"/>
    </row>
    <row r="3947" spans="1:16" ht="12.75" x14ac:dyDescent="0.35">
      <c r="A3947" s="11"/>
      <c r="B3947" s="9"/>
      <c r="C3947" s="9"/>
      <c r="D3947" s="9"/>
      <c r="E3947" s="11"/>
      <c r="F3947" s="11"/>
      <c r="G3947" s="11"/>
      <c r="H3947" s="11"/>
      <c r="I3947" s="11"/>
      <c r="J3947" s="11"/>
      <c r="K3947" s="11"/>
      <c r="L3947" s="11"/>
      <c r="M3947" s="12"/>
      <c r="N3947" s="12"/>
      <c r="O3947" s="11"/>
      <c r="P3947" s="11"/>
    </row>
    <row r="3948" spans="1:16" ht="12.75" x14ac:dyDescent="0.35">
      <c r="A3948" s="11"/>
      <c r="B3948" s="9"/>
      <c r="C3948" s="9"/>
      <c r="D3948" s="9"/>
      <c r="E3948" s="11"/>
      <c r="F3948" s="11"/>
      <c r="G3948" s="11"/>
      <c r="H3948" s="11"/>
      <c r="I3948" s="11"/>
      <c r="J3948" s="11"/>
      <c r="K3948" s="11"/>
      <c r="L3948" s="11"/>
      <c r="M3948" s="12"/>
      <c r="N3948" s="12"/>
      <c r="O3948" s="11"/>
      <c r="P3948" s="11"/>
    </row>
    <row r="3949" spans="1:16" ht="12.75" x14ac:dyDescent="0.35">
      <c r="A3949" s="11"/>
      <c r="B3949" s="9"/>
      <c r="C3949" s="9"/>
      <c r="D3949" s="9"/>
      <c r="E3949" s="11"/>
      <c r="F3949" s="11"/>
      <c r="G3949" s="11"/>
      <c r="H3949" s="11"/>
      <c r="I3949" s="11"/>
      <c r="J3949" s="11"/>
      <c r="K3949" s="11"/>
      <c r="L3949" s="11"/>
      <c r="M3949" s="12"/>
      <c r="N3949" s="12"/>
      <c r="O3949" s="11"/>
      <c r="P3949" s="11"/>
    </row>
    <row r="3950" spans="1:16" ht="12.75" x14ac:dyDescent="0.35">
      <c r="A3950" s="11"/>
      <c r="B3950" s="9"/>
      <c r="C3950" s="9"/>
      <c r="D3950" s="9"/>
      <c r="E3950" s="11"/>
      <c r="F3950" s="11"/>
      <c r="G3950" s="11"/>
      <c r="H3950" s="11"/>
      <c r="I3950" s="11"/>
      <c r="J3950" s="11"/>
      <c r="K3950" s="11"/>
      <c r="L3950" s="11"/>
      <c r="M3950" s="12"/>
      <c r="N3950" s="12"/>
      <c r="O3950" s="11"/>
      <c r="P3950" s="11"/>
    </row>
    <row r="3951" spans="1:16" ht="12.75" x14ac:dyDescent="0.35">
      <c r="A3951" s="11"/>
      <c r="B3951" s="9"/>
      <c r="C3951" s="9"/>
      <c r="D3951" s="9"/>
      <c r="E3951" s="11"/>
      <c r="F3951" s="11"/>
      <c r="G3951" s="11"/>
      <c r="H3951" s="11"/>
      <c r="I3951" s="11"/>
      <c r="J3951" s="11"/>
      <c r="K3951" s="11"/>
      <c r="L3951" s="11"/>
      <c r="M3951" s="12"/>
      <c r="N3951" s="12"/>
      <c r="O3951" s="11"/>
      <c r="P3951" s="11"/>
    </row>
    <row r="3952" spans="1:16" ht="12.75" x14ac:dyDescent="0.35">
      <c r="A3952" s="11"/>
      <c r="B3952" s="9"/>
      <c r="C3952" s="9"/>
      <c r="D3952" s="9"/>
      <c r="E3952" s="11"/>
      <c r="F3952" s="11"/>
      <c r="G3952" s="11"/>
      <c r="H3952" s="11"/>
      <c r="I3952" s="11"/>
      <c r="J3952" s="11"/>
      <c r="K3952" s="11"/>
      <c r="L3952" s="11"/>
      <c r="M3952" s="12"/>
      <c r="N3952" s="12"/>
      <c r="O3952" s="11"/>
      <c r="P3952" s="11"/>
    </row>
    <row r="3953" spans="1:16" ht="12.75" x14ac:dyDescent="0.35">
      <c r="A3953" s="11"/>
      <c r="B3953" s="9"/>
      <c r="C3953" s="9"/>
      <c r="D3953" s="9"/>
      <c r="E3953" s="11"/>
      <c r="F3953" s="11"/>
      <c r="G3953" s="11"/>
      <c r="H3953" s="11"/>
      <c r="I3953" s="11"/>
      <c r="J3953" s="11"/>
      <c r="K3953" s="11"/>
      <c r="L3953" s="11"/>
      <c r="M3953" s="12"/>
      <c r="N3953" s="12"/>
      <c r="O3953" s="11"/>
      <c r="P3953" s="11"/>
    </row>
    <row r="3954" spans="1:16" ht="12.75" x14ac:dyDescent="0.35">
      <c r="A3954" s="11"/>
      <c r="B3954" s="9"/>
      <c r="C3954" s="9"/>
      <c r="D3954" s="9"/>
      <c r="E3954" s="11"/>
      <c r="F3954" s="11"/>
      <c r="G3954" s="11"/>
      <c r="H3954" s="11"/>
      <c r="I3954" s="11"/>
      <c r="J3954" s="11"/>
      <c r="K3954" s="11"/>
      <c r="L3954" s="11"/>
      <c r="M3954" s="12"/>
      <c r="N3954" s="12"/>
      <c r="O3954" s="11"/>
      <c r="P3954" s="11"/>
    </row>
    <row r="3955" spans="1:16" ht="12.75" x14ac:dyDescent="0.35">
      <c r="A3955" s="11"/>
      <c r="B3955" s="9"/>
      <c r="C3955" s="9"/>
      <c r="D3955" s="9"/>
      <c r="E3955" s="11"/>
      <c r="F3955" s="11"/>
      <c r="G3955" s="11"/>
      <c r="H3955" s="11"/>
      <c r="I3955" s="11"/>
      <c r="J3955" s="11"/>
      <c r="K3955" s="11"/>
      <c r="L3955" s="11"/>
      <c r="M3955" s="12"/>
      <c r="N3955" s="12"/>
      <c r="O3955" s="11"/>
      <c r="P3955" s="11"/>
    </row>
    <row r="3956" spans="1:16" ht="12.75" x14ac:dyDescent="0.35">
      <c r="A3956" s="11"/>
      <c r="B3956" s="9"/>
      <c r="C3956" s="9"/>
      <c r="D3956" s="9"/>
      <c r="E3956" s="11"/>
      <c r="F3956" s="11"/>
      <c r="G3956" s="11"/>
      <c r="H3956" s="11"/>
      <c r="I3956" s="11"/>
      <c r="J3956" s="11"/>
      <c r="K3956" s="11"/>
      <c r="L3956" s="11"/>
      <c r="M3956" s="12"/>
      <c r="N3956" s="12"/>
      <c r="O3956" s="11"/>
      <c r="P3956" s="11"/>
    </row>
    <row r="3957" spans="1:16" ht="12.75" x14ac:dyDescent="0.35">
      <c r="A3957" s="11"/>
      <c r="B3957" s="9"/>
      <c r="C3957" s="9"/>
      <c r="D3957" s="9"/>
      <c r="E3957" s="11"/>
      <c r="F3957" s="11"/>
      <c r="G3957" s="11"/>
      <c r="H3957" s="11"/>
      <c r="I3957" s="11"/>
      <c r="J3957" s="11"/>
      <c r="K3957" s="11"/>
      <c r="L3957" s="11"/>
      <c r="M3957" s="12"/>
      <c r="N3957" s="12"/>
      <c r="O3957" s="11"/>
      <c r="P3957" s="11"/>
    </row>
    <row r="3958" spans="1:16" ht="12.75" x14ac:dyDescent="0.35">
      <c r="A3958" s="11"/>
      <c r="B3958" s="9"/>
      <c r="C3958" s="9"/>
      <c r="D3958" s="9"/>
      <c r="E3958" s="11"/>
      <c r="F3958" s="11"/>
      <c r="G3958" s="11"/>
      <c r="H3958" s="11"/>
      <c r="I3958" s="11"/>
      <c r="J3958" s="11"/>
      <c r="K3958" s="11"/>
      <c r="L3958" s="11"/>
      <c r="M3958" s="12"/>
      <c r="N3958" s="12"/>
      <c r="O3958" s="11"/>
      <c r="P3958" s="11"/>
    </row>
    <row r="3959" spans="1:16" ht="12.75" x14ac:dyDescent="0.35">
      <c r="A3959" s="11"/>
      <c r="B3959" s="9"/>
      <c r="C3959" s="9"/>
      <c r="D3959" s="9"/>
      <c r="E3959" s="11"/>
      <c r="F3959" s="11"/>
      <c r="G3959" s="11"/>
      <c r="H3959" s="11"/>
      <c r="I3959" s="11"/>
      <c r="J3959" s="11"/>
      <c r="K3959" s="11"/>
      <c r="L3959" s="11"/>
      <c r="M3959" s="12"/>
      <c r="N3959" s="12"/>
      <c r="O3959" s="11"/>
      <c r="P3959" s="11"/>
    </row>
    <row r="3960" spans="1:16" ht="12.75" x14ac:dyDescent="0.35">
      <c r="A3960" s="11"/>
      <c r="B3960" s="9"/>
      <c r="C3960" s="9"/>
      <c r="D3960" s="9"/>
      <c r="E3960" s="11"/>
      <c r="F3960" s="11"/>
      <c r="G3960" s="11"/>
      <c r="H3960" s="11"/>
      <c r="I3960" s="11"/>
      <c r="J3960" s="11"/>
      <c r="K3960" s="11"/>
      <c r="L3960" s="11"/>
      <c r="M3960" s="12"/>
      <c r="N3960" s="12"/>
      <c r="O3960" s="11"/>
      <c r="P3960" s="11"/>
    </row>
    <row r="3961" spans="1:16" ht="12.75" x14ac:dyDescent="0.35">
      <c r="A3961" s="11"/>
      <c r="B3961" s="9"/>
      <c r="C3961" s="9"/>
      <c r="D3961" s="9"/>
      <c r="E3961" s="11"/>
      <c r="F3961" s="11"/>
      <c r="G3961" s="11"/>
      <c r="H3961" s="11"/>
      <c r="I3961" s="11"/>
      <c r="J3961" s="11"/>
      <c r="K3961" s="11"/>
      <c r="L3961" s="11"/>
      <c r="M3961" s="12"/>
      <c r="N3961" s="12"/>
      <c r="O3961" s="11"/>
      <c r="P3961" s="11"/>
    </row>
    <row r="3962" spans="1:16" ht="12.75" x14ac:dyDescent="0.35">
      <c r="A3962" s="11"/>
      <c r="B3962" s="9"/>
      <c r="C3962" s="9"/>
      <c r="D3962" s="9"/>
      <c r="E3962" s="11"/>
      <c r="F3962" s="11"/>
      <c r="G3962" s="11"/>
      <c r="H3962" s="11"/>
      <c r="I3962" s="11"/>
      <c r="J3962" s="11"/>
      <c r="K3962" s="11"/>
      <c r="L3962" s="11"/>
      <c r="M3962" s="12"/>
      <c r="N3962" s="12"/>
      <c r="O3962" s="11"/>
      <c r="P3962" s="11"/>
    </row>
    <row r="3963" spans="1:16" ht="12.75" x14ac:dyDescent="0.35">
      <c r="A3963" s="11"/>
      <c r="B3963" s="9"/>
      <c r="C3963" s="9"/>
      <c r="D3963" s="9"/>
      <c r="E3963" s="11"/>
      <c r="F3963" s="11"/>
      <c r="G3963" s="11"/>
      <c r="H3963" s="11"/>
      <c r="I3963" s="11"/>
      <c r="J3963" s="11"/>
      <c r="K3963" s="11"/>
      <c r="L3963" s="11"/>
      <c r="M3963" s="12"/>
      <c r="N3963" s="12"/>
      <c r="O3963" s="11"/>
      <c r="P3963" s="11"/>
    </row>
    <row r="3964" spans="1:16" ht="12.75" x14ac:dyDescent="0.35">
      <c r="A3964" s="11"/>
      <c r="B3964" s="9"/>
      <c r="C3964" s="9"/>
      <c r="D3964" s="9"/>
      <c r="E3964" s="11"/>
      <c r="F3964" s="11"/>
      <c r="G3964" s="11"/>
      <c r="H3964" s="11"/>
      <c r="I3964" s="11"/>
      <c r="J3964" s="11"/>
      <c r="K3964" s="11"/>
      <c r="L3964" s="11"/>
      <c r="M3964" s="12"/>
      <c r="N3964" s="12"/>
      <c r="O3964" s="11"/>
      <c r="P3964" s="11"/>
    </row>
    <row r="3965" spans="1:16" ht="12.75" x14ac:dyDescent="0.35">
      <c r="A3965" s="11"/>
      <c r="B3965" s="9"/>
      <c r="C3965" s="9"/>
      <c r="D3965" s="9"/>
      <c r="E3965" s="11"/>
      <c r="F3965" s="11"/>
      <c r="G3965" s="11"/>
      <c r="H3965" s="11"/>
      <c r="I3965" s="11"/>
      <c r="J3965" s="11"/>
      <c r="K3965" s="11"/>
      <c r="L3965" s="11"/>
      <c r="M3965" s="12"/>
      <c r="N3965" s="12"/>
      <c r="O3965" s="11"/>
      <c r="P3965" s="11"/>
    </row>
    <row r="3966" spans="1:16" ht="12.75" x14ac:dyDescent="0.35">
      <c r="A3966" s="11"/>
      <c r="B3966" s="9"/>
      <c r="C3966" s="9"/>
      <c r="D3966" s="9"/>
      <c r="E3966" s="11"/>
      <c r="F3966" s="11"/>
      <c r="G3966" s="11"/>
      <c r="H3966" s="11"/>
      <c r="I3966" s="11"/>
      <c r="J3966" s="11"/>
      <c r="K3966" s="11"/>
      <c r="L3966" s="11"/>
      <c r="M3966" s="12"/>
      <c r="N3966" s="12"/>
      <c r="O3966" s="11"/>
      <c r="P3966" s="11"/>
    </row>
    <row r="3967" spans="1:16" ht="12.75" x14ac:dyDescent="0.35">
      <c r="A3967" s="11"/>
      <c r="B3967" s="9"/>
      <c r="C3967" s="9"/>
      <c r="D3967" s="9"/>
      <c r="E3967" s="11"/>
      <c r="F3967" s="11"/>
      <c r="G3967" s="11"/>
      <c r="H3967" s="11"/>
      <c r="I3967" s="11"/>
      <c r="J3967" s="11"/>
      <c r="K3967" s="11"/>
      <c r="L3967" s="11"/>
      <c r="M3967" s="12"/>
      <c r="N3967" s="12"/>
      <c r="O3967" s="11"/>
      <c r="P3967" s="11"/>
    </row>
    <row r="3968" spans="1:16" ht="12.75" x14ac:dyDescent="0.35">
      <c r="A3968" s="11"/>
      <c r="B3968" s="9"/>
      <c r="C3968" s="9"/>
      <c r="D3968" s="9"/>
      <c r="E3968" s="11"/>
      <c r="F3968" s="11"/>
      <c r="G3968" s="11"/>
      <c r="H3968" s="11"/>
      <c r="I3968" s="11"/>
      <c r="J3968" s="11"/>
      <c r="K3968" s="11"/>
      <c r="L3968" s="11"/>
      <c r="M3968" s="12"/>
      <c r="N3968" s="12"/>
      <c r="O3968" s="11"/>
      <c r="P3968" s="11"/>
    </row>
    <row r="3969" spans="1:16" ht="12.75" x14ac:dyDescent="0.35">
      <c r="A3969" s="11"/>
      <c r="B3969" s="9"/>
      <c r="C3969" s="9"/>
      <c r="D3969" s="9"/>
      <c r="E3969" s="11"/>
      <c r="F3969" s="11"/>
      <c r="G3969" s="11"/>
      <c r="H3969" s="11"/>
      <c r="I3969" s="11"/>
      <c r="J3969" s="11"/>
      <c r="K3969" s="11"/>
      <c r="L3969" s="11"/>
      <c r="M3969" s="12"/>
      <c r="N3969" s="12"/>
      <c r="O3969" s="11"/>
      <c r="P3969" s="11"/>
    </row>
    <row r="3970" spans="1:16" ht="12.75" x14ac:dyDescent="0.35">
      <c r="A3970" s="11"/>
      <c r="B3970" s="9"/>
      <c r="C3970" s="9"/>
      <c r="D3970" s="9"/>
      <c r="E3970" s="11"/>
      <c r="F3970" s="11"/>
      <c r="G3970" s="11"/>
      <c r="H3970" s="11"/>
      <c r="I3970" s="11"/>
      <c r="J3970" s="11"/>
      <c r="K3970" s="11"/>
      <c r="L3970" s="11"/>
      <c r="M3970" s="12"/>
      <c r="N3970" s="12"/>
      <c r="O3970" s="11"/>
      <c r="P3970" s="11"/>
    </row>
    <row r="3971" spans="1:16" ht="12.75" x14ac:dyDescent="0.35">
      <c r="A3971" s="11"/>
      <c r="B3971" s="9"/>
      <c r="C3971" s="9"/>
      <c r="D3971" s="9"/>
      <c r="E3971" s="11"/>
      <c r="F3971" s="11"/>
      <c r="G3971" s="11"/>
      <c r="H3971" s="11"/>
      <c r="I3971" s="11"/>
      <c r="J3971" s="11"/>
      <c r="K3971" s="11"/>
      <c r="L3971" s="11"/>
      <c r="M3971" s="12"/>
      <c r="N3971" s="12"/>
      <c r="O3971" s="11"/>
      <c r="P3971" s="11"/>
    </row>
    <row r="3972" spans="1:16" ht="12.75" x14ac:dyDescent="0.35">
      <c r="A3972" s="11"/>
      <c r="B3972" s="9"/>
      <c r="C3972" s="9"/>
      <c r="D3972" s="9"/>
      <c r="E3972" s="11"/>
      <c r="F3972" s="11"/>
      <c r="G3972" s="11"/>
      <c r="H3972" s="11"/>
      <c r="I3972" s="11"/>
      <c r="J3972" s="11"/>
      <c r="K3972" s="11"/>
      <c r="L3972" s="11"/>
      <c r="M3972" s="12"/>
      <c r="N3972" s="12"/>
      <c r="O3972" s="11"/>
      <c r="P3972" s="11"/>
    </row>
    <row r="3973" spans="1:16" ht="12.75" x14ac:dyDescent="0.35">
      <c r="A3973" s="11"/>
      <c r="B3973" s="9"/>
      <c r="C3973" s="9"/>
      <c r="D3973" s="9"/>
      <c r="E3973" s="11"/>
      <c r="F3973" s="11"/>
      <c r="G3973" s="11"/>
      <c r="H3973" s="11"/>
      <c r="I3973" s="11"/>
      <c r="J3973" s="11"/>
      <c r="K3973" s="11"/>
      <c r="L3973" s="11"/>
      <c r="M3973" s="12"/>
      <c r="N3973" s="12"/>
      <c r="O3973" s="11"/>
      <c r="P3973" s="11"/>
    </row>
    <row r="3974" spans="1:16" ht="12.75" x14ac:dyDescent="0.35">
      <c r="A3974" s="11"/>
      <c r="B3974" s="9"/>
      <c r="C3974" s="9"/>
      <c r="D3974" s="9"/>
      <c r="E3974" s="11"/>
      <c r="F3974" s="11"/>
      <c r="G3974" s="11"/>
      <c r="H3974" s="11"/>
      <c r="I3974" s="11"/>
      <c r="J3974" s="11"/>
      <c r="K3974" s="11"/>
      <c r="L3974" s="11"/>
      <c r="M3974" s="12"/>
      <c r="N3974" s="12"/>
      <c r="O3974" s="11"/>
      <c r="P3974" s="11"/>
    </row>
    <row r="3975" spans="1:16" ht="12.75" x14ac:dyDescent="0.35">
      <c r="A3975" s="11"/>
      <c r="B3975" s="9"/>
      <c r="C3975" s="9"/>
      <c r="D3975" s="9"/>
      <c r="E3975" s="11"/>
      <c r="F3975" s="11"/>
      <c r="G3975" s="11"/>
      <c r="H3975" s="11"/>
      <c r="I3975" s="11"/>
      <c r="J3975" s="11"/>
      <c r="K3975" s="11"/>
      <c r="L3975" s="11"/>
      <c r="M3975" s="12"/>
      <c r="N3975" s="12"/>
      <c r="O3975" s="11"/>
      <c r="P3975" s="11"/>
    </row>
    <row r="3976" spans="1:16" ht="12.75" x14ac:dyDescent="0.35">
      <c r="A3976" s="11"/>
      <c r="B3976" s="9"/>
      <c r="C3976" s="9"/>
      <c r="D3976" s="9"/>
      <c r="E3976" s="11"/>
      <c r="F3976" s="11"/>
      <c r="G3976" s="11"/>
      <c r="H3976" s="11"/>
      <c r="I3976" s="11"/>
      <c r="J3976" s="11"/>
      <c r="K3976" s="11"/>
      <c r="L3976" s="11"/>
      <c r="M3976" s="12"/>
      <c r="N3976" s="12"/>
      <c r="O3976" s="11"/>
      <c r="P3976" s="11"/>
    </row>
    <row r="3977" spans="1:16" ht="12.75" x14ac:dyDescent="0.35">
      <c r="A3977" s="11"/>
      <c r="B3977" s="9"/>
      <c r="C3977" s="9"/>
      <c r="D3977" s="9"/>
      <c r="E3977" s="11"/>
      <c r="F3977" s="11"/>
      <c r="G3977" s="11"/>
      <c r="H3977" s="11"/>
      <c r="I3977" s="11"/>
      <c r="J3977" s="11"/>
      <c r="K3977" s="11"/>
      <c r="L3977" s="11"/>
      <c r="M3977" s="12"/>
      <c r="N3977" s="12"/>
      <c r="O3977" s="11"/>
      <c r="P3977" s="11"/>
    </row>
    <row r="3978" spans="1:16" ht="12.75" x14ac:dyDescent="0.35">
      <c r="A3978" s="11"/>
      <c r="B3978" s="9"/>
      <c r="C3978" s="9"/>
      <c r="D3978" s="9"/>
      <c r="E3978" s="11"/>
      <c r="F3978" s="11"/>
      <c r="G3978" s="11"/>
      <c r="H3978" s="11"/>
      <c r="I3978" s="11"/>
      <c r="J3978" s="11"/>
      <c r="K3978" s="11"/>
      <c r="L3978" s="11"/>
      <c r="M3978" s="12"/>
      <c r="N3978" s="12"/>
      <c r="O3978" s="11"/>
      <c r="P3978" s="11"/>
    </row>
    <row r="3979" spans="1:16" ht="12.75" x14ac:dyDescent="0.35">
      <c r="A3979" s="11"/>
      <c r="B3979" s="9"/>
      <c r="C3979" s="9"/>
      <c r="D3979" s="9"/>
      <c r="E3979" s="11"/>
      <c r="F3979" s="11"/>
      <c r="G3979" s="11"/>
      <c r="H3979" s="11"/>
      <c r="I3979" s="11"/>
      <c r="J3979" s="11"/>
      <c r="K3979" s="11"/>
      <c r="L3979" s="11"/>
      <c r="M3979" s="12"/>
      <c r="N3979" s="12"/>
      <c r="O3979" s="11"/>
      <c r="P3979" s="11"/>
    </row>
    <row r="3980" spans="1:16" ht="12.75" x14ac:dyDescent="0.35">
      <c r="A3980" s="11"/>
      <c r="B3980" s="9"/>
      <c r="C3980" s="9"/>
      <c r="D3980" s="9"/>
      <c r="E3980" s="11"/>
      <c r="F3980" s="11"/>
      <c r="G3980" s="11"/>
      <c r="H3980" s="11"/>
      <c r="I3980" s="11"/>
      <c r="J3980" s="11"/>
      <c r="K3980" s="11"/>
      <c r="L3980" s="11"/>
      <c r="M3980" s="12"/>
      <c r="N3980" s="12"/>
      <c r="O3980" s="11"/>
      <c r="P3980" s="11"/>
    </row>
    <row r="3981" spans="1:16" ht="12.75" x14ac:dyDescent="0.35">
      <c r="A3981" s="11"/>
      <c r="B3981" s="9"/>
      <c r="C3981" s="9"/>
      <c r="D3981" s="9"/>
      <c r="E3981" s="11"/>
      <c r="F3981" s="11"/>
      <c r="G3981" s="11"/>
      <c r="H3981" s="11"/>
      <c r="I3981" s="11"/>
      <c r="J3981" s="11"/>
      <c r="K3981" s="11"/>
      <c r="L3981" s="11"/>
      <c r="M3981" s="12"/>
      <c r="N3981" s="12"/>
      <c r="O3981" s="11"/>
      <c r="P3981" s="11"/>
    </row>
    <row r="3982" spans="1:16" ht="12.75" x14ac:dyDescent="0.35">
      <c r="A3982" s="11"/>
      <c r="B3982" s="9"/>
      <c r="C3982" s="9"/>
      <c r="D3982" s="9"/>
      <c r="E3982" s="11"/>
      <c r="F3982" s="11"/>
      <c r="G3982" s="11"/>
      <c r="H3982" s="11"/>
      <c r="I3982" s="11"/>
      <c r="J3982" s="11"/>
      <c r="K3982" s="11"/>
      <c r="L3982" s="11"/>
      <c r="M3982" s="12"/>
      <c r="N3982" s="12"/>
      <c r="O3982" s="11"/>
      <c r="P3982" s="11"/>
    </row>
    <row r="3983" spans="1:16" ht="12.75" x14ac:dyDescent="0.35">
      <c r="A3983" s="11"/>
      <c r="B3983" s="9"/>
      <c r="C3983" s="9"/>
      <c r="D3983" s="9"/>
      <c r="E3983" s="11"/>
      <c r="F3983" s="11"/>
      <c r="G3983" s="11"/>
      <c r="H3983" s="11"/>
      <c r="I3983" s="11"/>
      <c r="J3983" s="11"/>
      <c r="K3983" s="11"/>
      <c r="L3983" s="11"/>
      <c r="M3983" s="12"/>
      <c r="N3983" s="12"/>
      <c r="O3983" s="11"/>
      <c r="P3983" s="11"/>
    </row>
    <row r="3984" spans="1:16" ht="12.75" x14ac:dyDescent="0.35">
      <c r="A3984" s="11"/>
      <c r="B3984" s="9"/>
      <c r="C3984" s="9"/>
      <c r="D3984" s="9"/>
      <c r="E3984" s="11"/>
      <c r="F3984" s="11"/>
      <c r="G3984" s="11"/>
      <c r="H3984" s="11"/>
      <c r="I3984" s="11"/>
      <c r="J3984" s="11"/>
      <c r="K3984" s="11"/>
      <c r="L3984" s="11"/>
      <c r="M3984" s="12"/>
      <c r="N3984" s="12"/>
      <c r="O3984" s="11"/>
      <c r="P3984" s="11"/>
    </row>
    <row r="3985" spans="1:16" ht="12.75" x14ac:dyDescent="0.35">
      <c r="A3985" s="11"/>
      <c r="B3985" s="9"/>
      <c r="C3985" s="9"/>
      <c r="D3985" s="9"/>
      <c r="E3985" s="11"/>
      <c r="F3985" s="11"/>
      <c r="G3985" s="11"/>
      <c r="H3985" s="11"/>
      <c r="I3985" s="11"/>
      <c r="J3985" s="11"/>
      <c r="K3985" s="11"/>
      <c r="L3985" s="11"/>
      <c r="M3985" s="12"/>
      <c r="N3985" s="12"/>
      <c r="O3985" s="11"/>
      <c r="P3985" s="11"/>
    </row>
    <row r="3986" spans="1:16" ht="12.75" x14ac:dyDescent="0.35">
      <c r="A3986" s="11"/>
      <c r="B3986" s="9"/>
      <c r="C3986" s="9"/>
      <c r="D3986" s="9"/>
      <c r="E3986" s="11"/>
      <c r="F3986" s="11"/>
      <c r="G3986" s="11"/>
      <c r="H3986" s="11"/>
      <c r="I3986" s="11"/>
      <c r="J3986" s="11"/>
      <c r="K3986" s="11"/>
      <c r="L3986" s="11"/>
      <c r="M3986" s="12"/>
      <c r="N3986" s="12"/>
      <c r="O3986" s="11"/>
      <c r="P3986" s="11"/>
    </row>
    <row r="3987" spans="1:16" ht="12.75" x14ac:dyDescent="0.35">
      <c r="A3987" s="11"/>
      <c r="B3987" s="9"/>
      <c r="C3987" s="9"/>
      <c r="D3987" s="9"/>
      <c r="E3987" s="11"/>
      <c r="F3987" s="11"/>
      <c r="G3987" s="11"/>
      <c r="H3987" s="11"/>
      <c r="I3987" s="11"/>
      <c r="J3987" s="11"/>
      <c r="K3987" s="11"/>
      <c r="L3987" s="11"/>
      <c r="M3987" s="12"/>
      <c r="N3987" s="12"/>
      <c r="O3987" s="11"/>
      <c r="P3987" s="11"/>
    </row>
    <row r="3988" spans="1:16" ht="12.75" x14ac:dyDescent="0.35">
      <c r="A3988" s="11"/>
      <c r="B3988" s="9"/>
      <c r="C3988" s="9"/>
      <c r="D3988" s="9"/>
      <c r="E3988" s="11"/>
      <c r="F3988" s="11"/>
      <c r="G3988" s="11"/>
      <c r="H3988" s="11"/>
      <c r="I3988" s="11"/>
      <c r="J3988" s="11"/>
      <c r="K3988" s="11"/>
      <c r="L3988" s="11"/>
      <c r="M3988" s="12"/>
      <c r="N3988" s="12"/>
      <c r="O3988" s="11"/>
      <c r="P3988" s="11"/>
    </row>
    <row r="3989" spans="1:16" ht="12.75" x14ac:dyDescent="0.35">
      <c r="A3989" s="11"/>
      <c r="B3989" s="9"/>
      <c r="C3989" s="9"/>
      <c r="D3989" s="9"/>
      <c r="E3989" s="11"/>
      <c r="F3989" s="11"/>
      <c r="G3989" s="11"/>
      <c r="H3989" s="11"/>
      <c r="I3989" s="11"/>
      <c r="J3989" s="11"/>
      <c r="K3989" s="11"/>
      <c r="L3989" s="11"/>
      <c r="M3989" s="12"/>
      <c r="N3989" s="12"/>
      <c r="O3989" s="11"/>
      <c r="P3989" s="11"/>
    </row>
    <row r="3990" spans="1:16" ht="12.75" x14ac:dyDescent="0.35">
      <c r="A3990" s="11"/>
      <c r="B3990" s="9"/>
      <c r="C3990" s="9"/>
      <c r="D3990" s="9"/>
      <c r="E3990" s="11"/>
      <c r="F3990" s="11"/>
      <c r="G3990" s="11"/>
      <c r="H3990" s="11"/>
      <c r="I3990" s="11"/>
      <c r="J3990" s="11"/>
      <c r="K3990" s="11"/>
      <c r="L3990" s="11"/>
      <c r="M3990" s="12"/>
      <c r="N3990" s="12"/>
      <c r="O3990" s="11"/>
      <c r="P3990" s="11"/>
    </row>
    <row r="3991" spans="1:16" ht="12.75" x14ac:dyDescent="0.35">
      <c r="A3991" s="11"/>
      <c r="B3991" s="9"/>
      <c r="C3991" s="9"/>
      <c r="D3991" s="9"/>
      <c r="E3991" s="11"/>
      <c r="F3991" s="11"/>
      <c r="G3991" s="11"/>
      <c r="H3991" s="11"/>
      <c r="I3991" s="11"/>
      <c r="J3991" s="11"/>
      <c r="K3991" s="11"/>
      <c r="L3991" s="11"/>
      <c r="M3991" s="12"/>
      <c r="N3991" s="12"/>
      <c r="O3991" s="11"/>
      <c r="P3991" s="11"/>
    </row>
    <row r="3992" spans="1:16" ht="12.75" x14ac:dyDescent="0.35">
      <c r="A3992" s="11"/>
      <c r="B3992" s="9"/>
      <c r="C3992" s="9"/>
      <c r="D3992" s="9"/>
      <c r="E3992" s="11"/>
      <c r="F3992" s="11"/>
      <c r="G3992" s="11"/>
      <c r="H3992" s="11"/>
      <c r="I3992" s="11"/>
      <c r="J3992" s="11"/>
      <c r="K3992" s="11"/>
      <c r="L3992" s="11"/>
      <c r="M3992" s="12"/>
      <c r="N3992" s="12"/>
      <c r="O3992" s="11"/>
      <c r="P3992" s="11"/>
    </row>
    <row r="3993" spans="1:16" ht="12.75" x14ac:dyDescent="0.35">
      <c r="A3993" s="11"/>
      <c r="B3993" s="9"/>
      <c r="C3993" s="9"/>
      <c r="D3993" s="9"/>
      <c r="E3993" s="11"/>
      <c r="F3993" s="11"/>
      <c r="G3993" s="11"/>
      <c r="H3993" s="11"/>
      <c r="I3993" s="11"/>
      <c r="J3993" s="11"/>
      <c r="K3993" s="11"/>
      <c r="L3993" s="11"/>
      <c r="M3993" s="12"/>
      <c r="N3993" s="12"/>
      <c r="O3993" s="11"/>
      <c r="P3993" s="11"/>
    </row>
    <row r="3994" spans="1:16" ht="12.75" x14ac:dyDescent="0.35">
      <c r="A3994" s="11"/>
      <c r="B3994" s="9"/>
      <c r="C3994" s="9"/>
      <c r="D3994" s="9"/>
      <c r="E3994" s="11"/>
      <c r="F3994" s="11"/>
      <c r="G3994" s="11"/>
      <c r="H3994" s="11"/>
      <c r="I3994" s="11"/>
      <c r="J3994" s="11"/>
      <c r="K3994" s="11"/>
      <c r="L3994" s="11"/>
      <c r="M3994" s="12"/>
      <c r="N3994" s="12"/>
      <c r="O3994" s="11"/>
      <c r="P3994" s="11"/>
    </row>
    <row r="3995" spans="1:16" ht="12.75" x14ac:dyDescent="0.35">
      <c r="A3995" s="11"/>
      <c r="B3995" s="9"/>
      <c r="C3995" s="9"/>
      <c r="D3995" s="9"/>
      <c r="E3995" s="11"/>
      <c r="F3995" s="11"/>
      <c r="G3995" s="11"/>
      <c r="H3995" s="11"/>
      <c r="I3995" s="11"/>
      <c r="J3995" s="11"/>
      <c r="K3995" s="11"/>
      <c r="L3995" s="11"/>
      <c r="M3995" s="12"/>
      <c r="N3995" s="12"/>
      <c r="O3995" s="11"/>
      <c r="P3995" s="11"/>
    </row>
    <row r="3996" spans="1:16" ht="12.75" x14ac:dyDescent="0.35">
      <c r="A3996" s="11"/>
      <c r="B3996" s="9"/>
      <c r="C3996" s="9"/>
      <c r="D3996" s="9"/>
      <c r="E3996" s="11"/>
      <c r="F3996" s="11"/>
      <c r="G3996" s="11"/>
      <c r="H3996" s="11"/>
      <c r="I3996" s="11"/>
      <c r="J3996" s="11"/>
      <c r="K3996" s="11"/>
      <c r="L3996" s="11"/>
      <c r="M3996" s="12"/>
      <c r="N3996" s="12"/>
      <c r="O3996" s="11"/>
      <c r="P3996" s="11"/>
    </row>
    <row r="3997" spans="1:16" ht="12.75" x14ac:dyDescent="0.35">
      <c r="A3997" s="11"/>
      <c r="B3997" s="9"/>
      <c r="C3997" s="9"/>
      <c r="D3997" s="9"/>
      <c r="E3997" s="11"/>
      <c r="F3997" s="11"/>
      <c r="G3997" s="11"/>
      <c r="H3997" s="11"/>
      <c r="I3997" s="11"/>
      <c r="J3997" s="11"/>
      <c r="K3997" s="11"/>
      <c r="L3997" s="11"/>
      <c r="M3997" s="12"/>
      <c r="N3997" s="12"/>
      <c r="O3997" s="11"/>
      <c r="P3997" s="11"/>
    </row>
    <row r="3998" spans="1:16" ht="12.75" x14ac:dyDescent="0.35">
      <c r="A3998" s="11"/>
      <c r="B3998" s="9"/>
      <c r="C3998" s="9"/>
      <c r="D3998" s="9"/>
      <c r="E3998" s="11"/>
      <c r="F3998" s="11"/>
      <c r="G3998" s="11"/>
      <c r="H3998" s="11"/>
      <c r="I3998" s="11"/>
      <c r="J3998" s="11"/>
      <c r="K3998" s="11"/>
      <c r="L3998" s="11"/>
      <c r="M3998" s="12"/>
      <c r="N3998" s="12"/>
      <c r="O3998" s="11"/>
      <c r="P3998" s="11"/>
    </row>
    <row r="3999" spans="1:16" ht="12.75" x14ac:dyDescent="0.35">
      <c r="A3999" s="11"/>
      <c r="B3999" s="9"/>
      <c r="C3999" s="9"/>
      <c r="D3999" s="9"/>
      <c r="E3999" s="11"/>
      <c r="F3999" s="11"/>
      <c r="G3999" s="11"/>
      <c r="H3999" s="11"/>
      <c r="I3999" s="11"/>
      <c r="J3999" s="11"/>
      <c r="K3999" s="11"/>
      <c r="L3999" s="11"/>
      <c r="M3999" s="12"/>
      <c r="N3999" s="12"/>
      <c r="O3999" s="11"/>
      <c r="P3999" s="11"/>
    </row>
    <row r="4000" spans="1:16" ht="12.75" x14ac:dyDescent="0.35">
      <c r="A4000" s="11"/>
      <c r="B4000" s="9"/>
      <c r="C4000" s="9"/>
      <c r="D4000" s="9"/>
      <c r="E4000" s="11"/>
      <c r="F4000" s="11"/>
      <c r="G4000" s="11"/>
      <c r="H4000" s="11"/>
      <c r="I4000" s="11"/>
      <c r="J4000" s="11"/>
      <c r="K4000" s="11"/>
      <c r="L4000" s="11"/>
      <c r="M4000" s="12"/>
      <c r="N4000" s="12"/>
      <c r="O4000" s="11"/>
      <c r="P4000" s="11"/>
    </row>
    <row r="4001" spans="1:16" ht="12.75" x14ac:dyDescent="0.35">
      <c r="A4001" s="11"/>
      <c r="B4001" s="9"/>
      <c r="C4001" s="9"/>
      <c r="D4001" s="9"/>
      <c r="E4001" s="11"/>
      <c r="F4001" s="11"/>
      <c r="G4001" s="11"/>
      <c r="H4001" s="11"/>
      <c r="I4001" s="11"/>
      <c r="J4001" s="11"/>
      <c r="K4001" s="11"/>
      <c r="L4001" s="11"/>
      <c r="M4001" s="12"/>
      <c r="N4001" s="12"/>
      <c r="O4001" s="11"/>
      <c r="P4001" s="11"/>
    </row>
    <row r="4002" spans="1:16" ht="12.75" x14ac:dyDescent="0.35">
      <c r="A4002" s="11"/>
      <c r="B4002" s="9"/>
      <c r="C4002" s="9"/>
      <c r="D4002" s="9"/>
      <c r="E4002" s="11"/>
      <c r="F4002" s="11"/>
      <c r="G4002" s="11"/>
      <c r="H4002" s="11"/>
      <c r="I4002" s="11"/>
      <c r="J4002" s="11"/>
      <c r="K4002" s="11"/>
      <c r="L4002" s="11"/>
      <c r="M4002" s="12"/>
      <c r="N4002" s="12"/>
      <c r="O4002" s="11"/>
      <c r="P4002" s="11"/>
    </row>
    <row r="4003" spans="1:16" ht="12.75" x14ac:dyDescent="0.35">
      <c r="A4003" s="11"/>
      <c r="B4003" s="9"/>
      <c r="C4003" s="9"/>
      <c r="D4003" s="9"/>
      <c r="E4003" s="11"/>
      <c r="F4003" s="11"/>
      <c r="G4003" s="11"/>
      <c r="H4003" s="11"/>
      <c r="I4003" s="11"/>
      <c r="J4003" s="11"/>
      <c r="K4003" s="11"/>
      <c r="L4003" s="11"/>
      <c r="M4003" s="12"/>
      <c r="N4003" s="12"/>
      <c r="O4003" s="11"/>
      <c r="P4003" s="11"/>
    </row>
    <row r="4004" spans="1:16" ht="12.75" x14ac:dyDescent="0.35">
      <c r="A4004" s="11"/>
      <c r="B4004" s="9"/>
      <c r="C4004" s="9"/>
      <c r="D4004" s="9"/>
      <c r="E4004" s="11"/>
      <c r="F4004" s="11"/>
      <c r="G4004" s="11"/>
      <c r="H4004" s="11"/>
      <c r="I4004" s="11"/>
      <c r="J4004" s="11"/>
      <c r="K4004" s="11"/>
      <c r="L4004" s="11"/>
      <c r="M4004" s="12"/>
      <c r="N4004" s="12"/>
      <c r="O4004" s="11"/>
      <c r="P4004" s="11"/>
    </row>
    <row r="4005" spans="1:16" ht="12.75" x14ac:dyDescent="0.35">
      <c r="A4005" s="11"/>
      <c r="B4005" s="9"/>
      <c r="C4005" s="9"/>
      <c r="D4005" s="9"/>
      <c r="E4005" s="11"/>
      <c r="F4005" s="11"/>
      <c r="G4005" s="11"/>
      <c r="H4005" s="11"/>
      <c r="I4005" s="11"/>
      <c r="J4005" s="11"/>
      <c r="K4005" s="11"/>
      <c r="L4005" s="11"/>
      <c r="M4005" s="12"/>
      <c r="N4005" s="12"/>
      <c r="O4005" s="11"/>
      <c r="P4005" s="11"/>
    </row>
    <row r="4006" spans="1:16" ht="12.75" x14ac:dyDescent="0.35">
      <c r="A4006" s="11"/>
      <c r="B4006" s="9"/>
      <c r="C4006" s="9"/>
      <c r="D4006" s="9"/>
      <c r="E4006" s="11"/>
      <c r="F4006" s="11"/>
      <c r="G4006" s="11"/>
      <c r="H4006" s="11"/>
      <c r="I4006" s="11"/>
      <c r="J4006" s="11"/>
      <c r="K4006" s="11"/>
      <c r="L4006" s="11"/>
      <c r="M4006" s="12"/>
      <c r="N4006" s="12"/>
      <c r="O4006" s="11"/>
      <c r="P4006" s="11"/>
    </row>
    <row r="4007" spans="1:16" ht="12.75" x14ac:dyDescent="0.35">
      <c r="A4007" s="11"/>
      <c r="B4007" s="9"/>
      <c r="C4007" s="9"/>
      <c r="D4007" s="9"/>
      <c r="E4007" s="11"/>
      <c r="F4007" s="11"/>
      <c r="G4007" s="11"/>
      <c r="H4007" s="11"/>
      <c r="I4007" s="11"/>
      <c r="J4007" s="11"/>
      <c r="K4007" s="11"/>
      <c r="L4007" s="11"/>
      <c r="M4007" s="12"/>
      <c r="N4007" s="12"/>
      <c r="O4007" s="11"/>
      <c r="P4007" s="11"/>
    </row>
    <row r="4008" spans="1:16" ht="12.75" x14ac:dyDescent="0.35">
      <c r="A4008" s="11"/>
      <c r="B4008" s="9"/>
      <c r="C4008" s="9"/>
      <c r="D4008" s="9"/>
      <c r="E4008" s="11"/>
      <c r="F4008" s="11"/>
      <c r="G4008" s="11"/>
      <c r="H4008" s="11"/>
      <c r="I4008" s="11"/>
      <c r="J4008" s="11"/>
      <c r="K4008" s="11"/>
      <c r="L4008" s="11"/>
      <c r="M4008" s="12"/>
      <c r="N4008" s="12"/>
      <c r="O4008" s="11"/>
      <c r="P4008" s="11"/>
    </row>
    <row r="4009" spans="1:16" ht="12.75" x14ac:dyDescent="0.35">
      <c r="A4009" s="11"/>
      <c r="B4009" s="9"/>
      <c r="C4009" s="9"/>
      <c r="D4009" s="9"/>
      <c r="E4009" s="11"/>
      <c r="F4009" s="11"/>
      <c r="G4009" s="11"/>
      <c r="H4009" s="11"/>
      <c r="I4009" s="11"/>
      <c r="J4009" s="11"/>
      <c r="K4009" s="11"/>
      <c r="L4009" s="11"/>
      <c r="M4009" s="12"/>
      <c r="N4009" s="12"/>
      <c r="O4009" s="11"/>
      <c r="P4009" s="11"/>
    </row>
    <row r="4010" spans="1:16" ht="12.75" x14ac:dyDescent="0.35">
      <c r="A4010" s="11"/>
      <c r="B4010" s="9"/>
      <c r="C4010" s="9"/>
      <c r="D4010" s="9"/>
      <c r="E4010" s="11"/>
      <c r="F4010" s="11"/>
      <c r="G4010" s="11"/>
      <c r="H4010" s="11"/>
      <c r="I4010" s="11"/>
      <c r="J4010" s="11"/>
      <c r="K4010" s="11"/>
      <c r="L4010" s="11"/>
      <c r="M4010" s="12"/>
      <c r="N4010" s="12"/>
      <c r="O4010" s="11"/>
      <c r="P4010" s="11"/>
    </row>
    <row r="4011" spans="1:16" ht="12.75" x14ac:dyDescent="0.35">
      <c r="A4011" s="11"/>
      <c r="B4011" s="9"/>
      <c r="C4011" s="9"/>
      <c r="D4011" s="9"/>
      <c r="E4011" s="11"/>
      <c r="F4011" s="11"/>
      <c r="G4011" s="11"/>
      <c r="H4011" s="11"/>
      <c r="I4011" s="11"/>
      <c r="J4011" s="11"/>
      <c r="K4011" s="11"/>
      <c r="L4011" s="11"/>
      <c r="M4011" s="12"/>
      <c r="N4011" s="12"/>
      <c r="O4011" s="11"/>
      <c r="P4011" s="11"/>
    </row>
    <row r="4012" spans="1:16" ht="12.75" x14ac:dyDescent="0.35">
      <c r="A4012" s="11"/>
      <c r="B4012" s="9"/>
      <c r="C4012" s="9"/>
      <c r="D4012" s="9"/>
      <c r="E4012" s="11"/>
      <c r="F4012" s="11"/>
      <c r="G4012" s="11"/>
      <c r="H4012" s="11"/>
      <c r="I4012" s="11"/>
      <c r="J4012" s="11"/>
      <c r="K4012" s="11"/>
      <c r="L4012" s="11"/>
      <c r="M4012" s="12"/>
      <c r="N4012" s="12"/>
      <c r="O4012" s="11"/>
      <c r="P4012" s="11"/>
    </row>
    <row r="4013" spans="1:16" ht="12.75" x14ac:dyDescent="0.35">
      <c r="A4013" s="11"/>
      <c r="B4013" s="9"/>
      <c r="C4013" s="9"/>
      <c r="D4013" s="9"/>
      <c r="E4013" s="11"/>
      <c r="F4013" s="11"/>
      <c r="G4013" s="11"/>
      <c r="H4013" s="11"/>
      <c r="I4013" s="11"/>
      <c r="J4013" s="11"/>
      <c r="K4013" s="11"/>
      <c r="L4013" s="11"/>
      <c r="M4013" s="12"/>
      <c r="N4013" s="12"/>
      <c r="O4013" s="11"/>
      <c r="P4013" s="11"/>
    </row>
    <row r="4014" spans="1:16" ht="12.75" x14ac:dyDescent="0.35">
      <c r="A4014" s="11"/>
      <c r="B4014" s="9"/>
      <c r="C4014" s="9"/>
      <c r="D4014" s="9"/>
      <c r="E4014" s="11"/>
      <c r="F4014" s="11"/>
      <c r="G4014" s="11"/>
      <c r="H4014" s="11"/>
      <c r="I4014" s="11"/>
      <c r="J4014" s="11"/>
      <c r="K4014" s="11"/>
      <c r="L4014" s="11"/>
      <c r="M4014" s="12"/>
      <c r="N4014" s="12"/>
      <c r="O4014" s="11"/>
      <c r="P4014" s="11"/>
    </row>
    <row r="4015" spans="1:16" ht="12.75" x14ac:dyDescent="0.35">
      <c r="A4015" s="11"/>
      <c r="B4015" s="9"/>
      <c r="C4015" s="9"/>
      <c r="D4015" s="9"/>
      <c r="E4015" s="11"/>
      <c r="F4015" s="11"/>
      <c r="G4015" s="11"/>
      <c r="H4015" s="11"/>
      <c r="I4015" s="11"/>
      <c r="J4015" s="11"/>
      <c r="K4015" s="11"/>
      <c r="L4015" s="11"/>
      <c r="M4015" s="12"/>
      <c r="N4015" s="12"/>
      <c r="O4015" s="11"/>
      <c r="P4015" s="11"/>
    </row>
    <row r="4016" spans="1:16" ht="12.75" x14ac:dyDescent="0.35">
      <c r="A4016" s="11"/>
      <c r="B4016" s="9"/>
      <c r="C4016" s="9"/>
      <c r="D4016" s="9"/>
      <c r="E4016" s="11"/>
      <c r="F4016" s="11"/>
      <c r="G4016" s="11"/>
      <c r="H4016" s="11"/>
      <c r="I4016" s="11"/>
      <c r="J4016" s="11"/>
      <c r="K4016" s="11"/>
      <c r="L4016" s="11"/>
      <c r="M4016" s="12"/>
      <c r="N4016" s="12"/>
      <c r="O4016" s="11"/>
      <c r="P4016" s="11"/>
    </row>
    <row r="4017" spans="1:16" ht="12.75" x14ac:dyDescent="0.35">
      <c r="A4017" s="11"/>
      <c r="B4017" s="9"/>
      <c r="C4017" s="9"/>
      <c r="D4017" s="9"/>
      <c r="E4017" s="11"/>
      <c r="F4017" s="11"/>
      <c r="G4017" s="11"/>
      <c r="H4017" s="11"/>
      <c r="I4017" s="11"/>
      <c r="J4017" s="11"/>
      <c r="K4017" s="11"/>
      <c r="L4017" s="11"/>
      <c r="M4017" s="12"/>
      <c r="N4017" s="12"/>
      <c r="O4017" s="11"/>
      <c r="P4017" s="11"/>
    </row>
    <row r="4018" spans="1:16" ht="12.75" x14ac:dyDescent="0.35">
      <c r="A4018" s="11"/>
      <c r="B4018" s="9"/>
      <c r="C4018" s="9"/>
      <c r="D4018" s="9"/>
      <c r="E4018" s="11"/>
      <c r="F4018" s="11"/>
      <c r="G4018" s="11"/>
      <c r="H4018" s="11"/>
      <c r="I4018" s="11"/>
      <c r="J4018" s="11"/>
      <c r="K4018" s="11"/>
      <c r="L4018" s="11"/>
      <c r="M4018" s="12"/>
      <c r="N4018" s="12"/>
      <c r="O4018" s="11"/>
      <c r="P4018" s="11"/>
    </row>
    <row r="4019" spans="1:16" ht="12.75" x14ac:dyDescent="0.35">
      <c r="A4019" s="11"/>
      <c r="B4019" s="9"/>
      <c r="C4019" s="9"/>
      <c r="D4019" s="9"/>
      <c r="E4019" s="11"/>
      <c r="F4019" s="11"/>
      <c r="G4019" s="11"/>
      <c r="H4019" s="11"/>
      <c r="I4019" s="11"/>
      <c r="J4019" s="11"/>
      <c r="K4019" s="11"/>
      <c r="L4019" s="11"/>
      <c r="M4019" s="12"/>
      <c r="N4019" s="12"/>
      <c r="O4019" s="11"/>
      <c r="P4019" s="11"/>
    </row>
    <row r="4020" spans="1:16" ht="12.75" x14ac:dyDescent="0.35">
      <c r="A4020" s="11"/>
      <c r="B4020" s="9"/>
      <c r="C4020" s="9"/>
      <c r="D4020" s="9"/>
      <c r="E4020" s="11"/>
      <c r="F4020" s="11"/>
      <c r="G4020" s="11"/>
      <c r="H4020" s="11"/>
      <c r="I4020" s="11"/>
      <c r="J4020" s="11"/>
      <c r="K4020" s="11"/>
      <c r="L4020" s="11"/>
      <c r="M4020" s="12"/>
      <c r="N4020" s="12"/>
      <c r="O4020" s="11"/>
      <c r="P4020" s="11"/>
    </row>
    <row r="4021" spans="1:16" ht="12.75" x14ac:dyDescent="0.35">
      <c r="A4021" s="11"/>
      <c r="B4021" s="9"/>
      <c r="C4021" s="9"/>
      <c r="D4021" s="9"/>
      <c r="E4021" s="11"/>
      <c r="F4021" s="11"/>
      <c r="G4021" s="11"/>
      <c r="H4021" s="11"/>
      <c r="I4021" s="11"/>
      <c r="J4021" s="11"/>
      <c r="K4021" s="11"/>
      <c r="L4021" s="11"/>
      <c r="M4021" s="12"/>
      <c r="N4021" s="12"/>
      <c r="O4021" s="11"/>
      <c r="P4021" s="11"/>
    </row>
    <row r="4022" spans="1:16" ht="12.75" x14ac:dyDescent="0.35">
      <c r="A4022" s="11"/>
      <c r="B4022" s="9"/>
      <c r="C4022" s="9"/>
      <c r="D4022" s="9"/>
      <c r="E4022" s="11"/>
      <c r="F4022" s="11"/>
      <c r="G4022" s="11"/>
      <c r="H4022" s="11"/>
      <c r="I4022" s="11"/>
      <c r="J4022" s="11"/>
      <c r="K4022" s="11"/>
      <c r="L4022" s="11"/>
      <c r="M4022" s="12"/>
      <c r="N4022" s="12"/>
      <c r="O4022" s="11"/>
      <c r="P4022" s="11"/>
    </row>
    <row r="4023" spans="1:16" ht="12.75" x14ac:dyDescent="0.35">
      <c r="A4023" s="11"/>
      <c r="B4023" s="9"/>
      <c r="C4023" s="9"/>
      <c r="D4023" s="9"/>
      <c r="E4023" s="11"/>
      <c r="F4023" s="11"/>
      <c r="G4023" s="11"/>
      <c r="H4023" s="11"/>
      <c r="I4023" s="11"/>
      <c r="J4023" s="11"/>
      <c r="K4023" s="11"/>
      <c r="L4023" s="11"/>
      <c r="M4023" s="12"/>
      <c r="N4023" s="12"/>
      <c r="O4023" s="11"/>
      <c r="P4023" s="11"/>
    </row>
    <row r="4024" spans="1:16" ht="12.75" x14ac:dyDescent="0.35">
      <c r="A4024" s="11"/>
      <c r="B4024" s="9"/>
      <c r="C4024" s="9"/>
      <c r="D4024" s="9"/>
      <c r="E4024" s="11"/>
      <c r="F4024" s="11"/>
      <c r="G4024" s="11"/>
      <c r="H4024" s="11"/>
      <c r="I4024" s="11"/>
      <c r="J4024" s="11"/>
      <c r="K4024" s="11"/>
      <c r="L4024" s="11"/>
      <c r="M4024" s="12"/>
      <c r="N4024" s="12"/>
      <c r="O4024" s="11"/>
      <c r="P4024" s="11"/>
    </row>
    <row r="4025" spans="1:16" ht="12.75" x14ac:dyDescent="0.35">
      <c r="A4025" s="11"/>
      <c r="B4025" s="9"/>
      <c r="C4025" s="9"/>
      <c r="D4025" s="9"/>
      <c r="E4025" s="11"/>
      <c r="F4025" s="11"/>
      <c r="G4025" s="11"/>
      <c r="H4025" s="11"/>
      <c r="I4025" s="11"/>
      <c r="J4025" s="11"/>
      <c r="K4025" s="11"/>
      <c r="L4025" s="11"/>
      <c r="M4025" s="12"/>
      <c r="N4025" s="12"/>
      <c r="O4025" s="11"/>
      <c r="P4025" s="11"/>
    </row>
    <row r="4026" spans="1:16" ht="12.75" x14ac:dyDescent="0.35">
      <c r="A4026" s="11"/>
      <c r="B4026" s="9"/>
      <c r="C4026" s="9"/>
      <c r="D4026" s="9"/>
      <c r="E4026" s="11"/>
      <c r="F4026" s="11"/>
      <c r="G4026" s="11"/>
      <c r="H4026" s="11"/>
      <c r="I4026" s="11"/>
      <c r="J4026" s="11"/>
      <c r="K4026" s="11"/>
      <c r="L4026" s="11"/>
      <c r="M4026" s="12"/>
      <c r="N4026" s="12"/>
      <c r="O4026" s="11"/>
      <c r="P4026" s="11"/>
    </row>
    <row r="4027" spans="1:16" ht="12.75" x14ac:dyDescent="0.35">
      <c r="A4027" s="11"/>
      <c r="B4027" s="9"/>
      <c r="C4027" s="9"/>
      <c r="D4027" s="9"/>
      <c r="E4027" s="11"/>
      <c r="F4027" s="11"/>
      <c r="G4027" s="11"/>
      <c r="H4027" s="11"/>
      <c r="I4027" s="11"/>
      <c r="J4027" s="11"/>
      <c r="K4027" s="11"/>
      <c r="L4027" s="11"/>
      <c r="M4027" s="12"/>
      <c r="N4027" s="12"/>
      <c r="O4027" s="11"/>
      <c r="P4027" s="11"/>
    </row>
    <row r="4028" spans="1:16" ht="12.75" x14ac:dyDescent="0.35">
      <c r="A4028" s="11"/>
      <c r="B4028" s="9"/>
      <c r="C4028" s="9"/>
      <c r="D4028" s="9"/>
      <c r="E4028" s="11"/>
      <c r="F4028" s="11"/>
      <c r="G4028" s="11"/>
      <c r="H4028" s="11"/>
      <c r="I4028" s="11"/>
      <c r="J4028" s="11"/>
      <c r="K4028" s="11"/>
      <c r="L4028" s="11"/>
      <c r="M4028" s="12"/>
      <c r="N4028" s="12"/>
      <c r="O4028" s="11"/>
      <c r="P4028" s="11"/>
    </row>
    <row r="4029" spans="1:16" ht="12.75" x14ac:dyDescent="0.35">
      <c r="A4029" s="11"/>
      <c r="B4029" s="9"/>
      <c r="C4029" s="9"/>
      <c r="D4029" s="9"/>
      <c r="E4029" s="11"/>
      <c r="F4029" s="11"/>
      <c r="G4029" s="11"/>
      <c r="H4029" s="11"/>
      <c r="I4029" s="11"/>
      <c r="J4029" s="11"/>
      <c r="K4029" s="11"/>
      <c r="L4029" s="11"/>
      <c r="M4029" s="12"/>
      <c r="N4029" s="12"/>
      <c r="O4029" s="11"/>
      <c r="P4029" s="11"/>
    </row>
    <row r="4030" spans="1:16" ht="12.75" x14ac:dyDescent="0.35">
      <c r="A4030" s="11"/>
      <c r="B4030" s="9"/>
      <c r="C4030" s="9"/>
      <c r="D4030" s="9"/>
      <c r="E4030" s="11"/>
      <c r="F4030" s="11"/>
      <c r="G4030" s="11"/>
      <c r="H4030" s="11"/>
      <c r="I4030" s="11"/>
      <c r="J4030" s="11"/>
      <c r="K4030" s="11"/>
      <c r="L4030" s="11"/>
      <c r="M4030" s="12"/>
      <c r="N4030" s="12"/>
      <c r="O4030" s="11"/>
      <c r="P4030" s="11"/>
    </row>
    <row r="4031" spans="1:16" ht="12.75" x14ac:dyDescent="0.35">
      <c r="A4031" s="11"/>
      <c r="B4031" s="9"/>
      <c r="C4031" s="9"/>
      <c r="D4031" s="9"/>
      <c r="E4031" s="11"/>
      <c r="F4031" s="11"/>
      <c r="G4031" s="11"/>
      <c r="H4031" s="11"/>
      <c r="I4031" s="11"/>
      <c r="J4031" s="11"/>
      <c r="K4031" s="11"/>
      <c r="L4031" s="11"/>
      <c r="M4031" s="12"/>
      <c r="N4031" s="12"/>
      <c r="O4031" s="11"/>
      <c r="P4031" s="11"/>
    </row>
    <row r="4032" spans="1:16" ht="12.75" x14ac:dyDescent="0.35">
      <c r="A4032" s="11"/>
      <c r="B4032" s="9"/>
      <c r="C4032" s="9"/>
      <c r="D4032" s="9"/>
      <c r="E4032" s="11"/>
      <c r="F4032" s="11"/>
      <c r="G4032" s="11"/>
      <c r="H4032" s="11"/>
      <c r="I4032" s="11"/>
      <c r="J4032" s="11"/>
      <c r="K4032" s="11"/>
      <c r="L4032" s="11"/>
      <c r="M4032" s="12"/>
      <c r="N4032" s="12"/>
      <c r="O4032" s="11"/>
      <c r="P4032" s="11"/>
    </row>
    <row r="4033" spans="1:16" ht="12.75" x14ac:dyDescent="0.35">
      <c r="A4033" s="11"/>
      <c r="B4033" s="9"/>
      <c r="C4033" s="9"/>
      <c r="D4033" s="9"/>
      <c r="E4033" s="11"/>
      <c r="F4033" s="11"/>
      <c r="G4033" s="11"/>
      <c r="H4033" s="11"/>
      <c r="I4033" s="11"/>
      <c r="J4033" s="11"/>
      <c r="K4033" s="11"/>
      <c r="L4033" s="11"/>
      <c r="M4033" s="12"/>
      <c r="N4033" s="12"/>
      <c r="O4033" s="11"/>
      <c r="P4033" s="11"/>
    </row>
    <row r="4034" spans="1:16" ht="12.75" x14ac:dyDescent="0.35">
      <c r="A4034" s="11"/>
      <c r="B4034" s="9"/>
      <c r="C4034" s="9"/>
      <c r="D4034" s="9"/>
      <c r="E4034" s="11"/>
      <c r="F4034" s="11"/>
      <c r="G4034" s="11"/>
      <c r="H4034" s="11"/>
      <c r="I4034" s="11"/>
      <c r="J4034" s="11"/>
      <c r="K4034" s="11"/>
      <c r="L4034" s="11"/>
      <c r="M4034" s="12"/>
      <c r="N4034" s="12"/>
      <c r="O4034" s="11"/>
      <c r="P4034" s="11"/>
    </row>
    <row r="4035" spans="1:16" ht="12.75" x14ac:dyDescent="0.35">
      <c r="A4035" s="11"/>
      <c r="B4035" s="9"/>
      <c r="C4035" s="9"/>
      <c r="D4035" s="9"/>
      <c r="E4035" s="11"/>
      <c r="F4035" s="11"/>
      <c r="G4035" s="11"/>
      <c r="H4035" s="11"/>
      <c r="I4035" s="11"/>
      <c r="J4035" s="11"/>
      <c r="K4035" s="11"/>
      <c r="L4035" s="11"/>
      <c r="M4035" s="12"/>
      <c r="N4035" s="12"/>
      <c r="O4035" s="11"/>
      <c r="P4035" s="11"/>
    </row>
    <row r="4036" spans="1:16" ht="12.75" x14ac:dyDescent="0.35">
      <c r="A4036" s="11"/>
      <c r="B4036" s="9"/>
      <c r="C4036" s="9"/>
      <c r="D4036" s="9"/>
      <c r="E4036" s="11"/>
      <c r="F4036" s="11"/>
      <c r="G4036" s="11"/>
      <c r="H4036" s="11"/>
      <c r="I4036" s="11"/>
      <c r="J4036" s="11"/>
      <c r="K4036" s="11"/>
      <c r="L4036" s="11"/>
      <c r="M4036" s="12"/>
      <c r="N4036" s="12"/>
      <c r="O4036" s="11"/>
      <c r="P4036" s="11"/>
    </row>
    <row r="4037" spans="1:16" ht="12.75" x14ac:dyDescent="0.35">
      <c r="A4037" s="11"/>
      <c r="B4037" s="9"/>
      <c r="C4037" s="9"/>
      <c r="D4037" s="9"/>
      <c r="E4037" s="11"/>
      <c r="F4037" s="11"/>
      <c r="G4037" s="11"/>
      <c r="H4037" s="11"/>
      <c r="I4037" s="11"/>
      <c r="J4037" s="11"/>
      <c r="K4037" s="11"/>
      <c r="L4037" s="11"/>
      <c r="M4037" s="12"/>
      <c r="N4037" s="12"/>
      <c r="O4037" s="11"/>
      <c r="P4037" s="11"/>
    </row>
    <row r="4038" spans="1:16" ht="12.75" x14ac:dyDescent="0.35">
      <c r="A4038" s="11"/>
      <c r="B4038" s="9"/>
      <c r="C4038" s="9"/>
      <c r="D4038" s="9"/>
      <c r="E4038" s="11"/>
      <c r="F4038" s="11"/>
      <c r="G4038" s="11"/>
      <c r="H4038" s="11"/>
      <c r="I4038" s="11"/>
      <c r="J4038" s="11"/>
      <c r="K4038" s="11"/>
      <c r="L4038" s="11"/>
      <c r="M4038" s="12"/>
      <c r="N4038" s="12"/>
      <c r="O4038" s="11"/>
      <c r="P4038" s="11"/>
    </row>
    <row r="4039" spans="1:16" ht="12.75" x14ac:dyDescent="0.35">
      <c r="A4039" s="11"/>
      <c r="B4039" s="9"/>
      <c r="C4039" s="9"/>
      <c r="D4039" s="9"/>
      <c r="E4039" s="11"/>
      <c r="F4039" s="11"/>
      <c r="G4039" s="11"/>
      <c r="H4039" s="11"/>
      <c r="I4039" s="11"/>
      <c r="J4039" s="11"/>
      <c r="K4039" s="11"/>
      <c r="L4039" s="11"/>
      <c r="M4039" s="12"/>
      <c r="N4039" s="12"/>
      <c r="O4039" s="11"/>
      <c r="P4039" s="11"/>
    </row>
    <row r="4040" spans="1:16" ht="12.75" x14ac:dyDescent="0.35">
      <c r="A4040" s="11"/>
      <c r="B4040" s="9"/>
      <c r="C4040" s="9"/>
      <c r="D4040" s="9"/>
      <c r="E4040" s="11"/>
      <c r="F4040" s="11"/>
      <c r="G4040" s="11"/>
      <c r="H4040" s="11"/>
      <c r="I4040" s="11"/>
      <c r="J4040" s="11"/>
      <c r="K4040" s="11"/>
      <c r="L4040" s="11"/>
      <c r="M4040" s="12"/>
      <c r="N4040" s="12"/>
      <c r="O4040" s="11"/>
      <c r="P4040" s="11"/>
    </row>
    <row r="4041" spans="1:16" ht="12.75" x14ac:dyDescent="0.35">
      <c r="A4041" s="11"/>
      <c r="B4041" s="9"/>
      <c r="C4041" s="9"/>
      <c r="D4041" s="9"/>
      <c r="E4041" s="11"/>
      <c r="F4041" s="11"/>
      <c r="G4041" s="11"/>
      <c r="H4041" s="11"/>
      <c r="I4041" s="11"/>
      <c r="J4041" s="11"/>
      <c r="K4041" s="11"/>
      <c r="L4041" s="11"/>
      <c r="M4041" s="12"/>
      <c r="N4041" s="12"/>
      <c r="O4041" s="11"/>
      <c r="P4041" s="11"/>
    </row>
    <row r="4042" spans="1:16" ht="12.75" x14ac:dyDescent="0.35">
      <c r="A4042" s="11"/>
      <c r="B4042" s="9"/>
      <c r="C4042" s="9"/>
      <c r="D4042" s="9"/>
      <c r="E4042" s="11"/>
      <c r="F4042" s="11"/>
      <c r="G4042" s="11"/>
      <c r="H4042" s="11"/>
      <c r="I4042" s="11"/>
      <c r="J4042" s="11"/>
      <c r="K4042" s="11"/>
      <c r="L4042" s="11"/>
      <c r="M4042" s="12"/>
      <c r="N4042" s="12"/>
      <c r="O4042" s="11"/>
      <c r="P4042" s="11"/>
    </row>
    <row r="4043" spans="1:16" ht="12.75" x14ac:dyDescent="0.35">
      <c r="A4043" s="11"/>
      <c r="B4043" s="9"/>
      <c r="C4043" s="9"/>
      <c r="D4043" s="9"/>
      <c r="E4043" s="11"/>
      <c r="F4043" s="11"/>
      <c r="G4043" s="11"/>
      <c r="H4043" s="11"/>
      <c r="I4043" s="11"/>
      <c r="J4043" s="11"/>
      <c r="K4043" s="11"/>
      <c r="L4043" s="11"/>
      <c r="M4043" s="12"/>
      <c r="N4043" s="12"/>
      <c r="O4043" s="11"/>
      <c r="P4043" s="11"/>
    </row>
    <row r="4044" spans="1:16" ht="12.75" x14ac:dyDescent="0.35">
      <c r="A4044" s="11"/>
      <c r="B4044" s="9"/>
      <c r="C4044" s="9"/>
      <c r="D4044" s="9"/>
      <c r="E4044" s="11"/>
      <c r="F4044" s="11"/>
      <c r="G4044" s="11"/>
      <c r="H4044" s="11"/>
      <c r="I4044" s="11"/>
      <c r="J4044" s="11"/>
      <c r="K4044" s="11"/>
      <c r="L4044" s="11"/>
      <c r="M4044" s="12"/>
      <c r="N4044" s="12"/>
      <c r="O4044" s="11"/>
      <c r="P4044" s="11"/>
    </row>
    <row r="4045" spans="1:16" ht="12.75" x14ac:dyDescent="0.35">
      <c r="A4045" s="11"/>
      <c r="B4045" s="9"/>
      <c r="C4045" s="9"/>
      <c r="D4045" s="9"/>
      <c r="E4045" s="11"/>
      <c r="F4045" s="11"/>
      <c r="G4045" s="11"/>
      <c r="H4045" s="11"/>
      <c r="I4045" s="11"/>
      <c r="J4045" s="11"/>
      <c r="K4045" s="11"/>
      <c r="L4045" s="11"/>
      <c r="M4045" s="12"/>
      <c r="N4045" s="12"/>
      <c r="O4045" s="11"/>
      <c r="P4045" s="11"/>
    </row>
    <row r="4046" spans="1:16" ht="12.75" x14ac:dyDescent="0.35">
      <c r="A4046" s="11"/>
      <c r="B4046" s="9"/>
      <c r="C4046" s="9"/>
      <c r="D4046" s="9"/>
      <c r="E4046" s="11"/>
      <c r="F4046" s="11"/>
      <c r="G4046" s="11"/>
      <c r="H4046" s="11"/>
      <c r="I4046" s="11"/>
      <c r="J4046" s="11"/>
      <c r="K4046" s="11"/>
      <c r="L4046" s="11"/>
      <c r="M4046" s="12"/>
      <c r="N4046" s="12"/>
      <c r="O4046" s="11"/>
      <c r="P4046" s="11"/>
    </row>
    <row r="4047" spans="1:16" ht="12.75" x14ac:dyDescent="0.35">
      <c r="A4047" s="11"/>
      <c r="B4047" s="9"/>
      <c r="C4047" s="9"/>
      <c r="D4047" s="9"/>
      <c r="E4047" s="11"/>
      <c r="F4047" s="11"/>
      <c r="G4047" s="11"/>
      <c r="H4047" s="11"/>
      <c r="I4047" s="11"/>
      <c r="J4047" s="11"/>
      <c r="K4047" s="11"/>
      <c r="L4047" s="11"/>
      <c r="M4047" s="12"/>
      <c r="N4047" s="12"/>
      <c r="O4047" s="11"/>
      <c r="P4047" s="11"/>
    </row>
    <row r="4048" spans="1:16" ht="12.75" x14ac:dyDescent="0.35">
      <c r="A4048" s="11"/>
      <c r="B4048" s="9"/>
      <c r="C4048" s="9"/>
      <c r="D4048" s="9"/>
      <c r="E4048" s="11"/>
      <c r="F4048" s="11"/>
      <c r="G4048" s="11"/>
      <c r="H4048" s="11"/>
      <c r="I4048" s="11"/>
      <c r="J4048" s="11"/>
      <c r="K4048" s="11"/>
      <c r="L4048" s="11"/>
      <c r="M4048" s="12"/>
      <c r="N4048" s="12"/>
      <c r="O4048" s="11"/>
      <c r="P4048" s="11"/>
    </row>
    <row r="4049" spans="1:16" ht="12.75" x14ac:dyDescent="0.35">
      <c r="A4049" s="11"/>
      <c r="B4049" s="9"/>
      <c r="C4049" s="9"/>
      <c r="D4049" s="9"/>
      <c r="E4049" s="11"/>
      <c r="F4049" s="11"/>
      <c r="G4049" s="11"/>
      <c r="H4049" s="11"/>
      <c r="I4049" s="11"/>
      <c r="J4049" s="11"/>
      <c r="K4049" s="11"/>
      <c r="L4049" s="11"/>
      <c r="M4049" s="12"/>
      <c r="N4049" s="12"/>
      <c r="O4049" s="11"/>
      <c r="P4049" s="11"/>
    </row>
    <row r="4050" spans="1:16" ht="12.75" x14ac:dyDescent="0.35">
      <c r="A4050" s="11"/>
      <c r="B4050" s="9"/>
      <c r="C4050" s="9"/>
      <c r="D4050" s="9"/>
      <c r="E4050" s="11"/>
      <c r="F4050" s="11"/>
      <c r="G4050" s="11"/>
      <c r="H4050" s="11"/>
      <c r="I4050" s="11"/>
      <c r="J4050" s="11"/>
      <c r="K4050" s="11"/>
      <c r="L4050" s="11"/>
      <c r="M4050" s="12"/>
      <c r="N4050" s="12"/>
      <c r="O4050" s="11"/>
      <c r="P4050" s="11"/>
    </row>
    <row r="4051" spans="1:16" ht="12.75" x14ac:dyDescent="0.35">
      <c r="A4051" s="11"/>
      <c r="B4051" s="9"/>
      <c r="C4051" s="9"/>
      <c r="D4051" s="9"/>
      <c r="E4051" s="11"/>
      <c r="F4051" s="11"/>
      <c r="G4051" s="11"/>
      <c r="H4051" s="11"/>
      <c r="I4051" s="11"/>
      <c r="J4051" s="11"/>
      <c r="K4051" s="11"/>
      <c r="L4051" s="11"/>
      <c r="M4051" s="12"/>
      <c r="N4051" s="12"/>
      <c r="O4051" s="11"/>
      <c r="P4051" s="11"/>
    </row>
    <row r="4052" spans="1:16" ht="12.75" x14ac:dyDescent="0.35">
      <c r="A4052" s="11"/>
      <c r="B4052" s="9"/>
      <c r="C4052" s="9"/>
      <c r="D4052" s="9"/>
      <c r="E4052" s="11"/>
      <c r="F4052" s="11"/>
      <c r="G4052" s="11"/>
      <c r="H4052" s="11"/>
      <c r="I4052" s="11"/>
      <c r="J4052" s="11"/>
      <c r="K4052" s="11"/>
      <c r="L4052" s="11"/>
      <c r="M4052" s="12"/>
      <c r="N4052" s="12"/>
      <c r="O4052" s="11"/>
      <c r="P4052" s="11"/>
    </row>
    <row r="4053" spans="1:16" ht="12.75" x14ac:dyDescent="0.35">
      <c r="A4053" s="11"/>
      <c r="B4053" s="9"/>
      <c r="C4053" s="9"/>
      <c r="D4053" s="9"/>
      <c r="E4053" s="11"/>
      <c r="F4053" s="11"/>
      <c r="G4053" s="11"/>
      <c r="H4053" s="11"/>
      <c r="I4053" s="11"/>
      <c r="J4053" s="11"/>
      <c r="K4053" s="11"/>
      <c r="L4053" s="11"/>
      <c r="M4053" s="12"/>
      <c r="N4053" s="12"/>
      <c r="O4053" s="11"/>
      <c r="P4053" s="11"/>
    </row>
    <row r="4054" spans="1:16" ht="12.75" x14ac:dyDescent="0.35">
      <c r="A4054" s="11"/>
      <c r="B4054" s="9"/>
      <c r="C4054" s="9"/>
      <c r="D4054" s="9"/>
      <c r="E4054" s="11"/>
      <c r="F4054" s="11"/>
      <c r="G4054" s="11"/>
      <c r="H4054" s="11"/>
      <c r="I4054" s="11"/>
      <c r="J4054" s="11"/>
      <c r="K4054" s="11"/>
      <c r="L4054" s="11"/>
      <c r="M4054" s="12"/>
      <c r="N4054" s="12"/>
      <c r="O4054" s="11"/>
      <c r="P4054" s="11"/>
    </row>
    <row r="4055" spans="1:16" ht="12.75" x14ac:dyDescent="0.35">
      <c r="A4055" s="11"/>
      <c r="B4055" s="9"/>
      <c r="C4055" s="9"/>
      <c r="D4055" s="9"/>
      <c r="E4055" s="11"/>
      <c r="F4055" s="11"/>
      <c r="G4055" s="11"/>
      <c r="H4055" s="11"/>
      <c r="I4055" s="11"/>
      <c r="J4055" s="11"/>
      <c r="K4055" s="11"/>
      <c r="L4055" s="11"/>
      <c r="M4055" s="12"/>
      <c r="N4055" s="12"/>
      <c r="O4055" s="11"/>
      <c r="P4055" s="11"/>
    </row>
    <row r="4056" spans="1:16" ht="12.75" x14ac:dyDescent="0.35">
      <c r="A4056" s="11"/>
      <c r="B4056" s="9"/>
      <c r="C4056" s="9"/>
      <c r="D4056" s="9"/>
      <c r="E4056" s="11"/>
      <c r="F4056" s="11"/>
      <c r="G4056" s="11"/>
      <c r="H4056" s="11"/>
      <c r="I4056" s="11"/>
      <c r="J4056" s="11"/>
      <c r="K4056" s="11"/>
      <c r="L4056" s="11"/>
      <c r="M4056" s="12"/>
      <c r="N4056" s="12"/>
      <c r="O4056" s="11"/>
      <c r="P4056" s="11"/>
    </row>
    <row r="4057" spans="1:16" ht="12.75" x14ac:dyDescent="0.35">
      <c r="A4057" s="11"/>
      <c r="B4057" s="9"/>
      <c r="C4057" s="9"/>
      <c r="D4057" s="9"/>
      <c r="E4057" s="11"/>
      <c r="F4057" s="11"/>
      <c r="G4057" s="11"/>
      <c r="H4057" s="11"/>
      <c r="I4057" s="11"/>
      <c r="J4057" s="11"/>
      <c r="K4057" s="11"/>
      <c r="L4057" s="11"/>
      <c r="M4057" s="12"/>
      <c r="N4057" s="12"/>
      <c r="O4057" s="11"/>
      <c r="P4057" s="11"/>
    </row>
    <row r="4058" spans="1:16" ht="12.75" x14ac:dyDescent="0.35">
      <c r="A4058" s="11"/>
      <c r="B4058" s="9"/>
      <c r="C4058" s="9"/>
      <c r="D4058" s="9"/>
      <c r="E4058" s="11"/>
      <c r="F4058" s="11"/>
      <c r="G4058" s="11"/>
      <c r="H4058" s="11"/>
      <c r="I4058" s="11"/>
      <c r="J4058" s="11"/>
      <c r="K4058" s="11"/>
      <c r="L4058" s="11"/>
      <c r="M4058" s="12"/>
      <c r="N4058" s="12"/>
      <c r="O4058" s="11"/>
      <c r="P4058" s="11"/>
    </row>
    <row r="4059" spans="1:16" ht="12.75" x14ac:dyDescent="0.35">
      <c r="A4059" s="11"/>
      <c r="B4059" s="9"/>
      <c r="C4059" s="9"/>
      <c r="D4059" s="9"/>
      <c r="E4059" s="11"/>
      <c r="F4059" s="11"/>
      <c r="G4059" s="11"/>
      <c r="H4059" s="11"/>
      <c r="I4059" s="11"/>
      <c r="J4059" s="11"/>
      <c r="K4059" s="11"/>
      <c r="L4059" s="11"/>
      <c r="M4059" s="12"/>
      <c r="N4059" s="12"/>
      <c r="O4059" s="11"/>
      <c r="P4059" s="11"/>
    </row>
    <row r="4060" spans="1:16" ht="12.75" x14ac:dyDescent="0.35">
      <c r="A4060" s="11"/>
      <c r="B4060" s="9"/>
      <c r="C4060" s="9"/>
      <c r="D4060" s="9"/>
      <c r="E4060" s="11"/>
      <c r="F4060" s="11"/>
      <c r="G4060" s="11"/>
      <c r="H4060" s="11"/>
      <c r="I4060" s="11"/>
      <c r="J4060" s="11"/>
      <c r="K4060" s="11"/>
      <c r="L4060" s="11"/>
      <c r="M4060" s="12"/>
      <c r="N4060" s="12"/>
      <c r="O4060" s="11"/>
      <c r="P4060" s="11"/>
    </row>
    <row r="4061" spans="1:16" ht="12.75" x14ac:dyDescent="0.35">
      <c r="A4061" s="11"/>
      <c r="B4061" s="9"/>
      <c r="C4061" s="9"/>
      <c r="D4061" s="9"/>
      <c r="E4061" s="11"/>
      <c r="F4061" s="11"/>
      <c r="G4061" s="11"/>
      <c r="H4061" s="11"/>
      <c r="I4061" s="11"/>
      <c r="J4061" s="11"/>
      <c r="K4061" s="11"/>
      <c r="L4061" s="11"/>
      <c r="M4061" s="12"/>
      <c r="N4061" s="12"/>
      <c r="O4061" s="11"/>
      <c r="P4061" s="11"/>
    </row>
    <row r="4062" spans="1:16" ht="12.75" x14ac:dyDescent="0.35">
      <c r="A4062" s="11"/>
      <c r="B4062" s="9"/>
      <c r="C4062" s="9"/>
      <c r="D4062" s="9"/>
      <c r="E4062" s="11"/>
      <c r="F4062" s="11"/>
      <c r="G4062" s="11"/>
      <c r="H4062" s="11"/>
      <c r="I4062" s="11"/>
      <c r="J4062" s="11"/>
      <c r="K4062" s="11"/>
      <c r="L4062" s="11"/>
      <c r="M4062" s="12"/>
      <c r="N4062" s="12"/>
      <c r="O4062" s="11"/>
      <c r="P4062" s="11"/>
    </row>
    <row r="4063" spans="1:16" ht="12.75" x14ac:dyDescent="0.35">
      <c r="A4063" s="11"/>
      <c r="B4063" s="9"/>
      <c r="C4063" s="9"/>
      <c r="D4063" s="9"/>
      <c r="E4063" s="11"/>
      <c r="F4063" s="11"/>
      <c r="G4063" s="11"/>
      <c r="H4063" s="11"/>
      <c r="I4063" s="11"/>
      <c r="J4063" s="11"/>
      <c r="K4063" s="11"/>
      <c r="L4063" s="11"/>
      <c r="M4063" s="12"/>
      <c r="N4063" s="12"/>
      <c r="O4063" s="11"/>
      <c r="P4063" s="11"/>
    </row>
    <row r="4064" spans="1:16" ht="12.75" x14ac:dyDescent="0.35">
      <c r="A4064" s="11"/>
      <c r="B4064" s="9"/>
      <c r="C4064" s="9"/>
      <c r="D4064" s="9"/>
      <c r="E4064" s="11"/>
      <c r="F4064" s="11"/>
      <c r="G4064" s="11"/>
      <c r="H4064" s="11"/>
      <c r="I4064" s="11"/>
      <c r="J4064" s="11"/>
      <c r="K4064" s="11"/>
      <c r="L4064" s="11"/>
      <c r="M4064" s="12"/>
      <c r="N4064" s="12"/>
      <c r="O4064" s="11"/>
      <c r="P4064" s="11"/>
    </row>
    <row r="4065" spans="1:16" ht="12.75" x14ac:dyDescent="0.35">
      <c r="A4065" s="11"/>
      <c r="B4065" s="9"/>
      <c r="C4065" s="9"/>
      <c r="D4065" s="9"/>
      <c r="E4065" s="11"/>
      <c r="F4065" s="11"/>
      <c r="G4065" s="11"/>
      <c r="H4065" s="11"/>
      <c r="I4065" s="11"/>
      <c r="J4065" s="11"/>
      <c r="K4065" s="11"/>
      <c r="L4065" s="11"/>
      <c r="M4065" s="12"/>
      <c r="N4065" s="12"/>
      <c r="O4065" s="11"/>
      <c r="P4065" s="11"/>
    </row>
    <row r="4066" spans="1:16" ht="12.75" x14ac:dyDescent="0.35">
      <c r="A4066" s="11"/>
      <c r="B4066" s="9"/>
      <c r="C4066" s="9"/>
      <c r="D4066" s="9"/>
      <c r="E4066" s="11"/>
      <c r="F4066" s="11"/>
      <c r="G4066" s="11"/>
      <c r="H4066" s="11"/>
      <c r="I4066" s="11"/>
      <c r="J4066" s="11"/>
      <c r="K4066" s="11"/>
      <c r="L4066" s="11"/>
      <c r="M4066" s="12"/>
      <c r="N4066" s="12"/>
      <c r="O4066" s="11"/>
      <c r="P4066" s="11"/>
    </row>
    <row r="4067" spans="1:16" ht="12.75" x14ac:dyDescent="0.35">
      <c r="A4067" s="11"/>
      <c r="B4067" s="9"/>
      <c r="C4067" s="9"/>
      <c r="D4067" s="9"/>
      <c r="E4067" s="11"/>
      <c r="F4067" s="11"/>
      <c r="G4067" s="11"/>
      <c r="H4067" s="11"/>
      <c r="I4067" s="11"/>
      <c r="J4067" s="11"/>
      <c r="K4067" s="11"/>
      <c r="L4067" s="11"/>
      <c r="M4067" s="12"/>
      <c r="N4067" s="12"/>
      <c r="O4067" s="11"/>
      <c r="P4067" s="11"/>
    </row>
    <row r="4068" spans="1:16" ht="12.75" x14ac:dyDescent="0.35">
      <c r="A4068" s="11"/>
      <c r="B4068" s="9"/>
      <c r="C4068" s="9"/>
      <c r="D4068" s="9"/>
      <c r="E4068" s="11"/>
      <c r="F4068" s="11"/>
      <c r="G4068" s="11"/>
      <c r="H4068" s="11"/>
      <c r="I4068" s="11"/>
      <c r="J4068" s="11"/>
      <c r="K4068" s="11"/>
      <c r="L4068" s="11"/>
      <c r="M4068" s="12"/>
      <c r="N4068" s="12"/>
      <c r="O4068" s="11"/>
      <c r="P4068" s="11"/>
    </row>
    <row r="4069" spans="1:16" ht="12.75" x14ac:dyDescent="0.35">
      <c r="A4069" s="11"/>
      <c r="B4069" s="9"/>
      <c r="C4069" s="9"/>
      <c r="D4069" s="9"/>
      <c r="E4069" s="11"/>
      <c r="F4069" s="11"/>
      <c r="G4069" s="11"/>
      <c r="H4069" s="11"/>
      <c r="I4069" s="11"/>
      <c r="J4069" s="11"/>
      <c r="K4069" s="11"/>
      <c r="L4069" s="11"/>
      <c r="M4069" s="12"/>
      <c r="N4069" s="12"/>
      <c r="O4069" s="11"/>
      <c r="P4069" s="11"/>
    </row>
    <row r="4070" spans="1:16" ht="12.75" x14ac:dyDescent="0.35">
      <c r="A4070" s="11"/>
      <c r="B4070" s="9"/>
      <c r="C4070" s="9"/>
      <c r="D4070" s="9"/>
      <c r="E4070" s="11"/>
      <c r="F4070" s="11"/>
      <c r="G4070" s="11"/>
      <c r="H4070" s="11"/>
      <c r="I4070" s="11"/>
      <c r="J4070" s="11"/>
      <c r="K4070" s="11"/>
      <c r="L4070" s="11"/>
      <c r="M4070" s="12"/>
      <c r="N4070" s="12"/>
      <c r="O4070" s="11"/>
      <c r="P4070" s="11"/>
    </row>
    <row r="4071" spans="1:16" ht="12.75" x14ac:dyDescent="0.35">
      <c r="A4071" s="11"/>
      <c r="B4071" s="9"/>
      <c r="C4071" s="9"/>
      <c r="D4071" s="9"/>
      <c r="E4071" s="11"/>
      <c r="F4071" s="11"/>
      <c r="G4071" s="11"/>
      <c r="H4071" s="11"/>
      <c r="I4071" s="11"/>
      <c r="J4071" s="11"/>
      <c r="K4071" s="11"/>
      <c r="L4071" s="11"/>
      <c r="M4071" s="12"/>
      <c r="N4071" s="12"/>
      <c r="O4071" s="11"/>
      <c r="P4071" s="11"/>
    </row>
    <row r="4072" spans="1:16" ht="12.75" x14ac:dyDescent="0.35">
      <c r="A4072" s="11"/>
      <c r="B4072" s="9"/>
      <c r="C4072" s="9"/>
      <c r="D4072" s="9"/>
      <c r="E4072" s="11"/>
      <c r="F4072" s="11"/>
      <c r="G4072" s="11"/>
      <c r="H4072" s="11"/>
      <c r="I4072" s="11"/>
      <c r="J4072" s="11"/>
      <c r="K4072" s="11"/>
      <c r="L4072" s="11"/>
      <c r="M4072" s="12"/>
      <c r="N4072" s="12"/>
      <c r="O4072" s="11"/>
      <c r="P4072" s="11"/>
    </row>
    <row r="4073" spans="1:16" ht="12.75" x14ac:dyDescent="0.35">
      <c r="A4073" s="11"/>
      <c r="B4073" s="9"/>
      <c r="C4073" s="9"/>
      <c r="D4073" s="9"/>
      <c r="E4073" s="11"/>
      <c r="F4073" s="11"/>
      <c r="G4073" s="11"/>
      <c r="H4073" s="11"/>
      <c r="I4073" s="11"/>
      <c r="J4073" s="11"/>
      <c r="K4073" s="11"/>
      <c r="L4073" s="11"/>
      <c r="M4073" s="12"/>
      <c r="N4073" s="12"/>
      <c r="O4073" s="11"/>
      <c r="P4073" s="11"/>
    </row>
    <row r="4074" spans="1:16" ht="12.75" x14ac:dyDescent="0.35">
      <c r="A4074" s="11"/>
      <c r="B4074" s="9"/>
      <c r="C4074" s="9"/>
      <c r="D4074" s="9"/>
      <c r="E4074" s="11"/>
      <c r="F4074" s="11"/>
      <c r="G4074" s="11"/>
      <c r="H4074" s="11"/>
      <c r="I4074" s="11"/>
      <c r="J4074" s="11"/>
      <c r="K4074" s="11"/>
      <c r="L4074" s="11"/>
      <c r="M4074" s="12"/>
      <c r="N4074" s="12"/>
      <c r="O4074" s="11"/>
      <c r="P4074" s="11"/>
    </row>
    <row r="4075" spans="1:16" ht="12.75" x14ac:dyDescent="0.35">
      <c r="A4075" s="11"/>
      <c r="B4075" s="9"/>
      <c r="C4075" s="9"/>
      <c r="D4075" s="9"/>
      <c r="E4075" s="11"/>
      <c r="F4075" s="11"/>
      <c r="G4075" s="11"/>
      <c r="H4075" s="11"/>
      <c r="I4075" s="11"/>
      <c r="J4075" s="11"/>
      <c r="K4075" s="11"/>
      <c r="L4075" s="11"/>
      <c r="M4075" s="12"/>
      <c r="N4075" s="12"/>
      <c r="O4075" s="11"/>
      <c r="P4075" s="11"/>
    </row>
    <row r="4076" spans="1:16" ht="12.75" x14ac:dyDescent="0.35">
      <c r="A4076" s="11"/>
      <c r="B4076" s="9"/>
      <c r="C4076" s="9"/>
      <c r="D4076" s="9"/>
      <c r="E4076" s="11"/>
      <c r="F4076" s="11"/>
      <c r="G4076" s="11"/>
      <c r="H4076" s="11"/>
      <c r="I4076" s="11"/>
      <c r="J4076" s="11"/>
      <c r="K4076" s="11"/>
      <c r="L4076" s="11"/>
      <c r="M4076" s="12"/>
      <c r="N4076" s="12"/>
      <c r="O4076" s="11"/>
      <c r="P4076" s="11"/>
    </row>
    <row r="4077" spans="1:16" ht="12.75" x14ac:dyDescent="0.35">
      <c r="A4077" s="11"/>
      <c r="B4077" s="9"/>
      <c r="C4077" s="9"/>
      <c r="D4077" s="9"/>
      <c r="E4077" s="11"/>
      <c r="F4077" s="11"/>
      <c r="G4077" s="11"/>
      <c r="H4077" s="11"/>
      <c r="I4077" s="11"/>
      <c r="J4077" s="11"/>
      <c r="K4077" s="11"/>
      <c r="L4077" s="11"/>
      <c r="M4077" s="12"/>
      <c r="N4077" s="12"/>
      <c r="O4077" s="11"/>
      <c r="P4077" s="11"/>
    </row>
    <row r="4078" spans="1:16" ht="12.75" x14ac:dyDescent="0.35">
      <c r="A4078" s="11"/>
      <c r="B4078" s="9"/>
      <c r="C4078" s="9"/>
      <c r="D4078" s="9"/>
      <c r="E4078" s="11"/>
      <c r="F4078" s="11"/>
      <c r="G4078" s="11"/>
      <c r="H4078" s="11"/>
      <c r="I4078" s="11"/>
      <c r="J4078" s="11"/>
      <c r="K4078" s="11"/>
      <c r="L4078" s="11"/>
      <c r="M4078" s="12"/>
      <c r="N4078" s="12"/>
      <c r="O4078" s="11"/>
      <c r="P4078" s="11"/>
    </row>
    <row r="4079" spans="1:16" ht="12.75" x14ac:dyDescent="0.35">
      <c r="A4079" s="11"/>
      <c r="B4079" s="9"/>
      <c r="C4079" s="9"/>
      <c r="D4079" s="9"/>
      <c r="E4079" s="11"/>
      <c r="F4079" s="11"/>
      <c r="G4079" s="11"/>
      <c r="H4079" s="11"/>
      <c r="I4079" s="11"/>
      <c r="J4079" s="11"/>
      <c r="K4079" s="11"/>
      <c r="L4079" s="11"/>
      <c r="M4079" s="12"/>
      <c r="N4079" s="12"/>
      <c r="O4079" s="11"/>
      <c r="P4079" s="11"/>
    </row>
    <row r="4080" spans="1:16" ht="12.75" x14ac:dyDescent="0.35">
      <c r="A4080" s="11"/>
      <c r="B4080" s="9"/>
      <c r="C4080" s="9"/>
      <c r="D4080" s="9"/>
      <c r="E4080" s="11"/>
      <c r="F4080" s="11"/>
      <c r="G4080" s="11"/>
      <c r="H4080" s="11"/>
      <c r="I4080" s="11"/>
      <c r="J4080" s="11"/>
      <c r="K4080" s="11"/>
      <c r="L4080" s="11"/>
      <c r="M4080" s="12"/>
      <c r="N4080" s="12"/>
      <c r="O4080" s="11"/>
      <c r="P4080" s="11"/>
    </row>
    <row r="4081" spans="1:16" ht="12.75" x14ac:dyDescent="0.35">
      <c r="A4081" s="11"/>
      <c r="B4081" s="9"/>
      <c r="C4081" s="9"/>
      <c r="D4081" s="9"/>
      <c r="E4081" s="11"/>
      <c r="F4081" s="11"/>
      <c r="G4081" s="11"/>
      <c r="H4081" s="11"/>
      <c r="I4081" s="11"/>
      <c r="J4081" s="11"/>
      <c r="K4081" s="11"/>
      <c r="L4081" s="11"/>
      <c r="M4081" s="12"/>
      <c r="N4081" s="12"/>
      <c r="O4081" s="11"/>
      <c r="P4081" s="11"/>
    </row>
    <row r="4082" spans="1:16" ht="12.75" x14ac:dyDescent="0.35">
      <c r="A4082" s="11"/>
      <c r="B4082" s="9"/>
      <c r="C4082" s="9"/>
      <c r="D4082" s="9"/>
      <c r="E4082" s="11"/>
      <c r="F4082" s="11"/>
      <c r="G4082" s="11"/>
      <c r="H4082" s="11"/>
      <c r="I4082" s="11"/>
      <c r="J4082" s="11"/>
      <c r="K4082" s="11"/>
      <c r="L4082" s="11"/>
      <c r="M4082" s="12"/>
      <c r="N4082" s="12"/>
      <c r="O4082" s="11"/>
      <c r="P4082" s="11"/>
    </row>
    <row r="4083" spans="1:16" ht="12.75" x14ac:dyDescent="0.35">
      <c r="A4083" s="11"/>
      <c r="B4083" s="9"/>
      <c r="C4083" s="9"/>
      <c r="D4083" s="9"/>
      <c r="E4083" s="11"/>
      <c r="F4083" s="11"/>
      <c r="G4083" s="11"/>
      <c r="H4083" s="11"/>
      <c r="I4083" s="11"/>
      <c r="J4083" s="11"/>
      <c r="K4083" s="11"/>
      <c r="L4083" s="11"/>
      <c r="M4083" s="12"/>
      <c r="N4083" s="12"/>
      <c r="O4083" s="11"/>
      <c r="P4083" s="11"/>
    </row>
    <row r="4084" spans="1:16" ht="12.75" x14ac:dyDescent="0.35">
      <c r="A4084" s="11"/>
      <c r="B4084" s="9"/>
      <c r="C4084" s="9"/>
      <c r="D4084" s="9"/>
      <c r="E4084" s="11"/>
      <c r="F4084" s="11"/>
      <c r="G4084" s="11"/>
      <c r="H4084" s="11"/>
      <c r="I4084" s="11"/>
      <c r="J4084" s="11"/>
      <c r="K4084" s="11"/>
      <c r="L4084" s="11"/>
      <c r="M4084" s="12"/>
      <c r="N4084" s="12"/>
      <c r="O4084" s="11"/>
      <c r="P4084" s="11"/>
    </row>
    <row r="4085" spans="1:16" ht="12.75" x14ac:dyDescent="0.35">
      <c r="A4085" s="11"/>
      <c r="B4085" s="9"/>
      <c r="C4085" s="9"/>
      <c r="D4085" s="9"/>
      <c r="E4085" s="11"/>
      <c r="F4085" s="11"/>
      <c r="G4085" s="11"/>
      <c r="H4085" s="11"/>
      <c r="I4085" s="11"/>
      <c r="J4085" s="11"/>
      <c r="K4085" s="11"/>
      <c r="L4085" s="11"/>
      <c r="M4085" s="12"/>
      <c r="N4085" s="12"/>
      <c r="O4085" s="11"/>
      <c r="P4085" s="11"/>
    </row>
    <row r="4086" spans="1:16" ht="12.75" x14ac:dyDescent="0.35">
      <c r="A4086" s="11"/>
      <c r="B4086" s="9"/>
      <c r="C4086" s="9"/>
      <c r="D4086" s="9"/>
      <c r="E4086" s="11"/>
      <c r="F4086" s="11"/>
      <c r="G4086" s="11"/>
      <c r="H4086" s="11"/>
      <c r="I4086" s="11"/>
      <c r="J4086" s="11"/>
      <c r="K4086" s="11"/>
      <c r="L4086" s="11"/>
      <c r="M4086" s="12"/>
      <c r="N4086" s="12"/>
      <c r="O4086" s="11"/>
      <c r="P4086" s="11"/>
    </row>
    <row r="4087" spans="1:16" ht="12.75" x14ac:dyDescent="0.35">
      <c r="A4087" s="11"/>
      <c r="B4087" s="9"/>
      <c r="C4087" s="9"/>
      <c r="D4087" s="9"/>
      <c r="E4087" s="11"/>
      <c r="F4087" s="11"/>
      <c r="G4087" s="11"/>
      <c r="H4087" s="11"/>
      <c r="I4087" s="11"/>
      <c r="J4087" s="11"/>
      <c r="K4087" s="11"/>
      <c r="L4087" s="11"/>
      <c r="M4087" s="12"/>
      <c r="N4087" s="12"/>
      <c r="O4087" s="11"/>
      <c r="P4087" s="11"/>
    </row>
    <row r="4088" spans="1:16" ht="12.75" x14ac:dyDescent="0.35">
      <c r="A4088" s="11"/>
      <c r="B4088" s="9"/>
      <c r="C4088" s="9"/>
      <c r="D4088" s="9"/>
      <c r="E4088" s="11"/>
      <c r="F4088" s="11"/>
      <c r="G4088" s="11"/>
      <c r="H4088" s="11"/>
      <c r="I4088" s="11"/>
      <c r="J4088" s="11"/>
      <c r="K4088" s="11"/>
      <c r="L4088" s="11"/>
      <c r="M4088" s="12"/>
      <c r="N4088" s="12"/>
      <c r="O4088" s="11"/>
      <c r="P4088" s="11"/>
    </row>
    <row r="4089" spans="1:16" ht="12.75" x14ac:dyDescent="0.35">
      <c r="A4089" s="11"/>
      <c r="B4089" s="9"/>
      <c r="C4089" s="9"/>
      <c r="D4089" s="9"/>
      <c r="E4089" s="11"/>
      <c r="F4089" s="11"/>
      <c r="G4089" s="11"/>
      <c r="H4089" s="11"/>
      <c r="I4089" s="11"/>
      <c r="J4089" s="11"/>
      <c r="K4089" s="11"/>
      <c r="L4089" s="11"/>
      <c r="M4089" s="12"/>
      <c r="N4089" s="12"/>
      <c r="O4089" s="11"/>
      <c r="P4089" s="11"/>
    </row>
    <row r="4090" spans="1:16" ht="12.75" x14ac:dyDescent="0.35">
      <c r="A4090" s="11"/>
      <c r="B4090" s="9"/>
      <c r="C4090" s="9"/>
      <c r="D4090" s="9"/>
      <c r="E4090" s="11"/>
      <c r="F4090" s="11"/>
      <c r="G4090" s="11"/>
      <c r="H4090" s="11"/>
      <c r="I4090" s="11"/>
      <c r="J4090" s="11"/>
      <c r="K4090" s="11"/>
      <c r="L4090" s="11"/>
      <c r="M4090" s="12"/>
      <c r="N4090" s="12"/>
      <c r="O4090" s="11"/>
      <c r="P4090" s="11"/>
    </row>
    <row r="4091" spans="1:16" ht="12.75" x14ac:dyDescent="0.35">
      <c r="A4091" s="11"/>
      <c r="B4091" s="9"/>
      <c r="C4091" s="9"/>
      <c r="D4091" s="9"/>
      <c r="E4091" s="11"/>
      <c r="F4091" s="11"/>
      <c r="G4091" s="11"/>
      <c r="H4091" s="11"/>
      <c r="I4091" s="11"/>
      <c r="J4091" s="11"/>
      <c r="K4091" s="11"/>
      <c r="L4091" s="11"/>
      <c r="M4091" s="12"/>
      <c r="N4091" s="12"/>
      <c r="O4091" s="11"/>
      <c r="P4091" s="11"/>
    </row>
    <row r="4092" spans="1:16" ht="12.75" x14ac:dyDescent="0.35">
      <c r="A4092" s="11"/>
      <c r="B4092" s="9"/>
      <c r="C4092" s="9"/>
      <c r="D4092" s="9"/>
      <c r="E4092" s="11"/>
      <c r="F4092" s="11"/>
      <c r="G4092" s="11"/>
      <c r="H4092" s="11"/>
      <c r="I4092" s="11"/>
      <c r="J4092" s="11"/>
      <c r="K4092" s="11"/>
      <c r="L4092" s="11"/>
      <c r="M4092" s="12"/>
      <c r="N4092" s="12"/>
      <c r="O4092" s="11"/>
      <c r="P4092" s="11"/>
    </row>
    <row r="4093" spans="1:16" ht="12.75" x14ac:dyDescent="0.35">
      <c r="A4093" s="11"/>
      <c r="B4093" s="9"/>
      <c r="C4093" s="9"/>
      <c r="D4093" s="9"/>
      <c r="E4093" s="11"/>
      <c r="F4093" s="11"/>
      <c r="G4093" s="11"/>
      <c r="H4093" s="11"/>
      <c r="I4093" s="11"/>
      <c r="J4093" s="11"/>
      <c r="K4093" s="11"/>
      <c r="L4093" s="11"/>
      <c r="M4093" s="12"/>
      <c r="N4093" s="12"/>
      <c r="O4093" s="11"/>
      <c r="P4093" s="11"/>
    </row>
    <row r="4094" spans="1:16" ht="12.75" x14ac:dyDescent="0.35">
      <c r="A4094" s="11"/>
      <c r="B4094" s="9"/>
      <c r="C4094" s="9"/>
      <c r="D4094" s="9"/>
      <c r="E4094" s="11"/>
      <c r="F4094" s="11"/>
      <c r="G4094" s="11"/>
      <c r="H4094" s="11"/>
      <c r="I4094" s="11"/>
      <c r="J4094" s="11"/>
      <c r="K4094" s="11"/>
      <c r="L4094" s="11"/>
      <c r="M4094" s="12"/>
      <c r="N4094" s="12"/>
      <c r="O4094" s="11"/>
      <c r="P4094" s="11"/>
    </row>
    <row r="4095" spans="1:16" ht="12.75" x14ac:dyDescent="0.35">
      <c r="A4095" s="11"/>
      <c r="B4095" s="9"/>
      <c r="C4095" s="9"/>
      <c r="D4095" s="9"/>
      <c r="E4095" s="11"/>
      <c r="F4095" s="11"/>
      <c r="G4095" s="11"/>
      <c r="H4095" s="11"/>
      <c r="I4095" s="11"/>
      <c r="J4095" s="11"/>
      <c r="K4095" s="11"/>
      <c r="L4095" s="11"/>
      <c r="M4095" s="12"/>
      <c r="N4095" s="12"/>
      <c r="O4095" s="11"/>
      <c r="P4095" s="11"/>
    </row>
    <row r="4096" spans="1:16" ht="12.75" x14ac:dyDescent="0.35">
      <c r="A4096" s="11"/>
      <c r="B4096" s="9"/>
      <c r="C4096" s="9"/>
      <c r="D4096" s="9"/>
      <c r="E4096" s="11"/>
      <c r="F4096" s="11"/>
      <c r="G4096" s="11"/>
      <c r="H4096" s="11"/>
      <c r="I4096" s="11"/>
      <c r="J4096" s="11"/>
      <c r="K4096" s="11"/>
      <c r="L4096" s="11"/>
      <c r="M4096" s="12"/>
      <c r="N4096" s="12"/>
      <c r="O4096" s="11"/>
      <c r="P4096" s="11"/>
    </row>
    <row r="4097" spans="1:16" ht="12.75" x14ac:dyDescent="0.35">
      <c r="A4097" s="11"/>
      <c r="B4097" s="9"/>
      <c r="C4097" s="9"/>
      <c r="D4097" s="9"/>
      <c r="E4097" s="11"/>
      <c r="F4097" s="11"/>
      <c r="G4097" s="11"/>
      <c r="H4097" s="11"/>
      <c r="I4097" s="11"/>
      <c r="J4097" s="11"/>
      <c r="K4097" s="11"/>
      <c r="L4097" s="11"/>
      <c r="M4097" s="12"/>
      <c r="N4097" s="12"/>
      <c r="O4097" s="11"/>
      <c r="P4097" s="11"/>
    </row>
    <row r="4098" spans="1:16" ht="12.75" x14ac:dyDescent="0.35">
      <c r="A4098" s="11"/>
      <c r="B4098" s="9"/>
      <c r="C4098" s="9"/>
      <c r="D4098" s="9"/>
      <c r="E4098" s="11"/>
      <c r="F4098" s="11"/>
      <c r="G4098" s="11"/>
      <c r="H4098" s="11"/>
      <c r="I4098" s="11"/>
      <c r="J4098" s="11"/>
      <c r="K4098" s="11"/>
      <c r="L4098" s="11"/>
      <c r="M4098" s="12"/>
      <c r="N4098" s="12"/>
      <c r="O4098" s="11"/>
      <c r="P4098" s="11"/>
    </row>
    <row r="4099" spans="1:16" ht="12.75" x14ac:dyDescent="0.35">
      <c r="A4099" s="11"/>
      <c r="B4099" s="9"/>
      <c r="C4099" s="9"/>
      <c r="D4099" s="9"/>
      <c r="E4099" s="11"/>
      <c r="F4099" s="11"/>
      <c r="G4099" s="11"/>
      <c r="H4099" s="11"/>
      <c r="I4099" s="11"/>
      <c r="J4099" s="11"/>
      <c r="K4099" s="11"/>
      <c r="L4099" s="11"/>
      <c r="M4099" s="12"/>
      <c r="N4099" s="12"/>
      <c r="O4099" s="11"/>
      <c r="P4099" s="11"/>
    </row>
    <row r="4100" spans="1:16" ht="12.75" x14ac:dyDescent="0.35">
      <c r="A4100" s="11"/>
      <c r="B4100" s="9"/>
      <c r="C4100" s="9"/>
      <c r="D4100" s="9"/>
      <c r="E4100" s="11"/>
      <c r="F4100" s="11"/>
      <c r="G4100" s="11"/>
      <c r="H4100" s="11"/>
      <c r="I4100" s="11"/>
      <c r="J4100" s="11"/>
      <c r="K4100" s="11"/>
      <c r="L4100" s="11"/>
      <c r="M4100" s="12"/>
      <c r="N4100" s="12"/>
      <c r="O4100" s="11"/>
      <c r="P4100" s="11"/>
    </row>
    <row r="4101" spans="1:16" ht="12.75" x14ac:dyDescent="0.35">
      <c r="A4101" s="11"/>
      <c r="B4101" s="9"/>
      <c r="C4101" s="9"/>
      <c r="D4101" s="9"/>
      <c r="E4101" s="11"/>
      <c r="F4101" s="11"/>
      <c r="G4101" s="11"/>
      <c r="H4101" s="11"/>
      <c r="I4101" s="11"/>
      <c r="J4101" s="11"/>
      <c r="K4101" s="11"/>
      <c r="L4101" s="11"/>
      <c r="M4101" s="12"/>
      <c r="N4101" s="12"/>
      <c r="O4101" s="11"/>
      <c r="P4101" s="11"/>
    </row>
    <row r="4102" spans="1:16" ht="12.75" x14ac:dyDescent="0.35">
      <c r="A4102" s="11"/>
      <c r="B4102" s="9"/>
      <c r="C4102" s="9"/>
      <c r="D4102" s="9"/>
      <c r="E4102" s="11"/>
      <c r="F4102" s="11"/>
      <c r="G4102" s="11"/>
      <c r="H4102" s="11"/>
      <c r="I4102" s="11"/>
      <c r="J4102" s="11"/>
      <c r="K4102" s="11"/>
      <c r="L4102" s="11"/>
      <c r="M4102" s="12"/>
      <c r="N4102" s="12"/>
      <c r="O4102" s="11"/>
      <c r="P4102" s="11"/>
    </row>
    <row r="4103" spans="1:16" ht="12.75" x14ac:dyDescent="0.35">
      <c r="A4103" s="11"/>
      <c r="B4103" s="9"/>
      <c r="C4103" s="9"/>
      <c r="D4103" s="9"/>
      <c r="E4103" s="11"/>
      <c r="F4103" s="11"/>
      <c r="G4103" s="11"/>
      <c r="H4103" s="11"/>
      <c r="I4103" s="11"/>
      <c r="J4103" s="11"/>
      <c r="K4103" s="11"/>
      <c r="L4103" s="11"/>
      <c r="M4103" s="12"/>
      <c r="N4103" s="12"/>
      <c r="O4103" s="11"/>
      <c r="P4103" s="11"/>
    </row>
    <row r="4104" spans="1:16" ht="12.75" x14ac:dyDescent="0.35">
      <c r="A4104" s="11"/>
      <c r="B4104" s="9"/>
      <c r="C4104" s="9"/>
      <c r="D4104" s="9"/>
      <c r="E4104" s="11"/>
      <c r="F4104" s="11"/>
      <c r="G4104" s="11"/>
      <c r="H4104" s="11"/>
      <c r="I4104" s="11"/>
      <c r="J4104" s="11"/>
      <c r="K4104" s="11"/>
      <c r="L4104" s="11"/>
      <c r="M4104" s="12"/>
      <c r="N4104" s="12"/>
      <c r="O4104" s="11"/>
      <c r="P4104" s="11"/>
    </row>
    <row r="4105" spans="1:16" ht="12.75" x14ac:dyDescent="0.35">
      <c r="A4105" s="11"/>
      <c r="B4105" s="9"/>
      <c r="C4105" s="9"/>
      <c r="D4105" s="9"/>
      <c r="E4105" s="11"/>
      <c r="F4105" s="11"/>
      <c r="G4105" s="11"/>
      <c r="H4105" s="11"/>
      <c r="I4105" s="11"/>
      <c r="J4105" s="11"/>
      <c r="K4105" s="11"/>
      <c r="L4105" s="11"/>
      <c r="M4105" s="12"/>
      <c r="N4105" s="12"/>
      <c r="O4105" s="11"/>
      <c r="P4105" s="11"/>
    </row>
    <row r="4106" spans="1:16" ht="12.75" x14ac:dyDescent="0.35">
      <c r="A4106" s="11"/>
      <c r="B4106" s="9"/>
      <c r="C4106" s="9"/>
      <c r="D4106" s="9"/>
      <c r="E4106" s="11"/>
      <c r="F4106" s="11"/>
      <c r="G4106" s="11"/>
      <c r="H4106" s="11"/>
      <c r="I4106" s="11"/>
      <c r="J4106" s="11"/>
      <c r="K4106" s="11"/>
      <c r="L4106" s="11"/>
      <c r="M4106" s="12"/>
      <c r="N4106" s="12"/>
      <c r="O4106" s="11"/>
      <c r="P4106" s="11"/>
    </row>
    <row r="4107" spans="1:16" ht="12.75" x14ac:dyDescent="0.35">
      <c r="A4107" s="11"/>
      <c r="B4107" s="9"/>
      <c r="C4107" s="9"/>
      <c r="D4107" s="9"/>
      <c r="E4107" s="11"/>
      <c r="F4107" s="11"/>
      <c r="G4107" s="11"/>
      <c r="H4107" s="11"/>
      <c r="I4107" s="11"/>
      <c r="J4107" s="11"/>
      <c r="K4107" s="11"/>
      <c r="L4107" s="11"/>
      <c r="M4107" s="12"/>
      <c r="N4107" s="12"/>
      <c r="O4107" s="11"/>
      <c r="P4107" s="11"/>
    </row>
    <row r="4108" spans="1:16" ht="12.75" x14ac:dyDescent="0.35">
      <c r="A4108" s="11"/>
      <c r="B4108" s="9"/>
      <c r="C4108" s="9"/>
      <c r="D4108" s="9"/>
      <c r="E4108" s="11"/>
      <c r="F4108" s="11"/>
      <c r="G4108" s="11"/>
      <c r="H4108" s="11"/>
      <c r="I4108" s="11"/>
      <c r="J4108" s="11"/>
      <c r="K4108" s="11"/>
      <c r="L4108" s="11"/>
      <c r="M4108" s="12"/>
      <c r="N4108" s="12"/>
      <c r="O4108" s="11"/>
      <c r="P4108" s="11"/>
    </row>
    <row r="4109" spans="1:16" ht="12.75" x14ac:dyDescent="0.35">
      <c r="A4109" s="11"/>
      <c r="B4109" s="9"/>
      <c r="C4109" s="9"/>
      <c r="D4109" s="9"/>
      <c r="E4109" s="11"/>
      <c r="F4109" s="11"/>
      <c r="G4109" s="11"/>
      <c r="H4109" s="11"/>
      <c r="I4109" s="11"/>
      <c r="J4109" s="11"/>
      <c r="K4109" s="11"/>
      <c r="L4109" s="11"/>
      <c r="M4109" s="12"/>
      <c r="N4109" s="12"/>
      <c r="O4109" s="11"/>
      <c r="P4109" s="11"/>
    </row>
    <row r="4110" spans="1:16" ht="12.75" x14ac:dyDescent="0.35">
      <c r="A4110" s="11"/>
      <c r="B4110" s="9"/>
      <c r="C4110" s="9"/>
      <c r="D4110" s="9"/>
      <c r="E4110" s="11"/>
      <c r="F4110" s="11"/>
      <c r="G4110" s="11"/>
      <c r="H4110" s="11"/>
      <c r="I4110" s="11"/>
      <c r="J4110" s="11"/>
      <c r="K4110" s="11"/>
      <c r="L4110" s="11"/>
      <c r="M4110" s="12"/>
      <c r="N4110" s="12"/>
      <c r="O4110" s="11"/>
      <c r="P4110" s="11"/>
    </row>
    <row r="4111" spans="1:16" ht="12.75" x14ac:dyDescent="0.35">
      <c r="A4111" s="11"/>
      <c r="B4111" s="9"/>
      <c r="C4111" s="9"/>
      <c r="D4111" s="9"/>
      <c r="E4111" s="11"/>
      <c r="F4111" s="11"/>
      <c r="G4111" s="11"/>
      <c r="H4111" s="11"/>
      <c r="I4111" s="11"/>
      <c r="J4111" s="11"/>
      <c r="K4111" s="11"/>
      <c r="L4111" s="11"/>
      <c r="M4111" s="12"/>
      <c r="N4111" s="12"/>
      <c r="O4111" s="11"/>
      <c r="P4111" s="11"/>
    </row>
    <row r="4112" spans="1:16" ht="12.75" x14ac:dyDescent="0.35">
      <c r="A4112" s="11"/>
      <c r="B4112" s="9"/>
      <c r="C4112" s="9"/>
      <c r="D4112" s="9"/>
      <c r="E4112" s="11"/>
      <c r="F4112" s="11"/>
      <c r="G4112" s="11"/>
      <c r="H4112" s="11"/>
      <c r="I4112" s="11"/>
      <c r="J4112" s="11"/>
      <c r="K4112" s="11"/>
      <c r="L4112" s="11"/>
      <c r="M4112" s="12"/>
      <c r="N4112" s="12"/>
      <c r="O4112" s="11"/>
      <c r="P4112" s="11"/>
    </row>
    <row r="4113" spans="1:16" ht="12.75" x14ac:dyDescent="0.35">
      <c r="A4113" s="11"/>
      <c r="B4113" s="9"/>
      <c r="C4113" s="9"/>
      <c r="D4113" s="9"/>
      <c r="E4113" s="11"/>
      <c r="F4113" s="11"/>
      <c r="G4113" s="11"/>
      <c r="H4113" s="11"/>
      <c r="I4113" s="11"/>
      <c r="J4113" s="11"/>
      <c r="K4113" s="11"/>
      <c r="L4113" s="11"/>
      <c r="M4113" s="12"/>
      <c r="N4113" s="12"/>
      <c r="O4113" s="11"/>
      <c r="P4113" s="11"/>
    </row>
    <row r="4114" spans="1:16" ht="12.75" x14ac:dyDescent="0.35">
      <c r="A4114" s="11"/>
      <c r="B4114" s="9"/>
      <c r="C4114" s="9"/>
      <c r="D4114" s="9"/>
      <c r="E4114" s="11"/>
      <c r="F4114" s="11"/>
      <c r="G4114" s="11"/>
      <c r="H4114" s="11"/>
      <c r="I4114" s="11"/>
      <c r="J4114" s="11"/>
      <c r="K4114" s="11"/>
      <c r="L4114" s="11"/>
      <c r="M4114" s="12"/>
      <c r="N4114" s="12"/>
      <c r="O4114" s="11"/>
      <c r="P4114" s="11"/>
    </row>
    <row r="4115" spans="1:16" ht="12.75" x14ac:dyDescent="0.35">
      <c r="A4115" s="11"/>
      <c r="B4115" s="9"/>
      <c r="C4115" s="9"/>
      <c r="D4115" s="9"/>
      <c r="E4115" s="11"/>
      <c r="F4115" s="11"/>
      <c r="G4115" s="11"/>
      <c r="H4115" s="11"/>
      <c r="I4115" s="11"/>
      <c r="J4115" s="11"/>
      <c r="K4115" s="11"/>
      <c r="L4115" s="11"/>
      <c r="M4115" s="12"/>
      <c r="N4115" s="12"/>
      <c r="O4115" s="11"/>
      <c r="P4115" s="11"/>
    </row>
    <row r="4116" spans="1:16" ht="12.75" x14ac:dyDescent="0.35">
      <c r="A4116" s="11"/>
      <c r="B4116" s="9"/>
      <c r="C4116" s="9"/>
      <c r="D4116" s="9"/>
      <c r="E4116" s="11"/>
      <c r="F4116" s="11"/>
      <c r="G4116" s="11"/>
      <c r="H4116" s="11"/>
      <c r="I4116" s="11"/>
      <c r="J4116" s="11"/>
      <c r="K4116" s="11"/>
      <c r="L4116" s="11"/>
      <c r="M4116" s="12"/>
      <c r="N4116" s="12"/>
      <c r="O4116" s="11"/>
      <c r="P4116" s="11"/>
    </row>
    <row r="4117" spans="1:16" ht="12.75" x14ac:dyDescent="0.35">
      <c r="A4117" s="11"/>
      <c r="B4117" s="9"/>
      <c r="C4117" s="9"/>
      <c r="D4117" s="9"/>
      <c r="E4117" s="11"/>
      <c r="F4117" s="11"/>
      <c r="G4117" s="11"/>
      <c r="H4117" s="11"/>
      <c r="I4117" s="11"/>
      <c r="J4117" s="11"/>
      <c r="K4117" s="11"/>
      <c r="L4117" s="11"/>
      <c r="M4117" s="12"/>
      <c r="N4117" s="12"/>
      <c r="O4117" s="11"/>
      <c r="P4117" s="11"/>
    </row>
    <row r="4118" spans="1:16" ht="12.75" x14ac:dyDescent="0.35">
      <c r="A4118" s="11"/>
      <c r="B4118" s="9"/>
      <c r="C4118" s="9"/>
      <c r="D4118" s="9"/>
      <c r="E4118" s="11"/>
      <c r="F4118" s="11"/>
      <c r="G4118" s="11"/>
      <c r="H4118" s="11"/>
      <c r="I4118" s="11"/>
      <c r="J4118" s="11"/>
      <c r="K4118" s="11"/>
      <c r="L4118" s="11"/>
      <c r="M4118" s="12"/>
      <c r="N4118" s="12"/>
      <c r="O4118" s="11"/>
      <c r="P4118" s="11"/>
    </row>
    <row r="4119" spans="1:16" ht="12.75" x14ac:dyDescent="0.35">
      <c r="A4119" s="11"/>
      <c r="B4119" s="9"/>
      <c r="C4119" s="9"/>
      <c r="D4119" s="9"/>
      <c r="E4119" s="11"/>
      <c r="F4119" s="11"/>
      <c r="G4119" s="11"/>
      <c r="H4119" s="11"/>
      <c r="I4119" s="11"/>
      <c r="J4119" s="11"/>
      <c r="K4119" s="11"/>
      <c r="L4119" s="11"/>
      <c r="M4119" s="12"/>
      <c r="N4119" s="12"/>
      <c r="O4119" s="11"/>
      <c r="P4119" s="11"/>
    </row>
    <row r="4120" spans="1:16" ht="12.75" x14ac:dyDescent="0.35">
      <c r="A4120" s="11"/>
      <c r="B4120" s="9"/>
      <c r="C4120" s="9"/>
      <c r="D4120" s="9"/>
      <c r="E4120" s="11"/>
      <c r="F4120" s="11"/>
      <c r="G4120" s="11"/>
      <c r="H4120" s="11"/>
      <c r="I4120" s="11"/>
      <c r="J4120" s="11"/>
      <c r="K4120" s="11"/>
      <c r="L4120" s="11"/>
      <c r="M4120" s="12"/>
      <c r="N4120" s="12"/>
      <c r="O4120" s="11"/>
      <c r="P4120" s="11"/>
    </row>
    <row r="4121" spans="1:16" ht="12.75" x14ac:dyDescent="0.35">
      <c r="A4121" s="11"/>
      <c r="B4121" s="9"/>
      <c r="C4121" s="9"/>
      <c r="D4121" s="9"/>
      <c r="E4121" s="11"/>
      <c r="F4121" s="11"/>
      <c r="G4121" s="11"/>
      <c r="H4121" s="11"/>
      <c r="I4121" s="11"/>
      <c r="J4121" s="11"/>
      <c r="K4121" s="11"/>
      <c r="L4121" s="11"/>
      <c r="M4121" s="12"/>
      <c r="N4121" s="12"/>
      <c r="O4121" s="11"/>
      <c r="P4121" s="11"/>
    </row>
    <row r="4122" spans="1:16" ht="12.75" x14ac:dyDescent="0.35">
      <c r="A4122" s="11"/>
      <c r="B4122" s="9"/>
      <c r="C4122" s="9"/>
      <c r="D4122" s="9"/>
      <c r="E4122" s="11"/>
      <c r="F4122" s="11"/>
      <c r="G4122" s="11"/>
      <c r="H4122" s="11"/>
      <c r="I4122" s="11"/>
      <c r="J4122" s="11"/>
      <c r="K4122" s="11"/>
      <c r="L4122" s="11"/>
      <c r="M4122" s="12"/>
      <c r="N4122" s="12"/>
      <c r="O4122" s="11"/>
      <c r="P4122" s="11"/>
    </row>
    <row r="4123" spans="1:16" ht="12.75" x14ac:dyDescent="0.35">
      <c r="A4123" s="11"/>
      <c r="B4123" s="9"/>
      <c r="C4123" s="9"/>
      <c r="D4123" s="9"/>
      <c r="E4123" s="11"/>
      <c r="F4123" s="11"/>
      <c r="G4123" s="11"/>
      <c r="H4123" s="11"/>
      <c r="I4123" s="11"/>
      <c r="J4123" s="11"/>
      <c r="K4123" s="11"/>
      <c r="L4123" s="11"/>
      <c r="M4123" s="12"/>
      <c r="N4123" s="12"/>
      <c r="O4123" s="11"/>
      <c r="P4123" s="11"/>
    </row>
    <row r="4124" spans="1:16" ht="12.75" x14ac:dyDescent="0.35">
      <c r="A4124" s="11"/>
      <c r="B4124" s="9"/>
      <c r="C4124" s="9"/>
      <c r="D4124" s="9"/>
      <c r="E4124" s="11"/>
      <c r="F4124" s="11"/>
      <c r="G4124" s="11"/>
      <c r="H4124" s="11"/>
      <c r="I4124" s="11"/>
      <c r="J4124" s="11"/>
      <c r="K4124" s="11"/>
      <c r="L4124" s="11"/>
      <c r="M4124" s="12"/>
      <c r="N4124" s="12"/>
      <c r="O4124" s="11"/>
      <c r="P4124" s="11"/>
    </row>
    <row r="4125" spans="1:16" ht="12.75" x14ac:dyDescent="0.35">
      <c r="A4125" s="11"/>
      <c r="B4125" s="9"/>
      <c r="C4125" s="9"/>
      <c r="D4125" s="9"/>
      <c r="E4125" s="11"/>
      <c r="F4125" s="11"/>
      <c r="G4125" s="11"/>
      <c r="H4125" s="11"/>
      <c r="I4125" s="11"/>
      <c r="J4125" s="11"/>
      <c r="K4125" s="11"/>
      <c r="L4125" s="11"/>
      <c r="M4125" s="12"/>
      <c r="N4125" s="12"/>
      <c r="O4125" s="11"/>
      <c r="P4125" s="11"/>
    </row>
    <row r="4126" spans="1:16" ht="12.75" x14ac:dyDescent="0.35">
      <c r="A4126" s="11"/>
      <c r="B4126" s="9"/>
      <c r="C4126" s="9"/>
      <c r="D4126" s="9"/>
      <c r="E4126" s="11"/>
      <c r="F4126" s="11"/>
      <c r="G4126" s="11"/>
      <c r="H4126" s="11"/>
      <c r="I4126" s="11"/>
      <c r="J4126" s="11"/>
      <c r="K4126" s="11"/>
      <c r="L4126" s="11"/>
      <c r="M4126" s="12"/>
      <c r="N4126" s="12"/>
      <c r="O4126" s="11"/>
      <c r="P4126" s="11"/>
    </row>
    <row r="4127" spans="1:16" ht="12.75" x14ac:dyDescent="0.35">
      <c r="A4127" s="11"/>
      <c r="B4127" s="9"/>
      <c r="C4127" s="9"/>
      <c r="D4127" s="9"/>
      <c r="E4127" s="11"/>
      <c r="F4127" s="11"/>
      <c r="G4127" s="11"/>
      <c r="H4127" s="11"/>
      <c r="I4127" s="11"/>
      <c r="J4127" s="11"/>
      <c r="K4127" s="11"/>
      <c r="L4127" s="11"/>
      <c r="M4127" s="12"/>
      <c r="N4127" s="12"/>
      <c r="O4127" s="11"/>
      <c r="P4127" s="11"/>
    </row>
    <row r="4128" spans="1:16" ht="12.75" x14ac:dyDescent="0.35">
      <c r="A4128" s="11"/>
      <c r="B4128" s="9"/>
      <c r="C4128" s="9"/>
      <c r="D4128" s="9"/>
      <c r="E4128" s="11"/>
      <c r="F4128" s="11"/>
      <c r="G4128" s="11"/>
      <c r="H4128" s="11"/>
      <c r="I4128" s="11"/>
      <c r="J4128" s="11"/>
      <c r="K4128" s="11"/>
      <c r="L4128" s="11"/>
      <c r="M4128" s="12"/>
      <c r="N4128" s="12"/>
      <c r="O4128" s="11"/>
      <c r="P4128" s="11"/>
    </row>
    <row r="4129" spans="1:16" ht="12.75" x14ac:dyDescent="0.35">
      <c r="A4129" s="11"/>
      <c r="B4129" s="9"/>
      <c r="C4129" s="9"/>
      <c r="D4129" s="9"/>
      <c r="E4129" s="11"/>
      <c r="F4129" s="11"/>
      <c r="G4129" s="11"/>
      <c r="H4129" s="11"/>
      <c r="I4129" s="11"/>
      <c r="J4129" s="11"/>
      <c r="K4129" s="11"/>
      <c r="L4129" s="11"/>
      <c r="M4129" s="12"/>
      <c r="N4129" s="12"/>
      <c r="O4129" s="11"/>
      <c r="P4129" s="11"/>
    </row>
    <row r="4130" spans="1:16" ht="12.75" x14ac:dyDescent="0.35">
      <c r="A4130" s="11"/>
      <c r="B4130" s="9"/>
      <c r="C4130" s="9"/>
      <c r="D4130" s="9"/>
      <c r="E4130" s="11"/>
      <c r="F4130" s="11"/>
      <c r="G4130" s="11"/>
      <c r="H4130" s="11"/>
      <c r="I4130" s="11"/>
      <c r="J4130" s="11"/>
      <c r="K4130" s="11"/>
      <c r="L4130" s="11"/>
      <c r="M4130" s="12"/>
      <c r="N4130" s="12"/>
      <c r="O4130" s="11"/>
      <c r="P4130" s="11"/>
    </row>
    <row r="4131" spans="1:16" ht="12.75" x14ac:dyDescent="0.35">
      <c r="A4131" s="11"/>
      <c r="B4131" s="9"/>
      <c r="C4131" s="9"/>
      <c r="D4131" s="9"/>
      <c r="E4131" s="11"/>
      <c r="F4131" s="11"/>
      <c r="G4131" s="11"/>
      <c r="H4131" s="11"/>
      <c r="I4131" s="11"/>
      <c r="J4131" s="11"/>
      <c r="K4131" s="11"/>
      <c r="L4131" s="11"/>
      <c r="M4131" s="12"/>
      <c r="N4131" s="12"/>
      <c r="O4131" s="11"/>
      <c r="P4131" s="11"/>
    </row>
    <row r="4132" spans="1:16" ht="12.75" x14ac:dyDescent="0.35">
      <c r="A4132" s="11"/>
      <c r="B4132" s="9"/>
      <c r="C4132" s="9"/>
      <c r="D4132" s="9"/>
      <c r="E4132" s="11"/>
      <c r="F4132" s="11"/>
      <c r="G4132" s="11"/>
      <c r="H4132" s="11"/>
      <c r="I4132" s="11"/>
      <c r="J4132" s="11"/>
      <c r="K4132" s="11"/>
      <c r="L4132" s="11"/>
      <c r="M4132" s="12"/>
      <c r="N4132" s="12"/>
      <c r="O4132" s="11"/>
      <c r="P4132" s="11"/>
    </row>
    <row r="4133" spans="1:16" ht="12.75" x14ac:dyDescent="0.35">
      <c r="A4133" s="11"/>
      <c r="B4133" s="9"/>
      <c r="C4133" s="9"/>
      <c r="D4133" s="9"/>
      <c r="E4133" s="11"/>
      <c r="F4133" s="11"/>
      <c r="G4133" s="11"/>
      <c r="H4133" s="11"/>
      <c r="I4133" s="11"/>
      <c r="J4133" s="11"/>
      <c r="K4133" s="11"/>
      <c r="L4133" s="11"/>
      <c r="M4133" s="12"/>
      <c r="N4133" s="12"/>
      <c r="O4133" s="11"/>
      <c r="P4133" s="11"/>
    </row>
    <row r="4134" spans="1:16" ht="12.75" x14ac:dyDescent="0.35">
      <c r="A4134" s="11"/>
      <c r="B4134" s="9"/>
      <c r="C4134" s="9"/>
      <c r="D4134" s="9"/>
      <c r="E4134" s="11"/>
      <c r="F4134" s="11"/>
      <c r="G4134" s="11"/>
      <c r="H4134" s="11"/>
      <c r="I4134" s="11"/>
      <c r="J4134" s="11"/>
      <c r="K4134" s="11"/>
      <c r="L4134" s="11"/>
      <c r="M4134" s="12"/>
      <c r="N4134" s="12"/>
      <c r="O4134" s="11"/>
      <c r="P4134" s="11"/>
    </row>
    <row r="4135" spans="1:16" ht="12.75" x14ac:dyDescent="0.35">
      <c r="A4135" s="11"/>
      <c r="B4135" s="9"/>
      <c r="C4135" s="9"/>
      <c r="D4135" s="9"/>
      <c r="E4135" s="11"/>
      <c r="F4135" s="11"/>
      <c r="G4135" s="11"/>
      <c r="H4135" s="11"/>
      <c r="I4135" s="11"/>
      <c r="J4135" s="11"/>
      <c r="K4135" s="11"/>
      <c r="L4135" s="11"/>
      <c r="M4135" s="12"/>
      <c r="N4135" s="12"/>
      <c r="O4135" s="11"/>
      <c r="P4135" s="11"/>
    </row>
    <row r="4136" spans="1:16" ht="12.75" x14ac:dyDescent="0.35">
      <c r="A4136" s="11"/>
      <c r="B4136" s="9"/>
      <c r="C4136" s="9"/>
      <c r="D4136" s="9"/>
      <c r="E4136" s="11"/>
      <c r="F4136" s="11"/>
      <c r="G4136" s="11"/>
      <c r="H4136" s="11"/>
      <c r="I4136" s="11"/>
      <c r="J4136" s="11"/>
      <c r="K4136" s="11"/>
      <c r="L4136" s="11"/>
      <c r="M4136" s="12"/>
      <c r="N4136" s="12"/>
      <c r="O4136" s="11"/>
      <c r="P4136" s="11"/>
    </row>
    <row r="4137" spans="1:16" ht="12.75" x14ac:dyDescent="0.35">
      <c r="A4137" s="11"/>
      <c r="B4137" s="9"/>
      <c r="C4137" s="9"/>
      <c r="D4137" s="9"/>
      <c r="E4137" s="11"/>
      <c r="F4137" s="11"/>
      <c r="G4137" s="11"/>
      <c r="H4137" s="11"/>
      <c r="I4137" s="11"/>
      <c r="J4137" s="11"/>
      <c r="K4137" s="11"/>
      <c r="L4137" s="11"/>
      <c r="M4137" s="12"/>
      <c r="N4137" s="12"/>
      <c r="O4137" s="11"/>
      <c r="P4137" s="11"/>
    </row>
    <row r="4138" spans="1:16" ht="12.75" x14ac:dyDescent="0.35">
      <c r="A4138" s="11"/>
      <c r="B4138" s="9"/>
      <c r="C4138" s="9"/>
      <c r="D4138" s="9"/>
      <c r="E4138" s="11"/>
      <c r="F4138" s="11"/>
      <c r="G4138" s="11"/>
      <c r="H4138" s="11"/>
      <c r="I4138" s="11"/>
      <c r="J4138" s="11"/>
      <c r="K4138" s="11"/>
      <c r="L4138" s="11"/>
      <c r="M4138" s="12"/>
      <c r="N4138" s="12"/>
      <c r="O4138" s="11"/>
      <c r="P4138" s="11"/>
    </row>
    <row r="4139" spans="1:16" ht="12.75" x14ac:dyDescent="0.35">
      <c r="A4139" s="11"/>
      <c r="B4139" s="9"/>
      <c r="C4139" s="9"/>
      <c r="D4139" s="9"/>
      <c r="E4139" s="11"/>
      <c r="F4139" s="11"/>
      <c r="G4139" s="11"/>
      <c r="H4139" s="11"/>
      <c r="I4139" s="11"/>
      <c r="J4139" s="11"/>
      <c r="K4139" s="11"/>
      <c r="L4139" s="11"/>
      <c r="M4139" s="12"/>
      <c r="N4139" s="12"/>
      <c r="O4139" s="11"/>
      <c r="P4139" s="11"/>
    </row>
    <row r="4140" spans="1:16" ht="12.75" x14ac:dyDescent="0.35">
      <c r="A4140" s="11"/>
      <c r="B4140" s="9"/>
      <c r="C4140" s="9"/>
      <c r="D4140" s="9"/>
      <c r="E4140" s="11"/>
      <c r="F4140" s="11"/>
      <c r="G4140" s="11"/>
      <c r="H4140" s="11"/>
      <c r="I4140" s="11"/>
      <c r="J4140" s="11"/>
      <c r="K4140" s="11"/>
      <c r="L4140" s="11"/>
      <c r="M4140" s="12"/>
      <c r="N4140" s="12"/>
      <c r="O4140" s="11"/>
      <c r="P4140" s="11"/>
    </row>
    <row r="4141" spans="1:16" ht="12.75" x14ac:dyDescent="0.35">
      <c r="A4141" s="11"/>
      <c r="B4141" s="9"/>
      <c r="C4141" s="9"/>
      <c r="D4141" s="9"/>
      <c r="E4141" s="11"/>
      <c r="F4141" s="11"/>
      <c r="G4141" s="11"/>
      <c r="H4141" s="11"/>
      <c r="I4141" s="11"/>
      <c r="J4141" s="11"/>
      <c r="K4141" s="11"/>
      <c r="L4141" s="11"/>
      <c r="M4141" s="12"/>
      <c r="N4141" s="12"/>
      <c r="O4141" s="11"/>
      <c r="P4141" s="11"/>
    </row>
    <row r="4142" spans="1:16" ht="12.75" x14ac:dyDescent="0.35">
      <c r="A4142" s="11"/>
      <c r="B4142" s="9"/>
      <c r="C4142" s="9"/>
      <c r="D4142" s="9"/>
      <c r="E4142" s="11"/>
      <c r="F4142" s="11"/>
      <c r="G4142" s="11"/>
      <c r="H4142" s="11"/>
      <c r="I4142" s="11"/>
      <c r="J4142" s="11"/>
      <c r="K4142" s="11"/>
      <c r="L4142" s="11"/>
      <c r="M4142" s="12"/>
      <c r="N4142" s="12"/>
      <c r="O4142" s="11"/>
      <c r="P4142" s="11"/>
    </row>
    <row r="4143" spans="1:16" ht="12.75" x14ac:dyDescent="0.35">
      <c r="A4143" s="11"/>
      <c r="B4143" s="9"/>
      <c r="C4143" s="9"/>
      <c r="D4143" s="9"/>
      <c r="E4143" s="11"/>
      <c r="F4143" s="11"/>
      <c r="G4143" s="11"/>
      <c r="H4143" s="11"/>
      <c r="I4143" s="11"/>
      <c r="J4143" s="11"/>
      <c r="K4143" s="11"/>
      <c r="L4143" s="11"/>
      <c r="M4143" s="12"/>
      <c r="N4143" s="12"/>
      <c r="O4143" s="11"/>
      <c r="P4143" s="11"/>
    </row>
    <row r="4144" spans="1:16" ht="12.75" x14ac:dyDescent="0.35">
      <c r="A4144" s="11"/>
      <c r="B4144" s="9"/>
      <c r="C4144" s="9"/>
      <c r="D4144" s="9"/>
      <c r="E4144" s="11"/>
      <c r="F4144" s="11"/>
      <c r="G4144" s="11"/>
      <c r="H4144" s="11"/>
      <c r="I4144" s="11"/>
      <c r="J4144" s="11"/>
      <c r="K4144" s="11"/>
      <c r="L4144" s="11"/>
      <c r="M4144" s="12"/>
      <c r="N4144" s="12"/>
      <c r="O4144" s="11"/>
      <c r="P4144" s="11"/>
    </row>
    <row r="4145" spans="1:16" ht="12.75" x14ac:dyDescent="0.35">
      <c r="A4145" s="11"/>
      <c r="B4145" s="9"/>
      <c r="C4145" s="9"/>
      <c r="D4145" s="9"/>
      <c r="E4145" s="11"/>
      <c r="F4145" s="11"/>
      <c r="G4145" s="11"/>
      <c r="H4145" s="11"/>
      <c r="I4145" s="11"/>
      <c r="J4145" s="11"/>
      <c r="K4145" s="11"/>
      <c r="L4145" s="11"/>
      <c r="M4145" s="12"/>
      <c r="N4145" s="12"/>
      <c r="O4145" s="11"/>
      <c r="P4145" s="11"/>
    </row>
    <row r="4146" spans="1:16" ht="12.75" x14ac:dyDescent="0.35">
      <c r="A4146" s="11"/>
      <c r="B4146" s="9"/>
      <c r="C4146" s="9"/>
      <c r="D4146" s="9"/>
      <c r="E4146" s="11"/>
      <c r="F4146" s="11"/>
      <c r="G4146" s="11"/>
      <c r="H4146" s="11"/>
      <c r="I4146" s="11"/>
      <c r="J4146" s="11"/>
      <c r="K4146" s="11"/>
      <c r="L4146" s="11"/>
      <c r="M4146" s="12"/>
      <c r="N4146" s="12"/>
      <c r="O4146" s="11"/>
      <c r="P4146" s="11"/>
    </row>
    <row r="4147" spans="1:16" ht="12.75" x14ac:dyDescent="0.35">
      <c r="A4147" s="11"/>
      <c r="B4147" s="9"/>
      <c r="C4147" s="9"/>
      <c r="D4147" s="9"/>
      <c r="E4147" s="11"/>
      <c r="F4147" s="11"/>
      <c r="G4147" s="11"/>
      <c r="H4147" s="11"/>
      <c r="I4147" s="11"/>
      <c r="J4147" s="11"/>
      <c r="K4147" s="11"/>
      <c r="L4147" s="11"/>
      <c r="M4147" s="12"/>
      <c r="N4147" s="12"/>
      <c r="O4147" s="11"/>
      <c r="P4147" s="11"/>
    </row>
    <row r="4148" spans="1:16" ht="12.75" x14ac:dyDescent="0.35">
      <c r="A4148" s="11"/>
      <c r="B4148" s="9"/>
      <c r="C4148" s="9"/>
      <c r="D4148" s="9"/>
      <c r="E4148" s="11"/>
      <c r="F4148" s="11"/>
      <c r="G4148" s="11"/>
      <c r="H4148" s="11"/>
      <c r="I4148" s="11"/>
      <c r="J4148" s="11"/>
      <c r="K4148" s="11"/>
      <c r="L4148" s="11"/>
      <c r="M4148" s="12"/>
      <c r="N4148" s="12"/>
      <c r="O4148" s="11"/>
      <c r="P4148" s="11"/>
    </row>
    <row r="4149" spans="1:16" ht="12.75" x14ac:dyDescent="0.35">
      <c r="A4149" s="11"/>
      <c r="B4149" s="9"/>
      <c r="C4149" s="9"/>
      <c r="D4149" s="9"/>
      <c r="E4149" s="11"/>
      <c r="F4149" s="11"/>
      <c r="G4149" s="11"/>
      <c r="H4149" s="11"/>
      <c r="I4149" s="11"/>
      <c r="J4149" s="11"/>
      <c r="K4149" s="11"/>
      <c r="L4149" s="11"/>
      <c r="M4149" s="12"/>
      <c r="N4149" s="12"/>
      <c r="O4149" s="11"/>
      <c r="P4149" s="11"/>
    </row>
    <row r="4150" spans="1:16" ht="12.75" x14ac:dyDescent="0.35">
      <c r="A4150" s="11"/>
      <c r="B4150" s="9"/>
      <c r="C4150" s="9"/>
      <c r="D4150" s="9"/>
      <c r="E4150" s="11"/>
      <c r="F4150" s="11"/>
      <c r="G4150" s="11"/>
      <c r="H4150" s="11"/>
      <c r="I4150" s="11"/>
      <c r="J4150" s="11"/>
      <c r="K4150" s="11"/>
      <c r="L4150" s="11"/>
      <c r="M4150" s="12"/>
      <c r="N4150" s="12"/>
      <c r="O4150" s="11"/>
      <c r="P4150" s="11"/>
    </row>
    <row r="4151" spans="1:16" ht="12.75" x14ac:dyDescent="0.35">
      <c r="A4151" s="11"/>
      <c r="B4151" s="9"/>
      <c r="C4151" s="9"/>
      <c r="D4151" s="9"/>
      <c r="E4151" s="11"/>
      <c r="F4151" s="11"/>
      <c r="G4151" s="11"/>
      <c r="H4151" s="11"/>
      <c r="I4151" s="11"/>
      <c r="J4151" s="11"/>
      <c r="K4151" s="11"/>
      <c r="L4151" s="11"/>
      <c r="M4151" s="12"/>
      <c r="N4151" s="12"/>
      <c r="O4151" s="11"/>
      <c r="P4151" s="11"/>
    </row>
    <row r="4152" spans="1:16" ht="12.75" x14ac:dyDescent="0.35">
      <c r="A4152" s="11"/>
      <c r="B4152" s="9"/>
      <c r="C4152" s="9"/>
      <c r="D4152" s="9"/>
      <c r="E4152" s="11"/>
      <c r="F4152" s="11"/>
      <c r="G4152" s="11"/>
      <c r="H4152" s="11"/>
      <c r="I4152" s="11"/>
      <c r="J4152" s="11"/>
      <c r="K4152" s="11"/>
      <c r="L4152" s="11"/>
      <c r="M4152" s="12"/>
      <c r="N4152" s="12"/>
      <c r="O4152" s="11"/>
      <c r="P4152" s="11"/>
    </row>
    <row r="4153" spans="1:16" ht="12.75" x14ac:dyDescent="0.35">
      <c r="A4153" s="11"/>
      <c r="B4153" s="9"/>
      <c r="C4153" s="9"/>
      <c r="D4153" s="9"/>
      <c r="E4153" s="11"/>
      <c r="F4153" s="11"/>
      <c r="G4153" s="11"/>
      <c r="H4153" s="11"/>
      <c r="I4153" s="11"/>
      <c r="J4153" s="11"/>
      <c r="K4153" s="11"/>
      <c r="L4153" s="11"/>
      <c r="M4153" s="12"/>
      <c r="N4153" s="12"/>
      <c r="O4153" s="11"/>
      <c r="P4153" s="11"/>
    </row>
    <row r="4154" spans="1:16" ht="12.75" x14ac:dyDescent="0.35">
      <c r="A4154" s="11"/>
      <c r="B4154" s="9"/>
      <c r="C4154" s="9"/>
      <c r="D4154" s="9"/>
      <c r="E4154" s="11"/>
      <c r="F4154" s="11"/>
      <c r="G4154" s="11"/>
      <c r="H4154" s="11"/>
      <c r="I4154" s="11"/>
      <c r="J4154" s="11"/>
      <c r="K4154" s="11"/>
      <c r="L4154" s="11"/>
      <c r="M4154" s="12"/>
      <c r="N4154" s="12"/>
      <c r="O4154" s="11"/>
      <c r="P4154" s="11"/>
    </row>
    <row r="4155" spans="1:16" ht="12.75" x14ac:dyDescent="0.35">
      <c r="A4155" s="11"/>
      <c r="B4155" s="9"/>
      <c r="C4155" s="9"/>
      <c r="D4155" s="9"/>
      <c r="E4155" s="11"/>
      <c r="F4155" s="11"/>
      <c r="G4155" s="11"/>
      <c r="H4155" s="11"/>
      <c r="I4155" s="11"/>
      <c r="J4155" s="11"/>
      <c r="K4155" s="11"/>
      <c r="L4155" s="11"/>
      <c r="M4155" s="12"/>
      <c r="N4155" s="12"/>
      <c r="O4155" s="11"/>
      <c r="P4155" s="11"/>
    </row>
    <row r="4156" spans="1:16" ht="12.75" x14ac:dyDescent="0.35">
      <c r="A4156" s="11"/>
      <c r="B4156" s="9"/>
      <c r="C4156" s="9"/>
      <c r="D4156" s="9"/>
      <c r="E4156" s="11"/>
      <c r="F4156" s="11"/>
      <c r="G4156" s="11"/>
      <c r="H4156" s="11"/>
      <c r="I4156" s="11"/>
      <c r="J4156" s="11"/>
      <c r="K4156" s="11"/>
      <c r="L4156" s="11"/>
      <c r="M4156" s="12"/>
      <c r="N4156" s="12"/>
      <c r="O4156" s="11"/>
      <c r="P4156" s="11"/>
    </row>
    <row r="4157" spans="1:16" ht="12.75" x14ac:dyDescent="0.35">
      <c r="A4157" s="11"/>
      <c r="B4157" s="9"/>
      <c r="C4157" s="9"/>
      <c r="D4157" s="9"/>
      <c r="E4157" s="11"/>
      <c r="F4157" s="11"/>
      <c r="G4157" s="11"/>
      <c r="H4157" s="11"/>
      <c r="I4157" s="11"/>
      <c r="J4157" s="11"/>
      <c r="K4157" s="11"/>
      <c r="L4157" s="11"/>
      <c r="M4157" s="12"/>
      <c r="N4157" s="12"/>
      <c r="O4157" s="11"/>
      <c r="P4157" s="11"/>
    </row>
    <row r="4158" spans="1:16" ht="12.75" x14ac:dyDescent="0.35">
      <c r="A4158" s="11"/>
      <c r="B4158" s="9"/>
      <c r="C4158" s="9"/>
      <c r="D4158" s="9"/>
      <c r="E4158" s="11"/>
      <c r="F4158" s="11"/>
      <c r="G4158" s="11"/>
      <c r="H4158" s="11"/>
      <c r="I4158" s="11"/>
      <c r="J4158" s="11"/>
      <c r="K4158" s="11"/>
      <c r="L4158" s="11"/>
      <c r="M4158" s="12"/>
      <c r="N4158" s="12"/>
      <c r="O4158" s="11"/>
      <c r="P4158" s="11"/>
    </row>
    <row r="4159" spans="1:16" ht="12.75" x14ac:dyDescent="0.35">
      <c r="A4159" s="11"/>
      <c r="B4159" s="9"/>
      <c r="C4159" s="9"/>
      <c r="D4159" s="9"/>
      <c r="E4159" s="11"/>
      <c r="F4159" s="11"/>
      <c r="G4159" s="11"/>
      <c r="H4159" s="11"/>
      <c r="I4159" s="11"/>
      <c r="J4159" s="11"/>
      <c r="K4159" s="11"/>
      <c r="L4159" s="11"/>
      <c r="M4159" s="12"/>
      <c r="N4159" s="12"/>
      <c r="O4159" s="11"/>
      <c r="P4159" s="11"/>
    </row>
    <row r="4160" spans="1:16" ht="12.75" x14ac:dyDescent="0.35">
      <c r="A4160" s="11"/>
      <c r="B4160" s="9"/>
      <c r="C4160" s="9"/>
      <c r="D4160" s="9"/>
      <c r="E4160" s="11"/>
      <c r="F4160" s="11"/>
      <c r="G4160" s="11"/>
      <c r="H4160" s="11"/>
      <c r="I4160" s="11"/>
      <c r="J4160" s="11"/>
      <c r="K4160" s="11"/>
      <c r="L4160" s="11"/>
      <c r="M4160" s="12"/>
      <c r="N4160" s="12"/>
      <c r="O4160" s="11"/>
      <c r="P4160" s="11"/>
    </row>
    <row r="4161" spans="1:16" ht="12.75" x14ac:dyDescent="0.35">
      <c r="A4161" s="11"/>
      <c r="B4161" s="9"/>
      <c r="C4161" s="9"/>
      <c r="D4161" s="9"/>
      <c r="E4161" s="11"/>
      <c r="F4161" s="11"/>
      <c r="G4161" s="11"/>
      <c r="H4161" s="11"/>
      <c r="I4161" s="11"/>
      <c r="J4161" s="11"/>
      <c r="K4161" s="11"/>
      <c r="L4161" s="11"/>
      <c r="M4161" s="12"/>
      <c r="N4161" s="12"/>
      <c r="O4161" s="11"/>
      <c r="P4161" s="11"/>
    </row>
    <row r="4162" spans="1:16" ht="12.75" x14ac:dyDescent="0.35">
      <c r="A4162" s="11"/>
      <c r="B4162" s="9"/>
      <c r="C4162" s="9"/>
      <c r="D4162" s="9"/>
      <c r="E4162" s="11"/>
      <c r="F4162" s="11"/>
      <c r="G4162" s="11"/>
      <c r="H4162" s="11"/>
      <c r="I4162" s="11"/>
      <c r="J4162" s="11"/>
      <c r="K4162" s="11"/>
      <c r="L4162" s="11"/>
      <c r="M4162" s="12"/>
      <c r="N4162" s="12"/>
      <c r="O4162" s="11"/>
      <c r="P4162" s="11"/>
    </row>
    <row r="4163" spans="1:16" ht="12.75" x14ac:dyDescent="0.35">
      <c r="A4163" s="11"/>
      <c r="B4163" s="9"/>
      <c r="C4163" s="9"/>
      <c r="D4163" s="9"/>
      <c r="E4163" s="11"/>
      <c r="F4163" s="11"/>
      <c r="G4163" s="11"/>
      <c r="H4163" s="11"/>
      <c r="I4163" s="11"/>
      <c r="J4163" s="11"/>
      <c r="K4163" s="11"/>
      <c r="L4163" s="11"/>
      <c r="M4163" s="12"/>
      <c r="N4163" s="12"/>
      <c r="O4163" s="11"/>
      <c r="P4163" s="11"/>
    </row>
    <row r="4164" spans="1:16" ht="12.75" x14ac:dyDescent="0.35">
      <c r="A4164" s="11"/>
      <c r="B4164" s="9"/>
      <c r="C4164" s="9"/>
      <c r="D4164" s="9"/>
      <c r="E4164" s="11"/>
      <c r="F4164" s="11"/>
      <c r="G4164" s="11"/>
      <c r="H4164" s="11"/>
      <c r="I4164" s="11"/>
      <c r="J4164" s="11"/>
      <c r="K4164" s="11"/>
      <c r="L4164" s="11"/>
      <c r="M4164" s="12"/>
      <c r="N4164" s="12"/>
      <c r="O4164" s="11"/>
      <c r="P4164" s="11"/>
    </row>
    <row r="4165" spans="1:16" ht="12.75" x14ac:dyDescent="0.35">
      <c r="A4165" s="11"/>
      <c r="B4165" s="9"/>
      <c r="C4165" s="9"/>
      <c r="D4165" s="9"/>
      <c r="E4165" s="11"/>
      <c r="F4165" s="11"/>
      <c r="G4165" s="11"/>
      <c r="H4165" s="11"/>
      <c r="I4165" s="11"/>
      <c r="J4165" s="11"/>
      <c r="K4165" s="11"/>
      <c r="L4165" s="11"/>
      <c r="M4165" s="12"/>
      <c r="N4165" s="12"/>
      <c r="O4165" s="11"/>
      <c r="P4165" s="11"/>
    </row>
    <row r="4166" spans="1:16" ht="12.75" x14ac:dyDescent="0.35">
      <c r="A4166" s="11"/>
      <c r="B4166" s="9"/>
      <c r="C4166" s="9"/>
      <c r="D4166" s="9"/>
      <c r="E4166" s="11"/>
      <c r="F4166" s="11"/>
      <c r="G4166" s="11"/>
      <c r="H4166" s="11"/>
      <c r="I4166" s="11"/>
      <c r="J4166" s="11"/>
      <c r="K4166" s="11"/>
      <c r="L4166" s="11"/>
      <c r="M4166" s="12"/>
      <c r="N4166" s="12"/>
      <c r="O4166" s="11"/>
      <c r="P4166" s="11"/>
    </row>
    <row r="4167" spans="1:16" ht="12.75" x14ac:dyDescent="0.35">
      <c r="A4167" s="11"/>
      <c r="B4167" s="9"/>
      <c r="C4167" s="9"/>
      <c r="D4167" s="9"/>
      <c r="E4167" s="11"/>
      <c r="F4167" s="11"/>
      <c r="G4167" s="11"/>
      <c r="H4167" s="11"/>
      <c r="I4167" s="11"/>
      <c r="J4167" s="11"/>
      <c r="K4167" s="11"/>
      <c r="L4167" s="11"/>
      <c r="M4167" s="12"/>
      <c r="N4167" s="12"/>
      <c r="O4167" s="11"/>
      <c r="P4167" s="11"/>
    </row>
    <row r="4168" spans="1:16" ht="12.75" x14ac:dyDescent="0.35">
      <c r="A4168" s="11"/>
      <c r="B4168" s="9"/>
      <c r="C4168" s="9"/>
      <c r="D4168" s="9"/>
      <c r="E4168" s="11"/>
      <c r="F4168" s="11"/>
      <c r="G4168" s="11"/>
      <c r="H4168" s="11"/>
      <c r="I4168" s="11"/>
      <c r="J4168" s="11"/>
      <c r="K4168" s="11"/>
      <c r="L4168" s="11"/>
      <c r="M4168" s="12"/>
      <c r="N4168" s="12"/>
      <c r="O4168" s="11"/>
      <c r="P4168" s="11"/>
    </row>
    <row r="4169" spans="1:16" ht="12.75" x14ac:dyDescent="0.35">
      <c r="A4169" s="11"/>
      <c r="B4169" s="9"/>
      <c r="C4169" s="9"/>
      <c r="D4169" s="9"/>
      <c r="E4169" s="11"/>
      <c r="F4169" s="11"/>
      <c r="G4169" s="11"/>
      <c r="H4169" s="11"/>
      <c r="I4169" s="11"/>
      <c r="J4169" s="11"/>
      <c r="K4169" s="11"/>
      <c r="L4169" s="11"/>
      <c r="M4169" s="12"/>
      <c r="N4169" s="12"/>
      <c r="O4169" s="11"/>
      <c r="P4169" s="11"/>
    </row>
    <row r="4170" spans="1:16" ht="12.75" x14ac:dyDescent="0.35">
      <c r="A4170" s="11"/>
      <c r="B4170" s="9"/>
      <c r="C4170" s="9"/>
      <c r="D4170" s="9"/>
      <c r="E4170" s="11"/>
      <c r="F4170" s="11"/>
      <c r="G4170" s="11"/>
      <c r="H4170" s="11"/>
      <c r="I4170" s="11"/>
      <c r="J4170" s="11"/>
      <c r="K4170" s="11"/>
      <c r="L4170" s="11"/>
      <c r="M4170" s="12"/>
      <c r="N4170" s="12"/>
      <c r="O4170" s="11"/>
      <c r="P4170" s="11"/>
    </row>
    <row r="4171" spans="1:16" ht="12.75" x14ac:dyDescent="0.35">
      <c r="A4171" s="11"/>
      <c r="B4171" s="9"/>
      <c r="C4171" s="9"/>
      <c r="D4171" s="9"/>
      <c r="E4171" s="11"/>
      <c r="F4171" s="11"/>
      <c r="G4171" s="11"/>
      <c r="H4171" s="11"/>
      <c r="I4171" s="11"/>
      <c r="J4171" s="11"/>
      <c r="K4171" s="11"/>
      <c r="L4171" s="11"/>
      <c r="M4171" s="12"/>
      <c r="N4171" s="12"/>
      <c r="O4171" s="11"/>
      <c r="P4171" s="11"/>
    </row>
    <row r="4172" spans="1:16" ht="12.75" x14ac:dyDescent="0.35">
      <c r="A4172" s="11"/>
      <c r="B4172" s="9"/>
      <c r="C4172" s="9"/>
      <c r="D4172" s="9"/>
      <c r="E4172" s="11"/>
      <c r="F4172" s="11"/>
      <c r="G4172" s="11"/>
      <c r="H4172" s="11"/>
      <c r="I4172" s="11"/>
      <c r="J4172" s="11"/>
      <c r="K4172" s="11"/>
      <c r="L4172" s="11"/>
      <c r="M4172" s="12"/>
      <c r="N4172" s="12"/>
      <c r="O4172" s="11"/>
      <c r="P4172" s="11"/>
    </row>
    <row r="4173" spans="1:16" ht="12.75" x14ac:dyDescent="0.35">
      <c r="A4173" s="11"/>
      <c r="B4173" s="9"/>
      <c r="C4173" s="9"/>
      <c r="D4173" s="9"/>
      <c r="E4173" s="11"/>
      <c r="F4173" s="11"/>
      <c r="G4173" s="11"/>
      <c r="H4173" s="11"/>
      <c r="I4173" s="11"/>
      <c r="J4173" s="11"/>
      <c r="K4173" s="11"/>
      <c r="L4173" s="11"/>
      <c r="M4173" s="12"/>
      <c r="N4173" s="12"/>
      <c r="O4173" s="11"/>
      <c r="P4173" s="11"/>
    </row>
    <row r="4174" spans="1:16" ht="12.75" x14ac:dyDescent="0.35">
      <c r="A4174" s="11"/>
      <c r="B4174" s="9"/>
      <c r="C4174" s="9"/>
      <c r="D4174" s="9"/>
      <c r="E4174" s="11"/>
      <c r="F4174" s="11"/>
      <c r="G4174" s="11"/>
      <c r="H4174" s="11"/>
      <c r="I4174" s="11"/>
      <c r="J4174" s="11"/>
      <c r="K4174" s="11"/>
      <c r="L4174" s="11"/>
      <c r="M4174" s="12"/>
      <c r="N4174" s="12"/>
      <c r="O4174" s="11"/>
      <c r="P4174" s="11"/>
    </row>
    <row r="4175" spans="1:16" ht="12.75" x14ac:dyDescent="0.35">
      <c r="A4175" s="11"/>
      <c r="B4175" s="9"/>
      <c r="C4175" s="9"/>
      <c r="D4175" s="9"/>
      <c r="E4175" s="11"/>
      <c r="F4175" s="11"/>
      <c r="G4175" s="11"/>
      <c r="H4175" s="11"/>
      <c r="I4175" s="11"/>
      <c r="J4175" s="11"/>
      <c r="K4175" s="11"/>
      <c r="L4175" s="11"/>
      <c r="M4175" s="12"/>
      <c r="N4175" s="12"/>
      <c r="O4175" s="11"/>
      <c r="P4175" s="11"/>
    </row>
    <row r="4176" spans="1:16" ht="12.75" x14ac:dyDescent="0.35">
      <c r="A4176" s="11"/>
      <c r="B4176" s="9"/>
      <c r="C4176" s="9"/>
      <c r="D4176" s="9"/>
      <c r="E4176" s="11"/>
      <c r="F4176" s="11"/>
      <c r="G4176" s="11"/>
      <c r="H4176" s="11"/>
      <c r="I4176" s="11"/>
      <c r="J4176" s="11"/>
      <c r="K4176" s="11"/>
      <c r="L4176" s="11"/>
      <c r="M4176" s="12"/>
      <c r="N4176" s="12"/>
      <c r="O4176" s="11"/>
      <c r="P4176" s="11"/>
    </row>
    <row r="4177" spans="1:16" ht="12.75" x14ac:dyDescent="0.35">
      <c r="A4177" s="11"/>
      <c r="B4177" s="9"/>
      <c r="C4177" s="9"/>
      <c r="D4177" s="9"/>
      <c r="E4177" s="11"/>
      <c r="F4177" s="11"/>
      <c r="G4177" s="11"/>
      <c r="H4177" s="11"/>
      <c r="I4177" s="11"/>
      <c r="J4177" s="11"/>
      <c r="K4177" s="11"/>
      <c r="L4177" s="11"/>
      <c r="M4177" s="12"/>
      <c r="N4177" s="12"/>
      <c r="O4177" s="11"/>
      <c r="P4177" s="11"/>
    </row>
    <row r="4178" spans="1:16" ht="12.75" x14ac:dyDescent="0.35">
      <c r="A4178" s="11"/>
      <c r="B4178" s="9"/>
      <c r="C4178" s="9"/>
      <c r="D4178" s="9"/>
      <c r="E4178" s="11"/>
      <c r="F4178" s="11"/>
      <c r="G4178" s="11"/>
      <c r="H4178" s="11"/>
      <c r="I4178" s="11"/>
      <c r="J4178" s="11"/>
      <c r="K4178" s="11"/>
      <c r="L4178" s="11"/>
      <c r="M4178" s="12"/>
      <c r="N4178" s="12"/>
      <c r="O4178" s="11"/>
      <c r="P4178" s="11"/>
    </row>
    <row r="4179" spans="1:16" ht="12.75" x14ac:dyDescent="0.35">
      <c r="A4179" s="11"/>
      <c r="B4179" s="9"/>
      <c r="C4179" s="9"/>
      <c r="D4179" s="9"/>
      <c r="E4179" s="11"/>
      <c r="F4179" s="11"/>
      <c r="G4179" s="11"/>
      <c r="H4179" s="11"/>
      <c r="I4179" s="11"/>
      <c r="J4179" s="11"/>
      <c r="K4179" s="11"/>
      <c r="L4179" s="11"/>
      <c r="M4179" s="12"/>
      <c r="N4179" s="12"/>
      <c r="O4179" s="11"/>
      <c r="P4179" s="11"/>
    </row>
    <row r="4180" spans="1:16" ht="12.75" x14ac:dyDescent="0.35">
      <c r="A4180" s="11"/>
      <c r="B4180" s="9"/>
      <c r="C4180" s="9"/>
      <c r="D4180" s="9"/>
      <c r="E4180" s="11"/>
      <c r="F4180" s="11"/>
      <c r="G4180" s="11"/>
      <c r="H4180" s="11"/>
      <c r="I4180" s="11"/>
      <c r="J4180" s="11"/>
      <c r="K4180" s="11"/>
      <c r="L4180" s="11"/>
      <c r="M4180" s="12"/>
      <c r="N4180" s="12"/>
      <c r="O4180" s="11"/>
      <c r="P4180" s="11"/>
    </row>
    <row r="4181" spans="1:16" ht="12.75" x14ac:dyDescent="0.35">
      <c r="A4181" s="11"/>
      <c r="B4181" s="9"/>
      <c r="C4181" s="9"/>
      <c r="D4181" s="9"/>
      <c r="E4181" s="11"/>
      <c r="F4181" s="11"/>
      <c r="G4181" s="11"/>
      <c r="H4181" s="11"/>
      <c r="I4181" s="11"/>
      <c r="J4181" s="11"/>
      <c r="K4181" s="11"/>
      <c r="L4181" s="11"/>
      <c r="M4181" s="12"/>
      <c r="N4181" s="12"/>
      <c r="O4181" s="11"/>
      <c r="P4181" s="11"/>
    </row>
    <row r="4182" spans="1:16" ht="12.75" x14ac:dyDescent="0.35">
      <c r="A4182" s="11"/>
      <c r="B4182" s="9"/>
      <c r="C4182" s="9"/>
      <c r="D4182" s="9"/>
      <c r="E4182" s="11"/>
      <c r="F4182" s="11"/>
      <c r="G4182" s="11"/>
      <c r="H4182" s="11"/>
      <c r="I4182" s="11"/>
      <c r="J4182" s="11"/>
      <c r="K4182" s="11"/>
      <c r="L4182" s="11"/>
      <c r="M4182" s="12"/>
      <c r="N4182" s="12"/>
      <c r="O4182" s="11"/>
      <c r="P4182" s="11"/>
    </row>
    <row r="4183" spans="1:16" ht="12.75" x14ac:dyDescent="0.35">
      <c r="A4183" s="11"/>
      <c r="B4183" s="9"/>
      <c r="C4183" s="9"/>
      <c r="D4183" s="9"/>
      <c r="E4183" s="11"/>
      <c r="F4183" s="11"/>
      <c r="G4183" s="11"/>
      <c r="H4183" s="11"/>
      <c r="I4183" s="11"/>
      <c r="J4183" s="11"/>
      <c r="K4183" s="11"/>
      <c r="L4183" s="11"/>
      <c r="M4183" s="12"/>
      <c r="N4183" s="12"/>
      <c r="O4183" s="11"/>
      <c r="P4183" s="11"/>
    </row>
    <row r="4184" spans="1:16" ht="12.75" x14ac:dyDescent="0.35">
      <c r="A4184" s="11"/>
      <c r="B4184" s="9"/>
      <c r="C4184" s="9"/>
      <c r="D4184" s="9"/>
      <c r="E4184" s="11"/>
      <c r="F4184" s="11"/>
      <c r="G4184" s="11"/>
      <c r="H4184" s="11"/>
      <c r="I4184" s="11"/>
      <c r="J4184" s="11"/>
      <c r="K4184" s="11"/>
      <c r="L4184" s="11"/>
      <c r="M4184" s="12"/>
      <c r="N4184" s="12"/>
      <c r="O4184" s="11"/>
      <c r="P4184" s="11"/>
    </row>
    <row r="4185" spans="1:16" ht="12.75" x14ac:dyDescent="0.35">
      <c r="A4185" s="11"/>
      <c r="B4185" s="9"/>
      <c r="C4185" s="9"/>
      <c r="D4185" s="9"/>
      <c r="E4185" s="11"/>
      <c r="F4185" s="11"/>
      <c r="G4185" s="11"/>
      <c r="H4185" s="11"/>
      <c r="I4185" s="11"/>
      <c r="J4185" s="11"/>
      <c r="K4185" s="11"/>
      <c r="L4185" s="11"/>
      <c r="M4185" s="12"/>
      <c r="N4185" s="12"/>
      <c r="O4185" s="11"/>
      <c r="P4185" s="11"/>
    </row>
    <row r="4186" spans="1:16" ht="12.75" x14ac:dyDescent="0.35">
      <c r="A4186" s="11"/>
      <c r="B4186" s="9"/>
      <c r="C4186" s="9"/>
      <c r="D4186" s="9"/>
      <c r="E4186" s="11"/>
      <c r="F4186" s="11"/>
      <c r="G4186" s="11"/>
      <c r="H4186" s="11"/>
      <c r="I4186" s="11"/>
      <c r="J4186" s="11"/>
      <c r="K4186" s="11"/>
      <c r="L4186" s="11"/>
      <c r="M4186" s="12"/>
      <c r="N4186" s="12"/>
      <c r="O4186" s="11"/>
      <c r="P4186" s="11"/>
    </row>
    <row r="4187" spans="1:16" ht="12.75" x14ac:dyDescent="0.35">
      <c r="A4187" s="11"/>
      <c r="B4187" s="9"/>
      <c r="C4187" s="9"/>
      <c r="D4187" s="9"/>
      <c r="E4187" s="11"/>
      <c r="F4187" s="11"/>
      <c r="G4187" s="11"/>
      <c r="H4187" s="11"/>
      <c r="I4187" s="11"/>
      <c r="J4187" s="11"/>
      <c r="K4187" s="11"/>
      <c r="L4187" s="11"/>
      <c r="M4187" s="12"/>
      <c r="N4187" s="12"/>
      <c r="O4187" s="11"/>
      <c r="P4187" s="11"/>
    </row>
    <row r="4188" spans="1:16" ht="12.75" x14ac:dyDescent="0.35">
      <c r="A4188" s="11"/>
      <c r="B4188" s="9"/>
      <c r="C4188" s="9"/>
      <c r="D4188" s="9"/>
      <c r="E4188" s="11"/>
      <c r="F4188" s="11"/>
      <c r="G4188" s="11"/>
      <c r="H4188" s="11"/>
      <c r="I4188" s="11"/>
      <c r="J4188" s="11"/>
      <c r="K4188" s="11"/>
      <c r="L4188" s="11"/>
      <c r="M4188" s="12"/>
      <c r="N4188" s="12"/>
      <c r="O4188" s="11"/>
      <c r="P4188" s="11"/>
    </row>
    <row r="4189" spans="1:16" ht="12.75" x14ac:dyDescent="0.35">
      <c r="A4189" s="11"/>
      <c r="B4189" s="9"/>
      <c r="C4189" s="9"/>
      <c r="D4189" s="9"/>
      <c r="E4189" s="11"/>
      <c r="F4189" s="11"/>
      <c r="G4189" s="11"/>
      <c r="H4189" s="11"/>
      <c r="I4189" s="11"/>
      <c r="J4189" s="11"/>
      <c r="K4189" s="11"/>
      <c r="L4189" s="11"/>
      <c r="M4189" s="12"/>
      <c r="N4189" s="12"/>
      <c r="O4189" s="11"/>
      <c r="P4189" s="11"/>
    </row>
    <row r="4190" spans="1:16" ht="12.75" x14ac:dyDescent="0.35">
      <c r="A4190" s="11"/>
      <c r="B4190" s="9"/>
      <c r="C4190" s="9"/>
      <c r="D4190" s="9"/>
      <c r="E4190" s="11"/>
      <c r="F4190" s="11"/>
      <c r="G4190" s="11"/>
      <c r="H4190" s="11"/>
      <c r="I4190" s="11"/>
      <c r="J4190" s="11"/>
      <c r="K4190" s="11"/>
      <c r="L4190" s="11"/>
      <c r="M4190" s="12"/>
      <c r="N4190" s="12"/>
      <c r="O4190" s="11"/>
      <c r="P4190" s="11"/>
    </row>
    <row r="4191" spans="1:16" ht="12.75" x14ac:dyDescent="0.35">
      <c r="A4191" s="11"/>
      <c r="B4191" s="9"/>
      <c r="C4191" s="9"/>
      <c r="D4191" s="9"/>
      <c r="E4191" s="11"/>
      <c r="F4191" s="11"/>
      <c r="G4191" s="11"/>
      <c r="H4191" s="11"/>
      <c r="I4191" s="11"/>
      <c r="J4191" s="11"/>
      <c r="K4191" s="11"/>
      <c r="L4191" s="11"/>
      <c r="M4191" s="12"/>
      <c r="N4191" s="12"/>
      <c r="O4191" s="11"/>
      <c r="P4191" s="11"/>
    </row>
    <row r="4192" spans="1:16" ht="12.75" x14ac:dyDescent="0.35">
      <c r="A4192" s="11"/>
      <c r="B4192" s="9"/>
      <c r="C4192" s="9"/>
      <c r="D4192" s="9"/>
      <c r="E4192" s="11"/>
      <c r="F4192" s="11"/>
      <c r="G4192" s="11"/>
      <c r="H4192" s="11"/>
      <c r="I4192" s="11"/>
      <c r="J4192" s="11"/>
      <c r="K4192" s="11"/>
      <c r="L4192" s="11"/>
      <c r="M4192" s="12"/>
      <c r="N4192" s="12"/>
      <c r="O4192" s="11"/>
      <c r="P4192" s="11"/>
    </row>
    <row r="4193" spans="1:16" ht="12.75" x14ac:dyDescent="0.35">
      <c r="A4193" s="11"/>
      <c r="B4193" s="9"/>
      <c r="C4193" s="9"/>
      <c r="D4193" s="9"/>
      <c r="E4193" s="11"/>
      <c r="F4193" s="11"/>
      <c r="G4193" s="11"/>
      <c r="H4193" s="11"/>
      <c r="I4193" s="11"/>
      <c r="J4193" s="11"/>
      <c r="K4193" s="11"/>
      <c r="L4193" s="11"/>
      <c r="M4193" s="12"/>
      <c r="N4193" s="12"/>
      <c r="O4193" s="11"/>
      <c r="P4193" s="11"/>
    </row>
    <row r="4194" spans="1:16" ht="12.75" x14ac:dyDescent="0.35">
      <c r="A4194" s="11"/>
      <c r="B4194" s="9"/>
      <c r="C4194" s="9"/>
      <c r="D4194" s="9"/>
      <c r="E4194" s="11"/>
      <c r="F4194" s="11"/>
      <c r="G4194" s="11"/>
      <c r="H4194" s="11"/>
      <c r="I4194" s="11"/>
      <c r="J4194" s="11"/>
      <c r="K4194" s="11"/>
      <c r="L4194" s="11"/>
      <c r="M4194" s="12"/>
      <c r="N4194" s="12"/>
      <c r="O4194" s="11"/>
      <c r="P4194" s="11"/>
    </row>
    <row r="4195" spans="1:16" ht="12.75" x14ac:dyDescent="0.35">
      <c r="A4195" s="11"/>
      <c r="B4195" s="9"/>
      <c r="C4195" s="9"/>
      <c r="D4195" s="9"/>
      <c r="E4195" s="11"/>
      <c r="F4195" s="11"/>
      <c r="G4195" s="11"/>
      <c r="H4195" s="11"/>
      <c r="I4195" s="11"/>
      <c r="J4195" s="11"/>
      <c r="K4195" s="11"/>
      <c r="L4195" s="11"/>
      <c r="M4195" s="12"/>
      <c r="N4195" s="12"/>
      <c r="O4195" s="11"/>
      <c r="P4195" s="11"/>
    </row>
    <row r="4196" spans="1:16" ht="12.75" x14ac:dyDescent="0.35">
      <c r="A4196" s="11"/>
      <c r="B4196" s="9"/>
      <c r="C4196" s="9"/>
      <c r="D4196" s="9"/>
      <c r="E4196" s="11"/>
      <c r="F4196" s="11"/>
      <c r="G4196" s="11"/>
      <c r="H4196" s="11"/>
      <c r="I4196" s="11"/>
      <c r="J4196" s="11"/>
      <c r="K4196" s="11"/>
      <c r="L4196" s="11"/>
      <c r="M4196" s="12"/>
      <c r="N4196" s="12"/>
      <c r="O4196" s="11"/>
      <c r="P4196" s="11"/>
    </row>
    <row r="4197" spans="1:16" ht="12.75" x14ac:dyDescent="0.35">
      <c r="A4197" s="11"/>
      <c r="B4197" s="9"/>
      <c r="C4197" s="9"/>
      <c r="D4197" s="9"/>
      <c r="E4197" s="11"/>
      <c r="F4197" s="11"/>
      <c r="G4197" s="11"/>
      <c r="H4197" s="11"/>
      <c r="I4197" s="11"/>
      <c r="J4197" s="11"/>
      <c r="K4197" s="11"/>
      <c r="L4197" s="11"/>
      <c r="M4197" s="12"/>
      <c r="N4197" s="12"/>
      <c r="O4197" s="11"/>
      <c r="P4197" s="11"/>
    </row>
    <row r="4198" spans="1:16" ht="12.75" x14ac:dyDescent="0.35">
      <c r="A4198" s="11"/>
      <c r="B4198" s="9"/>
      <c r="C4198" s="9"/>
      <c r="D4198" s="9"/>
      <c r="E4198" s="11"/>
      <c r="F4198" s="11"/>
      <c r="G4198" s="11"/>
      <c r="H4198" s="11"/>
      <c r="I4198" s="11"/>
      <c r="J4198" s="11"/>
      <c r="K4198" s="11"/>
      <c r="L4198" s="11"/>
      <c r="M4198" s="12"/>
      <c r="N4198" s="12"/>
      <c r="O4198" s="11"/>
      <c r="P4198" s="11"/>
    </row>
    <row r="4199" spans="1:16" ht="12.75" x14ac:dyDescent="0.35">
      <c r="A4199" s="11"/>
      <c r="B4199" s="9"/>
      <c r="C4199" s="9"/>
      <c r="D4199" s="9"/>
      <c r="E4199" s="11"/>
      <c r="F4199" s="11"/>
      <c r="G4199" s="11"/>
      <c r="H4199" s="11"/>
      <c r="I4199" s="11"/>
      <c r="J4199" s="11"/>
      <c r="K4199" s="11"/>
      <c r="L4199" s="11"/>
      <c r="M4199" s="12"/>
      <c r="N4199" s="12"/>
      <c r="O4199" s="11"/>
      <c r="P4199" s="11"/>
    </row>
    <row r="4200" spans="1:16" ht="12.75" x14ac:dyDescent="0.35">
      <c r="A4200" s="11"/>
      <c r="B4200" s="9"/>
      <c r="C4200" s="9"/>
      <c r="D4200" s="9"/>
      <c r="E4200" s="11"/>
      <c r="F4200" s="11"/>
      <c r="G4200" s="11"/>
      <c r="H4200" s="11"/>
      <c r="I4200" s="11"/>
      <c r="J4200" s="11"/>
      <c r="K4200" s="11"/>
      <c r="L4200" s="11"/>
      <c r="M4200" s="12"/>
      <c r="N4200" s="12"/>
      <c r="O4200" s="11"/>
      <c r="P4200" s="11"/>
    </row>
    <row r="4201" spans="1:16" ht="12.75" x14ac:dyDescent="0.35">
      <c r="A4201" s="11"/>
      <c r="B4201" s="9"/>
      <c r="C4201" s="9"/>
      <c r="D4201" s="9"/>
      <c r="E4201" s="11"/>
      <c r="F4201" s="11"/>
      <c r="G4201" s="11"/>
      <c r="H4201" s="11"/>
      <c r="I4201" s="11"/>
      <c r="J4201" s="11"/>
      <c r="K4201" s="11"/>
      <c r="L4201" s="11"/>
      <c r="M4201" s="12"/>
      <c r="N4201" s="12"/>
      <c r="O4201" s="11"/>
      <c r="P4201" s="11"/>
    </row>
    <row r="4202" spans="1:16" ht="12.75" x14ac:dyDescent="0.35">
      <c r="A4202" s="11"/>
      <c r="B4202" s="9"/>
      <c r="C4202" s="9"/>
      <c r="D4202" s="9"/>
      <c r="E4202" s="11"/>
      <c r="F4202" s="11"/>
      <c r="G4202" s="11"/>
      <c r="H4202" s="11"/>
      <c r="I4202" s="11"/>
      <c r="J4202" s="11"/>
      <c r="K4202" s="11"/>
      <c r="L4202" s="11"/>
      <c r="M4202" s="12"/>
      <c r="N4202" s="12"/>
      <c r="O4202" s="11"/>
      <c r="P4202" s="11"/>
    </row>
    <row r="4203" spans="1:16" ht="12.75" x14ac:dyDescent="0.35">
      <c r="A4203" s="11"/>
      <c r="B4203" s="9"/>
      <c r="C4203" s="9"/>
      <c r="D4203" s="9"/>
      <c r="E4203" s="11"/>
      <c r="F4203" s="11"/>
      <c r="G4203" s="11"/>
      <c r="H4203" s="11"/>
      <c r="I4203" s="11"/>
      <c r="J4203" s="11"/>
      <c r="K4203" s="11"/>
      <c r="L4203" s="11"/>
      <c r="M4203" s="12"/>
      <c r="N4203" s="12"/>
      <c r="O4203" s="11"/>
      <c r="P4203" s="11"/>
    </row>
    <row r="4204" spans="1:16" ht="12.75" x14ac:dyDescent="0.35">
      <c r="A4204" s="11"/>
      <c r="B4204" s="9"/>
      <c r="C4204" s="9"/>
      <c r="D4204" s="9"/>
      <c r="E4204" s="11"/>
      <c r="F4204" s="11"/>
      <c r="G4204" s="11"/>
      <c r="H4204" s="11"/>
      <c r="I4204" s="11"/>
      <c r="J4204" s="11"/>
      <c r="K4204" s="11"/>
      <c r="L4204" s="11"/>
      <c r="M4204" s="12"/>
      <c r="N4204" s="12"/>
      <c r="O4204" s="11"/>
      <c r="P4204" s="11"/>
    </row>
    <row r="4205" spans="1:16" ht="12.75" x14ac:dyDescent="0.35">
      <c r="A4205" s="11"/>
      <c r="B4205" s="9"/>
      <c r="C4205" s="9"/>
      <c r="D4205" s="9"/>
      <c r="E4205" s="11"/>
      <c r="F4205" s="11"/>
      <c r="G4205" s="11"/>
      <c r="H4205" s="11"/>
      <c r="I4205" s="11"/>
      <c r="J4205" s="11"/>
      <c r="K4205" s="11"/>
      <c r="L4205" s="11"/>
      <c r="M4205" s="12"/>
      <c r="N4205" s="12"/>
      <c r="O4205" s="11"/>
      <c r="P4205" s="11"/>
    </row>
    <row r="4206" spans="1:16" ht="12.75" x14ac:dyDescent="0.35">
      <c r="A4206" s="11"/>
      <c r="B4206" s="9"/>
      <c r="C4206" s="9"/>
      <c r="D4206" s="9"/>
      <c r="E4206" s="11"/>
      <c r="F4206" s="11"/>
      <c r="G4206" s="11"/>
      <c r="H4206" s="11"/>
      <c r="I4206" s="11"/>
      <c r="J4206" s="11"/>
      <c r="K4206" s="11"/>
      <c r="L4206" s="11"/>
      <c r="M4206" s="12"/>
      <c r="N4206" s="12"/>
      <c r="O4206" s="11"/>
      <c r="P4206" s="11"/>
    </row>
    <row r="4207" spans="1:16" ht="12.75" x14ac:dyDescent="0.35">
      <c r="A4207" s="11"/>
      <c r="B4207" s="9"/>
      <c r="C4207" s="9"/>
      <c r="D4207" s="9"/>
      <c r="E4207" s="11"/>
      <c r="F4207" s="11"/>
      <c r="G4207" s="11"/>
      <c r="H4207" s="11"/>
      <c r="I4207" s="11"/>
      <c r="J4207" s="11"/>
      <c r="K4207" s="11"/>
      <c r="L4207" s="11"/>
      <c r="M4207" s="12"/>
      <c r="N4207" s="12"/>
      <c r="O4207" s="11"/>
      <c r="P4207" s="11"/>
    </row>
    <row r="4208" spans="1:16" ht="12.75" x14ac:dyDescent="0.35">
      <c r="A4208" s="11"/>
      <c r="B4208" s="9"/>
      <c r="C4208" s="9"/>
      <c r="D4208" s="9"/>
      <c r="E4208" s="11"/>
      <c r="F4208" s="11"/>
      <c r="G4208" s="11"/>
      <c r="H4208" s="11"/>
      <c r="I4208" s="11"/>
      <c r="J4208" s="11"/>
      <c r="K4208" s="11"/>
      <c r="L4208" s="11"/>
      <c r="M4208" s="12"/>
      <c r="N4208" s="12"/>
      <c r="O4208" s="11"/>
      <c r="P4208" s="11"/>
    </row>
    <row r="4209" spans="1:16" ht="12.75" x14ac:dyDescent="0.35">
      <c r="A4209" s="11"/>
      <c r="B4209" s="9"/>
      <c r="C4209" s="9"/>
      <c r="D4209" s="9"/>
      <c r="E4209" s="11"/>
      <c r="F4209" s="11"/>
      <c r="G4209" s="11"/>
      <c r="H4209" s="11"/>
      <c r="I4209" s="11"/>
      <c r="J4209" s="11"/>
      <c r="K4209" s="11"/>
      <c r="L4209" s="11"/>
      <c r="M4209" s="12"/>
      <c r="N4209" s="12"/>
      <c r="O4209" s="11"/>
      <c r="P4209" s="11"/>
    </row>
    <row r="4210" spans="1:16" ht="12.75" x14ac:dyDescent="0.35">
      <c r="A4210" s="11"/>
      <c r="B4210" s="9"/>
      <c r="C4210" s="9"/>
      <c r="D4210" s="9"/>
      <c r="E4210" s="11"/>
      <c r="F4210" s="11"/>
      <c r="G4210" s="11"/>
      <c r="H4210" s="11"/>
      <c r="I4210" s="11"/>
      <c r="J4210" s="11"/>
      <c r="K4210" s="11"/>
      <c r="L4210" s="11"/>
      <c r="M4210" s="12"/>
      <c r="N4210" s="12"/>
      <c r="O4210" s="11"/>
      <c r="P4210" s="11"/>
    </row>
    <row r="4211" spans="1:16" ht="12.75" x14ac:dyDescent="0.35">
      <c r="A4211" s="11"/>
      <c r="B4211" s="9"/>
      <c r="C4211" s="9"/>
      <c r="D4211" s="9"/>
      <c r="E4211" s="11"/>
      <c r="F4211" s="11"/>
      <c r="G4211" s="11"/>
      <c r="H4211" s="11"/>
      <c r="I4211" s="11"/>
      <c r="J4211" s="11"/>
      <c r="K4211" s="11"/>
      <c r="L4211" s="11"/>
      <c r="M4211" s="12"/>
      <c r="N4211" s="12"/>
      <c r="O4211" s="11"/>
      <c r="P4211" s="11"/>
    </row>
    <row r="4212" spans="1:16" ht="12.75" x14ac:dyDescent="0.35">
      <c r="A4212" s="11"/>
      <c r="B4212" s="9"/>
      <c r="C4212" s="9"/>
      <c r="D4212" s="9"/>
      <c r="E4212" s="11"/>
      <c r="F4212" s="11"/>
      <c r="G4212" s="11"/>
      <c r="H4212" s="11"/>
      <c r="I4212" s="11"/>
      <c r="J4212" s="11"/>
      <c r="K4212" s="11"/>
      <c r="L4212" s="11"/>
      <c r="M4212" s="12"/>
      <c r="N4212" s="12"/>
      <c r="O4212" s="11"/>
      <c r="P4212" s="11"/>
    </row>
    <row r="4213" spans="1:16" ht="12.75" x14ac:dyDescent="0.35">
      <c r="A4213" s="11"/>
      <c r="B4213" s="9"/>
      <c r="C4213" s="9"/>
      <c r="D4213" s="9"/>
      <c r="E4213" s="11"/>
      <c r="F4213" s="11"/>
      <c r="G4213" s="11"/>
      <c r="H4213" s="11"/>
      <c r="I4213" s="11"/>
      <c r="J4213" s="11"/>
      <c r="K4213" s="11"/>
      <c r="L4213" s="11"/>
      <c r="M4213" s="12"/>
      <c r="N4213" s="12"/>
      <c r="O4213" s="11"/>
      <c r="P4213" s="11"/>
    </row>
    <row r="4214" spans="1:16" ht="12.75" x14ac:dyDescent="0.35">
      <c r="A4214" s="11"/>
      <c r="B4214" s="9"/>
      <c r="C4214" s="9"/>
      <c r="D4214" s="9"/>
      <c r="E4214" s="11"/>
      <c r="F4214" s="11"/>
      <c r="G4214" s="11"/>
      <c r="H4214" s="11"/>
      <c r="I4214" s="11"/>
      <c r="J4214" s="11"/>
      <c r="K4214" s="11"/>
      <c r="L4214" s="11"/>
      <c r="M4214" s="12"/>
      <c r="N4214" s="12"/>
      <c r="O4214" s="11"/>
      <c r="P4214" s="11"/>
    </row>
    <row r="4215" spans="1:16" ht="12.75" x14ac:dyDescent="0.35">
      <c r="A4215" s="11"/>
      <c r="B4215" s="9"/>
      <c r="C4215" s="9"/>
      <c r="D4215" s="9"/>
      <c r="E4215" s="11"/>
      <c r="F4215" s="11"/>
      <c r="G4215" s="11"/>
      <c r="H4215" s="11"/>
      <c r="I4215" s="11"/>
      <c r="J4215" s="11"/>
      <c r="K4215" s="11"/>
      <c r="L4215" s="11"/>
      <c r="M4215" s="12"/>
      <c r="N4215" s="12"/>
      <c r="O4215" s="11"/>
      <c r="P4215" s="11"/>
    </row>
    <row r="4216" spans="1:16" ht="12.75" x14ac:dyDescent="0.35">
      <c r="A4216" s="11"/>
      <c r="B4216" s="9"/>
      <c r="C4216" s="9"/>
      <c r="D4216" s="9"/>
      <c r="E4216" s="11"/>
      <c r="F4216" s="11"/>
      <c r="G4216" s="11"/>
      <c r="H4216" s="11"/>
      <c r="I4216" s="11"/>
      <c r="J4216" s="11"/>
      <c r="K4216" s="11"/>
      <c r="L4216" s="11"/>
      <c r="M4216" s="12"/>
      <c r="N4216" s="12"/>
      <c r="O4216" s="11"/>
      <c r="P4216" s="11"/>
    </row>
    <row r="4217" spans="1:16" ht="12.75" x14ac:dyDescent="0.35">
      <c r="A4217" s="11"/>
      <c r="B4217" s="9"/>
      <c r="C4217" s="9"/>
      <c r="D4217" s="9"/>
      <c r="E4217" s="11"/>
      <c r="F4217" s="11"/>
      <c r="G4217" s="11"/>
      <c r="H4217" s="11"/>
      <c r="I4217" s="11"/>
      <c r="J4217" s="11"/>
      <c r="K4217" s="11"/>
      <c r="L4217" s="11"/>
      <c r="M4217" s="12"/>
      <c r="N4217" s="12"/>
      <c r="O4217" s="11"/>
      <c r="P4217" s="11"/>
    </row>
    <row r="4218" spans="1:16" ht="12.75" x14ac:dyDescent="0.35">
      <c r="A4218" s="11"/>
      <c r="B4218" s="9"/>
      <c r="C4218" s="9"/>
      <c r="D4218" s="9"/>
      <c r="E4218" s="11"/>
      <c r="F4218" s="11"/>
      <c r="G4218" s="11"/>
      <c r="H4218" s="11"/>
      <c r="I4218" s="11"/>
      <c r="J4218" s="11"/>
      <c r="K4218" s="11"/>
      <c r="L4218" s="11"/>
      <c r="M4218" s="12"/>
      <c r="N4218" s="12"/>
      <c r="O4218" s="11"/>
      <c r="P4218" s="11"/>
    </row>
    <row r="4219" spans="1:16" ht="12.75" x14ac:dyDescent="0.35">
      <c r="A4219" s="11"/>
      <c r="B4219" s="9"/>
      <c r="C4219" s="9"/>
      <c r="D4219" s="9"/>
      <c r="E4219" s="11"/>
      <c r="F4219" s="11"/>
      <c r="G4219" s="11"/>
      <c r="H4219" s="11"/>
      <c r="I4219" s="11"/>
      <c r="J4219" s="11"/>
      <c r="K4219" s="11"/>
      <c r="L4219" s="11"/>
      <c r="M4219" s="12"/>
      <c r="N4219" s="12"/>
      <c r="O4219" s="11"/>
      <c r="P4219" s="11"/>
    </row>
    <row r="4220" spans="1:16" ht="12.75" x14ac:dyDescent="0.35">
      <c r="A4220" s="11"/>
      <c r="B4220" s="9"/>
      <c r="C4220" s="9"/>
      <c r="D4220" s="9"/>
      <c r="E4220" s="11"/>
      <c r="F4220" s="11"/>
      <c r="G4220" s="11"/>
      <c r="H4220" s="11"/>
      <c r="I4220" s="11"/>
      <c r="J4220" s="11"/>
      <c r="K4220" s="11"/>
      <c r="L4220" s="11"/>
      <c r="M4220" s="12"/>
      <c r="N4220" s="12"/>
      <c r="O4220" s="11"/>
      <c r="P4220" s="11"/>
    </row>
    <row r="4221" spans="1:16" ht="12.75" x14ac:dyDescent="0.35">
      <c r="A4221" s="11"/>
      <c r="B4221" s="9"/>
      <c r="C4221" s="9"/>
      <c r="D4221" s="9"/>
      <c r="E4221" s="11"/>
      <c r="F4221" s="11"/>
      <c r="G4221" s="11"/>
      <c r="H4221" s="11"/>
      <c r="I4221" s="11"/>
      <c r="J4221" s="11"/>
      <c r="K4221" s="11"/>
      <c r="L4221" s="11"/>
      <c r="M4221" s="12"/>
      <c r="N4221" s="12"/>
      <c r="O4221" s="11"/>
      <c r="P4221" s="11"/>
    </row>
    <row r="4222" spans="1:16" ht="12.75" x14ac:dyDescent="0.35">
      <c r="A4222" s="11"/>
      <c r="B4222" s="9"/>
      <c r="C4222" s="9"/>
      <c r="D4222" s="9"/>
      <c r="E4222" s="11"/>
      <c r="F4222" s="11"/>
      <c r="G4222" s="11"/>
      <c r="H4222" s="11"/>
      <c r="I4222" s="11"/>
      <c r="J4222" s="11"/>
      <c r="K4222" s="11"/>
      <c r="L4222" s="11"/>
      <c r="M4222" s="12"/>
      <c r="N4222" s="12"/>
      <c r="O4222" s="11"/>
      <c r="P4222" s="11"/>
    </row>
    <row r="4223" spans="1:16" ht="12.75" x14ac:dyDescent="0.35">
      <c r="A4223" s="11"/>
      <c r="B4223" s="9"/>
      <c r="C4223" s="9"/>
      <c r="D4223" s="9"/>
      <c r="E4223" s="11"/>
      <c r="F4223" s="11"/>
      <c r="G4223" s="11"/>
      <c r="H4223" s="11"/>
      <c r="I4223" s="11"/>
      <c r="J4223" s="11"/>
      <c r="K4223" s="11"/>
      <c r="L4223" s="11"/>
      <c r="M4223" s="12"/>
      <c r="N4223" s="12"/>
      <c r="O4223" s="11"/>
      <c r="P4223" s="11"/>
    </row>
    <row r="4224" spans="1:16" ht="12.75" x14ac:dyDescent="0.35">
      <c r="A4224" s="11"/>
      <c r="B4224" s="9"/>
      <c r="C4224" s="9"/>
      <c r="D4224" s="9"/>
      <c r="E4224" s="11"/>
      <c r="F4224" s="11"/>
      <c r="G4224" s="11"/>
      <c r="H4224" s="11"/>
      <c r="I4224" s="11"/>
      <c r="J4224" s="11"/>
      <c r="K4224" s="11"/>
      <c r="L4224" s="11"/>
      <c r="M4224" s="12"/>
      <c r="N4224" s="12"/>
      <c r="O4224" s="11"/>
      <c r="P4224" s="11"/>
    </row>
    <row r="4225" spans="1:16" ht="12.75" x14ac:dyDescent="0.35">
      <c r="A4225" s="11"/>
      <c r="B4225" s="9"/>
      <c r="C4225" s="9"/>
      <c r="D4225" s="9"/>
      <c r="E4225" s="11"/>
      <c r="F4225" s="11"/>
      <c r="G4225" s="11"/>
      <c r="H4225" s="11"/>
      <c r="I4225" s="11"/>
      <c r="J4225" s="11"/>
      <c r="K4225" s="11"/>
      <c r="L4225" s="11"/>
      <c r="M4225" s="12"/>
      <c r="N4225" s="12"/>
      <c r="O4225" s="11"/>
      <c r="P4225" s="11"/>
    </row>
    <row r="4226" spans="1:16" ht="12.75" x14ac:dyDescent="0.35">
      <c r="A4226" s="11"/>
      <c r="B4226" s="9"/>
      <c r="C4226" s="9"/>
      <c r="D4226" s="9"/>
      <c r="E4226" s="11"/>
      <c r="F4226" s="11"/>
      <c r="G4226" s="11"/>
      <c r="H4226" s="11"/>
      <c r="I4226" s="11"/>
      <c r="J4226" s="11"/>
      <c r="K4226" s="11"/>
      <c r="L4226" s="11"/>
      <c r="M4226" s="12"/>
      <c r="N4226" s="12"/>
      <c r="O4226" s="11"/>
      <c r="P4226" s="11"/>
    </row>
    <row r="4227" spans="1:16" ht="12.75" x14ac:dyDescent="0.35">
      <c r="A4227" s="11"/>
      <c r="B4227" s="9"/>
      <c r="C4227" s="9"/>
      <c r="D4227" s="9"/>
      <c r="E4227" s="11"/>
      <c r="F4227" s="11"/>
      <c r="G4227" s="11"/>
      <c r="H4227" s="11"/>
      <c r="I4227" s="11"/>
      <c r="J4227" s="11"/>
      <c r="K4227" s="11"/>
      <c r="L4227" s="11"/>
      <c r="M4227" s="12"/>
      <c r="N4227" s="12"/>
      <c r="O4227" s="11"/>
      <c r="P4227" s="11"/>
    </row>
    <row r="4228" spans="1:16" ht="12.75" x14ac:dyDescent="0.35">
      <c r="A4228" s="11"/>
      <c r="B4228" s="9"/>
      <c r="C4228" s="9"/>
      <c r="D4228" s="9"/>
      <c r="E4228" s="11"/>
      <c r="F4228" s="11"/>
      <c r="G4228" s="11"/>
      <c r="H4228" s="11"/>
      <c r="I4228" s="11"/>
      <c r="J4228" s="11"/>
      <c r="K4228" s="11"/>
      <c r="L4228" s="11"/>
      <c r="M4228" s="12"/>
      <c r="N4228" s="12"/>
      <c r="O4228" s="11"/>
      <c r="P4228" s="11"/>
    </row>
    <row r="4229" spans="1:16" ht="12.75" x14ac:dyDescent="0.35">
      <c r="A4229" s="11"/>
      <c r="B4229" s="9"/>
      <c r="C4229" s="9"/>
      <c r="D4229" s="9"/>
      <c r="E4229" s="11"/>
      <c r="F4229" s="11"/>
      <c r="G4229" s="11"/>
      <c r="H4229" s="11"/>
      <c r="I4229" s="11"/>
      <c r="J4229" s="11"/>
      <c r="K4229" s="11"/>
      <c r="L4229" s="11"/>
      <c r="M4229" s="12"/>
      <c r="N4229" s="12"/>
      <c r="O4229" s="11"/>
      <c r="P4229" s="11"/>
    </row>
    <row r="4230" spans="1:16" ht="12.75" x14ac:dyDescent="0.35">
      <c r="A4230" s="11"/>
      <c r="B4230" s="9"/>
      <c r="C4230" s="9"/>
      <c r="D4230" s="9"/>
      <c r="E4230" s="11"/>
      <c r="F4230" s="11"/>
      <c r="G4230" s="11"/>
      <c r="H4230" s="11"/>
      <c r="I4230" s="11"/>
      <c r="J4230" s="11"/>
      <c r="K4230" s="11"/>
      <c r="L4230" s="11"/>
      <c r="M4230" s="12"/>
      <c r="N4230" s="12"/>
      <c r="O4230" s="11"/>
      <c r="P4230" s="11"/>
    </row>
    <row r="4231" spans="1:16" ht="12.75" x14ac:dyDescent="0.35">
      <c r="A4231" s="11"/>
      <c r="B4231" s="9"/>
      <c r="C4231" s="9"/>
      <c r="D4231" s="9"/>
      <c r="E4231" s="11"/>
      <c r="F4231" s="11"/>
      <c r="G4231" s="11"/>
      <c r="H4231" s="11"/>
      <c r="I4231" s="11"/>
      <c r="J4231" s="11"/>
      <c r="K4231" s="11"/>
      <c r="L4231" s="11"/>
      <c r="M4231" s="12"/>
      <c r="N4231" s="12"/>
      <c r="O4231" s="11"/>
      <c r="P4231" s="11"/>
    </row>
    <row r="4232" spans="1:16" ht="12.75" x14ac:dyDescent="0.35">
      <c r="A4232" s="11"/>
      <c r="B4232" s="9"/>
      <c r="C4232" s="9"/>
      <c r="D4232" s="9"/>
      <c r="E4232" s="11"/>
      <c r="F4232" s="11"/>
      <c r="G4232" s="11"/>
      <c r="H4232" s="11"/>
      <c r="I4232" s="11"/>
      <c r="J4232" s="11"/>
      <c r="K4232" s="11"/>
      <c r="L4232" s="11"/>
      <c r="M4232" s="12"/>
      <c r="N4232" s="12"/>
      <c r="O4232" s="11"/>
      <c r="P4232" s="11"/>
    </row>
    <row r="4233" spans="1:16" ht="12.75" x14ac:dyDescent="0.35">
      <c r="A4233" s="11"/>
      <c r="B4233" s="9"/>
      <c r="C4233" s="9"/>
      <c r="D4233" s="9"/>
      <c r="E4233" s="11"/>
      <c r="F4233" s="11"/>
      <c r="G4233" s="11"/>
      <c r="H4233" s="11"/>
      <c r="I4233" s="11"/>
      <c r="J4233" s="11"/>
      <c r="K4233" s="11"/>
      <c r="L4233" s="11"/>
      <c r="M4233" s="12"/>
      <c r="N4233" s="12"/>
      <c r="O4233" s="11"/>
      <c r="P4233" s="11"/>
    </row>
    <row r="4234" spans="1:16" ht="12.75" x14ac:dyDescent="0.35">
      <c r="A4234" s="11"/>
      <c r="B4234" s="9"/>
      <c r="C4234" s="9"/>
      <c r="D4234" s="9"/>
      <c r="E4234" s="11"/>
      <c r="F4234" s="11"/>
      <c r="G4234" s="11"/>
      <c r="H4234" s="11"/>
      <c r="I4234" s="11"/>
      <c r="J4234" s="11"/>
      <c r="K4234" s="11"/>
      <c r="L4234" s="11"/>
      <c r="M4234" s="12"/>
      <c r="N4234" s="12"/>
      <c r="O4234" s="11"/>
      <c r="P4234" s="11"/>
    </row>
    <row r="4235" spans="1:16" ht="12.75" x14ac:dyDescent="0.35">
      <c r="A4235" s="11"/>
      <c r="B4235" s="9"/>
      <c r="C4235" s="9"/>
      <c r="D4235" s="9"/>
      <c r="E4235" s="11"/>
      <c r="F4235" s="11"/>
      <c r="G4235" s="11"/>
      <c r="H4235" s="11"/>
      <c r="I4235" s="11"/>
      <c r="J4235" s="11"/>
      <c r="K4235" s="11"/>
      <c r="L4235" s="11"/>
      <c r="M4235" s="12"/>
      <c r="N4235" s="12"/>
      <c r="O4235" s="11"/>
      <c r="P4235" s="11"/>
    </row>
    <row r="4236" spans="1:16" ht="12.75" x14ac:dyDescent="0.35">
      <c r="A4236" s="11"/>
      <c r="B4236" s="9"/>
      <c r="C4236" s="9"/>
      <c r="D4236" s="9"/>
      <c r="E4236" s="11"/>
      <c r="F4236" s="11"/>
      <c r="G4236" s="11"/>
      <c r="H4236" s="11"/>
      <c r="I4236" s="11"/>
      <c r="J4236" s="11"/>
      <c r="K4236" s="11"/>
      <c r="L4236" s="11"/>
      <c r="M4236" s="12"/>
      <c r="N4236" s="12"/>
      <c r="O4236" s="11"/>
      <c r="P4236" s="11"/>
    </row>
    <row r="4237" spans="1:16" ht="12.75" x14ac:dyDescent="0.35">
      <c r="A4237" s="11"/>
      <c r="B4237" s="9"/>
      <c r="C4237" s="9"/>
      <c r="D4237" s="9"/>
      <c r="E4237" s="11"/>
      <c r="F4237" s="11"/>
      <c r="G4237" s="11"/>
      <c r="H4237" s="11"/>
      <c r="I4237" s="11"/>
      <c r="J4237" s="11"/>
      <c r="K4237" s="11"/>
      <c r="L4237" s="11"/>
      <c r="M4237" s="12"/>
      <c r="N4237" s="12"/>
      <c r="O4237" s="11"/>
      <c r="P4237" s="11"/>
    </row>
    <row r="4238" spans="1:16" ht="12.75" x14ac:dyDescent="0.35">
      <c r="A4238" s="11"/>
      <c r="B4238" s="9"/>
      <c r="C4238" s="9"/>
      <c r="D4238" s="9"/>
      <c r="E4238" s="11"/>
      <c r="F4238" s="11"/>
      <c r="G4238" s="11"/>
      <c r="H4238" s="11"/>
      <c r="I4238" s="11"/>
      <c r="J4238" s="11"/>
      <c r="K4238" s="11"/>
      <c r="L4238" s="11"/>
      <c r="M4238" s="12"/>
      <c r="N4238" s="12"/>
      <c r="O4238" s="11"/>
      <c r="P4238" s="11"/>
    </row>
    <row r="4239" spans="1:16" ht="12.75" x14ac:dyDescent="0.35">
      <c r="A4239" s="11"/>
      <c r="B4239" s="9"/>
      <c r="C4239" s="9"/>
      <c r="D4239" s="9"/>
      <c r="E4239" s="11"/>
      <c r="F4239" s="11"/>
      <c r="G4239" s="11"/>
      <c r="H4239" s="11"/>
      <c r="I4239" s="11"/>
      <c r="J4239" s="11"/>
      <c r="K4239" s="11"/>
      <c r="L4239" s="11"/>
      <c r="M4239" s="12"/>
      <c r="N4239" s="12"/>
      <c r="O4239" s="11"/>
      <c r="P4239" s="11"/>
    </row>
    <row r="4240" spans="1:16" ht="12.75" x14ac:dyDescent="0.35">
      <c r="A4240" s="11"/>
      <c r="B4240" s="9"/>
      <c r="C4240" s="9"/>
      <c r="D4240" s="9"/>
      <c r="E4240" s="11"/>
      <c r="F4240" s="11"/>
      <c r="G4240" s="11"/>
      <c r="H4240" s="11"/>
      <c r="I4240" s="11"/>
      <c r="J4240" s="11"/>
      <c r="K4240" s="11"/>
      <c r="L4240" s="11"/>
      <c r="M4240" s="12"/>
      <c r="N4240" s="12"/>
      <c r="O4240" s="11"/>
      <c r="P4240" s="11"/>
    </row>
    <row r="4241" spans="1:16" ht="12.75" x14ac:dyDescent="0.35">
      <c r="A4241" s="11"/>
      <c r="B4241" s="9"/>
      <c r="C4241" s="9"/>
      <c r="D4241" s="9"/>
      <c r="E4241" s="11"/>
      <c r="F4241" s="11"/>
      <c r="G4241" s="11"/>
      <c r="H4241" s="11"/>
      <c r="I4241" s="11"/>
      <c r="J4241" s="11"/>
      <c r="K4241" s="11"/>
      <c r="L4241" s="11"/>
      <c r="M4241" s="12"/>
      <c r="N4241" s="12"/>
      <c r="O4241" s="11"/>
      <c r="P4241" s="11"/>
    </row>
    <row r="4242" spans="1:16" ht="12.75" x14ac:dyDescent="0.35">
      <c r="A4242" s="11"/>
      <c r="B4242" s="9"/>
      <c r="C4242" s="9"/>
      <c r="D4242" s="9"/>
      <c r="E4242" s="11"/>
      <c r="F4242" s="11"/>
      <c r="G4242" s="11"/>
      <c r="H4242" s="11"/>
      <c r="I4242" s="11"/>
      <c r="J4242" s="11"/>
      <c r="K4242" s="11"/>
      <c r="L4242" s="11"/>
      <c r="M4242" s="12"/>
      <c r="N4242" s="12"/>
      <c r="O4242" s="11"/>
      <c r="P4242" s="11"/>
    </row>
    <row r="4243" spans="1:16" ht="12.75" x14ac:dyDescent="0.35">
      <c r="A4243" s="11"/>
      <c r="B4243" s="9"/>
      <c r="C4243" s="9"/>
      <c r="D4243" s="9"/>
      <c r="E4243" s="11"/>
      <c r="F4243" s="11"/>
      <c r="G4243" s="11"/>
      <c r="H4243" s="11"/>
      <c r="I4243" s="11"/>
      <c r="J4243" s="11"/>
      <c r="K4243" s="11"/>
      <c r="L4243" s="11"/>
      <c r="M4243" s="12"/>
      <c r="N4243" s="12"/>
      <c r="O4243" s="11"/>
      <c r="P4243" s="11"/>
    </row>
    <row r="4244" spans="1:16" ht="12.75" x14ac:dyDescent="0.35">
      <c r="A4244" s="11"/>
      <c r="B4244" s="9"/>
      <c r="C4244" s="9"/>
      <c r="D4244" s="9"/>
      <c r="E4244" s="11"/>
      <c r="F4244" s="11"/>
      <c r="G4244" s="11"/>
      <c r="H4244" s="11"/>
      <c r="I4244" s="11"/>
      <c r="J4244" s="11"/>
      <c r="K4244" s="11"/>
      <c r="L4244" s="11"/>
      <c r="M4244" s="12"/>
      <c r="N4244" s="12"/>
      <c r="O4244" s="11"/>
      <c r="P4244" s="11"/>
    </row>
    <row r="4245" spans="1:16" ht="12.75" x14ac:dyDescent="0.35">
      <c r="A4245" s="11"/>
      <c r="B4245" s="9"/>
      <c r="C4245" s="9"/>
      <c r="D4245" s="9"/>
      <c r="E4245" s="11"/>
      <c r="F4245" s="11"/>
      <c r="G4245" s="11"/>
      <c r="H4245" s="11"/>
      <c r="I4245" s="11"/>
      <c r="J4245" s="11"/>
      <c r="K4245" s="11"/>
      <c r="L4245" s="11"/>
      <c r="M4245" s="12"/>
      <c r="N4245" s="12"/>
      <c r="O4245" s="11"/>
      <c r="P4245" s="11"/>
    </row>
    <row r="4246" spans="1:16" ht="12.75" x14ac:dyDescent="0.35">
      <c r="A4246" s="11"/>
      <c r="B4246" s="9"/>
      <c r="C4246" s="9"/>
      <c r="D4246" s="9"/>
      <c r="E4246" s="11"/>
      <c r="F4246" s="11"/>
      <c r="G4246" s="11"/>
      <c r="H4246" s="11"/>
      <c r="I4246" s="11"/>
      <c r="J4246" s="11"/>
      <c r="K4246" s="11"/>
      <c r="L4246" s="11"/>
      <c r="M4246" s="12"/>
      <c r="N4246" s="12"/>
      <c r="O4246" s="11"/>
      <c r="P4246" s="11"/>
    </row>
    <row r="4247" spans="1:16" ht="12.75" x14ac:dyDescent="0.35">
      <c r="A4247" s="11"/>
      <c r="B4247" s="9"/>
      <c r="C4247" s="9"/>
      <c r="D4247" s="9"/>
      <c r="E4247" s="11"/>
      <c r="F4247" s="11"/>
      <c r="G4247" s="11"/>
      <c r="H4247" s="11"/>
      <c r="I4247" s="11"/>
      <c r="J4247" s="11"/>
      <c r="K4247" s="11"/>
      <c r="L4247" s="11"/>
      <c r="M4247" s="12"/>
      <c r="N4247" s="12"/>
      <c r="O4247" s="11"/>
      <c r="P4247" s="11"/>
    </row>
    <row r="4248" spans="1:16" ht="12.75" x14ac:dyDescent="0.35">
      <c r="A4248" s="11"/>
      <c r="B4248" s="9"/>
      <c r="C4248" s="9"/>
      <c r="D4248" s="9"/>
      <c r="E4248" s="11"/>
      <c r="F4248" s="11"/>
      <c r="G4248" s="11"/>
      <c r="H4248" s="11"/>
      <c r="I4248" s="11"/>
      <c r="J4248" s="11"/>
      <c r="K4248" s="11"/>
      <c r="L4248" s="11"/>
      <c r="M4248" s="12"/>
      <c r="N4248" s="12"/>
      <c r="O4248" s="11"/>
      <c r="P4248" s="11"/>
    </row>
    <row r="4249" spans="1:16" ht="12.75" x14ac:dyDescent="0.35">
      <c r="A4249" s="11"/>
      <c r="B4249" s="9"/>
      <c r="C4249" s="9"/>
      <c r="D4249" s="9"/>
      <c r="E4249" s="11"/>
      <c r="F4249" s="11"/>
      <c r="G4249" s="11"/>
      <c r="H4249" s="11"/>
      <c r="I4249" s="11"/>
      <c r="J4249" s="11"/>
      <c r="K4249" s="11"/>
      <c r="L4249" s="11"/>
      <c r="M4249" s="12"/>
      <c r="N4249" s="12"/>
      <c r="O4249" s="11"/>
      <c r="P4249" s="11"/>
    </row>
    <row r="4250" spans="1:16" ht="12.75" x14ac:dyDescent="0.35">
      <c r="A4250" s="11"/>
      <c r="B4250" s="9"/>
      <c r="C4250" s="9"/>
      <c r="D4250" s="9"/>
      <c r="E4250" s="11"/>
      <c r="F4250" s="11"/>
      <c r="G4250" s="11"/>
      <c r="H4250" s="11"/>
      <c r="I4250" s="11"/>
      <c r="J4250" s="11"/>
      <c r="K4250" s="11"/>
      <c r="L4250" s="11"/>
      <c r="M4250" s="12"/>
      <c r="N4250" s="12"/>
      <c r="O4250" s="11"/>
      <c r="P4250" s="11"/>
    </row>
    <row r="4251" spans="1:16" ht="12.75" x14ac:dyDescent="0.35">
      <c r="A4251" s="11"/>
      <c r="B4251" s="9"/>
      <c r="C4251" s="9"/>
      <c r="D4251" s="9"/>
      <c r="E4251" s="11"/>
      <c r="F4251" s="11"/>
      <c r="G4251" s="11"/>
      <c r="H4251" s="11"/>
      <c r="I4251" s="11"/>
      <c r="J4251" s="11"/>
      <c r="K4251" s="11"/>
      <c r="L4251" s="11"/>
      <c r="M4251" s="12"/>
      <c r="N4251" s="12"/>
      <c r="O4251" s="11"/>
      <c r="P4251" s="11"/>
    </row>
    <row r="4252" spans="1:16" ht="12.75" x14ac:dyDescent="0.35">
      <c r="A4252" s="11"/>
      <c r="B4252" s="9"/>
      <c r="C4252" s="9"/>
      <c r="D4252" s="9"/>
      <c r="E4252" s="11"/>
      <c r="F4252" s="11"/>
      <c r="G4252" s="11"/>
      <c r="H4252" s="11"/>
      <c r="I4252" s="11"/>
      <c r="J4252" s="11"/>
      <c r="K4252" s="11"/>
      <c r="L4252" s="11"/>
      <c r="M4252" s="12"/>
      <c r="N4252" s="12"/>
      <c r="O4252" s="11"/>
      <c r="P4252" s="11"/>
    </row>
    <row r="4253" spans="1:16" ht="12.75" x14ac:dyDescent="0.35">
      <c r="A4253" s="11"/>
      <c r="B4253" s="9"/>
      <c r="C4253" s="9"/>
      <c r="D4253" s="9"/>
      <c r="E4253" s="11"/>
      <c r="F4253" s="11"/>
      <c r="G4253" s="11"/>
      <c r="H4253" s="11"/>
      <c r="I4253" s="11"/>
      <c r="J4253" s="11"/>
      <c r="K4253" s="11"/>
      <c r="L4253" s="11"/>
      <c r="M4253" s="12"/>
      <c r="N4253" s="12"/>
      <c r="O4253" s="11"/>
      <c r="P4253" s="11"/>
    </row>
    <row r="4254" spans="1:16" ht="12.75" x14ac:dyDescent="0.35">
      <c r="A4254" s="11"/>
      <c r="B4254" s="9"/>
      <c r="C4254" s="9"/>
      <c r="D4254" s="9"/>
      <c r="E4254" s="11"/>
      <c r="F4254" s="11"/>
      <c r="G4254" s="11"/>
      <c r="H4254" s="11"/>
      <c r="I4254" s="11"/>
      <c r="J4254" s="11"/>
      <c r="K4254" s="11"/>
      <c r="L4254" s="11"/>
      <c r="M4254" s="12"/>
      <c r="N4254" s="12"/>
      <c r="O4254" s="11"/>
      <c r="P4254" s="11"/>
    </row>
    <row r="4255" spans="1:16" ht="12.75" x14ac:dyDescent="0.35">
      <c r="A4255" s="11"/>
      <c r="B4255" s="9"/>
      <c r="C4255" s="9"/>
      <c r="D4255" s="9"/>
      <c r="E4255" s="11"/>
      <c r="F4255" s="11"/>
      <c r="G4255" s="11"/>
      <c r="H4255" s="11"/>
      <c r="I4255" s="11"/>
      <c r="J4255" s="11"/>
      <c r="K4255" s="11"/>
      <c r="L4255" s="11"/>
      <c r="M4255" s="12"/>
      <c r="N4255" s="12"/>
      <c r="O4255" s="11"/>
      <c r="P4255" s="11"/>
    </row>
    <row r="4256" spans="1:16" ht="12.75" x14ac:dyDescent="0.35">
      <c r="A4256" s="11"/>
      <c r="B4256" s="9"/>
      <c r="C4256" s="9"/>
      <c r="D4256" s="9"/>
      <c r="E4256" s="11"/>
      <c r="F4256" s="11"/>
      <c r="G4256" s="11"/>
      <c r="H4256" s="11"/>
      <c r="I4256" s="11"/>
      <c r="J4256" s="11"/>
      <c r="K4256" s="11"/>
      <c r="L4256" s="11"/>
      <c r="M4256" s="12"/>
      <c r="N4256" s="12"/>
      <c r="O4256" s="11"/>
      <c r="P4256" s="11"/>
    </row>
    <row r="4257" spans="1:16" ht="12.75" x14ac:dyDescent="0.35">
      <c r="A4257" s="11"/>
      <c r="B4257" s="9"/>
      <c r="C4257" s="9"/>
      <c r="D4257" s="9"/>
      <c r="E4257" s="11"/>
      <c r="F4257" s="11"/>
      <c r="G4257" s="11"/>
      <c r="H4257" s="11"/>
      <c r="I4257" s="11"/>
      <c r="J4257" s="11"/>
      <c r="K4257" s="11"/>
      <c r="L4257" s="11"/>
      <c r="M4257" s="12"/>
      <c r="N4257" s="12"/>
      <c r="O4257" s="11"/>
      <c r="P4257" s="11"/>
    </row>
    <row r="4258" spans="1:16" ht="12.75" x14ac:dyDescent="0.35">
      <c r="A4258" s="11"/>
      <c r="B4258" s="9"/>
      <c r="C4258" s="9"/>
      <c r="D4258" s="9"/>
      <c r="E4258" s="11"/>
      <c r="F4258" s="11"/>
      <c r="G4258" s="11"/>
      <c r="H4258" s="11"/>
      <c r="I4258" s="11"/>
      <c r="J4258" s="11"/>
      <c r="K4258" s="11"/>
      <c r="L4258" s="11"/>
      <c r="M4258" s="12"/>
      <c r="N4258" s="12"/>
      <c r="O4258" s="11"/>
      <c r="P4258" s="11"/>
    </row>
    <row r="4259" spans="1:16" ht="12.75" x14ac:dyDescent="0.35">
      <c r="A4259" s="11"/>
      <c r="B4259" s="9"/>
      <c r="C4259" s="9"/>
      <c r="D4259" s="9"/>
      <c r="E4259" s="11"/>
      <c r="F4259" s="11"/>
      <c r="G4259" s="11"/>
      <c r="H4259" s="11"/>
      <c r="I4259" s="11"/>
      <c r="J4259" s="11"/>
      <c r="K4259" s="11"/>
      <c r="L4259" s="11"/>
      <c r="M4259" s="12"/>
      <c r="N4259" s="12"/>
      <c r="O4259" s="11"/>
      <c r="P4259" s="11"/>
    </row>
    <row r="4260" spans="1:16" ht="12.75" x14ac:dyDescent="0.35">
      <c r="A4260" s="11"/>
      <c r="B4260" s="9"/>
      <c r="C4260" s="9"/>
      <c r="D4260" s="9"/>
      <c r="E4260" s="11"/>
      <c r="F4260" s="11"/>
      <c r="G4260" s="11"/>
      <c r="H4260" s="11"/>
      <c r="I4260" s="11"/>
      <c r="J4260" s="11"/>
      <c r="K4260" s="11"/>
      <c r="L4260" s="11"/>
      <c r="M4260" s="12"/>
      <c r="N4260" s="12"/>
      <c r="O4260" s="11"/>
      <c r="P4260" s="11"/>
    </row>
    <row r="4261" spans="1:16" ht="12.75" x14ac:dyDescent="0.35">
      <c r="A4261" s="11"/>
      <c r="B4261" s="9"/>
      <c r="C4261" s="9"/>
      <c r="D4261" s="9"/>
      <c r="E4261" s="11"/>
      <c r="F4261" s="11"/>
      <c r="G4261" s="11"/>
      <c r="H4261" s="11"/>
      <c r="I4261" s="11"/>
      <c r="J4261" s="11"/>
      <c r="K4261" s="11"/>
      <c r="L4261" s="11"/>
      <c r="M4261" s="12"/>
      <c r="N4261" s="12"/>
      <c r="O4261" s="11"/>
      <c r="P4261" s="11"/>
    </row>
    <row r="4262" spans="1:16" ht="12.75" x14ac:dyDescent="0.35">
      <c r="A4262" s="11"/>
      <c r="B4262" s="9"/>
      <c r="C4262" s="9"/>
      <c r="D4262" s="9"/>
      <c r="E4262" s="11"/>
      <c r="F4262" s="11"/>
      <c r="G4262" s="11"/>
      <c r="H4262" s="11"/>
      <c r="I4262" s="11"/>
      <c r="J4262" s="11"/>
      <c r="K4262" s="11"/>
      <c r="L4262" s="11"/>
      <c r="M4262" s="12"/>
      <c r="N4262" s="12"/>
      <c r="O4262" s="11"/>
      <c r="P4262" s="11"/>
    </row>
    <row r="4263" spans="1:16" ht="12.75" x14ac:dyDescent="0.35">
      <c r="A4263" s="11"/>
      <c r="B4263" s="9"/>
      <c r="C4263" s="9"/>
      <c r="D4263" s="9"/>
      <c r="E4263" s="11"/>
      <c r="F4263" s="11"/>
      <c r="G4263" s="11"/>
      <c r="H4263" s="11"/>
      <c r="I4263" s="11"/>
      <c r="J4263" s="11"/>
      <c r="K4263" s="11"/>
      <c r="L4263" s="11"/>
      <c r="M4263" s="12"/>
      <c r="N4263" s="12"/>
      <c r="O4263" s="11"/>
      <c r="P4263" s="11"/>
    </row>
    <row r="4264" spans="1:16" ht="12.75" x14ac:dyDescent="0.35">
      <c r="A4264" s="11"/>
      <c r="B4264" s="9"/>
      <c r="C4264" s="9"/>
      <c r="D4264" s="9"/>
      <c r="E4264" s="11"/>
      <c r="F4264" s="11"/>
      <c r="G4264" s="11"/>
      <c r="H4264" s="11"/>
      <c r="I4264" s="11"/>
      <c r="J4264" s="11"/>
      <c r="K4264" s="11"/>
      <c r="L4264" s="11"/>
      <c r="M4264" s="12"/>
      <c r="N4264" s="12"/>
      <c r="O4264" s="11"/>
      <c r="P4264" s="11"/>
    </row>
    <row r="4265" spans="1:16" ht="12.75" x14ac:dyDescent="0.35">
      <c r="A4265" s="11"/>
      <c r="B4265" s="9"/>
      <c r="C4265" s="9"/>
      <c r="D4265" s="9"/>
      <c r="E4265" s="11"/>
      <c r="F4265" s="11"/>
      <c r="G4265" s="11"/>
      <c r="H4265" s="11"/>
      <c r="I4265" s="11"/>
      <c r="J4265" s="11"/>
      <c r="K4265" s="11"/>
      <c r="L4265" s="11"/>
      <c r="M4265" s="12"/>
      <c r="N4265" s="12"/>
      <c r="O4265" s="11"/>
      <c r="P4265" s="11"/>
    </row>
    <row r="4266" spans="1:16" ht="12.75" x14ac:dyDescent="0.35">
      <c r="A4266" s="11"/>
      <c r="B4266" s="9"/>
      <c r="C4266" s="9"/>
      <c r="D4266" s="9"/>
      <c r="E4266" s="11"/>
      <c r="F4266" s="11"/>
      <c r="G4266" s="11"/>
      <c r="H4266" s="11"/>
      <c r="I4266" s="11"/>
      <c r="J4266" s="11"/>
      <c r="K4266" s="11"/>
      <c r="L4266" s="11"/>
      <c r="M4266" s="12"/>
      <c r="N4266" s="12"/>
      <c r="O4266" s="11"/>
      <c r="P4266" s="11"/>
    </row>
    <row r="4267" spans="1:16" ht="12.75" x14ac:dyDescent="0.35">
      <c r="A4267" s="11"/>
      <c r="B4267" s="9"/>
      <c r="C4267" s="9"/>
      <c r="D4267" s="9"/>
      <c r="E4267" s="11"/>
      <c r="F4267" s="11"/>
      <c r="G4267" s="11"/>
      <c r="H4267" s="11"/>
      <c r="I4267" s="11"/>
      <c r="J4267" s="11"/>
      <c r="K4267" s="11"/>
      <c r="L4267" s="11"/>
      <c r="M4267" s="12"/>
      <c r="N4267" s="12"/>
      <c r="O4267" s="11"/>
      <c r="P4267" s="11"/>
    </row>
    <row r="4268" spans="1:16" ht="12.75" x14ac:dyDescent="0.35">
      <c r="A4268" s="11"/>
      <c r="B4268" s="9"/>
      <c r="C4268" s="9"/>
      <c r="D4268" s="9"/>
      <c r="E4268" s="11"/>
      <c r="F4268" s="11"/>
      <c r="G4268" s="11"/>
      <c r="H4268" s="11"/>
      <c r="I4268" s="11"/>
      <c r="J4268" s="11"/>
      <c r="K4268" s="11"/>
      <c r="L4268" s="11"/>
      <c r="M4268" s="12"/>
      <c r="N4268" s="12"/>
      <c r="O4268" s="11"/>
      <c r="P4268" s="11"/>
    </row>
    <row r="4269" spans="1:16" ht="12.75" x14ac:dyDescent="0.35">
      <c r="A4269" s="11"/>
      <c r="B4269" s="9"/>
      <c r="C4269" s="9"/>
      <c r="D4269" s="9"/>
      <c r="E4269" s="11"/>
      <c r="F4269" s="11"/>
      <c r="G4269" s="11"/>
      <c r="H4269" s="11"/>
      <c r="I4269" s="11"/>
      <c r="J4269" s="11"/>
      <c r="K4269" s="11"/>
      <c r="L4269" s="11"/>
      <c r="M4269" s="12"/>
      <c r="N4269" s="12"/>
      <c r="O4269" s="11"/>
      <c r="P4269" s="11"/>
    </row>
    <row r="4270" spans="1:16" ht="12.75" x14ac:dyDescent="0.35">
      <c r="A4270" s="11"/>
      <c r="B4270" s="9"/>
      <c r="C4270" s="9"/>
      <c r="D4270" s="9"/>
      <c r="E4270" s="11"/>
      <c r="F4270" s="11"/>
      <c r="G4270" s="11"/>
      <c r="H4270" s="11"/>
      <c r="I4270" s="11"/>
      <c r="J4270" s="11"/>
      <c r="K4270" s="11"/>
      <c r="L4270" s="11"/>
      <c r="M4270" s="12"/>
      <c r="N4270" s="12"/>
      <c r="O4270" s="11"/>
      <c r="P4270" s="11"/>
    </row>
    <row r="4271" spans="1:16" ht="12.75" x14ac:dyDescent="0.35">
      <c r="A4271" s="11"/>
      <c r="B4271" s="9"/>
      <c r="C4271" s="9"/>
      <c r="D4271" s="9"/>
      <c r="E4271" s="11"/>
      <c r="F4271" s="11"/>
      <c r="G4271" s="11"/>
      <c r="H4271" s="11"/>
      <c r="I4271" s="11"/>
      <c r="J4271" s="11"/>
      <c r="K4271" s="11"/>
      <c r="L4271" s="11"/>
      <c r="M4271" s="12"/>
      <c r="N4271" s="12"/>
      <c r="O4271" s="11"/>
      <c r="P4271" s="11"/>
    </row>
    <row r="4272" spans="1:16" ht="12.75" x14ac:dyDescent="0.35">
      <c r="A4272" s="11"/>
      <c r="B4272" s="9"/>
      <c r="C4272" s="9"/>
      <c r="D4272" s="9"/>
      <c r="E4272" s="11"/>
      <c r="F4272" s="11"/>
      <c r="G4272" s="11"/>
      <c r="H4272" s="11"/>
      <c r="I4272" s="11"/>
      <c r="J4272" s="11"/>
      <c r="K4272" s="11"/>
      <c r="L4272" s="11"/>
      <c r="M4272" s="12"/>
      <c r="N4272" s="12"/>
      <c r="O4272" s="11"/>
      <c r="P4272" s="11"/>
    </row>
    <row r="4273" spans="1:16" ht="12.75" x14ac:dyDescent="0.35">
      <c r="A4273" s="11"/>
      <c r="B4273" s="9"/>
      <c r="C4273" s="9"/>
      <c r="D4273" s="9"/>
      <c r="E4273" s="11"/>
      <c r="F4273" s="11"/>
      <c r="G4273" s="11"/>
      <c r="H4273" s="11"/>
      <c r="I4273" s="11"/>
      <c r="J4273" s="11"/>
      <c r="K4273" s="11"/>
      <c r="L4273" s="11"/>
      <c r="M4273" s="12"/>
      <c r="N4273" s="12"/>
      <c r="O4273" s="11"/>
      <c r="P4273" s="11"/>
    </row>
    <row r="4274" spans="1:16" ht="12.75" x14ac:dyDescent="0.35">
      <c r="A4274" s="11"/>
      <c r="B4274" s="9"/>
      <c r="C4274" s="9"/>
      <c r="D4274" s="9"/>
      <c r="E4274" s="11"/>
      <c r="F4274" s="11"/>
      <c r="G4274" s="11"/>
      <c r="H4274" s="11"/>
      <c r="I4274" s="11"/>
      <c r="J4274" s="11"/>
      <c r="K4274" s="11"/>
      <c r="L4274" s="11"/>
      <c r="M4274" s="12"/>
      <c r="N4274" s="12"/>
      <c r="O4274" s="11"/>
      <c r="P4274" s="11"/>
    </row>
    <row r="4275" spans="1:16" ht="12.75" x14ac:dyDescent="0.35">
      <c r="A4275" s="11"/>
      <c r="B4275" s="9"/>
      <c r="C4275" s="9"/>
      <c r="D4275" s="9"/>
      <c r="E4275" s="11"/>
      <c r="F4275" s="11"/>
      <c r="G4275" s="11"/>
      <c r="H4275" s="11"/>
      <c r="I4275" s="11"/>
      <c r="J4275" s="11"/>
      <c r="K4275" s="11"/>
      <c r="L4275" s="11"/>
      <c r="M4275" s="12"/>
      <c r="N4275" s="12"/>
      <c r="O4275" s="11"/>
      <c r="P4275" s="11"/>
    </row>
    <row r="4276" spans="1:16" ht="12.75" x14ac:dyDescent="0.35">
      <c r="A4276" s="11"/>
      <c r="B4276" s="9"/>
      <c r="C4276" s="9"/>
      <c r="D4276" s="9"/>
      <c r="E4276" s="11"/>
      <c r="F4276" s="11"/>
      <c r="G4276" s="11"/>
      <c r="H4276" s="11"/>
      <c r="I4276" s="11"/>
      <c r="J4276" s="11"/>
      <c r="K4276" s="11"/>
      <c r="L4276" s="11"/>
      <c r="M4276" s="12"/>
      <c r="N4276" s="12"/>
      <c r="O4276" s="11"/>
      <c r="P4276" s="11"/>
    </row>
    <row r="4277" spans="1:16" ht="12.75" x14ac:dyDescent="0.35">
      <c r="A4277" s="11"/>
      <c r="B4277" s="9"/>
      <c r="C4277" s="9"/>
      <c r="D4277" s="9"/>
      <c r="E4277" s="11"/>
      <c r="F4277" s="11"/>
      <c r="G4277" s="11"/>
      <c r="H4277" s="11"/>
      <c r="I4277" s="11"/>
      <c r="J4277" s="11"/>
      <c r="K4277" s="11"/>
      <c r="L4277" s="11"/>
      <c r="M4277" s="12"/>
      <c r="N4277" s="12"/>
      <c r="O4277" s="11"/>
      <c r="P4277" s="11"/>
    </row>
    <row r="4278" spans="1:16" ht="12.75" x14ac:dyDescent="0.35">
      <c r="A4278" s="11"/>
      <c r="B4278" s="9"/>
      <c r="C4278" s="9"/>
      <c r="D4278" s="9"/>
      <c r="E4278" s="11"/>
      <c r="F4278" s="11"/>
      <c r="G4278" s="11"/>
      <c r="H4278" s="11"/>
      <c r="I4278" s="11"/>
      <c r="J4278" s="11"/>
      <c r="K4278" s="11"/>
      <c r="L4278" s="11"/>
      <c r="M4278" s="12"/>
      <c r="N4278" s="12"/>
      <c r="O4278" s="11"/>
      <c r="P4278" s="11"/>
    </row>
    <row r="4279" spans="1:16" ht="12.75" x14ac:dyDescent="0.35">
      <c r="A4279" s="11"/>
      <c r="B4279" s="9"/>
      <c r="C4279" s="9"/>
      <c r="D4279" s="9"/>
      <c r="E4279" s="11"/>
      <c r="F4279" s="11"/>
      <c r="G4279" s="11"/>
      <c r="H4279" s="11"/>
      <c r="I4279" s="11"/>
      <c r="J4279" s="11"/>
      <c r="K4279" s="11"/>
      <c r="L4279" s="11"/>
      <c r="M4279" s="12"/>
      <c r="N4279" s="12"/>
      <c r="O4279" s="11"/>
      <c r="P4279" s="11"/>
    </row>
    <row r="4280" spans="1:16" ht="12.75" x14ac:dyDescent="0.35">
      <c r="A4280" s="11"/>
      <c r="B4280" s="9"/>
      <c r="C4280" s="9"/>
      <c r="D4280" s="9"/>
      <c r="E4280" s="11"/>
      <c r="F4280" s="11"/>
      <c r="G4280" s="11"/>
      <c r="H4280" s="11"/>
      <c r="I4280" s="11"/>
      <c r="J4280" s="11"/>
      <c r="K4280" s="11"/>
      <c r="L4280" s="11"/>
      <c r="M4280" s="12"/>
      <c r="N4280" s="12"/>
      <c r="O4280" s="11"/>
      <c r="P4280" s="11"/>
    </row>
    <row r="4281" spans="1:16" ht="12.75" x14ac:dyDescent="0.35">
      <c r="A4281" s="11"/>
      <c r="B4281" s="9"/>
      <c r="C4281" s="9"/>
      <c r="D4281" s="9"/>
      <c r="E4281" s="11"/>
      <c r="F4281" s="11"/>
      <c r="G4281" s="11"/>
      <c r="H4281" s="11"/>
      <c r="I4281" s="11"/>
      <c r="J4281" s="11"/>
      <c r="K4281" s="11"/>
      <c r="L4281" s="11"/>
      <c r="M4281" s="12"/>
      <c r="N4281" s="12"/>
      <c r="O4281" s="11"/>
      <c r="P4281" s="11"/>
    </row>
    <row r="4282" spans="1:16" ht="12.75" x14ac:dyDescent="0.35">
      <c r="A4282" s="11"/>
      <c r="B4282" s="9"/>
      <c r="C4282" s="9"/>
      <c r="D4282" s="9"/>
      <c r="E4282" s="11"/>
      <c r="F4282" s="11"/>
      <c r="G4282" s="11"/>
      <c r="H4282" s="11"/>
      <c r="I4282" s="11"/>
      <c r="J4282" s="11"/>
      <c r="K4282" s="11"/>
      <c r="L4282" s="11"/>
      <c r="M4282" s="12"/>
      <c r="N4282" s="12"/>
      <c r="O4282" s="11"/>
      <c r="P4282" s="11"/>
    </row>
    <row r="4283" spans="1:16" ht="12.75" x14ac:dyDescent="0.35">
      <c r="A4283" s="11"/>
      <c r="B4283" s="9"/>
      <c r="C4283" s="9"/>
      <c r="D4283" s="9"/>
      <c r="E4283" s="11"/>
      <c r="F4283" s="11"/>
      <c r="G4283" s="11"/>
      <c r="H4283" s="11"/>
      <c r="I4283" s="11"/>
      <c r="J4283" s="11"/>
      <c r="K4283" s="11"/>
      <c r="L4283" s="11"/>
      <c r="M4283" s="12"/>
      <c r="N4283" s="12"/>
      <c r="O4283" s="11"/>
      <c r="P4283" s="11"/>
    </row>
    <row r="4284" spans="1:16" ht="12.75" x14ac:dyDescent="0.35">
      <c r="A4284" s="11"/>
      <c r="B4284" s="9"/>
      <c r="C4284" s="9"/>
      <c r="D4284" s="9"/>
      <c r="E4284" s="11"/>
      <c r="F4284" s="11"/>
      <c r="G4284" s="11"/>
      <c r="H4284" s="11"/>
      <c r="I4284" s="11"/>
      <c r="J4284" s="11"/>
      <c r="K4284" s="11"/>
      <c r="L4284" s="11"/>
      <c r="M4284" s="12"/>
      <c r="N4284" s="12"/>
      <c r="O4284" s="11"/>
      <c r="P4284" s="11"/>
    </row>
    <row r="4285" spans="1:16" ht="12.75" x14ac:dyDescent="0.35">
      <c r="A4285" s="11"/>
      <c r="B4285" s="9"/>
      <c r="C4285" s="9"/>
      <c r="D4285" s="9"/>
      <c r="E4285" s="11"/>
      <c r="F4285" s="11"/>
      <c r="G4285" s="11"/>
      <c r="H4285" s="11"/>
      <c r="I4285" s="11"/>
      <c r="J4285" s="11"/>
      <c r="K4285" s="11"/>
      <c r="L4285" s="11"/>
      <c r="M4285" s="12"/>
      <c r="N4285" s="12"/>
      <c r="O4285" s="11"/>
      <c r="P4285" s="11"/>
    </row>
    <row r="4286" spans="1:16" ht="12.75" x14ac:dyDescent="0.35">
      <c r="A4286" s="11"/>
      <c r="B4286" s="9"/>
      <c r="C4286" s="9"/>
      <c r="D4286" s="9"/>
      <c r="E4286" s="11"/>
      <c r="F4286" s="11"/>
      <c r="G4286" s="11"/>
      <c r="H4286" s="11"/>
      <c r="I4286" s="11"/>
      <c r="J4286" s="11"/>
      <c r="K4286" s="11"/>
      <c r="L4286" s="11"/>
      <c r="M4286" s="12"/>
      <c r="N4286" s="12"/>
      <c r="O4286" s="11"/>
      <c r="P4286" s="11"/>
    </row>
    <row r="4287" spans="1:16" ht="12.75" x14ac:dyDescent="0.35">
      <c r="A4287" s="11"/>
      <c r="B4287" s="9"/>
      <c r="C4287" s="9"/>
      <c r="D4287" s="9"/>
      <c r="E4287" s="11"/>
      <c r="F4287" s="11"/>
      <c r="G4287" s="11"/>
      <c r="H4287" s="11"/>
      <c r="I4287" s="11"/>
      <c r="J4287" s="11"/>
      <c r="K4287" s="11"/>
      <c r="L4287" s="11"/>
      <c r="M4287" s="12"/>
      <c r="N4287" s="12"/>
      <c r="O4287" s="11"/>
      <c r="P4287" s="11"/>
    </row>
    <row r="4288" spans="1:16" ht="12.75" x14ac:dyDescent="0.35">
      <c r="A4288" s="11"/>
      <c r="B4288" s="9"/>
      <c r="C4288" s="9"/>
      <c r="D4288" s="9"/>
      <c r="E4288" s="11"/>
      <c r="F4288" s="11"/>
      <c r="G4288" s="11"/>
      <c r="H4288" s="11"/>
      <c r="I4288" s="11"/>
      <c r="J4288" s="11"/>
      <c r="K4288" s="11"/>
      <c r="L4288" s="11"/>
      <c r="M4288" s="12"/>
      <c r="N4288" s="12"/>
      <c r="O4288" s="11"/>
      <c r="P4288" s="11"/>
    </row>
    <row r="4289" spans="1:16" ht="12.75" x14ac:dyDescent="0.35">
      <c r="A4289" s="11"/>
      <c r="B4289" s="9"/>
      <c r="C4289" s="9"/>
      <c r="D4289" s="9"/>
      <c r="E4289" s="11"/>
      <c r="F4289" s="11"/>
      <c r="G4289" s="11"/>
      <c r="H4289" s="11"/>
      <c r="I4289" s="11"/>
      <c r="J4289" s="11"/>
      <c r="K4289" s="11"/>
      <c r="L4289" s="11"/>
      <c r="M4289" s="12"/>
      <c r="N4289" s="12"/>
      <c r="O4289" s="11"/>
      <c r="P4289" s="11"/>
    </row>
    <row r="4290" spans="1:16" ht="12.75" x14ac:dyDescent="0.35">
      <c r="A4290" s="11"/>
      <c r="B4290" s="9"/>
      <c r="C4290" s="9"/>
      <c r="D4290" s="9"/>
      <c r="E4290" s="11"/>
      <c r="F4290" s="11"/>
      <c r="G4290" s="11"/>
      <c r="H4290" s="11"/>
      <c r="I4290" s="11"/>
      <c r="J4290" s="11"/>
      <c r="K4290" s="11"/>
      <c r="L4290" s="11"/>
      <c r="M4290" s="12"/>
      <c r="N4290" s="12"/>
      <c r="O4290" s="11"/>
      <c r="P4290" s="11"/>
    </row>
    <row r="4291" spans="1:16" ht="12.75" x14ac:dyDescent="0.35">
      <c r="A4291" s="11"/>
      <c r="B4291" s="9"/>
      <c r="C4291" s="9"/>
      <c r="D4291" s="9"/>
      <c r="E4291" s="11"/>
      <c r="F4291" s="11"/>
      <c r="G4291" s="11"/>
      <c r="H4291" s="11"/>
      <c r="I4291" s="11"/>
      <c r="J4291" s="11"/>
      <c r="K4291" s="11"/>
      <c r="L4291" s="11"/>
      <c r="M4291" s="12"/>
      <c r="N4291" s="12"/>
      <c r="O4291" s="11"/>
      <c r="P4291" s="11"/>
    </row>
    <row r="4292" spans="1:16" ht="12.75" x14ac:dyDescent="0.35">
      <c r="A4292" s="11"/>
      <c r="B4292" s="9"/>
      <c r="C4292" s="9"/>
      <c r="D4292" s="9"/>
      <c r="E4292" s="11"/>
      <c r="F4292" s="11"/>
      <c r="G4292" s="11"/>
      <c r="H4292" s="11"/>
      <c r="I4292" s="11"/>
      <c r="J4292" s="11"/>
      <c r="K4292" s="11"/>
      <c r="L4292" s="11"/>
      <c r="M4292" s="12"/>
      <c r="N4292" s="12"/>
      <c r="O4292" s="11"/>
      <c r="P4292" s="11"/>
    </row>
    <row r="4293" spans="1:16" ht="12.75" x14ac:dyDescent="0.35">
      <c r="A4293" s="11"/>
      <c r="B4293" s="9"/>
      <c r="C4293" s="9"/>
      <c r="D4293" s="9"/>
      <c r="E4293" s="11"/>
      <c r="F4293" s="11"/>
      <c r="G4293" s="11"/>
      <c r="H4293" s="11"/>
      <c r="I4293" s="11"/>
      <c r="J4293" s="11"/>
      <c r="K4293" s="11"/>
      <c r="L4293" s="11"/>
      <c r="M4293" s="12"/>
      <c r="N4293" s="12"/>
      <c r="O4293" s="11"/>
      <c r="P4293" s="11"/>
    </row>
    <row r="4294" spans="1:16" ht="12.75" x14ac:dyDescent="0.35">
      <c r="A4294" s="11"/>
      <c r="B4294" s="9"/>
      <c r="C4294" s="9"/>
      <c r="D4294" s="9"/>
      <c r="E4294" s="11"/>
      <c r="F4294" s="11"/>
      <c r="G4294" s="11"/>
      <c r="H4294" s="11"/>
      <c r="I4294" s="11"/>
      <c r="J4294" s="11"/>
      <c r="K4294" s="11"/>
      <c r="L4294" s="11"/>
      <c r="M4294" s="12"/>
      <c r="N4294" s="12"/>
      <c r="O4294" s="11"/>
      <c r="P4294" s="11"/>
    </row>
    <row r="4295" spans="1:16" ht="12.75" x14ac:dyDescent="0.35">
      <c r="A4295" s="11"/>
      <c r="B4295" s="9"/>
      <c r="C4295" s="9"/>
      <c r="D4295" s="9"/>
      <c r="E4295" s="11"/>
      <c r="F4295" s="11"/>
      <c r="G4295" s="11"/>
      <c r="H4295" s="11"/>
      <c r="I4295" s="11"/>
      <c r="J4295" s="11"/>
      <c r="K4295" s="11"/>
      <c r="L4295" s="11"/>
      <c r="M4295" s="12"/>
      <c r="N4295" s="12"/>
      <c r="O4295" s="11"/>
      <c r="P4295" s="11"/>
    </row>
    <row r="4296" spans="1:16" ht="12.75" x14ac:dyDescent="0.35">
      <c r="A4296" s="11"/>
      <c r="B4296" s="9"/>
      <c r="C4296" s="9"/>
      <c r="D4296" s="9"/>
      <c r="E4296" s="11"/>
      <c r="F4296" s="11"/>
      <c r="G4296" s="11"/>
      <c r="H4296" s="11"/>
      <c r="I4296" s="11"/>
      <c r="J4296" s="11"/>
      <c r="K4296" s="11"/>
      <c r="L4296" s="11"/>
      <c r="M4296" s="12"/>
      <c r="N4296" s="12"/>
      <c r="O4296" s="11"/>
      <c r="P4296" s="11"/>
    </row>
    <row r="4297" spans="1:16" ht="12.75" x14ac:dyDescent="0.35">
      <c r="A4297" s="11"/>
      <c r="B4297" s="9"/>
      <c r="C4297" s="9"/>
      <c r="D4297" s="9"/>
      <c r="E4297" s="11"/>
      <c r="F4297" s="11"/>
      <c r="G4297" s="11"/>
      <c r="H4297" s="11"/>
      <c r="I4297" s="11"/>
      <c r="J4297" s="11"/>
      <c r="K4297" s="11"/>
      <c r="L4297" s="11"/>
      <c r="M4297" s="12"/>
      <c r="N4297" s="12"/>
      <c r="O4297" s="11"/>
      <c r="P4297" s="11"/>
    </row>
    <row r="4298" spans="1:16" ht="12.75" x14ac:dyDescent="0.35">
      <c r="A4298" s="11"/>
      <c r="B4298" s="9"/>
      <c r="C4298" s="9"/>
      <c r="D4298" s="9"/>
      <c r="E4298" s="11"/>
      <c r="F4298" s="11"/>
      <c r="G4298" s="11"/>
      <c r="H4298" s="11"/>
      <c r="I4298" s="11"/>
      <c r="J4298" s="11"/>
      <c r="K4298" s="11"/>
      <c r="L4298" s="11"/>
      <c r="M4298" s="12"/>
      <c r="N4298" s="12"/>
      <c r="O4298" s="11"/>
      <c r="P4298" s="11"/>
    </row>
    <row r="4299" spans="1:16" ht="12.75" x14ac:dyDescent="0.35">
      <c r="A4299" s="11"/>
      <c r="B4299" s="9"/>
      <c r="C4299" s="9"/>
      <c r="D4299" s="9"/>
      <c r="E4299" s="11"/>
      <c r="F4299" s="11"/>
      <c r="G4299" s="11"/>
      <c r="H4299" s="11"/>
      <c r="I4299" s="11"/>
      <c r="J4299" s="11"/>
      <c r="K4299" s="11"/>
      <c r="L4299" s="11"/>
      <c r="M4299" s="12"/>
      <c r="N4299" s="12"/>
      <c r="O4299" s="11"/>
      <c r="P4299" s="11"/>
    </row>
    <row r="4300" spans="1:16" ht="12.75" x14ac:dyDescent="0.35">
      <c r="A4300" s="11"/>
      <c r="B4300" s="9"/>
      <c r="C4300" s="9"/>
      <c r="D4300" s="9"/>
      <c r="E4300" s="11"/>
      <c r="F4300" s="11"/>
      <c r="G4300" s="11"/>
      <c r="H4300" s="11"/>
      <c r="I4300" s="11"/>
      <c r="J4300" s="11"/>
      <c r="K4300" s="11"/>
      <c r="L4300" s="11"/>
      <c r="M4300" s="12"/>
      <c r="N4300" s="12"/>
      <c r="O4300" s="11"/>
      <c r="P4300" s="11"/>
    </row>
    <row r="4301" spans="1:16" ht="12.75" x14ac:dyDescent="0.35">
      <c r="A4301" s="11"/>
      <c r="B4301" s="9"/>
      <c r="C4301" s="9"/>
      <c r="D4301" s="9"/>
      <c r="E4301" s="11"/>
      <c r="F4301" s="11"/>
      <c r="G4301" s="11"/>
      <c r="H4301" s="11"/>
      <c r="I4301" s="11"/>
      <c r="J4301" s="11"/>
      <c r="K4301" s="11"/>
      <c r="L4301" s="11"/>
      <c r="M4301" s="12"/>
      <c r="N4301" s="12"/>
      <c r="O4301" s="11"/>
      <c r="P4301" s="11"/>
    </row>
    <row r="4302" spans="1:16" ht="12.75" x14ac:dyDescent="0.35">
      <c r="A4302" s="11"/>
      <c r="B4302" s="9"/>
      <c r="C4302" s="9"/>
      <c r="D4302" s="9"/>
      <c r="E4302" s="11"/>
      <c r="F4302" s="11"/>
      <c r="G4302" s="11"/>
      <c r="H4302" s="11"/>
      <c r="I4302" s="11"/>
      <c r="J4302" s="11"/>
      <c r="K4302" s="11"/>
      <c r="L4302" s="11"/>
      <c r="M4302" s="12"/>
      <c r="N4302" s="12"/>
      <c r="O4302" s="11"/>
      <c r="P4302" s="11"/>
    </row>
    <row r="4303" spans="1:16" ht="12.75" x14ac:dyDescent="0.35">
      <c r="A4303" s="11"/>
      <c r="B4303" s="9"/>
      <c r="C4303" s="9"/>
      <c r="D4303" s="9"/>
      <c r="E4303" s="11"/>
      <c r="F4303" s="11"/>
      <c r="G4303" s="11"/>
      <c r="H4303" s="11"/>
      <c r="I4303" s="11"/>
      <c r="J4303" s="11"/>
      <c r="K4303" s="11"/>
      <c r="L4303" s="11"/>
      <c r="M4303" s="12"/>
      <c r="N4303" s="12"/>
      <c r="O4303" s="11"/>
      <c r="P4303" s="11"/>
    </row>
    <row r="4304" spans="1:16" ht="12.75" x14ac:dyDescent="0.35">
      <c r="A4304" s="11"/>
      <c r="B4304" s="9"/>
      <c r="C4304" s="9"/>
      <c r="D4304" s="9"/>
      <c r="E4304" s="11"/>
      <c r="F4304" s="11"/>
      <c r="G4304" s="11"/>
      <c r="H4304" s="11"/>
      <c r="I4304" s="11"/>
      <c r="J4304" s="11"/>
      <c r="K4304" s="11"/>
      <c r="L4304" s="11"/>
      <c r="M4304" s="12"/>
      <c r="N4304" s="12"/>
      <c r="O4304" s="11"/>
      <c r="P4304" s="11"/>
    </row>
    <row r="4305" spans="1:16" ht="12.75" x14ac:dyDescent="0.35">
      <c r="A4305" s="11"/>
      <c r="B4305" s="9"/>
      <c r="C4305" s="9"/>
      <c r="D4305" s="9"/>
      <c r="E4305" s="11"/>
      <c r="F4305" s="11"/>
      <c r="G4305" s="11"/>
      <c r="H4305" s="11"/>
      <c r="I4305" s="11"/>
      <c r="J4305" s="11"/>
      <c r="K4305" s="11"/>
      <c r="L4305" s="11"/>
      <c r="M4305" s="12"/>
      <c r="N4305" s="12"/>
      <c r="O4305" s="11"/>
      <c r="P4305" s="11"/>
    </row>
    <row r="4306" spans="1:16" ht="12.75" x14ac:dyDescent="0.35">
      <c r="A4306" s="11"/>
      <c r="B4306" s="9"/>
      <c r="C4306" s="9"/>
      <c r="D4306" s="9"/>
      <c r="E4306" s="11"/>
      <c r="F4306" s="11"/>
      <c r="G4306" s="11"/>
      <c r="H4306" s="11"/>
      <c r="I4306" s="11"/>
      <c r="J4306" s="11"/>
      <c r="K4306" s="11"/>
      <c r="L4306" s="11"/>
      <c r="M4306" s="12"/>
      <c r="N4306" s="12"/>
      <c r="O4306" s="11"/>
      <c r="P4306" s="11"/>
    </row>
    <row r="4307" spans="1:16" ht="12.75" x14ac:dyDescent="0.35">
      <c r="A4307" s="11"/>
      <c r="B4307" s="9"/>
      <c r="C4307" s="9"/>
      <c r="D4307" s="9"/>
      <c r="E4307" s="11"/>
      <c r="F4307" s="11"/>
      <c r="G4307" s="11"/>
      <c r="H4307" s="11"/>
      <c r="I4307" s="11"/>
      <c r="J4307" s="11"/>
      <c r="K4307" s="11"/>
      <c r="L4307" s="11"/>
      <c r="M4307" s="12"/>
      <c r="N4307" s="12"/>
      <c r="O4307" s="11"/>
      <c r="P4307" s="11"/>
    </row>
    <row r="4308" spans="1:16" ht="12.75" x14ac:dyDescent="0.35">
      <c r="A4308" s="11"/>
      <c r="B4308" s="9"/>
      <c r="C4308" s="9"/>
      <c r="D4308" s="9"/>
      <c r="E4308" s="11"/>
      <c r="F4308" s="11"/>
      <c r="G4308" s="11"/>
      <c r="H4308" s="11"/>
      <c r="I4308" s="11"/>
      <c r="J4308" s="11"/>
      <c r="K4308" s="11"/>
      <c r="L4308" s="11"/>
      <c r="M4308" s="12"/>
      <c r="N4308" s="12"/>
      <c r="O4308" s="11"/>
      <c r="P4308" s="11"/>
    </row>
    <row r="4309" spans="1:16" ht="12.75" x14ac:dyDescent="0.35">
      <c r="A4309" s="11"/>
      <c r="B4309" s="9"/>
      <c r="C4309" s="9"/>
      <c r="D4309" s="9"/>
      <c r="E4309" s="11"/>
      <c r="F4309" s="11"/>
      <c r="G4309" s="11"/>
      <c r="H4309" s="11"/>
      <c r="I4309" s="11"/>
      <c r="J4309" s="11"/>
      <c r="K4309" s="11"/>
      <c r="L4309" s="11"/>
      <c r="M4309" s="12"/>
      <c r="N4309" s="12"/>
      <c r="O4309" s="11"/>
      <c r="P4309" s="11"/>
    </row>
    <row r="4310" spans="1:16" ht="12.75" x14ac:dyDescent="0.35">
      <c r="A4310" s="11"/>
      <c r="B4310" s="9"/>
      <c r="C4310" s="9"/>
      <c r="D4310" s="9"/>
      <c r="E4310" s="11"/>
      <c r="F4310" s="11"/>
      <c r="G4310" s="11"/>
      <c r="H4310" s="11"/>
      <c r="I4310" s="11"/>
      <c r="J4310" s="11"/>
      <c r="K4310" s="11"/>
      <c r="L4310" s="11"/>
      <c r="M4310" s="12"/>
      <c r="N4310" s="12"/>
      <c r="O4310" s="11"/>
      <c r="P4310" s="11"/>
    </row>
    <row r="4311" spans="1:16" ht="12.75" x14ac:dyDescent="0.35">
      <c r="A4311" s="11"/>
      <c r="B4311" s="9"/>
      <c r="C4311" s="9"/>
      <c r="D4311" s="9"/>
      <c r="E4311" s="11"/>
      <c r="F4311" s="11"/>
      <c r="G4311" s="11"/>
      <c r="H4311" s="11"/>
      <c r="I4311" s="11"/>
      <c r="J4311" s="11"/>
      <c r="K4311" s="11"/>
      <c r="L4311" s="11"/>
      <c r="M4311" s="12"/>
      <c r="N4311" s="12"/>
      <c r="O4311" s="11"/>
      <c r="P4311" s="11"/>
    </row>
    <row r="4312" spans="1:16" ht="12.75" x14ac:dyDescent="0.35">
      <c r="A4312" s="11"/>
      <c r="B4312" s="9"/>
      <c r="C4312" s="9"/>
      <c r="D4312" s="9"/>
      <c r="E4312" s="11"/>
      <c r="F4312" s="11"/>
      <c r="G4312" s="11"/>
      <c r="H4312" s="11"/>
      <c r="I4312" s="11"/>
      <c r="J4312" s="11"/>
      <c r="K4312" s="11"/>
      <c r="L4312" s="11"/>
      <c r="M4312" s="12"/>
      <c r="N4312" s="12"/>
      <c r="O4312" s="11"/>
      <c r="P4312" s="11"/>
    </row>
    <row r="4313" spans="1:16" ht="12.75" x14ac:dyDescent="0.35">
      <c r="A4313" s="11"/>
      <c r="B4313" s="9"/>
      <c r="C4313" s="9"/>
      <c r="D4313" s="9"/>
      <c r="E4313" s="11"/>
      <c r="F4313" s="11"/>
      <c r="G4313" s="11"/>
      <c r="H4313" s="11"/>
      <c r="I4313" s="11"/>
      <c r="J4313" s="11"/>
      <c r="K4313" s="11"/>
      <c r="L4313" s="11"/>
      <c r="M4313" s="12"/>
      <c r="N4313" s="12"/>
      <c r="O4313" s="11"/>
      <c r="P4313" s="11"/>
    </row>
    <row r="4314" spans="1:16" ht="12.75" x14ac:dyDescent="0.35">
      <c r="A4314" s="11"/>
      <c r="B4314" s="9"/>
      <c r="C4314" s="9"/>
      <c r="D4314" s="9"/>
      <c r="E4314" s="11"/>
      <c r="F4314" s="11"/>
      <c r="G4314" s="11"/>
      <c r="H4314" s="11"/>
      <c r="I4314" s="11"/>
      <c r="J4314" s="11"/>
      <c r="K4314" s="11"/>
      <c r="L4314" s="11"/>
      <c r="M4314" s="12"/>
      <c r="N4314" s="12"/>
      <c r="O4314" s="11"/>
      <c r="P4314" s="11"/>
    </row>
    <row r="4315" spans="1:16" ht="12.75" x14ac:dyDescent="0.35">
      <c r="A4315" s="11"/>
      <c r="B4315" s="9"/>
      <c r="C4315" s="9"/>
      <c r="D4315" s="9"/>
      <c r="E4315" s="11"/>
      <c r="F4315" s="11"/>
      <c r="G4315" s="11"/>
      <c r="H4315" s="11"/>
      <c r="I4315" s="11"/>
      <c r="J4315" s="11"/>
      <c r="K4315" s="11"/>
      <c r="L4315" s="11"/>
      <c r="M4315" s="12"/>
      <c r="N4315" s="12"/>
      <c r="O4315" s="11"/>
      <c r="P4315" s="11"/>
    </row>
    <row r="4316" spans="1:16" ht="12.75" x14ac:dyDescent="0.35">
      <c r="A4316" s="11"/>
      <c r="B4316" s="9"/>
      <c r="C4316" s="9"/>
      <c r="D4316" s="9"/>
      <c r="E4316" s="11"/>
      <c r="F4316" s="11"/>
      <c r="G4316" s="11"/>
      <c r="H4316" s="11"/>
      <c r="I4316" s="11"/>
      <c r="J4316" s="11"/>
      <c r="K4316" s="11"/>
      <c r="L4316" s="11"/>
      <c r="M4316" s="12"/>
      <c r="N4316" s="12"/>
      <c r="O4316" s="11"/>
      <c r="P4316" s="11"/>
    </row>
    <row r="4317" spans="1:16" ht="12.75" x14ac:dyDescent="0.35">
      <c r="A4317" s="11"/>
      <c r="B4317" s="9"/>
      <c r="C4317" s="9"/>
      <c r="D4317" s="9"/>
      <c r="E4317" s="11"/>
      <c r="F4317" s="11"/>
      <c r="G4317" s="11"/>
      <c r="H4317" s="11"/>
      <c r="I4317" s="11"/>
      <c r="J4317" s="11"/>
      <c r="K4317" s="11"/>
      <c r="L4317" s="11"/>
      <c r="M4317" s="12"/>
      <c r="N4317" s="12"/>
      <c r="O4317" s="11"/>
      <c r="P4317" s="11"/>
    </row>
    <row r="4318" spans="1:16" ht="12.75" x14ac:dyDescent="0.35">
      <c r="A4318" s="11"/>
      <c r="B4318" s="9"/>
      <c r="C4318" s="9"/>
      <c r="D4318" s="9"/>
      <c r="E4318" s="11"/>
      <c r="F4318" s="11"/>
      <c r="G4318" s="11"/>
      <c r="H4318" s="11"/>
      <c r="I4318" s="11"/>
      <c r="J4318" s="11"/>
      <c r="K4318" s="11"/>
      <c r="L4318" s="11"/>
      <c r="M4318" s="12"/>
      <c r="N4318" s="12"/>
      <c r="O4318" s="11"/>
      <c r="P4318" s="11"/>
    </row>
    <row r="4319" spans="1:16" ht="12.75" x14ac:dyDescent="0.35">
      <c r="A4319" s="11"/>
      <c r="B4319" s="9"/>
      <c r="C4319" s="9"/>
      <c r="D4319" s="9"/>
      <c r="E4319" s="11"/>
      <c r="F4319" s="11"/>
      <c r="G4319" s="11"/>
      <c r="H4319" s="11"/>
      <c r="I4319" s="11"/>
      <c r="J4319" s="11"/>
      <c r="K4319" s="11"/>
      <c r="L4319" s="11"/>
      <c r="M4319" s="12"/>
      <c r="N4319" s="12"/>
      <c r="O4319" s="11"/>
      <c r="P4319" s="11"/>
    </row>
    <row r="4320" spans="1:16" ht="12.75" x14ac:dyDescent="0.35">
      <c r="A4320" s="11"/>
      <c r="B4320" s="9"/>
      <c r="C4320" s="9"/>
      <c r="D4320" s="9"/>
      <c r="E4320" s="11"/>
      <c r="F4320" s="11"/>
      <c r="G4320" s="11"/>
      <c r="H4320" s="11"/>
      <c r="I4320" s="11"/>
      <c r="J4320" s="11"/>
      <c r="K4320" s="11"/>
      <c r="L4320" s="11"/>
      <c r="M4320" s="12"/>
      <c r="N4320" s="12"/>
      <c r="O4320" s="11"/>
      <c r="P4320" s="11"/>
    </row>
    <row r="4321" spans="1:16" ht="12.75" x14ac:dyDescent="0.35">
      <c r="A4321" s="11"/>
      <c r="B4321" s="9"/>
      <c r="C4321" s="9"/>
      <c r="D4321" s="9"/>
      <c r="E4321" s="11"/>
      <c r="F4321" s="11"/>
      <c r="G4321" s="11"/>
      <c r="H4321" s="11"/>
      <c r="I4321" s="11"/>
      <c r="J4321" s="11"/>
      <c r="K4321" s="11"/>
      <c r="L4321" s="11"/>
      <c r="M4321" s="12"/>
      <c r="N4321" s="12"/>
      <c r="O4321" s="11"/>
      <c r="P4321" s="11"/>
    </row>
    <row r="4322" spans="1:16" ht="12.75" x14ac:dyDescent="0.35">
      <c r="A4322" s="11"/>
      <c r="B4322" s="9"/>
      <c r="C4322" s="9"/>
      <c r="D4322" s="9"/>
      <c r="E4322" s="11"/>
      <c r="F4322" s="11"/>
      <c r="G4322" s="11"/>
      <c r="H4322" s="11"/>
      <c r="I4322" s="11"/>
      <c r="J4322" s="11"/>
      <c r="K4322" s="11"/>
      <c r="L4322" s="11"/>
      <c r="M4322" s="12"/>
      <c r="N4322" s="12"/>
      <c r="O4322" s="11"/>
      <c r="P4322" s="11"/>
    </row>
    <row r="4323" spans="1:16" ht="12.75" x14ac:dyDescent="0.35">
      <c r="A4323" s="11"/>
      <c r="B4323" s="9"/>
      <c r="C4323" s="9"/>
      <c r="D4323" s="9"/>
      <c r="E4323" s="11"/>
      <c r="F4323" s="11"/>
      <c r="G4323" s="11"/>
      <c r="H4323" s="11"/>
      <c r="I4323" s="11"/>
      <c r="J4323" s="11"/>
      <c r="K4323" s="11"/>
      <c r="L4323" s="11"/>
      <c r="M4323" s="12"/>
      <c r="N4323" s="12"/>
      <c r="O4323" s="11"/>
      <c r="P4323" s="11"/>
    </row>
    <row r="4324" spans="1:16" ht="12.75" x14ac:dyDescent="0.35">
      <c r="A4324" s="11"/>
      <c r="B4324" s="9"/>
      <c r="C4324" s="9"/>
      <c r="D4324" s="9"/>
      <c r="E4324" s="11"/>
      <c r="F4324" s="11"/>
      <c r="G4324" s="11"/>
      <c r="H4324" s="11"/>
      <c r="I4324" s="11"/>
      <c r="J4324" s="11"/>
      <c r="K4324" s="11"/>
      <c r="L4324" s="11"/>
      <c r="M4324" s="12"/>
      <c r="N4324" s="12"/>
      <c r="O4324" s="11"/>
      <c r="P4324" s="11"/>
    </row>
    <row r="4325" spans="1:16" ht="12.75" x14ac:dyDescent="0.35">
      <c r="A4325" s="11"/>
      <c r="B4325" s="9"/>
      <c r="C4325" s="9"/>
      <c r="D4325" s="9"/>
      <c r="E4325" s="11"/>
      <c r="F4325" s="11"/>
      <c r="G4325" s="11"/>
      <c r="H4325" s="11"/>
      <c r="I4325" s="11"/>
      <c r="J4325" s="11"/>
      <c r="K4325" s="11"/>
      <c r="L4325" s="11"/>
      <c r="M4325" s="12"/>
      <c r="N4325" s="12"/>
      <c r="O4325" s="11"/>
      <c r="P4325" s="11"/>
    </row>
    <row r="4326" spans="1:16" ht="12.75" x14ac:dyDescent="0.35">
      <c r="A4326" s="11"/>
      <c r="B4326" s="9"/>
      <c r="C4326" s="9"/>
      <c r="D4326" s="9"/>
      <c r="E4326" s="11"/>
      <c r="F4326" s="11"/>
      <c r="G4326" s="11"/>
      <c r="H4326" s="11"/>
      <c r="I4326" s="11"/>
      <c r="J4326" s="11"/>
      <c r="K4326" s="11"/>
      <c r="L4326" s="11"/>
      <c r="M4326" s="12"/>
      <c r="N4326" s="12"/>
      <c r="O4326" s="11"/>
      <c r="P4326" s="11"/>
    </row>
    <row r="4327" spans="1:16" ht="12.75" x14ac:dyDescent="0.35">
      <c r="A4327" s="11"/>
      <c r="B4327" s="9"/>
      <c r="C4327" s="9"/>
      <c r="D4327" s="9"/>
      <c r="E4327" s="11"/>
      <c r="F4327" s="11"/>
      <c r="G4327" s="11"/>
      <c r="H4327" s="11"/>
      <c r="I4327" s="11"/>
      <c r="J4327" s="11"/>
      <c r="K4327" s="11"/>
      <c r="L4327" s="11"/>
      <c r="M4327" s="12"/>
      <c r="N4327" s="12"/>
      <c r="O4327" s="11"/>
      <c r="P4327" s="11"/>
    </row>
    <row r="4328" spans="1:16" ht="12.75" x14ac:dyDescent="0.35">
      <c r="A4328" s="11"/>
      <c r="B4328" s="9"/>
      <c r="C4328" s="9"/>
      <c r="D4328" s="9"/>
      <c r="E4328" s="11"/>
      <c r="F4328" s="11"/>
      <c r="G4328" s="11"/>
      <c r="H4328" s="11"/>
      <c r="I4328" s="11"/>
      <c r="J4328" s="11"/>
      <c r="K4328" s="11"/>
      <c r="L4328" s="11"/>
      <c r="M4328" s="12"/>
      <c r="N4328" s="12"/>
      <c r="O4328" s="11"/>
      <c r="P4328" s="11"/>
    </row>
    <row r="4329" spans="1:16" ht="12.75" x14ac:dyDescent="0.35">
      <c r="A4329" s="11"/>
      <c r="B4329" s="9"/>
      <c r="C4329" s="9"/>
      <c r="D4329" s="9"/>
      <c r="E4329" s="11"/>
      <c r="F4329" s="11"/>
      <c r="G4329" s="11"/>
      <c r="H4329" s="11"/>
      <c r="I4329" s="11"/>
      <c r="J4329" s="11"/>
      <c r="K4329" s="11"/>
      <c r="L4329" s="11"/>
      <c r="M4329" s="12"/>
      <c r="N4329" s="12"/>
      <c r="O4329" s="11"/>
      <c r="P4329" s="11"/>
    </row>
    <row r="4330" spans="1:16" ht="12.75" x14ac:dyDescent="0.35">
      <c r="A4330" s="11"/>
      <c r="B4330" s="9"/>
      <c r="C4330" s="9"/>
      <c r="D4330" s="9"/>
      <c r="E4330" s="11"/>
      <c r="F4330" s="11"/>
      <c r="G4330" s="11"/>
      <c r="H4330" s="11"/>
      <c r="I4330" s="11"/>
      <c r="J4330" s="11"/>
      <c r="K4330" s="11"/>
      <c r="L4330" s="11"/>
      <c r="M4330" s="12"/>
      <c r="N4330" s="12"/>
      <c r="O4330" s="11"/>
      <c r="P4330" s="11"/>
    </row>
    <row r="4331" spans="1:16" ht="12.75" x14ac:dyDescent="0.35">
      <c r="A4331" s="11"/>
      <c r="B4331" s="9"/>
      <c r="C4331" s="9"/>
      <c r="D4331" s="9"/>
      <c r="E4331" s="11"/>
      <c r="F4331" s="11"/>
      <c r="G4331" s="11"/>
      <c r="H4331" s="11"/>
      <c r="I4331" s="11"/>
      <c r="J4331" s="11"/>
      <c r="K4331" s="11"/>
      <c r="L4331" s="11"/>
      <c r="M4331" s="12"/>
      <c r="N4331" s="12"/>
      <c r="O4331" s="11"/>
      <c r="P4331" s="11"/>
    </row>
    <row r="4332" spans="1:16" ht="12.75" x14ac:dyDescent="0.35">
      <c r="A4332" s="11"/>
      <c r="B4332" s="9"/>
      <c r="C4332" s="9"/>
      <c r="D4332" s="9"/>
      <c r="E4332" s="11"/>
      <c r="F4332" s="11"/>
      <c r="G4332" s="11"/>
      <c r="H4332" s="11"/>
      <c r="I4332" s="11"/>
      <c r="J4332" s="11"/>
      <c r="K4332" s="11"/>
      <c r="L4332" s="11"/>
      <c r="M4332" s="12"/>
      <c r="N4332" s="12"/>
      <c r="O4332" s="11"/>
      <c r="P4332" s="11"/>
    </row>
    <row r="4333" spans="1:16" ht="12.75" x14ac:dyDescent="0.35">
      <c r="A4333" s="11"/>
      <c r="B4333" s="9"/>
      <c r="C4333" s="9"/>
      <c r="D4333" s="9"/>
      <c r="E4333" s="11"/>
      <c r="F4333" s="11"/>
      <c r="G4333" s="11"/>
      <c r="H4333" s="11"/>
      <c r="I4333" s="11"/>
      <c r="J4333" s="11"/>
      <c r="K4333" s="11"/>
      <c r="L4333" s="11"/>
      <c r="M4333" s="12"/>
      <c r="N4333" s="12"/>
      <c r="O4333" s="11"/>
      <c r="P4333" s="11"/>
    </row>
    <row r="4334" spans="1:16" ht="12.75" x14ac:dyDescent="0.35">
      <c r="A4334" s="11"/>
      <c r="B4334" s="9"/>
      <c r="C4334" s="9"/>
      <c r="D4334" s="9"/>
      <c r="E4334" s="11"/>
      <c r="F4334" s="11"/>
      <c r="G4334" s="11"/>
      <c r="H4334" s="11"/>
      <c r="I4334" s="11"/>
      <c r="J4334" s="11"/>
      <c r="K4334" s="11"/>
      <c r="L4334" s="11"/>
      <c r="M4334" s="12"/>
      <c r="N4334" s="12"/>
      <c r="O4334" s="11"/>
      <c r="P4334" s="11"/>
    </row>
    <row r="4335" spans="1:16" ht="12.75" x14ac:dyDescent="0.35">
      <c r="A4335" s="11"/>
      <c r="B4335" s="9"/>
      <c r="C4335" s="9"/>
      <c r="D4335" s="9"/>
      <c r="E4335" s="11"/>
      <c r="F4335" s="11"/>
      <c r="G4335" s="11"/>
      <c r="H4335" s="11"/>
      <c r="I4335" s="11"/>
      <c r="J4335" s="11"/>
      <c r="K4335" s="11"/>
      <c r="L4335" s="11"/>
      <c r="M4335" s="12"/>
      <c r="N4335" s="12"/>
      <c r="O4335" s="11"/>
      <c r="P4335" s="11"/>
    </row>
    <row r="4336" spans="1:16" ht="12.75" x14ac:dyDescent="0.35">
      <c r="A4336" s="11"/>
      <c r="B4336" s="9"/>
      <c r="C4336" s="9"/>
      <c r="D4336" s="9"/>
      <c r="E4336" s="11"/>
      <c r="F4336" s="11"/>
      <c r="G4336" s="11"/>
      <c r="H4336" s="11"/>
      <c r="I4336" s="11"/>
      <c r="J4336" s="11"/>
      <c r="K4336" s="11"/>
      <c r="L4336" s="11"/>
      <c r="M4336" s="12"/>
      <c r="N4336" s="12"/>
      <c r="O4336" s="11"/>
      <c r="P4336" s="11"/>
    </row>
    <row r="4337" spans="1:16" ht="12.75" x14ac:dyDescent="0.35">
      <c r="A4337" s="11"/>
      <c r="B4337" s="9"/>
      <c r="C4337" s="9"/>
      <c r="D4337" s="9"/>
      <c r="E4337" s="11"/>
      <c r="F4337" s="11"/>
      <c r="G4337" s="11"/>
      <c r="H4337" s="11"/>
      <c r="I4337" s="11"/>
      <c r="J4337" s="11"/>
      <c r="K4337" s="11"/>
      <c r="L4337" s="11"/>
      <c r="M4337" s="12"/>
      <c r="N4337" s="12"/>
      <c r="O4337" s="11"/>
      <c r="P4337" s="11"/>
    </row>
    <row r="4338" spans="1:16" ht="12.75" x14ac:dyDescent="0.35">
      <c r="A4338" s="11"/>
      <c r="B4338" s="9"/>
      <c r="C4338" s="9"/>
      <c r="D4338" s="9"/>
      <c r="E4338" s="11"/>
      <c r="F4338" s="11"/>
      <c r="G4338" s="11"/>
      <c r="H4338" s="11"/>
      <c r="I4338" s="11"/>
      <c r="J4338" s="11"/>
      <c r="K4338" s="11"/>
      <c r="L4338" s="11"/>
      <c r="M4338" s="12"/>
      <c r="N4338" s="12"/>
      <c r="O4338" s="11"/>
      <c r="P4338" s="11"/>
    </row>
    <row r="4339" spans="1:16" ht="12.75" x14ac:dyDescent="0.35">
      <c r="A4339" s="11"/>
      <c r="B4339" s="9"/>
      <c r="C4339" s="9"/>
      <c r="D4339" s="9"/>
      <c r="E4339" s="11"/>
      <c r="F4339" s="11"/>
      <c r="G4339" s="11"/>
      <c r="H4339" s="11"/>
      <c r="I4339" s="11"/>
      <c r="J4339" s="11"/>
      <c r="K4339" s="11"/>
      <c r="L4339" s="11"/>
      <c r="M4339" s="12"/>
      <c r="N4339" s="12"/>
      <c r="O4339" s="11"/>
      <c r="P4339" s="11"/>
    </row>
    <row r="4340" spans="1:16" ht="12.75" x14ac:dyDescent="0.35">
      <c r="A4340" s="11"/>
      <c r="B4340" s="9"/>
      <c r="C4340" s="9"/>
      <c r="D4340" s="9"/>
      <c r="E4340" s="11"/>
      <c r="F4340" s="11"/>
      <c r="G4340" s="11"/>
      <c r="H4340" s="11"/>
      <c r="I4340" s="11"/>
      <c r="J4340" s="11"/>
      <c r="K4340" s="11"/>
      <c r="L4340" s="11"/>
      <c r="M4340" s="12"/>
      <c r="N4340" s="12"/>
      <c r="O4340" s="11"/>
      <c r="P4340" s="11"/>
    </row>
    <row r="4341" spans="1:16" ht="12.75" x14ac:dyDescent="0.35">
      <c r="A4341" s="11"/>
      <c r="B4341" s="9"/>
      <c r="C4341" s="9"/>
      <c r="D4341" s="9"/>
      <c r="E4341" s="11"/>
      <c r="F4341" s="11"/>
      <c r="G4341" s="11"/>
      <c r="H4341" s="11"/>
      <c r="I4341" s="11"/>
      <c r="J4341" s="11"/>
      <c r="K4341" s="11"/>
      <c r="L4341" s="11"/>
      <c r="M4341" s="12"/>
      <c r="N4341" s="12"/>
      <c r="O4341" s="11"/>
      <c r="P4341" s="11"/>
    </row>
    <row r="4342" spans="1:16" ht="12.75" x14ac:dyDescent="0.35">
      <c r="A4342" s="11"/>
      <c r="B4342" s="9"/>
      <c r="C4342" s="9"/>
      <c r="D4342" s="9"/>
      <c r="E4342" s="11"/>
      <c r="F4342" s="11"/>
      <c r="G4342" s="11"/>
      <c r="H4342" s="11"/>
      <c r="I4342" s="11"/>
      <c r="J4342" s="11"/>
      <c r="K4342" s="11"/>
      <c r="L4342" s="11"/>
      <c r="M4342" s="12"/>
      <c r="N4342" s="12"/>
      <c r="O4342" s="11"/>
      <c r="P4342" s="11"/>
    </row>
    <row r="4343" spans="1:16" ht="12.75" x14ac:dyDescent="0.35">
      <c r="A4343" s="11"/>
      <c r="B4343" s="9"/>
      <c r="C4343" s="9"/>
      <c r="D4343" s="9"/>
      <c r="E4343" s="11"/>
      <c r="F4343" s="11"/>
      <c r="G4343" s="11"/>
      <c r="H4343" s="11"/>
      <c r="I4343" s="11"/>
      <c r="J4343" s="11"/>
      <c r="K4343" s="11"/>
      <c r="L4343" s="11"/>
      <c r="M4343" s="12"/>
      <c r="N4343" s="12"/>
      <c r="O4343" s="11"/>
      <c r="P4343" s="11"/>
    </row>
    <row r="4344" spans="1:16" ht="12.75" x14ac:dyDescent="0.35">
      <c r="A4344" s="11"/>
      <c r="B4344" s="9"/>
      <c r="C4344" s="9"/>
      <c r="D4344" s="9"/>
      <c r="E4344" s="11"/>
      <c r="F4344" s="11"/>
      <c r="G4344" s="11"/>
      <c r="H4344" s="11"/>
      <c r="I4344" s="11"/>
      <c r="J4344" s="11"/>
      <c r="K4344" s="11"/>
      <c r="L4344" s="11"/>
      <c r="M4344" s="12"/>
      <c r="N4344" s="12"/>
      <c r="O4344" s="11"/>
      <c r="P4344" s="11"/>
    </row>
    <row r="4345" spans="1:16" ht="12.75" x14ac:dyDescent="0.35">
      <c r="A4345" s="11"/>
      <c r="B4345" s="9"/>
      <c r="C4345" s="9"/>
      <c r="D4345" s="9"/>
      <c r="E4345" s="11"/>
      <c r="F4345" s="11"/>
      <c r="G4345" s="11"/>
      <c r="H4345" s="11"/>
      <c r="I4345" s="11"/>
      <c r="J4345" s="11"/>
      <c r="K4345" s="11"/>
      <c r="L4345" s="11"/>
      <c r="M4345" s="12"/>
      <c r="N4345" s="12"/>
      <c r="O4345" s="11"/>
      <c r="P4345" s="11"/>
    </row>
    <row r="4346" spans="1:16" ht="12.75" x14ac:dyDescent="0.35">
      <c r="A4346" s="11"/>
      <c r="B4346" s="9"/>
      <c r="C4346" s="9"/>
      <c r="D4346" s="9"/>
      <c r="E4346" s="11"/>
      <c r="F4346" s="11"/>
      <c r="G4346" s="11"/>
      <c r="H4346" s="11"/>
      <c r="I4346" s="11"/>
      <c r="J4346" s="11"/>
      <c r="K4346" s="11"/>
      <c r="L4346" s="11"/>
      <c r="M4346" s="12"/>
      <c r="N4346" s="12"/>
      <c r="O4346" s="11"/>
      <c r="P4346" s="11"/>
    </row>
    <row r="4347" spans="1:16" ht="12.75" x14ac:dyDescent="0.35">
      <c r="A4347" s="11"/>
      <c r="B4347" s="9"/>
      <c r="C4347" s="9"/>
      <c r="D4347" s="9"/>
      <c r="E4347" s="11"/>
      <c r="F4347" s="11"/>
      <c r="G4347" s="11"/>
      <c r="H4347" s="11"/>
      <c r="I4347" s="11"/>
      <c r="J4347" s="11"/>
      <c r="K4347" s="11"/>
      <c r="L4347" s="11"/>
      <c r="M4347" s="12"/>
      <c r="N4347" s="12"/>
      <c r="O4347" s="11"/>
      <c r="P4347" s="11"/>
    </row>
    <row r="4348" spans="1:16" ht="12.75" x14ac:dyDescent="0.35">
      <c r="A4348" s="11"/>
      <c r="B4348" s="9"/>
      <c r="C4348" s="9"/>
      <c r="D4348" s="9"/>
      <c r="E4348" s="11"/>
      <c r="F4348" s="11"/>
      <c r="G4348" s="11"/>
      <c r="H4348" s="11"/>
      <c r="I4348" s="11"/>
      <c r="J4348" s="11"/>
      <c r="K4348" s="11"/>
      <c r="L4348" s="11"/>
      <c r="M4348" s="12"/>
      <c r="N4348" s="12"/>
      <c r="O4348" s="11"/>
      <c r="P4348" s="11"/>
    </row>
    <row r="4349" spans="1:16" ht="12.75" x14ac:dyDescent="0.35">
      <c r="A4349" s="11"/>
      <c r="B4349" s="9"/>
      <c r="C4349" s="9"/>
      <c r="D4349" s="9"/>
      <c r="E4349" s="11"/>
      <c r="F4349" s="11"/>
      <c r="G4349" s="11"/>
      <c r="H4349" s="11"/>
      <c r="I4349" s="11"/>
      <c r="J4349" s="11"/>
      <c r="K4349" s="11"/>
      <c r="L4349" s="11"/>
      <c r="M4349" s="12"/>
      <c r="N4349" s="12"/>
      <c r="O4349" s="11"/>
      <c r="P4349" s="11"/>
    </row>
    <row r="4350" spans="1:16" ht="12.75" x14ac:dyDescent="0.35">
      <c r="A4350" s="11"/>
      <c r="B4350" s="9"/>
      <c r="C4350" s="9"/>
      <c r="D4350" s="9"/>
      <c r="E4350" s="11"/>
      <c r="F4350" s="11"/>
      <c r="G4350" s="11"/>
      <c r="H4350" s="11"/>
      <c r="I4350" s="11"/>
      <c r="J4350" s="11"/>
      <c r="K4350" s="11"/>
      <c r="L4350" s="11"/>
      <c r="M4350" s="12"/>
      <c r="N4350" s="12"/>
      <c r="O4350" s="11"/>
      <c r="P4350" s="11"/>
    </row>
    <row r="4351" spans="1:16" ht="12.75" x14ac:dyDescent="0.35">
      <c r="A4351" s="11"/>
      <c r="B4351" s="9"/>
      <c r="C4351" s="9"/>
      <c r="D4351" s="9"/>
      <c r="E4351" s="11"/>
      <c r="F4351" s="11"/>
      <c r="G4351" s="11"/>
      <c r="H4351" s="11"/>
      <c r="I4351" s="11"/>
      <c r="J4351" s="11"/>
      <c r="K4351" s="11"/>
      <c r="L4351" s="11"/>
      <c r="M4351" s="12"/>
      <c r="N4351" s="12"/>
      <c r="O4351" s="11"/>
      <c r="P4351" s="11"/>
    </row>
    <row r="4352" spans="1:16" ht="12.75" x14ac:dyDescent="0.35">
      <c r="A4352" s="11"/>
      <c r="B4352" s="9"/>
      <c r="C4352" s="9"/>
      <c r="D4352" s="9"/>
      <c r="E4352" s="11"/>
      <c r="F4352" s="11"/>
      <c r="G4352" s="11"/>
      <c r="H4352" s="11"/>
      <c r="I4352" s="11"/>
      <c r="J4352" s="11"/>
      <c r="K4352" s="11"/>
      <c r="L4352" s="11"/>
      <c r="M4352" s="12"/>
      <c r="N4352" s="12"/>
      <c r="O4352" s="11"/>
      <c r="P4352" s="11"/>
    </row>
    <row r="4353" spans="1:16" ht="12.75" x14ac:dyDescent="0.35">
      <c r="A4353" s="11"/>
      <c r="B4353" s="9"/>
      <c r="C4353" s="9"/>
      <c r="D4353" s="9"/>
      <c r="E4353" s="11"/>
      <c r="F4353" s="11"/>
      <c r="G4353" s="11"/>
      <c r="H4353" s="11"/>
      <c r="I4353" s="11"/>
      <c r="J4353" s="11"/>
      <c r="K4353" s="11"/>
      <c r="L4353" s="11"/>
      <c r="M4353" s="12"/>
      <c r="N4353" s="12"/>
      <c r="O4353" s="11"/>
      <c r="P4353" s="11"/>
    </row>
    <row r="4354" spans="1:16" ht="12.75" x14ac:dyDescent="0.35">
      <c r="A4354" s="11"/>
      <c r="B4354" s="9"/>
      <c r="C4354" s="9"/>
      <c r="D4354" s="9"/>
      <c r="E4354" s="11"/>
      <c r="F4354" s="11"/>
      <c r="G4354" s="11"/>
      <c r="H4354" s="11"/>
      <c r="I4354" s="11"/>
      <c r="J4354" s="11"/>
      <c r="K4354" s="11"/>
      <c r="L4354" s="11"/>
      <c r="M4354" s="12"/>
      <c r="N4354" s="12"/>
      <c r="O4354" s="11"/>
      <c r="P4354" s="11"/>
    </row>
    <row r="4355" spans="1:16" ht="12.75" x14ac:dyDescent="0.35">
      <c r="A4355" s="11"/>
      <c r="B4355" s="9"/>
      <c r="C4355" s="9"/>
      <c r="D4355" s="9"/>
      <c r="E4355" s="11"/>
      <c r="F4355" s="11"/>
      <c r="G4355" s="11"/>
      <c r="H4355" s="11"/>
      <c r="I4355" s="11"/>
      <c r="J4355" s="11"/>
      <c r="K4355" s="11"/>
      <c r="L4355" s="11"/>
      <c r="M4355" s="12"/>
      <c r="N4355" s="12"/>
      <c r="O4355" s="11"/>
      <c r="P4355" s="11"/>
    </row>
    <row r="4356" spans="1:16" ht="12.75" x14ac:dyDescent="0.35">
      <c r="A4356" s="11"/>
      <c r="B4356" s="9"/>
      <c r="C4356" s="9"/>
      <c r="D4356" s="9"/>
      <c r="E4356" s="11"/>
      <c r="F4356" s="11"/>
      <c r="G4356" s="11"/>
      <c r="H4356" s="11"/>
      <c r="I4356" s="11"/>
      <c r="J4356" s="11"/>
      <c r="K4356" s="11"/>
      <c r="L4356" s="11"/>
      <c r="M4356" s="12"/>
      <c r="N4356" s="12"/>
      <c r="O4356" s="11"/>
      <c r="P4356" s="11"/>
    </row>
    <row r="4357" spans="1:16" ht="12.75" x14ac:dyDescent="0.35">
      <c r="A4357" s="11"/>
      <c r="B4357" s="9"/>
      <c r="C4357" s="9"/>
      <c r="D4357" s="9"/>
      <c r="E4357" s="11"/>
      <c r="F4357" s="11"/>
      <c r="G4357" s="11"/>
      <c r="H4357" s="11"/>
      <c r="I4357" s="11"/>
      <c r="J4357" s="11"/>
      <c r="K4357" s="11"/>
      <c r="L4357" s="11"/>
      <c r="M4357" s="12"/>
      <c r="N4357" s="12"/>
      <c r="O4357" s="11"/>
      <c r="P4357" s="11"/>
    </row>
    <row r="4358" spans="1:16" ht="12.75" x14ac:dyDescent="0.35">
      <c r="A4358" s="11"/>
      <c r="B4358" s="9"/>
      <c r="C4358" s="9"/>
      <c r="D4358" s="9"/>
      <c r="E4358" s="11"/>
      <c r="F4358" s="11"/>
      <c r="G4358" s="11"/>
      <c r="H4358" s="11"/>
      <c r="I4358" s="11"/>
      <c r="J4358" s="11"/>
      <c r="K4358" s="11"/>
      <c r="L4358" s="11"/>
      <c r="M4358" s="12"/>
      <c r="N4358" s="12"/>
      <c r="O4358" s="11"/>
      <c r="P4358" s="11"/>
    </row>
    <row r="4359" spans="1:16" ht="12.75" x14ac:dyDescent="0.35">
      <c r="A4359" s="11"/>
      <c r="B4359" s="9"/>
      <c r="C4359" s="9"/>
      <c r="D4359" s="9"/>
      <c r="E4359" s="11"/>
      <c r="F4359" s="11"/>
      <c r="G4359" s="11"/>
      <c r="H4359" s="11"/>
      <c r="I4359" s="11"/>
      <c r="J4359" s="11"/>
      <c r="K4359" s="11"/>
      <c r="L4359" s="11"/>
      <c r="M4359" s="12"/>
      <c r="N4359" s="12"/>
      <c r="O4359" s="11"/>
      <c r="P4359" s="11"/>
    </row>
    <row r="4360" spans="1:16" ht="12.75" x14ac:dyDescent="0.35">
      <c r="A4360" s="11"/>
      <c r="B4360" s="9"/>
      <c r="C4360" s="9"/>
      <c r="D4360" s="9"/>
      <c r="E4360" s="11"/>
      <c r="F4360" s="11"/>
      <c r="G4360" s="11"/>
      <c r="H4360" s="11"/>
      <c r="I4360" s="11"/>
      <c r="J4360" s="11"/>
      <c r="K4360" s="11"/>
      <c r="L4360" s="11"/>
      <c r="M4360" s="12"/>
      <c r="N4360" s="12"/>
      <c r="O4360" s="11"/>
      <c r="P4360" s="11"/>
    </row>
    <row r="4361" spans="1:16" ht="12.75" x14ac:dyDescent="0.35">
      <c r="A4361" s="11"/>
      <c r="B4361" s="9"/>
      <c r="C4361" s="9"/>
      <c r="D4361" s="9"/>
      <c r="E4361" s="11"/>
      <c r="F4361" s="11"/>
      <c r="G4361" s="11"/>
      <c r="H4361" s="11"/>
      <c r="I4361" s="11"/>
      <c r="J4361" s="11"/>
      <c r="K4361" s="11"/>
      <c r="L4361" s="11"/>
      <c r="M4361" s="12"/>
      <c r="N4361" s="12"/>
      <c r="O4361" s="11"/>
      <c r="P4361" s="11"/>
    </row>
    <row r="4362" spans="1:16" ht="12.75" x14ac:dyDescent="0.35">
      <c r="A4362" s="11"/>
      <c r="B4362" s="9"/>
      <c r="C4362" s="9"/>
      <c r="D4362" s="9"/>
      <c r="E4362" s="11"/>
      <c r="F4362" s="11"/>
      <c r="G4362" s="11"/>
      <c r="H4362" s="11"/>
      <c r="I4362" s="11"/>
      <c r="J4362" s="11"/>
      <c r="K4362" s="11"/>
      <c r="L4362" s="11"/>
      <c r="M4362" s="12"/>
      <c r="N4362" s="12"/>
      <c r="O4362" s="11"/>
      <c r="P4362" s="11"/>
    </row>
    <row r="4363" spans="1:16" ht="12.75" x14ac:dyDescent="0.35">
      <c r="A4363" s="11"/>
      <c r="B4363" s="9"/>
      <c r="C4363" s="9"/>
      <c r="D4363" s="9"/>
      <c r="E4363" s="11"/>
      <c r="F4363" s="11"/>
      <c r="G4363" s="11"/>
      <c r="H4363" s="11"/>
      <c r="I4363" s="11"/>
      <c r="J4363" s="11"/>
      <c r="K4363" s="11"/>
      <c r="L4363" s="11"/>
      <c r="M4363" s="12"/>
      <c r="N4363" s="12"/>
      <c r="O4363" s="11"/>
      <c r="P4363" s="11"/>
    </row>
    <row r="4364" spans="1:16" ht="12.75" x14ac:dyDescent="0.35">
      <c r="A4364" s="11"/>
      <c r="B4364" s="9"/>
      <c r="C4364" s="9"/>
      <c r="D4364" s="9"/>
      <c r="E4364" s="11"/>
      <c r="F4364" s="11"/>
      <c r="G4364" s="11"/>
      <c r="H4364" s="11"/>
      <c r="I4364" s="11"/>
      <c r="J4364" s="11"/>
      <c r="K4364" s="11"/>
      <c r="L4364" s="11"/>
      <c r="M4364" s="12"/>
      <c r="N4364" s="12"/>
      <c r="O4364" s="11"/>
      <c r="P4364" s="11"/>
    </row>
    <row r="4365" spans="1:16" ht="12.75" x14ac:dyDescent="0.35">
      <c r="A4365" s="11"/>
      <c r="B4365" s="9"/>
      <c r="C4365" s="9"/>
      <c r="D4365" s="9"/>
      <c r="E4365" s="11"/>
      <c r="F4365" s="11"/>
      <c r="G4365" s="11"/>
      <c r="H4365" s="11"/>
      <c r="I4365" s="11"/>
      <c r="J4365" s="11"/>
      <c r="K4365" s="11"/>
      <c r="L4365" s="11"/>
      <c r="M4365" s="12"/>
      <c r="N4365" s="12"/>
      <c r="O4365" s="11"/>
      <c r="P4365" s="11"/>
    </row>
    <row r="4366" spans="1:16" ht="12.75" x14ac:dyDescent="0.35">
      <c r="A4366" s="11"/>
      <c r="B4366" s="9"/>
      <c r="C4366" s="9"/>
      <c r="D4366" s="9"/>
      <c r="E4366" s="11"/>
      <c r="F4366" s="11"/>
      <c r="G4366" s="11"/>
      <c r="H4366" s="11"/>
      <c r="I4366" s="11"/>
      <c r="J4366" s="11"/>
      <c r="K4366" s="11"/>
      <c r="L4366" s="11"/>
      <c r="M4366" s="12"/>
      <c r="N4366" s="12"/>
      <c r="O4366" s="11"/>
      <c r="P4366" s="11"/>
    </row>
    <row r="4367" spans="1:16" ht="12.75" x14ac:dyDescent="0.35">
      <c r="A4367" s="11"/>
      <c r="B4367" s="9"/>
      <c r="C4367" s="9"/>
      <c r="D4367" s="9"/>
      <c r="E4367" s="11"/>
      <c r="F4367" s="11"/>
      <c r="G4367" s="11"/>
      <c r="H4367" s="11"/>
      <c r="I4367" s="11"/>
      <c r="J4367" s="11"/>
      <c r="K4367" s="11"/>
      <c r="L4367" s="11"/>
      <c r="M4367" s="12"/>
      <c r="N4367" s="12"/>
      <c r="O4367" s="11"/>
      <c r="P4367" s="11"/>
    </row>
    <row r="4368" spans="1:16" ht="12.75" x14ac:dyDescent="0.35">
      <c r="A4368" s="11"/>
      <c r="B4368" s="9"/>
      <c r="C4368" s="9"/>
      <c r="D4368" s="9"/>
      <c r="E4368" s="11"/>
      <c r="F4368" s="11"/>
      <c r="G4368" s="11"/>
      <c r="H4368" s="11"/>
      <c r="I4368" s="11"/>
      <c r="J4368" s="11"/>
      <c r="K4368" s="11"/>
      <c r="L4368" s="11"/>
      <c r="M4368" s="12"/>
      <c r="N4368" s="12"/>
      <c r="O4368" s="11"/>
      <c r="P4368" s="11"/>
    </row>
    <row r="4369" spans="1:16" ht="12.75" x14ac:dyDescent="0.35">
      <c r="A4369" s="11"/>
      <c r="B4369" s="9"/>
      <c r="C4369" s="9"/>
      <c r="D4369" s="9"/>
      <c r="E4369" s="11"/>
      <c r="F4369" s="11"/>
      <c r="G4369" s="11"/>
      <c r="H4369" s="11"/>
      <c r="I4369" s="11"/>
      <c r="J4369" s="11"/>
      <c r="K4369" s="11"/>
      <c r="L4369" s="11"/>
      <c r="M4369" s="12"/>
      <c r="N4369" s="12"/>
      <c r="O4369" s="11"/>
      <c r="P4369" s="11"/>
    </row>
    <row r="4370" spans="1:16" ht="12.75" x14ac:dyDescent="0.35">
      <c r="A4370" s="11"/>
      <c r="B4370" s="9"/>
      <c r="C4370" s="9"/>
      <c r="D4370" s="9"/>
      <c r="E4370" s="11"/>
      <c r="F4370" s="11"/>
      <c r="G4370" s="11"/>
      <c r="H4370" s="11"/>
      <c r="I4370" s="11"/>
      <c r="J4370" s="11"/>
      <c r="K4370" s="11"/>
      <c r="L4370" s="11"/>
      <c r="M4370" s="12"/>
      <c r="N4370" s="12"/>
      <c r="O4370" s="11"/>
      <c r="P4370" s="11"/>
    </row>
    <row r="4371" spans="1:16" ht="12.75" x14ac:dyDescent="0.35">
      <c r="A4371" s="11"/>
      <c r="B4371" s="9"/>
      <c r="C4371" s="9"/>
      <c r="D4371" s="9"/>
      <c r="E4371" s="11"/>
      <c r="F4371" s="11"/>
      <c r="G4371" s="11"/>
      <c r="H4371" s="11"/>
      <c r="I4371" s="11"/>
      <c r="J4371" s="11"/>
      <c r="K4371" s="11"/>
      <c r="L4371" s="11"/>
      <c r="M4371" s="12"/>
      <c r="N4371" s="12"/>
      <c r="O4371" s="11"/>
      <c r="P4371" s="11"/>
    </row>
    <row r="4372" spans="1:16" ht="12.75" x14ac:dyDescent="0.35">
      <c r="A4372" s="11"/>
      <c r="B4372" s="9"/>
      <c r="C4372" s="9"/>
      <c r="D4372" s="9"/>
      <c r="E4372" s="11"/>
      <c r="F4372" s="11"/>
      <c r="G4372" s="11"/>
      <c r="H4372" s="11"/>
      <c r="I4372" s="11"/>
      <c r="J4372" s="11"/>
      <c r="K4372" s="11"/>
      <c r="L4372" s="11"/>
      <c r="M4372" s="12"/>
      <c r="N4372" s="12"/>
      <c r="O4372" s="11"/>
      <c r="P4372" s="11"/>
    </row>
    <row r="4373" spans="1:16" ht="12.75" x14ac:dyDescent="0.35">
      <c r="A4373" s="11"/>
      <c r="B4373" s="9"/>
      <c r="C4373" s="9"/>
      <c r="D4373" s="9"/>
      <c r="E4373" s="11"/>
      <c r="F4373" s="11"/>
      <c r="G4373" s="11"/>
      <c r="H4373" s="11"/>
      <c r="I4373" s="11"/>
      <c r="J4373" s="11"/>
      <c r="K4373" s="11"/>
      <c r="L4373" s="11"/>
      <c r="M4373" s="12"/>
      <c r="N4373" s="12"/>
      <c r="O4373" s="11"/>
      <c r="P4373" s="11"/>
    </row>
    <row r="4374" spans="1:16" ht="12.75" x14ac:dyDescent="0.35">
      <c r="A4374" s="11"/>
      <c r="B4374" s="9"/>
      <c r="C4374" s="9"/>
      <c r="D4374" s="9"/>
      <c r="E4374" s="11"/>
      <c r="F4374" s="11"/>
      <c r="G4374" s="11"/>
      <c r="H4374" s="11"/>
      <c r="I4374" s="11"/>
      <c r="J4374" s="11"/>
      <c r="K4374" s="11"/>
      <c r="L4374" s="11"/>
      <c r="M4374" s="12"/>
      <c r="N4374" s="12"/>
      <c r="O4374" s="11"/>
      <c r="P4374" s="11"/>
    </row>
    <row r="4375" spans="1:16" ht="12.75" x14ac:dyDescent="0.35">
      <c r="A4375" s="11"/>
      <c r="B4375" s="9"/>
      <c r="C4375" s="9"/>
      <c r="D4375" s="9"/>
      <c r="E4375" s="11"/>
      <c r="F4375" s="11"/>
      <c r="G4375" s="11"/>
      <c r="H4375" s="11"/>
      <c r="I4375" s="11"/>
      <c r="J4375" s="11"/>
      <c r="K4375" s="11"/>
      <c r="L4375" s="11"/>
      <c r="M4375" s="12"/>
      <c r="N4375" s="12"/>
      <c r="O4375" s="11"/>
      <c r="P4375" s="11"/>
    </row>
    <row r="4376" spans="1:16" ht="12.75" x14ac:dyDescent="0.35">
      <c r="A4376" s="11"/>
      <c r="B4376" s="9"/>
      <c r="C4376" s="9"/>
      <c r="D4376" s="9"/>
      <c r="E4376" s="11"/>
      <c r="F4376" s="11"/>
      <c r="G4376" s="11"/>
      <c r="H4376" s="11"/>
      <c r="I4376" s="11"/>
      <c r="J4376" s="11"/>
      <c r="K4376" s="11"/>
      <c r="L4376" s="11"/>
      <c r="M4376" s="12"/>
      <c r="N4376" s="12"/>
      <c r="O4376" s="11"/>
      <c r="P4376" s="11"/>
    </row>
    <row r="4377" spans="1:16" ht="12.75" x14ac:dyDescent="0.35">
      <c r="A4377" s="11"/>
      <c r="B4377" s="9"/>
      <c r="C4377" s="9"/>
      <c r="D4377" s="9"/>
      <c r="E4377" s="11"/>
      <c r="F4377" s="11"/>
      <c r="G4377" s="11"/>
      <c r="H4377" s="11"/>
      <c r="I4377" s="11"/>
      <c r="J4377" s="11"/>
      <c r="K4377" s="11"/>
      <c r="L4377" s="11"/>
      <c r="M4377" s="12"/>
      <c r="N4377" s="12"/>
      <c r="O4377" s="11"/>
      <c r="P4377" s="11"/>
    </row>
    <row r="4378" spans="1:16" ht="12.75" x14ac:dyDescent="0.35">
      <c r="A4378" s="11"/>
      <c r="B4378" s="9"/>
      <c r="C4378" s="9"/>
      <c r="D4378" s="9"/>
      <c r="E4378" s="11"/>
      <c r="F4378" s="11"/>
      <c r="G4378" s="11"/>
      <c r="H4378" s="11"/>
      <c r="I4378" s="11"/>
      <c r="J4378" s="11"/>
      <c r="K4378" s="11"/>
      <c r="L4378" s="11"/>
      <c r="M4378" s="12"/>
      <c r="N4378" s="12"/>
      <c r="O4378" s="11"/>
      <c r="P4378" s="11"/>
    </row>
    <row r="4379" spans="1:16" ht="12.75" x14ac:dyDescent="0.35">
      <c r="A4379" s="11"/>
      <c r="B4379" s="9"/>
      <c r="C4379" s="9"/>
      <c r="D4379" s="9"/>
      <c r="E4379" s="11"/>
      <c r="F4379" s="11"/>
      <c r="G4379" s="11"/>
      <c r="H4379" s="11"/>
      <c r="I4379" s="11"/>
      <c r="J4379" s="11"/>
      <c r="K4379" s="11"/>
      <c r="L4379" s="11"/>
      <c r="M4379" s="12"/>
      <c r="N4379" s="12"/>
      <c r="O4379" s="11"/>
      <c r="P4379" s="11"/>
    </row>
    <row r="4380" spans="1:16" ht="12.75" x14ac:dyDescent="0.35">
      <c r="A4380" s="11"/>
      <c r="B4380" s="9"/>
      <c r="C4380" s="9"/>
      <c r="D4380" s="9"/>
      <c r="E4380" s="11"/>
      <c r="F4380" s="11"/>
      <c r="G4380" s="11"/>
      <c r="H4380" s="11"/>
      <c r="I4380" s="11"/>
      <c r="J4380" s="11"/>
      <c r="K4380" s="11"/>
      <c r="L4380" s="11"/>
      <c r="M4380" s="12"/>
      <c r="N4380" s="12"/>
      <c r="O4380" s="11"/>
      <c r="P4380" s="11"/>
    </row>
    <row r="4381" spans="1:16" ht="12.75" x14ac:dyDescent="0.35">
      <c r="A4381" s="11"/>
      <c r="B4381" s="9"/>
      <c r="C4381" s="9"/>
      <c r="D4381" s="9"/>
      <c r="E4381" s="11"/>
      <c r="F4381" s="11"/>
      <c r="G4381" s="11"/>
      <c r="H4381" s="11"/>
      <c r="I4381" s="11"/>
      <c r="J4381" s="11"/>
      <c r="K4381" s="11"/>
      <c r="L4381" s="11"/>
      <c r="M4381" s="12"/>
      <c r="N4381" s="12"/>
      <c r="O4381" s="11"/>
      <c r="P4381" s="11"/>
    </row>
    <row r="4382" spans="1:16" ht="12.75" x14ac:dyDescent="0.35">
      <c r="A4382" s="11"/>
      <c r="B4382" s="9"/>
      <c r="C4382" s="9"/>
      <c r="D4382" s="9"/>
      <c r="E4382" s="11"/>
      <c r="F4382" s="11"/>
      <c r="G4382" s="11"/>
      <c r="H4382" s="11"/>
      <c r="I4382" s="11"/>
      <c r="J4382" s="11"/>
      <c r="K4382" s="11"/>
      <c r="L4382" s="11"/>
      <c r="M4382" s="12"/>
      <c r="N4382" s="12"/>
      <c r="O4382" s="11"/>
      <c r="P4382" s="11"/>
    </row>
    <row r="4383" spans="1:16" ht="12.75" x14ac:dyDescent="0.35">
      <c r="A4383" s="11"/>
      <c r="B4383" s="9"/>
      <c r="C4383" s="9"/>
      <c r="D4383" s="9"/>
      <c r="E4383" s="11"/>
      <c r="F4383" s="11"/>
      <c r="G4383" s="11"/>
      <c r="H4383" s="11"/>
      <c r="I4383" s="11"/>
      <c r="J4383" s="11"/>
      <c r="K4383" s="11"/>
      <c r="L4383" s="11"/>
      <c r="M4383" s="12"/>
      <c r="N4383" s="12"/>
      <c r="O4383" s="11"/>
      <c r="P4383" s="11"/>
    </row>
    <row r="4384" spans="1:16" ht="12.75" x14ac:dyDescent="0.35">
      <c r="A4384" s="11"/>
      <c r="B4384" s="9"/>
      <c r="C4384" s="9"/>
      <c r="D4384" s="9"/>
      <c r="E4384" s="11"/>
      <c r="F4384" s="11"/>
      <c r="G4384" s="11"/>
      <c r="H4384" s="11"/>
      <c r="I4384" s="11"/>
      <c r="J4384" s="11"/>
      <c r="K4384" s="11"/>
      <c r="L4384" s="11"/>
      <c r="M4384" s="12"/>
      <c r="N4384" s="12"/>
      <c r="O4384" s="11"/>
      <c r="P4384" s="11"/>
    </row>
    <row r="4385" spans="1:16" ht="12.75" x14ac:dyDescent="0.35">
      <c r="A4385" s="11"/>
      <c r="B4385" s="9"/>
      <c r="C4385" s="9"/>
      <c r="D4385" s="9"/>
      <c r="E4385" s="11"/>
      <c r="F4385" s="11"/>
      <c r="G4385" s="11"/>
      <c r="H4385" s="11"/>
      <c r="I4385" s="11"/>
      <c r="J4385" s="11"/>
      <c r="K4385" s="11"/>
      <c r="L4385" s="11"/>
      <c r="M4385" s="12"/>
      <c r="N4385" s="12"/>
      <c r="O4385" s="11"/>
      <c r="P4385" s="11"/>
    </row>
    <row r="4386" spans="1:16" ht="12.75" x14ac:dyDescent="0.35">
      <c r="A4386" s="11"/>
      <c r="B4386" s="9"/>
      <c r="C4386" s="9"/>
      <c r="D4386" s="9"/>
      <c r="E4386" s="11"/>
      <c r="F4386" s="11"/>
      <c r="G4386" s="11"/>
      <c r="H4386" s="11"/>
      <c r="I4386" s="11"/>
      <c r="J4386" s="11"/>
      <c r="K4386" s="11"/>
      <c r="L4386" s="11"/>
      <c r="M4386" s="12"/>
      <c r="N4386" s="12"/>
      <c r="O4386" s="11"/>
      <c r="P4386" s="11"/>
    </row>
    <row r="4387" spans="1:16" ht="12.75" x14ac:dyDescent="0.35">
      <c r="A4387" s="11"/>
      <c r="B4387" s="9"/>
      <c r="C4387" s="9"/>
      <c r="D4387" s="9"/>
      <c r="E4387" s="11"/>
      <c r="F4387" s="11"/>
      <c r="G4387" s="11"/>
      <c r="H4387" s="11"/>
      <c r="I4387" s="11"/>
      <c r="J4387" s="11"/>
      <c r="K4387" s="11"/>
      <c r="L4387" s="11"/>
      <c r="M4387" s="12"/>
      <c r="N4387" s="12"/>
      <c r="O4387" s="11"/>
      <c r="P4387" s="11"/>
    </row>
    <row r="4388" spans="1:16" ht="12.75" x14ac:dyDescent="0.35">
      <c r="A4388" s="11"/>
      <c r="B4388" s="9"/>
      <c r="C4388" s="9"/>
      <c r="D4388" s="9"/>
      <c r="E4388" s="11"/>
      <c r="F4388" s="11"/>
      <c r="G4388" s="11"/>
      <c r="H4388" s="11"/>
      <c r="I4388" s="11"/>
      <c r="J4388" s="11"/>
      <c r="K4388" s="11"/>
      <c r="L4388" s="11"/>
      <c r="M4388" s="12"/>
      <c r="N4388" s="12"/>
      <c r="O4388" s="11"/>
      <c r="P4388" s="11"/>
    </row>
    <row r="4389" spans="1:16" ht="12.75" x14ac:dyDescent="0.35">
      <c r="A4389" s="11"/>
      <c r="B4389" s="9"/>
      <c r="C4389" s="9"/>
      <c r="D4389" s="9"/>
      <c r="E4389" s="11"/>
      <c r="F4389" s="11"/>
      <c r="G4389" s="11"/>
      <c r="H4389" s="11"/>
      <c r="I4389" s="11"/>
      <c r="J4389" s="11"/>
      <c r="K4389" s="11"/>
      <c r="L4389" s="11"/>
      <c r="M4389" s="12"/>
      <c r="N4389" s="12"/>
      <c r="O4389" s="11"/>
      <c r="P4389" s="11"/>
    </row>
    <row r="4390" spans="1:16" ht="12.75" x14ac:dyDescent="0.35">
      <c r="A4390" s="11"/>
      <c r="B4390" s="9"/>
      <c r="C4390" s="9"/>
      <c r="D4390" s="9"/>
      <c r="E4390" s="11"/>
      <c r="F4390" s="11"/>
      <c r="G4390" s="11"/>
      <c r="H4390" s="11"/>
      <c r="I4390" s="11"/>
      <c r="J4390" s="11"/>
      <c r="K4390" s="11"/>
      <c r="L4390" s="11"/>
      <c r="M4390" s="12"/>
      <c r="N4390" s="12"/>
      <c r="O4390" s="11"/>
      <c r="P4390" s="11"/>
    </row>
    <row r="4391" spans="1:16" ht="12.75" x14ac:dyDescent="0.35">
      <c r="A4391" s="11"/>
      <c r="B4391" s="9"/>
      <c r="C4391" s="9"/>
      <c r="D4391" s="9"/>
      <c r="E4391" s="11"/>
      <c r="F4391" s="11"/>
      <c r="G4391" s="11"/>
      <c r="H4391" s="11"/>
      <c r="I4391" s="11"/>
      <c r="J4391" s="11"/>
      <c r="K4391" s="11"/>
      <c r="L4391" s="11"/>
      <c r="M4391" s="12"/>
      <c r="N4391" s="12"/>
      <c r="O4391" s="11"/>
      <c r="P4391" s="11"/>
    </row>
    <row r="4392" spans="1:16" ht="12.75" x14ac:dyDescent="0.35">
      <c r="A4392" s="11"/>
      <c r="B4392" s="9"/>
      <c r="C4392" s="9"/>
      <c r="D4392" s="9"/>
      <c r="E4392" s="11"/>
      <c r="F4392" s="11"/>
      <c r="G4392" s="11"/>
      <c r="H4392" s="11"/>
      <c r="I4392" s="11"/>
      <c r="J4392" s="11"/>
      <c r="K4392" s="11"/>
      <c r="L4392" s="11"/>
      <c r="M4392" s="12"/>
      <c r="N4392" s="12"/>
      <c r="O4392" s="11"/>
      <c r="P4392" s="11"/>
    </row>
    <row r="4393" spans="1:16" ht="12.75" x14ac:dyDescent="0.35">
      <c r="A4393" s="11"/>
      <c r="B4393" s="9"/>
      <c r="C4393" s="9"/>
      <c r="D4393" s="9"/>
      <c r="E4393" s="11"/>
      <c r="F4393" s="11"/>
      <c r="G4393" s="11"/>
      <c r="H4393" s="11"/>
      <c r="I4393" s="11"/>
      <c r="J4393" s="11"/>
      <c r="K4393" s="11"/>
      <c r="L4393" s="11"/>
      <c r="M4393" s="12"/>
      <c r="N4393" s="12"/>
      <c r="O4393" s="11"/>
      <c r="P4393" s="11"/>
    </row>
    <row r="4394" spans="1:16" ht="12.75" x14ac:dyDescent="0.35">
      <c r="A4394" s="11"/>
      <c r="B4394" s="9"/>
      <c r="C4394" s="9"/>
      <c r="D4394" s="9"/>
      <c r="E4394" s="11"/>
      <c r="F4394" s="11"/>
      <c r="G4394" s="11"/>
      <c r="H4394" s="11"/>
      <c r="I4394" s="11"/>
      <c r="J4394" s="11"/>
      <c r="K4394" s="11"/>
      <c r="L4394" s="11"/>
      <c r="M4394" s="12"/>
      <c r="N4394" s="12"/>
      <c r="O4394" s="11"/>
      <c r="P4394" s="11"/>
    </row>
    <row r="4395" spans="1:16" ht="12.75" x14ac:dyDescent="0.35">
      <c r="A4395" s="11"/>
      <c r="B4395" s="9"/>
      <c r="C4395" s="9"/>
      <c r="D4395" s="9"/>
      <c r="E4395" s="11"/>
      <c r="F4395" s="11"/>
      <c r="G4395" s="11"/>
      <c r="H4395" s="11"/>
      <c r="I4395" s="11"/>
      <c r="J4395" s="11"/>
      <c r="K4395" s="11"/>
      <c r="L4395" s="11"/>
      <c r="M4395" s="12"/>
      <c r="N4395" s="12"/>
      <c r="O4395" s="11"/>
      <c r="P4395" s="11"/>
    </row>
    <row r="4396" spans="1:16" ht="12.75" x14ac:dyDescent="0.35">
      <c r="A4396" s="11"/>
      <c r="B4396" s="9"/>
      <c r="C4396" s="9"/>
      <c r="D4396" s="9"/>
      <c r="E4396" s="11"/>
      <c r="F4396" s="11"/>
      <c r="G4396" s="11"/>
      <c r="H4396" s="11"/>
      <c r="I4396" s="11"/>
      <c r="J4396" s="11"/>
      <c r="K4396" s="11"/>
      <c r="L4396" s="11"/>
      <c r="M4396" s="12"/>
      <c r="N4396" s="12"/>
      <c r="O4396" s="11"/>
      <c r="P4396" s="11"/>
    </row>
    <row r="4397" spans="1:16" ht="12.75" x14ac:dyDescent="0.35">
      <c r="A4397" s="11"/>
      <c r="B4397" s="9"/>
      <c r="C4397" s="9"/>
      <c r="D4397" s="9"/>
      <c r="E4397" s="11"/>
      <c r="F4397" s="11"/>
      <c r="G4397" s="11"/>
      <c r="H4397" s="11"/>
      <c r="I4397" s="11"/>
      <c r="J4397" s="11"/>
      <c r="K4397" s="11"/>
      <c r="L4397" s="11"/>
      <c r="M4397" s="12"/>
      <c r="N4397" s="12"/>
      <c r="O4397" s="11"/>
      <c r="P4397" s="11"/>
    </row>
    <row r="4398" spans="1:16" ht="12.75" x14ac:dyDescent="0.35">
      <c r="A4398" s="11"/>
      <c r="B4398" s="9"/>
      <c r="C4398" s="9"/>
      <c r="D4398" s="9"/>
      <c r="E4398" s="11"/>
      <c r="F4398" s="11"/>
      <c r="G4398" s="11"/>
      <c r="H4398" s="11"/>
      <c r="I4398" s="11"/>
      <c r="J4398" s="11"/>
      <c r="K4398" s="11"/>
      <c r="L4398" s="11"/>
      <c r="M4398" s="12"/>
      <c r="N4398" s="12"/>
      <c r="O4398" s="11"/>
      <c r="P4398" s="11"/>
    </row>
    <row r="4399" spans="1:16" ht="12.75" x14ac:dyDescent="0.35">
      <c r="A4399" s="11"/>
      <c r="B4399" s="9"/>
      <c r="C4399" s="9"/>
      <c r="D4399" s="9"/>
      <c r="E4399" s="11"/>
      <c r="F4399" s="11"/>
      <c r="G4399" s="11"/>
      <c r="H4399" s="11"/>
      <c r="I4399" s="11"/>
      <c r="J4399" s="11"/>
      <c r="K4399" s="11"/>
      <c r="L4399" s="11"/>
      <c r="M4399" s="12"/>
      <c r="N4399" s="12"/>
      <c r="O4399" s="11"/>
      <c r="P4399" s="11"/>
    </row>
    <row r="4400" spans="1:16" ht="12.75" x14ac:dyDescent="0.35">
      <c r="A4400" s="11"/>
      <c r="B4400" s="9"/>
      <c r="C4400" s="9"/>
      <c r="D4400" s="9"/>
      <c r="E4400" s="11"/>
      <c r="F4400" s="11"/>
      <c r="G4400" s="11"/>
      <c r="H4400" s="11"/>
      <c r="I4400" s="11"/>
      <c r="J4400" s="11"/>
      <c r="K4400" s="11"/>
      <c r="L4400" s="11"/>
      <c r="M4400" s="12"/>
      <c r="N4400" s="12"/>
      <c r="O4400" s="11"/>
      <c r="P4400" s="11"/>
    </row>
    <row r="4401" spans="1:16" ht="12.75" x14ac:dyDescent="0.35">
      <c r="A4401" s="11"/>
      <c r="B4401" s="9"/>
      <c r="C4401" s="9"/>
      <c r="D4401" s="9"/>
      <c r="E4401" s="11"/>
      <c r="F4401" s="11"/>
      <c r="G4401" s="11"/>
      <c r="H4401" s="11"/>
      <c r="I4401" s="11"/>
      <c r="J4401" s="11"/>
      <c r="K4401" s="11"/>
      <c r="L4401" s="11"/>
      <c r="M4401" s="12"/>
      <c r="N4401" s="12"/>
      <c r="O4401" s="11"/>
      <c r="P4401" s="11"/>
    </row>
    <row r="4402" spans="1:16" ht="12.75" x14ac:dyDescent="0.35">
      <c r="A4402" s="11"/>
      <c r="B4402" s="9"/>
      <c r="C4402" s="9"/>
      <c r="D4402" s="9"/>
      <c r="E4402" s="11"/>
      <c r="F4402" s="11"/>
      <c r="G4402" s="11"/>
      <c r="H4402" s="11"/>
      <c r="I4402" s="11"/>
      <c r="J4402" s="11"/>
      <c r="K4402" s="11"/>
      <c r="L4402" s="11"/>
      <c r="M4402" s="12"/>
      <c r="N4402" s="12"/>
      <c r="O4402" s="11"/>
      <c r="P4402" s="11"/>
    </row>
    <row r="4403" spans="1:16" ht="12.75" x14ac:dyDescent="0.35">
      <c r="A4403" s="11"/>
      <c r="B4403" s="9"/>
      <c r="C4403" s="9"/>
      <c r="D4403" s="9"/>
      <c r="E4403" s="11"/>
      <c r="F4403" s="11"/>
      <c r="G4403" s="11"/>
      <c r="H4403" s="11"/>
      <c r="I4403" s="11"/>
      <c r="J4403" s="11"/>
      <c r="K4403" s="11"/>
      <c r="L4403" s="11"/>
      <c r="M4403" s="12"/>
      <c r="N4403" s="12"/>
      <c r="O4403" s="11"/>
      <c r="P4403" s="11"/>
    </row>
    <row r="4404" spans="1:16" ht="12.75" x14ac:dyDescent="0.35">
      <c r="A4404" s="11"/>
      <c r="B4404" s="9"/>
      <c r="C4404" s="9"/>
      <c r="D4404" s="9"/>
      <c r="E4404" s="11"/>
      <c r="F4404" s="11"/>
      <c r="G4404" s="11"/>
      <c r="H4404" s="11"/>
      <c r="I4404" s="11"/>
      <c r="J4404" s="11"/>
      <c r="K4404" s="11"/>
      <c r="L4404" s="11"/>
      <c r="M4404" s="12"/>
      <c r="N4404" s="12"/>
      <c r="O4404" s="11"/>
      <c r="P4404" s="11"/>
    </row>
    <row r="4405" spans="1:16" ht="12.75" x14ac:dyDescent="0.35">
      <c r="A4405" s="11"/>
      <c r="B4405" s="9"/>
      <c r="C4405" s="9"/>
      <c r="D4405" s="9"/>
      <c r="E4405" s="11"/>
      <c r="F4405" s="11"/>
      <c r="G4405" s="11"/>
      <c r="H4405" s="11"/>
      <c r="I4405" s="11"/>
      <c r="J4405" s="11"/>
      <c r="K4405" s="11"/>
      <c r="L4405" s="11"/>
      <c r="M4405" s="12"/>
      <c r="N4405" s="12"/>
      <c r="O4405" s="11"/>
      <c r="P4405" s="11"/>
    </row>
    <row r="4406" spans="1:16" ht="12.75" x14ac:dyDescent="0.35">
      <c r="A4406" s="11"/>
      <c r="B4406" s="9"/>
      <c r="C4406" s="9"/>
      <c r="D4406" s="9"/>
      <c r="E4406" s="11"/>
      <c r="F4406" s="11"/>
      <c r="G4406" s="11"/>
      <c r="H4406" s="11"/>
      <c r="I4406" s="11"/>
      <c r="J4406" s="11"/>
      <c r="K4406" s="11"/>
      <c r="L4406" s="11"/>
      <c r="M4406" s="12"/>
      <c r="N4406" s="12"/>
      <c r="O4406" s="11"/>
      <c r="P4406" s="11"/>
    </row>
    <row r="4407" spans="1:16" ht="12.75" x14ac:dyDescent="0.35">
      <c r="A4407" s="11"/>
      <c r="B4407" s="9"/>
      <c r="C4407" s="9"/>
      <c r="D4407" s="9"/>
      <c r="E4407" s="11"/>
      <c r="F4407" s="11"/>
      <c r="G4407" s="11"/>
      <c r="H4407" s="11"/>
      <c r="I4407" s="11"/>
      <c r="J4407" s="11"/>
      <c r="K4407" s="11"/>
      <c r="L4407" s="11"/>
      <c r="M4407" s="12"/>
      <c r="N4407" s="12"/>
      <c r="O4407" s="11"/>
      <c r="P4407" s="11"/>
    </row>
    <row r="4408" spans="1:16" ht="12.75" x14ac:dyDescent="0.35">
      <c r="A4408" s="11"/>
      <c r="B4408" s="9"/>
      <c r="C4408" s="9"/>
      <c r="D4408" s="9"/>
      <c r="E4408" s="11"/>
      <c r="F4408" s="11"/>
      <c r="G4408" s="11"/>
      <c r="H4408" s="11"/>
      <c r="I4408" s="11"/>
      <c r="J4408" s="11"/>
      <c r="K4408" s="11"/>
      <c r="L4408" s="11"/>
      <c r="M4408" s="12"/>
      <c r="N4408" s="12"/>
      <c r="O4408" s="11"/>
      <c r="P4408" s="11"/>
    </row>
    <row r="4409" spans="1:16" ht="12.75" x14ac:dyDescent="0.35">
      <c r="A4409" s="11"/>
      <c r="B4409" s="9"/>
      <c r="C4409" s="9"/>
      <c r="D4409" s="9"/>
      <c r="E4409" s="11"/>
      <c r="F4409" s="11"/>
      <c r="G4409" s="11"/>
      <c r="H4409" s="11"/>
      <c r="I4409" s="11"/>
      <c r="J4409" s="11"/>
      <c r="K4409" s="11"/>
      <c r="L4409" s="11"/>
      <c r="M4409" s="12"/>
      <c r="N4409" s="12"/>
      <c r="O4409" s="11"/>
      <c r="P4409" s="11"/>
    </row>
    <row r="4410" spans="1:16" ht="12.75" x14ac:dyDescent="0.35">
      <c r="A4410" s="11"/>
      <c r="B4410" s="9"/>
      <c r="C4410" s="9"/>
      <c r="D4410" s="9"/>
      <c r="E4410" s="11"/>
      <c r="F4410" s="11"/>
      <c r="G4410" s="11"/>
      <c r="H4410" s="11"/>
      <c r="I4410" s="11"/>
      <c r="J4410" s="11"/>
      <c r="K4410" s="11"/>
      <c r="L4410" s="11"/>
      <c r="M4410" s="12"/>
      <c r="N4410" s="12"/>
      <c r="O4410" s="11"/>
      <c r="P4410" s="11"/>
    </row>
    <row r="4411" spans="1:16" ht="12.75" x14ac:dyDescent="0.35">
      <c r="A4411" s="11"/>
      <c r="B4411" s="9"/>
      <c r="C4411" s="9"/>
      <c r="D4411" s="9"/>
      <c r="E4411" s="11"/>
      <c r="F4411" s="11"/>
      <c r="G4411" s="11"/>
      <c r="H4411" s="11"/>
      <c r="I4411" s="11"/>
      <c r="J4411" s="11"/>
      <c r="K4411" s="11"/>
      <c r="L4411" s="11"/>
      <c r="M4411" s="12"/>
      <c r="N4411" s="12"/>
      <c r="O4411" s="11"/>
      <c r="P4411" s="11"/>
    </row>
    <row r="4412" spans="1:16" ht="12.75" x14ac:dyDescent="0.35">
      <c r="A4412" s="11"/>
      <c r="B4412" s="9"/>
      <c r="C4412" s="9"/>
      <c r="D4412" s="9"/>
      <c r="E4412" s="11"/>
      <c r="F4412" s="11"/>
      <c r="G4412" s="11"/>
      <c r="H4412" s="11"/>
      <c r="I4412" s="11"/>
      <c r="J4412" s="11"/>
      <c r="K4412" s="11"/>
      <c r="L4412" s="11"/>
      <c r="M4412" s="12"/>
      <c r="N4412" s="12"/>
      <c r="O4412" s="11"/>
      <c r="P4412" s="11"/>
    </row>
    <row r="4413" spans="1:16" ht="12.75" x14ac:dyDescent="0.35">
      <c r="A4413" s="11"/>
      <c r="B4413" s="9"/>
      <c r="C4413" s="9"/>
      <c r="D4413" s="9"/>
      <c r="E4413" s="11"/>
      <c r="F4413" s="11"/>
      <c r="G4413" s="11"/>
      <c r="H4413" s="11"/>
      <c r="I4413" s="11"/>
      <c r="J4413" s="11"/>
      <c r="K4413" s="11"/>
      <c r="L4413" s="11"/>
      <c r="M4413" s="12"/>
      <c r="N4413" s="12"/>
      <c r="O4413" s="11"/>
      <c r="P4413" s="11"/>
    </row>
    <row r="4414" spans="1:16" ht="12.75" x14ac:dyDescent="0.35">
      <c r="A4414" s="11"/>
      <c r="B4414" s="9"/>
      <c r="C4414" s="9"/>
      <c r="D4414" s="9"/>
      <c r="E4414" s="11"/>
      <c r="F4414" s="11"/>
      <c r="G4414" s="11"/>
      <c r="H4414" s="11"/>
      <c r="I4414" s="11"/>
      <c r="J4414" s="11"/>
      <c r="K4414" s="11"/>
      <c r="L4414" s="11"/>
      <c r="M4414" s="12"/>
      <c r="N4414" s="12"/>
      <c r="O4414" s="11"/>
      <c r="P4414" s="11"/>
    </row>
    <row r="4415" spans="1:16" ht="12.75" x14ac:dyDescent="0.35">
      <c r="A4415" s="11"/>
      <c r="B4415" s="9"/>
      <c r="C4415" s="9"/>
      <c r="D4415" s="9"/>
      <c r="E4415" s="11"/>
      <c r="F4415" s="11"/>
      <c r="G4415" s="11"/>
      <c r="H4415" s="11"/>
      <c r="I4415" s="11"/>
      <c r="J4415" s="11"/>
      <c r="K4415" s="11"/>
      <c r="L4415" s="11"/>
      <c r="M4415" s="12"/>
      <c r="N4415" s="12"/>
      <c r="O4415" s="11"/>
      <c r="P4415" s="11"/>
    </row>
    <row r="4416" spans="1:16" ht="12.75" x14ac:dyDescent="0.35">
      <c r="A4416" s="11"/>
      <c r="B4416" s="9"/>
      <c r="C4416" s="9"/>
      <c r="D4416" s="9"/>
      <c r="E4416" s="11"/>
      <c r="F4416" s="11"/>
      <c r="G4416" s="11"/>
      <c r="H4416" s="11"/>
      <c r="I4416" s="11"/>
      <c r="J4416" s="11"/>
      <c r="K4416" s="11"/>
      <c r="L4416" s="11"/>
      <c r="M4416" s="12"/>
      <c r="N4416" s="12"/>
      <c r="O4416" s="11"/>
      <c r="P4416" s="11"/>
    </row>
    <row r="4417" spans="1:16" ht="12.75" x14ac:dyDescent="0.35">
      <c r="A4417" s="11"/>
      <c r="B4417" s="9"/>
      <c r="C4417" s="9"/>
      <c r="D4417" s="9"/>
      <c r="E4417" s="11"/>
      <c r="F4417" s="11"/>
      <c r="G4417" s="11"/>
      <c r="H4417" s="11"/>
      <c r="I4417" s="11"/>
      <c r="J4417" s="11"/>
      <c r="K4417" s="11"/>
      <c r="L4417" s="11"/>
      <c r="M4417" s="12"/>
      <c r="N4417" s="12"/>
      <c r="O4417" s="11"/>
      <c r="P4417" s="11"/>
    </row>
    <row r="4418" spans="1:16" ht="12.75" x14ac:dyDescent="0.35">
      <c r="A4418" s="11"/>
      <c r="B4418" s="9"/>
      <c r="C4418" s="9"/>
      <c r="D4418" s="9"/>
      <c r="E4418" s="11"/>
      <c r="F4418" s="11"/>
      <c r="G4418" s="11"/>
      <c r="H4418" s="11"/>
      <c r="I4418" s="11"/>
      <c r="J4418" s="11"/>
      <c r="K4418" s="11"/>
      <c r="L4418" s="11"/>
      <c r="M4418" s="12"/>
      <c r="N4418" s="12"/>
      <c r="O4418" s="11"/>
      <c r="P4418" s="11"/>
    </row>
    <row r="4419" spans="1:16" ht="12.75" x14ac:dyDescent="0.35">
      <c r="A4419" s="11"/>
      <c r="B4419" s="9"/>
      <c r="C4419" s="9"/>
      <c r="D4419" s="9"/>
      <c r="E4419" s="11"/>
      <c r="F4419" s="11"/>
      <c r="G4419" s="11"/>
      <c r="H4419" s="11"/>
      <c r="I4419" s="11"/>
      <c r="J4419" s="11"/>
      <c r="K4419" s="11"/>
      <c r="L4419" s="11"/>
      <c r="M4419" s="12"/>
      <c r="N4419" s="12"/>
      <c r="O4419" s="11"/>
      <c r="P4419" s="11"/>
    </row>
    <row r="4420" spans="1:16" ht="12.75" x14ac:dyDescent="0.35">
      <c r="A4420" s="11"/>
      <c r="B4420" s="9"/>
      <c r="C4420" s="9"/>
      <c r="D4420" s="9"/>
      <c r="E4420" s="11"/>
      <c r="F4420" s="11"/>
      <c r="G4420" s="11"/>
      <c r="H4420" s="11"/>
      <c r="I4420" s="11"/>
      <c r="J4420" s="11"/>
      <c r="K4420" s="11"/>
      <c r="L4420" s="11"/>
      <c r="M4420" s="12"/>
      <c r="N4420" s="12"/>
      <c r="O4420" s="11"/>
      <c r="P4420" s="11"/>
    </row>
    <row r="4421" spans="1:16" ht="12.75" x14ac:dyDescent="0.35">
      <c r="A4421" s="11"/>
      <c r="B4421" s="9"/>
      <c r="C4421" s="9"/>
      <c r="D4421" s="9"/>
      <c r="E4421" s="11"/>
      <c r="F4421" s="11"/>
      <c r="G4421" s="11"/>
      <c r="H4421" s="11"/>
      <c r="I4421" s="11"/>
      <c r="J4421" s="11"/>
      <c r="K4421" s="11"/>
      <c r="L4421" s="11"/>
      <c r="M4421" s="12"/>
      <c r="N4421" s="12"/>
      <c r="O4421" s="11"/>
      <c r="P4421" s="11"/>
    </row>
    <row r="4422" spans="1:16" ht="12.75" x14ac:dyDescent="0.35">
      <c r="A4422" s="11"/>
      <c r="B4422" s="9"/>
      <c r="C4422" s="9"/>
      <c r="D4422" s="9"/>
      <c r="E4422" s="11"/>
      <c r="F4422" s="11"/>
      <c r="G4422" s="11"/>
      <c r="H4422" s="11"/>
      <c r="I4422" s="11"/>
      <c r="J4422" s="11"/>
      <c r="K4422" s="11"/>
      <c r="L4422" s="11"/>
      <c r="M4422" s="12"/>
      <c r="N4422" s="12"/>
      <c r="O4422" s="11"/>
      <c r="P4422" s="11"/>
    </row>
    <row r="4423" spans="1:16" ht="12.75" x14ac:dyDescent="0.35">
      <c r="A4423" s="11"/>
      <c r="B4423" s="9"/>
      <c r="C4423" s="9"/>
      <c r="D4423" s="9"/>
      <c r="E4423" s="11"/>
      <c r="F4423" s="11"/>
      <c r="G4423" s="11"/>
      <c r="H4423" s="11"/>
      <c r="I4423" s="11"/>
      <c r="J4423" s="11"/>
      <c r="K4423" s="11"/>
      <c r="L4423" s="11"/>
      <c r="M4423" s="12"/>
      <c r="N4423" s="12"/>
      <c r="O4423" s="11"/>
      <c r="P4423" s="11"/>
    </row>
    <row r="4424" spans="1:16" ht="12.75" x14ac:dyDescent="0.35">
      <c r="A4424" s="11"/>
      <c r="B4424" s="9"/>
      <c r="C4424" s="9"/>
      <c r="D4424" s="9"/>
      <c r="E4424" s="11"/>
      <c r="F4424" s="11"/>
      <c r="G4424" s="11"/>
      <c r="H4424" s="11"/>
      <c r="I4424" s="11"/>
      <c r="J4424" s="11"/>
      <c r="K4424" s="11"/>
      <c r="L4424" s="11"/>
      <c r="M4424" s="12"/>
      <c r="N4424" s="12"/>
      <c r="O4424" s="11"/>
      <c r="P4424" s="11"/>
    </row>
    <row r="4425" spans="1:16" ht="12.75" x14ac:dyDescent="0.35">
      <c r="A4425" s="11"/>
      <c r="B4425" s="9"/>
      <c r="C4425" s="9"/>
      <c r="D4425" s="9"/>
      <c r="E4425" s="11"/>
      <c r="F4425" s="11"/>
      <c r="G4425" s="11"/>
      <c r="H4425" s="11"/>
      <c r="I4425" s="11"/>
      <c r="J4425" s="11"/>
      <c r="K4425" s="11"/>
      <c r="L4425" s="11"/>
      <c r="M4425" s="12"/>
      <c r="N4425" s="12"/>
      <c r="O4425" s="11"/>
      <c r="P4425" s="11"/>
    </row>
    <row r="4426" spans="1:16" ht="12.75" x14ac:dyDescent="0.35">
      <c r="A4426" s="11"/>
      <c r="B4426" s="9"/>
      <c r="C4426" s="9"/>
      <c r="D4426" s="9"/>
      <c r="E4426" s="11"/>
      <c r="F4426" s="11"/>
      <c r="G4426" s="11"/>
      <c r="H4426" s="11"/>
      <c r="I4426" s="11"/>
      <c r="J4426" s="11"/>
      <c r="K4426" s="11"/>
      <c r="L4426" s="11"/>
      <c r="M4426" s="12"/>
      <c r="N4426" s="12"/>
      <c r="O4426" s="11"/>
      <c r="P4426" s="11"/>
    </row>
    <row r="4427" spans="1:16" ht="12.75" x14ac:dyDescent="0.35">
      <c r="A4427" s="11"/>
      <c r="B4427" s="9"/>
      <c r="C4427" s="9"/>
      <c r="D4427" s="9"/>
      <c r="E4427" s="11"/>
      <c r="F4427" s="11"/>
      <c r="G4427" s="11"/>
      <c r="H4427" s="11"/>
      <c r="I4427" s="11"/>
      <c r="J4427" s="11"/>
      <c r="K4427" s="11"/>
      <c r="L4427" s="11"/>
      <c r="M4427" s="12"/>
      <c r="N4427" s="12"/>
      <c r="O4427" s="11"/>
      <c r="P4427" s="11"/>
    </row>
    <row r="4428" spans="1:16" ht="12.75" x14ac:dyDescent="0.35">
      <c r="A4428" s="11"/>
      <c r="B4428" s="9"/>
      <c r="C4428" s="9"/>
      <c r="D4428" s="9"/>
      <c r="E4428" s="11"/>
      <c r="F4428" s="11"/>
      <c r="G4428" s="11"/>
      <c r="H4428" s="11"/>
      <c r="I4428" s="11"/>
      <c r="J4428" s="11"/>
      <c r="K4428" s="11"/>
      <c r="L4428" s="11"/>
      <c r="M4428" s="12"/>
      <c r="N4428" s="12"/>
      <c r="O4428" s="11"/>
      <c r="P4428" s="11"/>
    </row>
    <row r="4429" spans="1:16" ht="12.75" x14ac:dyDescent="0.35">
      <c r="A4429" s="11"/>
      <c r="B4429" s="9"/>
      <c r="C4429" s="9"/>
      <c r="D4429" s="9"/>
      <c r="E4429" s="11"/>
      <c r="F4429" s="11"/>
      <c r="G4429" s="11"/>
      <c r="H4429" s="11"/>
      <c r="I4429" s="11"/>
      <c r="J4429" s="11"/>
      <c r="K4429" s="11"/>
      <c r="L4429" s="11"/>
      <c r="M4429" s="12"/>
      <c r="N4429" s="12"/>
      <c r="O4429" s="11"/>
      <c r="P4429" s="11"/>
    </row>
    <row r="4430" spans="1:16" ht="12.75" x14ac:dyDescent="0.35">
      <c r="A4430" s="11"/>
      <c r="B4430" s="9"/>
      <c r="C4430" s="9"/>
      <c r="D4430" s="9"/>
      <c r="E4430" s="11"/>
      <c r="F4430" s="11"/>
      <c r="G4430" s="11"/>
      <c r="H4430" s="11"/>
      <c r="I4430" s="11"/>
      <c r="J4430" s="11"/>
      <c r="K4430" s="11"/>
      <c r="L4430" s="11"/>
      <c r="M4430" s="12"/>
      <c r="N4430" s="12"/>
      <c r="O4430" s="11"/>
      <c r="P4430" s="11"/>
    </row>
    <row r="4431" spans="1:16" ht="12.75" x14ac:dyDescent="0.35">
      <c r="A4431" s="11"/>
      <c r="B4431" s="9"/>
      <c r="C4431" s="9"/>
      <c r="D4431" s="9"/>
      <c r="E4431" s="11"/>
      <c r="F4431" s="11"/>
      <c r="G4431" s="11"/>
      <c r="H4431" s="11"/>
      <c r="I4431" s="11"/>
      <c r="J4431" s="11"/>
      <c r="K4431" s="11"/>
      <c r="L4431" s="11"/>
      <c r="M4431" s="12"/>
      <c r="N4431" s="12"/>
      <c r="O4431" s="11"/>
      <c r="P4431" s="11"/>
    </row>
    <row r="4432" spans="1:16" ht="12.75" x14ac:dyDescent="0.35">
      <c r="A4432" s="11"/>
      <c r="B4432" s="9"/>
      <c r="C4432" s="9"/>
      <c r="D4432" s="9"/>
      <c r="E4432" s="11"/>
      <c r="F4432" s="11"/>
      <c r="G4432" s="11"/>
      <c r="H4432" s="11"/>
      <c r="I4432" s="11"/>
      <c r="J4432" s="11"/>
      <c r="K4432" s="11"/>
      <c r="L4432" s="11"/>
      <c r="M4432" s="12"/>
      <c r="N4432" s="12"/>
      <c r="O4432" s="11"/>
      <c r="P4432" s="11"/>
    </row>
  </sheetData>
  <mergeCells count="2">
    <mergeCell ref="A1:F1"/>
    <mergeCell ref="G1:O1"/>
  </mergeCells>
  <hyperlinks>
    <hyperlink ref="B3" r:id="rId1" display="https://twitter.com/FranckAtDell" xr:uid="{9539C4E3-FB16-4177-A496-AC86F743B163}"/>
    <hyperlink ref="E3" r:id="rId2" display="https://twitter.com/FranckAtDell/status/720494975885172736" xr:uid="{C7C70081-BB06-4242-AA1A-77389894AA31}"/>
    <hyperlink ref="O3" r:id="rId3" display="https://pbs.twimg.com/profile_images/3590889218/63411ebe81977b1697c18aafbdadc4a7_normal.png" xr:uid="{21F66F77-BEBC-4EA1-8D77-113DF5191BCC}"/>
    <hyperlink ref="B4" r:id="rId4" display="https://twitter.com/LGLPpressPaca" xr:uid="{5CE7C586-F13C-4083-9A70-E7CAC90305E7}"/>
    <hyperlink ref="E4" r:id="rId5" display="https://twitter.com/LGLPpressPaca/status/720495478014611456" xr:uid="{A7B3E3AC-476F-4D08-B0C2-DBE5DF945868}"/>
    <hyperlink ref="O4" r:id="rId6" display="https://pbs.twimg.com/profile_images/666899981706596352/tDP71eXm_normal.jpg" xr:uid="{46818143-DC41-4290-ADE3-5092F32AFB98}"/>
    <hyperlink ref="B5" r:id="rId7" display="https://twitter.com/PascaleOlea" xr:uid="{54D00C5E-4B12-4A28-8E64-E7EEA1E59F9A}"/>
    <hyperlink ref="E5" r:id="rId8" display="https://twitter.com/PascaleOlea/status/720495820387311620" xr:uid="{A542296D-17A6-46C5-9519-F7C5D4B3D84B}"/>
    <hyperlink ref="O5" r:id="rId9" display="https://pbs.twimg.com/profile_images/697448854355050496/WyNrK0BI_normal.jpg" xr:uid="{30A19A3C-120B-4B1B-A586-40F62CDCE29F}"/>
    <hyperlink ref="B6" r:id="rId10" display="https://twitter.com/ASoumagne" xr:uid="{5C64D322-CF3F-4D49-8159-0CEECF86718D}"/>
    <hyperlink ref="E6" r:id="rId11" display="https://twitter.com/ASoumagne/status/720497658796892160" xr:uid="{8443F1C9-DDCE-4F72-80FC-BA9AEE947EA3}"/>
    <hyperlink ref="O6" r:id="rId12" display="https://pbs.twimg.com/profile_images/524489483488854016/ENzhGsUX_normal.jpeg" xr:uid="{4DA8B4EC-2051-459B-B383-EFAC3F9871B6}"/>
    <hyperlink ref="B7" r:id="rId13" display="https://twitter.com/MichaGUERIN" xr:uid="{1DEAD7C4-CCB4-4E16-AEB4-4A4AA2C8DFC9}"/>
    <hyperlink ref="E7" r:id="rId14" display="https://twitter.com/MichaGUERIN/status/720497819270967296" xr:uid="{A3688DAD-F9BF-47FE-9FC5-168335918579}"/>
    <hyperlink ref="O7" r:id="rId15" display="https://pbs.twimg.com/profile_images/720883693103910913/D1MjIUph_normal.jpg" xr:uid="{B63A4966-0839-48D6-A9E2-CA2E619E2820}"/>
    <hyperlink ref="B8" r:id="rId16" display="https://twitter.com/markherten" xr:uid="{50B60E7B-030B-4BC0-86DB-B767CA9E3E6C}"/>
    <hyperlink ref="E8" r:id="rId17" display="https://twitter.com/markherten/status/720499788538634241" xr:uid="{24D2E2ED-DC49-4C15-BB77-E80F9CC1EF36}"/>
    <hyperlink ref="O8" r:id="rId18" display="https://pbs.twimg.com/profile_images/718175389890310145/GX8DLe_h_normal.jpg" xr:uid="{25725544-9E24-4D66-87B4-B2BA81417177}"/>
    <hyperlink ref="B9" r:id="rId19" display="https://twitter.com/demade_anajerem" xr:uid="{3EE6B7A9-B8AF-48F0-A921-CBF7F8D183AD}"/>
    <hyperlink ref="E9" r:id="rId20" display="https://twitter.com/demade_anajerem/status/720499831874134017" xr:uid="{A04430F2-C7FC-437F-A521-DB26C4385816}"/>
    <hyperlink ref="O9" r:id="rId21" display="https://pbs.twimg.com/profile_images/718388227015581696/UIsgPilR_normal.jpg" xr:uid="{44F60057-D969-4711-A232-19A1BF3CFDA7}"/>
    <hyperlink ref="B10" r:id="rId22" display="https://twitter.com/MarcoIbanez27" xr:uid="{976FA2F7-22EF-404A-BE81-8A851555574A}"/>
    <hyperlink ref="E10" r:id="rId23" display="https://twitter.com/MarcoIbanez27/status/720500669837393921" xr:uid="{78B054F3-7692-4B33-8055-533B4CDB495D}"/>
    <hyperlink ref="O10" r:id="rId24" display="https://pbs.twimg.com/profile_images/677070445489819648/vs7fK6QH_normal.jpg" xr:uid="{DFC81D36-5D17-43DB-8B59-C861B9AB0573}"/>
    <hyperlink ref="B11" r:id="rId25" display="https://twitter.com/Svenastheimer" xr:uid="{6DB9BB6F-8D51-458A-8BF1-B99F7BEDA9C9}"/>
    <hyperlink ref="E11" r:id="rId26" display="https://twitter.com/Svenastheimer/status/720500790184525824" xr:uid="{D97291E6-D1F0-4FF8-8B12-DF90FA2E4BAD}"/>
    <hyperlink ref="O11" r:id="rId27" display="https://pbs.twimg.com/profile_images/378800000739119738/7c3e727f748488617099bdd8a2191320_normal.jpeg" xr:uid="{F45CB684-6C1F-4AC1-8640-B4C183242125}"/>
    <hyperlink ref="B12" r:id="rId28" display="https://twitter.com/jeangui" xr:uid="{7BB77404-C769-4C92-800D-490C10835EDD}"/>
    <hyperlink ref="E12" r:id="rId29" display="https://twitter.com/jeangui/status/720500820278648836" xr:uid="{C2958896-D900-48D2-8904-31D770349D87}"/>
    <hyperlink ref="O12" r:id="rId30" display="https://pbs.twimg.com/profile_images/666234701145837568/owL6gS5A_normal.jpg" xr:uid="{4E333C70-D5F4-48AC-800C-833AFEE5AB3F}"/>
    <hyperlink ref="B13" r:id="rId31" display="https://twitter.com/JuhaJalone" xr:uid="{B2D23372-18AC-4A8C-8DC0-00CFF6D0140A}"/>
    <hyperlink ref="E13" r:id="rId32" display="https://twitter.com/JuhaJalone/status/720501249922240512" xr:uid="{DA4839B5-F96C-4E1C-9FCB-4C282FBCCB14}"/>
    <hyperlink ref="O13" r:id="rId33" display="https://pbs.twimg.com/profile_images/557807513484025856/qgHPBrKr_normal.jpeg" xr:uid="{AF7AE5D5-6CD9-4E19-B118-FA1F1A010003}"/>
    <hyperlink ref="B14" r:id="rId34" display="https://twitter.com/mbaukarriere" xr:uid="{55311765-16BC-4431-B583-595D7ECD432E}"/>
    <hyperlink ref="E14" r:id="rId35" display="https://twitter.com/mbaukarriere/status/720502269213597697" xr:uid="{26BBF1B9-4F7C-424A-ABE6-A372302D1CAF}"/>
    <hyperlink ref="O14" r:id="rId36" display="https://pbs.twimg.com/profile_images/690125049806884864/ET63bOiY_normal.jpg" xr:uid="{5F7CB3A2-878B-43F7-8371-4242DFF1087E}"/>
    <hyperlink ref="B15" r:id="rId37" display="https://twitter.com/INDIZbot" xr:uid="{00B343FD-02AD-4293-839A-D5814B5C42EA}"/>
    <hyperlink ref="E15" r:id="rId38" display="https://twitter.com/INDIZbot/status/720502493139070976" xr:uid="{B6B088ED-4D39-43B4-A59D-475DF22FA452}"/>
    <hyperlink ref="O15" r:id="rId39" display="https://pbs.twimg.com/profile_images/645716711723925506/t5G0qOS6_normal.jpg" xr:uid="{B008C2F2-0B47-4979-9A94-AF8980DFAFFA}"/>
    <hyperlink ref="B16" r:id="rId40" display="https://twitter.com/VINCENTRICHET" xr:uid="{B873D3CE-0CE3-498A-9615-C371E4BC6ABF}"/>
    <hyperlink ref="E16" r:id="rId41" display="https://twitter.com/VINCENTRICHET/status/720503325251223553" xr:uid="{CCA38888-C9A2-4F4F-A528-329AC02FE0E4}"/>
    <hyperlink ref="O16" r:id="rId42" display="https://pbs.twimg.com/profile_images/667337830734143488/jSGGr2Ft_normal.jpg" xr:uid="{CE207E4A-9567-4109-91A3-754715D683BE}"/>
    <hyperlink ref="B17" r:id="rId43" display="https://twitter.com/NeleReimers" xr:uid="{8BD0AEA1-DF90-4981-BDE2-CF64DDEC2101}"/>
    <hyperlink ref="E17" r:id="rId44" display="https://twitter.com/NeleReimers/status/720504595336806400" xr:uid="{2437CEAB-EFB8-4E72-8291-2451A5ABB939}"/>
    <hyperlink ref="O17" r:id="rId45" display="https://pbs.twimg.com/profile_images/667689986276392960/lHQvEvuO_normal.jpg" xr:uid="{6543CC4F-3DC1-4DD3-9E0D-C682684CCE31}"/>
    <hyperlink ref="B18" r:id="rId46" display="https://twitter.com/FYoupi" xr:uid="{822D9094-6F3B-4A1E-B75B-E2E6F52CC1C8}"/>
    <hyperlink ref="E18" r:id="rId47" display="https://twitter.com/FYoupi/status/720504647778222080" xr:uid="{9D20D0A0-F67D-44DC-98AA-E2A17DC701B6}"/>
    <hyperlink ref="O18" r:id="rId48" display="https://pbs.twimg.com/profile_images/679767213046394881/pAZSTQBn_normal.jpg" xr:uid="{A4DCA57C-E53F-40BA-BB1B-F08BDE07E0EA}"/>
    <hyperlink ref="B19" r:id="rId49" display="https://twitter.com/Vick0366" xr:uid="{1DE958E7-0BD0-4481-8320-8C74B9E2187C}"/>
    <hyperlink ref="E19" r:id="rId50" display="https://twitter.com/Vick0366/status/720504730640850944" xr:uid="{8B228751-35CC-4CF5-AC48-3EA095393AC8}"/>
    <hyperlink ref="O19" r:id="rId51" display="https://pbs.twimg.com/profile_images/378800000047776167/eeffdbcd3f1167f70311e7885dbc587b_normal.jpeg" xr:uid="{3A60F9DE-FC51-49DA-8AAE-DAD0E22C4792}"/>
    <hyperlink ref="B20" r:id="rId52" display="https://twitter.com/SAPlearn" xr:uid="{9553DF45-F2C7-454B-8CA6-526B941CBEA4}"/>
    <hyperlink ref="E20" r:id="rId53" display="https://twitter.com/SAPlearn/status/720505166349340674" xr:uid="{E390B75F-1077-4A38-A876-24A8283AF1F0}"/>
    <hyperlink ref="O20" r:id="rId54" display="https://pbs.twimg.com/profile_images/609353055839064064/G4xcQR7r_normal.jpg" xr:uid="{0B9E0237-DC9E-4E00-9FE9-0F79D838F3B2}"/>
    <hyperlink ref="B21" r:id="rId55" display="https://twitter.com/ChrisSpahnADP" xr:uid="{88157492-59BD-4FB2-A951-760698147A6B}"/>
    <hyperlink ref="E21" r:id="rId56" display="https://twitter.com/ChrisSpahnADP/status/720505195000700929" xr:uid="{1949CC8B-2396-48E5-A099-AA097598B3CD}"/>
    <hyperlink ref="O21" r:id="rId57" display="https://pbs.twimg.com/profile_images/651750095508086786/7EobC7Vn_normal.jpg" xr:uid="{B9D53E2D-11BF-4125-AE34-B37179F50693}"/>
    <hyperlink ref="B22" r:id="rId58" display="https://twitter.com/NeleReimers" xr:uid="{3074573E-A456-4599-8F55-D920E9179B91}"/>
    <hyperlink ref="E22" r:id="rId59" display="https://twitter.com/NeleReimers/status/720505924037828608" xr:uid="{BDD28724-0D96-41F0-A667-7BADB358D72B}"/>
    <hyperlink ref="O22" r:id="rId60" display="https://pbs.twimg.com/profile_images/667689986276392960/lHQvEvuO_normal.jpg" xr:uid="{2F5D5F82-248F-4A5F-8B62-726F14BFFA89}"/>
    <hyperlink ref="B23" r:id="rId61" display="https://twitter.com/JuVid" xr:uid="{E11B66B3-6651-4EEC-9AA8-D3B14D9F634F}"/>
    <hyperlink ref="E23" r:id="rId62" display="https://twitter.com/JuVid/status/720506255572410369" xr:uid="{1EFFD3BC-7F1D-4B8C-B1E7-D75C39136136}"/>
    <hyperlink ref="O23" r:id="rId63" display="https://pbs.twimg.com/profile_images/1654309791/P1090797_normal.JPG" xr:uid="{D71F3887-2729-4F98-A5DB-A74AF6413FFE}"/>
    <hyperlink ref="B24" r:id="rId64" display="https://twitter.com/Thierry_AlaNR" xr:uid="{3ABB1D20-48A7-41E0-AAA2-44FB80B57FE1}"/>
    <hyperlink ref="E24" r:id="rId65" display="https://twitter.com/Thierry_AlaNR/status/720506436233601024" xr:uid="{74E1F8E0-970F-4100-9F1F-FB698AD1DCFE}"/>
    <hyperlink ref="O24" r:id="rId66" display="https://pbs.twimg.com/profile_images/527910533388050432/m_mD0yTa_normal.jpeg" xr:uid="{6ABA5281-35B6-4F45-9E5C-481448536E48}"/>
    <hyperlink ref="B25" r:id="rId67" display="https://twitter.com/NeleReimers" xr:uid="{DE0995AC-F4F7-469A-908F-51CC6FED2B75}"/>
    <hyperlink ref="E25" r:id="rId68" display="https://twitter.com/NeleReimers/status/720506453778427904" xr:uid="{F8FF48FC-C695-49D9-9D2A-624EF5284843}"/>
    <hyperlink ref="O25" r:id="rId69" display="https://pbs.twimg.com/profile_images/667689986276392960/lHQvEvuO_normal.jpg" xr:uid="{114F7991-F88D-4252-99C5-B9639292EE7B}"/>
    <hyperlink ref="B26" r:id="rId70" display="https://twitter.com/JuliaSeverins" xr:uid="{09E5BC42-A965-4BA2-887C-4D7E4383570C}"/>
    <hyperlink ref="E26" r:id="rId71" display="https://twitter.com/JuliaSeverins/status/720507031166316545" xr:uid="{61B293CB-5950-4B53-93DB-B745C39B8097}"/>
    <hyperlink ref="O26" r:id="rId72" display="https://pbs.twimg.com/profile_images/666906230967943172/CA_0d7PH_normal.jpg" xr:uid="{E2057855-7E3E-4E61-9754-6249E9F7A0F3}"/>
    <hyperlink ref="B27" r:id="rId73" display="https://twitter.com/c_best01" xr:uid="{A492E61B-82EA-404A-A182-14A7C61EFECC}"/>
    <hyperlink ref="E27" r:id="rId74" display="https://twitter.com/c_best01/status/720507066151018497" xr:uid="{B2D110B9-F795-42E1-85A5-C14E55222F1C}"/>
    <hyperlink ref="O27" r:id="rId75" display="https://pbs.twimg.com/profile_images/696677095200727040/JDNylP2p_normal.jpg" xr:uid="{E4764447-7F73-44A3-A763-A1AF5EC856B8}"/>
    <hyperlink ref="B28" r:id="rId76" display="https://twitter.com/PwC_France" xr:uid="{E3BB2D2F-CF92-431F-BE8C-4202CCFEAB07}"/>
    <hyperlink ref="E28" r:id="rId77" display="https://twitter.com/PwC_France/status/720507072346005505" xr:uid="{290551D6-E63F-48EB-9F72-6A494896A7AF}"/>
    <hyperlink ref="O28" r:id="rId78" display="https://pbs.twimg.com/profile_images/623103587527344128/2HZGdh68_normal.png" xr:uid="{04F56F6E-8626-4881-B0BA-C5D7B9DB84F5}"/>
    <hyperlink ref="B29" r:id="rId79" display="https://twitter.com/tresmo360" xr:uid="{E09E648D-081C-413C-AAEE-1DF56AF87320}"/>
    <hyperlink ref="E29" r:id="rId80" display="https://twitter.com/tresmo360/status/720507130630049792" xr:uid="{D55168EB-6020-4727-A344-7DD517BA8866}"/>
    <hyperlink ref="O29" r:id="rId81" display="https://pbs.twimg.com/profile_images/606807918776877056/jQQIX31i_normal.png" xr:uid="{D1BB89A5-B185-40A5-A8F8-5058266C7077}"/>
    <hyperlink ref="B30" r:id="rId82" display="https://twitter.com/INDIZbot" xr:uid="{46BB3AAE-BA51-47EA-A8D9-85F8A9BC7C4D}"/>
    <hyperlink ref="E30" r:id="rId83" display="https://twitter.com/INDIZbot/status/720507169314074626" xr:uid="{EC5E3AE2-C567-4EBF-AA01-D8308BC94306}"/>
    <hyperlink ref="O30" r:id="rId84" display="https://pbs.twimg.com/profile_images/645716711723925506/t5G0qOS6_normal.jpg" xr:uid="{1DA9EAFC-060C-4EC2-A50E-C3C5FFEAD624}"/>
    <hyperlink ref="B31" r:id="rId85" display="https://twitter.com/NeleReimers" xr:uid="{0D7BF65A-7CD9-4551-BBFD-41650A8715E3}"/>
    <hyperlink ref="E31" r:id="rId86" display="https://twitter.com/NeleReimers/status/720507929229660161" xr:uid="{D190532E-7007-485C-A086-E56DD41E889E}"/>
    <hyperlink ref="O31" r:id="rId87" display="https://pbs.twimg.com/profile_images/667689986276392960/lHQvEvuO_normal.jpg" xr:uid="{F6A8A745-77EC-4F39-B759-16E9948D378D}"/>
    <hyperlink ref="B32" r:id="rId88" display="https://twitter.com/SHC_GmbH" xr:uid="{8EFBA899-E7A2-44D3-9411-5D6891555DC4}"/>
    <hyperlink ref="E32" r:id="rId89" display="https://twitter.com/SHC_GmbH/status/720508976165687297" xr:uid="{94A73BD2-1C87-446B-A45B-ADE63029D30D}"/>
    <hyperlink ref="O32" r:id="rId90" display="https://pbs.twimg.com/profile_images/3726440228/9ba49ccb938cf571b195e3e83a4e1327_normal.jpeg" xr:uid="{3A89FE41-FB93-4C40-9CD2-5B3F608A72ED}"/>
    <hyperlink ref="B33" r:id="rId91" display="https://twitter.com/MarioReinsch" xr:uid="{B11FD26A-9AE1-45C2-98C2-E4EF4A23A0C5}"/>
    <hyperlink ref="E33" r:id="rId92" display="https://twitter.com/MarioReinsch/status/720510373376471040" xr:uid="{24B7F65D-49D4-4F75-B94A-EC3C95916CD8}"/>
    <hyperlink ref="O33" r:id="rId93" display="https://pbs.twimg.com/profile_images/560799766007664640/lsjqv0TW_normal.jpeg" xr:uid="{8B631CB3-0811-4AD5-B7CC-2E630873F319}"/>
    <hyperlink ref="B34" r:id="rId94" display="https://twitter.com/natbxltec" xr:uid="{A30F9B33-88F7-40AC-931B-753B20247E50}"/>
    <hyperlink ref="E34" r:id="rId95" display="https://twitter.com/natbxltec/status/720511377010532352" xr:uid="{0AC40072-E3CE-437A-9870-23273B22595A}"/>
    <hyperlink ref="O34" r:id="rId96" display="https://pbs.twimg.com/profile_images/485734003618492416/G2fvyvKI_normal.jpeg" xr:uid="{9F91F744-2CA7-410C-858E-D0A559429EED}"/>
    <hyperlink ref="B35" r:id="rId97" display="https://twitter.com/VDI_News" xr:uid="{B23492BD-5174-43B1-8363-9F6A8FDC034D}"/>
    <hyperlink ref="E35" r:id="rId98" display="https://twitter.com/VDI_News/status/720511921443708929" xr:uid="{D9D73F9F-467D-4F9C-B997-09E04B726F21}"/>
    <hyperlink ref="O35" r:id="rId99" display="https://pbs.twimg.com/profile_images/469070945483628546/iD8AeJP6_normal.png" xr:uid="{D3F7FF39-5963-4C61-A91C-B021E97C9FCA}"/>
    <hyperlink ref="B36" r:id="rId100" display="https://twitter.com/INDIZbot" xr:uid="{3D09741F-27DA-424D-9857-4CA514F907D9}"/>
    <hyperlink ref="E36" r:id="rId101" display="https://twitter.com/INDIZbot/status/720512453671587840" xr:uid="{0998ECEC-3564-4E22-9AB0-257A1BA78161}"/>
    <hyperlink ref="O36" r:id="rId102" display="https://pbs.twimg.com/profile_images/645716711723925506/t5G0qOS6_normal.jpg" xr:uid="{19AB25E3-B3ED-4AE3-BDB0-FBD0E176929E}"/>
    <hyperlink ref="B37" r:id="rId103" display="https://twitter.com/INDIZbot" xr:uid="{8781A80B-CCBC-45DA-A61F-F0749811BCA9}"/>
    <hyperlink ref="E37" r:id="rId104" display="https://twitter.com/INDIZbot/status/720512585012023296" xr:uid="{8A9F5C2B-A705-403E-B48E-485C92E6C224}"/>
    <hyperlink ref="O37" r:id="rId105" display="https://pbs.twimg.com/profile_images/645716711723925506/t5G0qOS6_normal.jpg" xr:uid="{3389EB00-EA0E-43F2-B355-97FA61222B83}"/>
    <hyperlink ref="B38" r:id="rId106" display="https://twitter.com/StipoNad" xr:uid="{1417756D-B426-46B5-9AB0-9309851EE537}"/>
    <hyperlink ref="E38" r:id="rId107" display="https://twitter.com/StipoNad/status/720512775475343361" xr:uid="{255A37C1-3E11-4FF2-9D74-16200290F0FE}"/>
    <hyperlink ref="O38" r:id="rId108" display="https://pbs.twimg.com/profile_images/656779070798172160/TNRHncFi_normal.jpg" xr:uid="{9A8FA598-38EB-4399-8C30-C95DB5D91200}"/>
    <hyperlink ref="B39" r:id="rId109" display="https://twitter.com/KPMG_DE" xr:uid="{A382E24B-D308-4642-8C9B-024FE1810221}"/>
    <hyperlink ref="E39" r:id="rId110" display="https://twitter.com/KPMG_DE/status/720513337918943232" xr:uid="{94D2EE27-D113-461B-BA6D-7C540E94347C}"/>
    <hyperlink ref="O39" r:id="rId111" display="https://pbs.twimg.com/profile_images/672817485134045185/q-VTXmOg_normal.jpg" xr:uid="{2183D01D-57E3-4E15-8D42-04D481CC1199}"/>
    <hyperlink ref="B40" r:id="rId112" display="https://twitter.com/HFrapsauce" xr:uid="{C7EE9C53-BFA9-4716-95D8-64DD5C12B4C3}"/>
    <hyperlink ref="E40" r:id="rId113" display="https://twitter.com/HFrapsauce/status/720514749725872130" xr:uid="{981D9AC7-6AA6-472B-90A0-DD6E9171ECFF}"/>
    <hyperlink ref="O40" r:id="rId114" display="https://pbs.twimg.com/profile_images/708237012436971520/D10uG94A_normal.jpg" xr:uid="{187F5748-C456-41E1-9555-B519F1881FCA}"/>
    <hyperlink ref="B41" r:id="rId115" display="https://twitter.com/shyamvaran" xr:uid="{58C88873-0C51-464A-BAEA-CDB74499B578}"/>
    <hyperlink ref="E41" r:id="rId116" display="https://twitter.com/shyamvaran/status/720514879908683780" xr:uid="{7ACD24AB-6C5D-4510-83CE-C9D24A87F726}"/>
    <hyperlink ref="O41" r:id="rId117" display="https://pbs.twimg.com/profile_images/589066803281661952/W0Sy8HcF_normal.jpg" xr:uid="{0C72336C-D6D9-4518-87AC-F78A9085471E}"/>
    <hyperlink ref="B42" r:id="rId118" display="https://twitter.com/FlorianWoh" xr:uid="{8CC94044-71B7-4F26-A0CF-E32582911720}"/>
    <hyperlink ref="E42" r:id="rId119" display="https://twitter.com/FlorianWoh/status/720514910862581761" xr:uid="{326644FB-F047-428D-8C6F-12CDB6B4D7BF}"/>
    <hyperlink ref="O42" r:id="rId120" display="https://pbs.twimg.com/profile_images/722612493462282240/fgA7P-JK_normal.jpg" xr:uid="{1EA32AD4-6435-4D9F-84C5-F2DD4B5FB687}"/>
    <hyperlink ref="B43" r:id="rId121" display="https://twitter.com/h_scoshield" xr:uid="{659E0906-3545-4338-AA68-85F7CBA0DC73}"/>
    <hyperlink ref="E43" r:id="rId122" display="https://twitter.com/h_scoshield/status/720515021218914304" xr:uid="{F3F14785-0FBE-474E-9DB2-72CE263BD0DB}"/>
    <hyperlink ref="O43" r:id="rId123" display="https://pbs.twimg.com/profile_images/723056722634371072/L0JFDAVN_normal.jpg" xr:uid="{FC127857-5A1E-49D3-A2DC-6F0C0E1F6AA0}"/>
    <hyperlink ref="B44" r:id="rId124" display="https://twitter.com/SchneiderElecDE" xr:uid="{AD225709-E629-44FD-BE2D-9116A565852A}"/>
    <hyperlink ref="E44" r:id="rId125" display="https://twitter.com/SchneiderElecDE/status/720515239079505920" xr:uid="{A9D72958-A2E3-4076-A4E9-588EC676E81A}"/>
    <hyperlink ref="O44" r:id="rId126" display="https://pbs.twimg.com/profile_images/3112599272/7446ab70cbab1cf15ac54e9b795d2849_normal.jpeg" xr:uid="{D7688C2F-D331-42C7-AAA9-F9DD09C2D719}"/>
    <hyperlink ref="B45" r:id="rId127" display="https://twitter.com/iotsecurity2" xr:uid="{C78DC294-59D1-4584-8F8E-7FDEB4DA19E7}"/>
    <hyperlink ref="E45" r:id="rId128" display="https://twitter.com/iotsecurity2/status/720515351256162304" xr:uid="{4D741A32-4C81-4C72-A04A-2BD61CD1CB14}"/>
    <hyperlink ref="O45" r:id="rId129" display="https://abs.twimg.com/sticky/default_profile_images/default_profile_3_normal.png" xr:uid="{BAC02638-53B6-4E1B-9BB9-9C0F7201B665}"/>
    <hyperlink ref="B46" r:id="rId130" display="https://twitter.com/HPEstartupFR" xr:uid="{053F464B-63EF-4229-B294-DA2544DED877}"/>
    <hyperlink ref="E46" r:id="rId131" display="https://twitter.com/HPEstartupFR/status/720516037922418688" xr:uid="{C065453A-3E9B-4507-9A1F-F0F2F6E22B79}"/>
    <hyperlink ref="O46" r:id="rId132" display="https://pbs.twimg.com/profile_images/661090811535192064/8bnMYUx7_normal.jpg" xr:uid="{7EBEA0D0-7974-41B3-96FD-4DB0B8036849}"/>
    <hyperlink ref="B47" r:id="rId133" display="https://twitter.com/3itcom" xr:uid="{DFAE63E5-698D-426C-8B1C-FE7BE4DEA093}"/>
    <hyperlink ref="E47" r:id="rId134" display="https://twitter.com/3itcom/status/720516236606640129" xr:uid="{B6AADB66-58EA-47A9-8AAF-CD2735E869E6}"/>
    <hyperlink ref="O47" r:id="rId135" display="https://pbs.twimg.com/profile_images/553426987516051456/qL3FF1mU_normal.jpeg" xr:uid="{D1972F14-98B5-4DFA-A91C-C4A53DB91CD6}"/>
    <hyperlink ref="B48" r:id="rId136" display="https://twitter.com/KreativNetzBW" xr:uid="{832C0234-259B-45C5-9DD0-FEF2E6549B35}"/>
    <hyperlink ref="E48" r:id="rId137" display="https://twitter.com/KreativNetzBW/status/720518298660691968" xr:uid="{A8E66D33-E1D5-4B62-9AB6-9B004C5E950A}"/>
    <hyperlink ref="O48" r:id="rId138" display="https://pbs.twimg.com/profile_images/468319824402055169/JIU0573N_normal.jpeg" xr:uid="{DDCE4205-1597-4C6F-80E4-891EF65C8914}"/>
    <hyperlink ref="B49" r:id="rId139" display="https://twitter.com/H_IT_D" xr:uid="{53DD5F70-B4C7-4C47-A7AC-5CCC53C93895}"/>
    <hyperlink ref="E49" r:id="rId140" display="https://twitter.com/H_IT_D/status/720518815587565568" xr:uid="{041DFCF5-95E2-4022-B82A-D156B11D21E6}"/>
    <hyperlink ref="O49" r:id="rId141" display="https://pbs.twimg.com/profile_images/662723326096224256/5V4KH9_O_normal.jpg" xr:uid="{988D678E-807B-4729-8B74-5A962215C9F4}"/>
    <hyperlink ref="B50" r:id="rId142" display="https://twitter.com/WSWMUC" xr:uid="{D98844D5-0497-47F8-A152-DA63C8FB70BA}"/>
    <hyperlink ref="E50" r:id="rId143" display="https://twitter.com/WSWMUC/status/720519212926648320" xr:uid="{70BACAA1-1889-44C7-AF44-56633CCCA278}"/>
    <hyperlink ref="O50" r:id="rId144" display="https://pbs.twimg.com/profile_images/524295003107885059/1ADGv6Ps_normal.png" xr:uid="{77F41985-3A3F-4142-B8C4-FAC6D0A68729}"/>
    <hyperlink ref="B51" r:id="rId145" display="https://twitter.com/INDIZbot" xr:uid="{C9243576-7D12-45D5-B1A0-1C4B9BDC15F2}"/>
    <hyperlink ref="E51" r:id="rId146" display="https://twitter.com/INDIZbot/status/720519749470437376" xr:uid="{FBB0CEFA-85E8-4194-802F-06A37944B3EA}"/>
    <hyperlink ref="O51" r:id="rId147" display="https://pbs.twimg.com/profile_images/645716711723925506/t5G0qOS6_normal.jpg" xr:uid="{9E6F5A92-33A4-429E-B7E3-D109715A34C5}"/>
    <hyperlink ref="B52" r:id="rId148" display="https://twitter.com/3D_Genuity" xr:uid="{C7E5FC0F-9EB6-427E-8E5F-178770FF9912}"/>
    <hyperlink ref="E52" r:id="rId149" display="https://twitter.com/3D_Genuity/status/720520712960765952" xr:uid="{0C511840-C7B8-42E9-8A5D-F5C4F8C47536}"/>
    <hyperlink ref="O52" r:id="rId150" display="https://pbs.twimg.com/profile_images/525336344407453696/5YpBXTz6_normal.jpeg" xr:uid="{F0CFB52D-2FF5-42B2-9E5C-8EBE37B5A069}"/>
    <hyperlink ref="B53" r:id="rId151" display="https://twitter.com/asauguet" xr:uid="{01570779-0E83-4B47-9A2F-F46AE6DBB0B8}"/>
    <hyperlink ref="E53" r:id="rId152" display="https://twitter.com/asauguet/status/720520833035300864" xr:uid="{13305F57-54EB-4AB9-8501-3FA45A78690D}"/>
    <hyperlink ref="O53" r:id="rId153" display="https://pbs.twimg.com/profile_images/581023313683734528/7tF2bCnO_normal.png" xr:uid="{E65D7BA9-15E8-49D6-A7D4-BC08CBF305D6}"/>
    <hyperlink ref="B54" r:id="rId154" display="https://twitter.com/zettel_kasten" xr:uid="{4F8FC581-5E25-4574-B202-21CF46B082BF}"/>
    <hyperlink ref="E54" r:id="rId155" display="https://twitter.com/zettel_kasten/status/720521025037983744" xr:uid="{D49896C8-1A36-4E0B-8BB2-69B6DA3AAB7A}"/>
    <hyperlink ref="O54" r:id="rId156" display="https://pbs.twimg.com/profile_images/672382311950901248/ZFhxdGcS_normal.png" xr:uid="{B9EA39A3-FFC8-4264-9CC9-B357C19319B6}"/>
    <hyperlink ref="B55" r:id="rId157" display="https://twitter.com/Johan__LB" xr:uid="{1527818C-D323-4760-B7A7-170217714B9B}"/>
    <hyperlink ref="E55" r:id="rId158" display="https://twitter.com/Johan__LB/status/720521055060758529" xr:uid="{A567AB3E-1E2E-4E58-AA4C-6F54BBAA2CE6}"/>
    <hyperlink ref="O55" r:id="rId159" display="https://pbs.twimg.com/profile_images/665295074297778177/5goyYiwl_normal.jpg" xr:uid="{87AC8157-ED17-4B3D-B335-7E206AB19F2D}"/>
    <hyperlink ref="B56" r:id="rId160" display="https://twitter.com/scnews_de" xr:uid="{5E58E597-9DF2-4019-8066-DE18D19160BF}"/>
    <hyperlink ref="E56" r:id="rId161" display="https://twitter.com/scnews_de/status/720521604019654656" xr:uid="{6D1CDAAB-ED7B-4B9E-B10E-9E222DACD792}"/>
    <hyperlink ref="O56" r:id="rId162" display="https://pbs.twimg.com/profile_images/458866402535800832/7sOdbIg4_normal.jpeg" xr:uid="{7A5BF4DA-6E48-4101-9B6E-62FFC1F0B3F9}"/>
    <hyperlink ref="B57" r:id="rId163" display="https://twitter.com/zettel_kasten" xr:uid="{17E66574-5A01-470E-8923-8B66DCE86524}"/>
    <hyperlink ref="E57" r:id="rId164" display="https://twitter.com/zettel_kasten/status/720521664908406784" xr:uid="{1EA1AF89-C361-4C6E-BFED-8DC8043337EC}"/>
    <hyperlink ref="O57" r:id="rId165" display="https://pbs.twimg.com/profile_images/672382311950901248/ZFhxdGcS_normal.png" xr:uid="{4F69E386-2BA8-4CAA-AE47-0D68074C1481}"/>
    <hyperlink ref="B58" r:id="rId166" display="https://twitter.com/CDechoux" xr:uid="{B794ADD2-8EF2-46DE-A39F-E5E1396CC59E}"/>
    <hyperlink ref="E58" r:id="rId167" display="https://twitter.com/CDechoux/status/720521841048219648" xr:uid="{F4575B4D-24C2-4C70-8D39-2C92778D610A}"/>
    <hyperlink ref="O58" r:id="rId168" display="https://pbs.twimg.com/profile_images/693115470753480704/31tK3_Cm_normal.png" xr:uid="{66037DDD-F268-450B-AEEB-97413BC941F1}"/>
    <hyperlink ref="B59" r:id="rId169" display="https://twitter.com/CDechoux" xr:uid="{38FE3DAD-A259-4300-AE5A-ACAE88976A42}"/>
    <hyperlink ref="E59" r:id="rId170" display="https://twitter.com/CDechoux/status/720521894160699393" xr:uid="{AE83FCDB-CD47-471C-BBD5-4987B703BC21}"/>
    <hyperlink ref="O59" r:id="rId171" display="https://pbs.twimg.com/profile_images/693115470753480704/31tK3_Cm_normal.png" xr:uid="{D9F5A245-1F75-4BA1-860D-965625F8344E}"/>
    <hyperlink ref="B60" r:id="rId172" display="https://twitter.com/VDMAonline" xr:uid="{9A84BB62-CEAE-42FF-AD2E-1257BBBC65FB}"/>
    <hyperlink ref="E60" r:id="rId173" display="https://twitter.com/VDMAonline/status/720522251351666689" xr:uid="{2C0A42B9-F59C-4582-B695-7EE4FBFCB114}"/>
    <hyperlink ref="O60" r:id="rId174" display="https://pbs.twimg.com/profile_images/609375510158774272/P5glOk4b_normal.jpg" xr:uid="{1E89871B-287D-4702-B456-8775BDAB56FD}"/>
    <hyperlink ref="B61" r:id="rId175" display="https://twitter.com/Reply_DE" xr:uid="{E089745D-ECC4-41D2-BBE1-D2638F9F03C2}"/>
    <hyperlink ref="E61" r:id="rId176" display="https://twitter.com/Reply_DE/status/720523264599199744" xr:uid="{BB058FD8-FE55-4B0A-9FAD-080C6442DB93}"/>
    <hyperlink ref="O61" r:id="rId177" display="https://pbs.twimg.com/profile_images/686928810646867969/Ixv7AKdN_normal.png" xr:uid="{C343AA86-3F5C-4262-A6AC-086F413FD073}"/>
    <hyperlink ref="B62" r:id="rId178" display="https://twitter.com/NavasGestion" xr:uid="{4366556A-9F11-4A49-BE24-8BB2243C4399}"/>
    <hyperlink ref="E62" r:id="rId179" display="https://twitter.com/NavasGestion/status/720524271894835200" xr:uid="{3F7109C1-4AEF-498B-9F60-55D8530A3BE5}"/>
    <hyperlink ref="O62" r:id="rId180" display="https://pbs.twimg.com/profile_images/719117304554995713/A7zuftvH_normal.jpg" xr:uid="{7F980E60-0002-4E86-B8A7-D24B1040A8C1}"/>
    <hyperlink ref="B63" r:id="rId181" display="https://twitter.com/INDIZbot" xr:uid="{77E2BD83-D416-4030-AB5F-429E9DE17090}"/>
    <hyperlink ref="E63" r:id="rId182" display="https://twitter.com/INDIZbot/status/720525129743261696" xr:uid="{BC969048-1139-4DEA-974C-8947555351AB}"/>
    <hyperlink ref="O63" r:id="rId183" display="https://pbs.twimg.com/profile_images/645716711723925506/t5G0qOS6_normal.jpg" xr:uid="{36BCB183-D987-424B-B499-A6B5F7C2A77D}"/>
    <hyperlink ref="B64" r:id="rId184" display="https://twitter.com/SHC_GmbH" xr:uid="{C380A8CD-FEDE-48B2-BB31-165CA4356379}"/>
    <hyperlink ref="E64" r:id="rId185" display="https://twitter.com/SHC_GmbH/status/720525824106098688" xr:uid="{B0B4687D-818F-4B75-A43A-C4D372F250C6}"/>
    <hyperlink ref="O64" r:id="rId186" display="https://pbs.twimg.com/profile_images/3726440228/9ba49ccb938cf571b195e3e83a4e1327_normal.jpeg" xr:uid="{3AC6BDDE-19DB-42FD-A539-DEB758DF19E9}"/>
    <hyperlink ref="B65" r:id="rId187" display="https://twitter.com/LeclercManou" xr:uid="{1E7DBF98-1155-42B4-A1AF-B68917294DFB}"/>
    <hyperlink ref="E65" r:id="rId188" display="https://twitter.com/LeclercManou/status/720526811638165504" xr:uid="{F91F6188-27EF-42C4-B9BD-D21683220929}"/>
    <hyperlink ref="O65" r:id="rId189" display="https://pbs.twimg.com/profile_images/551850203137835010/zUzY9zTC_normal.jpeg" xr:uid="{7DB278A6-70BA-4864-991B-9619FCEF805F}"/>
    <hyperlink ref="B66" r:id="rId190" display="https://twitter.com/lasercongress" xr:uid="{FC683E39-D7F1-4F6F-8077-2CD2A69EF0CB}"/>
    <hyperlink ref="E66" r:id="rId191" display="https://twitter.com/lasercongress/status/720527695835242497" xr:uid="{D59EC205-DD10-463E-A22C-8392DFA6A905}"/>
    <hyperlink ref="O66" r:id="rId192" display="https://pbs.twimg.com/profile_images/582849320317145088/IwaXLITm_normal.jpg" xr:uid="{F65926B3-F6F7-4AC5-9D39-40BFE82231D5}"/>
    <hyperlink ref="B67" r:id="rId193" display="https://twitter.com/QuickFindsIn" xr:uid="{D3A3F73E-266C-4232-974C-EF80D383A2C6}"/>
    <hyperlink ref="E67" r:id="rId194" display="https://twitter.com/QuickFindsIn/status/720528020360966144" xr:uid="{7236C6B6-2751-4408-9B1B-873BD31D0687}"/>
    <hyperlink ref="O67" r:id="rId195" display="https://pbs.twimg.com/profile_images/591951396217327616/HbcCX2zX_normal.png" xr:uid="{0E50780F-D4C2-4AE2-AB03-68BE03C4A326}"/>
    <hyperlink ref="B68" r:id="rId196" display="https://twitter.com/J_Perbet" xr:uid="{30194F34-34AE-48E2-A223-F3DFC323FAB4}"/>
    <hyperlink ref="E68" r:id="rId197" display="https://twitter.com/J_Perbet/status/720532263058989056" xr:uid="{658F17CE-7A53-4F64-B2F4-2B300E98A804}"/>
    <hyperlink ref="O68" r:id="rId198" display="https://pbs.twimg.com/profile_images/722057395141230593/99DLhj35_normal.jpg" xr:uid="{1899771F-D223-40BC-83AC-F2A0481EAE7F}"/>
    <hyperlink ref="B69" r:id="rId199" display="https://twitter.com/Bitkom" xr:uid="{BFDE6FD3-50EB-4255-98D8-B780D62E5B3F}"/>
    <hyperlink ref="E69" r:id="rId200" display="https://twitter.com/Bitkom/status/720533049369305088" xr:uid="{7CDC8EFA-85B0-4024-AAF2-E3A9A26559C8}"/>
    <hyperlink ref="O69" r:id="rId201" display="https://pbs.twimg.com/profile_images/615797525040136192/CKF9-v_o_normal.jpg" xr:uid="{A3A8E991-54C8-445B-BEE3-3D1F32CD35DF}"/>
    <hyperlink ref="B70" r:id="rId202" display="https://twitter.com/ITK_OWL" xr:uid="{B9E99014-EDFC-4D16-9F07-9DAF442A41FD}"/>
    <hyperlink ref="E70" r:id="rId203" display="https://twitter.com/ITK_OWL/status/720533469462405120" xr:uid="{3374C599-7D0E-4DBD-986F-18F5FC1F976D}"/>
    <hyperlink ref="O70" r:id="rId204" display="https://pbs.twimg.com/profile_images/601673968551075840/MnulnKkj_normal.png" xr:uid="{5FF1C376-09B8-4029-B3C8-E59A39480D05}"/>
    <hyperlink ref="B71" r:id="rId205" display="https://twitter.com/R3Coms" xr:uid="{799EEED8-2E84-4A5C-9726-1BCEF33BDB7F}"/>
    <hyperlink ref="E71" r:id="rId206" display="https://twitter.com/R3Coms/status/720533704725147651" xr:uid="{99AD148A-6A90-46EC-8D42-2F4DBEC8FA8A}"/>
    <hyperlink ref="O71" r:id="rId207" display="https://pbs.twimg.com/profile_images/641185667557523456/GjYk8kF7_normal.png" xr:uid="{2762BB1E-7DEF-41BD-A0AA-1CB3BD292B38}"/>
    <hyperlink ref="B72" r:id="rId208" display="https://twitter.com/neitzelsecuweb" xr:uid="{6FDA11D7-20AF-46D6-885F-D08C242C21A2}"/>
    <hyperlink ref="E72" r:id="rId209" display="https://twitter.com/neitzelsecuweb/status/720533984703299584" xr:uid="{5C2FEBF9-B1B4-48D9-8AF0-E1ED78DE8E14}"/>
    <hyperlink ref="O72" r:id="rId210" display="https://pbs.twimg.com/profile_images/1906449052/nw_normal.jpg" xr:uid="{6C544871-AC04-4C52-88F2-15AAF5E9F698}"/>
    <hyperlink ref="B73" r:id="rId211" display="https://twitter.com/RaphalBlanchard" xr:uid="{EEA9C17C-2B85-4917-A87E-2857C2C7F359}"/>
    <hyperlink ref="E73" r:id="rId212" display="https://twitter.com/RaphalBlanchard/status/720534045361311744" xr:uid="{B82AB31A-3DA7-4EC8-BC06-2EE3013EB09E}"/>
    <hyperlink ref="O73" r:id="rId213" display="https://pbs.twimg.com/profile_images/3731315100/2c6792fac1637e88e4eb8b91d06965b6_normal.jpeg" xr:uid="{B8CECA4A-96A1-4039-8550-67B6F349B3AE}"/>
    <hyperlink ref="B74" r:id="rId214" display="https://twitter.com/Kiesi23" xr:uid="{F81E9231-7FA0-4E54-B8E5-8A9417E75EEA}"/>
    <hyperlink ref="E74" r:id="rId215" display="https://twitter.com/Kiesi23/status/720534292108075008" xr:uid="{AD6F2B90-786F-488E-BF45-9DCB8D16EDB7}"/>
    <hyperlink ref="O74" r:id="rId216" display="https://pbs.twimg.com/profile_images/1863161460/SW_Bild_normal.JPG" xr:uid="{51862B3E-1809-4C88-913A-23E1F83C8BAB}"/>
    <hyperlink ref="B75" r:id="rId217" display="https://twitter.com/BitkomResearch" xr:uid="{48F7AD41-B0EC-4C6F-8D89-A4A17F340D14}"/>
    <hyperlink ref="E75" r:id="rId218" display="https://twitter.com/BitkomResearch/status/720534373892812801" xr:uid="{8447A7C7-ED19-4B1C-B16D-50497B5C4139}"/>
    <hyperlink ref="O75" r:id="rId219" display="https://pbs.twimg.com/profile_images/631021673857290240/dsNYkRwd_normal.jpg" xr:uid="{A7F9C550-F3C1-4253-8E43-9074F7565FE0}"/>
    <hyperlink ref="B76" r:id="rId220" display="https://twitter.com/INDIZbot" xr:uid="{6D99BBAB-04EB-4EDF-80E4-D5C064D6170E}"/>
    <hyperlink ref="E76" r:id="rId221" display="https://twitter.com/INDIZbot/status/720534991868981248" xr:uid="{E20E723A-FEE7-4EB2-A979-59A76F067B66}"/>
    <hyperlink ref="O76" r:id="rId222" display="https://pbs.twimg.com/profile_images/645716711723925506/t5G0qOS6_normal.jpg" xr:uid="{A50E882F-CD8D-4570-94F2-67C6E77B706C}"/>
    <hyperlink ref="B77" r:id="rId223" display="https://twitter.com/Aurelien_T_K" xr:uid="{B513DF26-AA12-4C18-B437-E41FD0D98AD7}"/>
    <hyperlink ref="E77" r:id="rId224" display="https://twitter.com/Aurelien_T_K/status/720535105719123968" xr:uid="{E8A3FE9C-A38A-4565-B5D8-6872C255629F}"/>
    <hyperlink ref="O77" r:id="rId225" display="https://pbs.twimg.com/profile_images/711460495795097600/GjVvY72S_normal.jpg" xr:uid="{69C05F37-C294-46E4-8BD9-AF75955F8D91}"/>
    <hyperlink ref="B78" r:id="rId226" display="https://twitter.com/INDIZbot" xr:uid="{7E1FC4CD-A25C-43C7-BFF3-E18D2E856745}"/>
    <hyperlink ref="E78" r:id="rId227" display="https://twitter.com/INDIZbot/status/720535114770477057" xr:uid="{8A1E3B23-6F0A-408F-9B34-16547A44B149}"/>
    <hyperlink ref="O78" r:id="rId228" display="https://pbs.twimg.com/profile_images/645716711723925506/t5G0qOS6_normal.jpg" xr:uid="{CEAC7C09-68EB-4FBA-AA91-6B521501A2C7}"/>
    <hyperlink ref="B79" r:id="rId229" display="https://twitter.com/Apandia" xr:uid="{DC1F42B7-4989-4A70-960A-74A63A80D6C3}"/>
    <hyperlink ref="E79" r:id="rId230" display="https://twitter.com/Apandia/status/720535582095507456" xr:uid="{97F7460B-7ED8-4C13-8D5D-EAFEC3E0B860}"/>
    <hyperlink ref="O79" r:id="rId231" display="https://pbs.twimg.com/profile_images/685327213/Apandia_normal.gif" xr:uid="{F9C3F698-732F-42C1-8E21-9C8319ED3926}"/>
    <hyperlink ref="B80" r:id="rId232" display="https://twitter.com/bonker82" xr:uid="{013F8CE9-F705-4E3F-AAB4-AB7C7524E87A}"/>
    <hyperlink ref="E80" r:id="rId233" display="https://twitter.com/bonker82/status/720535846454226946" xr:uid="{F1BE43E6-A6BA-4231-ADB2-820A62262BBF}"/>
    <hyperlink ref="O80" r:id="rId234" display="https://pbs.twimg.com/profile_images/636587051371114496/0AogKNXQ_normal.jpg" xr:uid="{BC16E2DE-D37A-4F6E-8A37-90E334EE8FE9}"/>
    <hyperlink ref="B81" r:id="rId235" display="https://twitter.com/croXXing_IBD" xr:uid="{0B67C0D1-25C0-4CC0-9C07-0478A986992A}"/>
    <hyperlink ref="E81" r:id="rId236" display="https://twitter.com/croXXing_IBD/status/720535986179084288" xr:uid="{2FB7CCC3-22DC-4406-8E47-527896ED9437}"/>
    <hyperlink ref="O81" r:id="rId237" display="https://pbs.twimg.com/profile_images/600279861282869249/IpIJ3MKX_normal.png" xr:uid="{B9920EB2-F182-4163-909E-6FB6256F05A9}"/>
    <hyperlink ref="B82" r:id="rId238" display="https://twitter.com/RadioOffice" xr:uid="{D7D7EF75-9614-4AA2-AA72-BF6E0C0A4EB3}"/>
    <hyperlink ref="E82" r:id="rId239" display="https://twitter.com/RadioOffice/status/720536315457060864" xr:uid="{23769BAA-83A4-4E1C-9600-911786D78BC1}"/>
    <hyperlink ref="O82" r:id="rId240" display="https://pbs.twimg.com/profile_images/448430175877726209/15TCVypc_normal.jpeg" xr:uid="{0926DF2F-7927-41C4-9B5E-DE7CD266E37B}"/>
    <hyperlink ref="B83" r:id="rId241" display="https://twitter.com/AllemagneDiplo" xr:uid="{E131A504-F10F-4AF5-BBC1-9E16B8D7BA33}"/>
    <hyperlink ref="E83" r:id="rId242" display="https://twitter.com/AllemagneDiplo/status/720537061036552192" xr:uid="{DE51C06A-A598-483A-A74A-4214E12357BC}"/>
    <hyperlink ref="O83" r:id="rId243" display="https://pbs.twimg.com/profile_images/534311198326419456/tVIBh5o0_normal.jpeg" xr:uid="{EC34719C-071A-4AFB-BA8E-ED35BDC94EF3}"/>
    <hyperlink ref="B84" r:id="rId244" display="https://twitter.com/PASSnews" xr:uid="{BB125930-BE58-43E2-BDB8-8F3F145D4022}"/>
    <hyperlink ref="E84" r:id="rId245" display="https://twitter.com/PASSnews/status/720537084264607744" xr:uid="{904EDDF3-1D37-4A70-A532-EDCAB06F09D2}"/>
    <hyperlink ref="O84" r:id="rId246" display="https://pbs.twimg.com/profile_images/378800000181509745/cc2ac55b1f8cf6de6ab7c9ea96eae6fa_normal.png" xr:uid="{43B394E9-BD8B-483C-BE9F-9F2B785DF196}"/>
    <hyperlink ref="B85" r:id="rId247" display="https://twitter.com/verlinked" xr:uid="{807BD964-B048-4F2E-B5AF-CF43BEEC11C4}"/>
    <hyperlink ref="E85" r:id="rId248" display="https://twitter.com/verlinked/status/720537089620639744" xr:uid="{1911BA75-84CF-4649-B2A8-5CED7D34A691}"/>
    <hyperlink ref="O85" r:id="rId249" display="https://pbs.twimg.com/profile_images/722385992343285760/ww8YLZ2q_normal.jpg" xr:uid="{94C6B5DB-203D-45D3-9268-8B68C30FAD97}"/>
    <hyperlink ref="B86" r:id="rId250" display="https://twitter.com/y_anniks" xr:uid="{1A73AB5F-6D70-4B63-92DB-9838EAE40F8C}"/>
    <hyperlink ref="E86" r:id="rId251" display="https://twitter.com/y_anniks/status/720537174941265920" xr:uid="{3210B8D7-7D77-483E-B6A0-05C61BFE8EA9}"/>
    <hyperlink ref="O86" r:id="rId252" display="https://pbs.twimg.com/profile_images/644160034352459776/BdkZFdz5_normal.jpg" xr:uid="{59FCC33F-3A24-447B-897F-E643166222B4}"/>
    <hyperlink ref="B87" r:id="rId253" display="https://twitter.com/kommoptimierer" xr:uid="{AECDD487-2ECB-4D8E-9362-DAA534FB5C7D}"/>
    <hyperlink ref="E87" r:id="rId254" display="https://twitter.com/kommoptimierer/status/720537200505565184" xr:uid="{CA391E93-F761-4A8E-B62B-6E43E9B90B72}"/>
    <hyperlink ref="O87" r:id="rId255" display="https://pbs.twimg.com/profile_images/541146126158536704/IYardufS_normal.jpeg" xr:uid="{CCA55249-5D96-40AB-8E53-EA9CE1A2C2A8}"/>
    <hyperlink ref="B88" r:id="rId256" display="https://twitter.com/INDIZbot" xr:uid="{D9E7B099-A24E-4D11-B281-CFAE225A0ABC}"/>
    <hyperlink ref="E88" r:id="rId257" display="https://twitter.com/INDIZbot/status/720537463459024896" xr:uid="{E7385A4D-7A44-42B3-9785-F7C53CF66C2D}"/>
    <hyperlink ref="O88" r:id="rId258" display="https://pbs.twimg.com/profile_images/645716711723925506/t5G0qOS6_normal.jpg" xr:uid="{E9A53E49-C9D6-40BE-A2F9-8EF19876D23B}"/>
    <hyperlink ref="B89" r:id="rId259" display="https://twitter.com/PeterMWald" xr:uid="{D724719A-E7F0-43CF-BBAE-0E743EA4FBB3}"/>
    <hyperlink ref="E89" r:id="rId260" display="https://twitter.com/PeterMWald/status/720537517129351168" xr:uid="{31173213-0C13-44DA-BB3C-EDF9499CF7FB}"/>
    <hyperlink ref="O89" r:id="rId261" display="https://pbs.twimg.com/profile_images/89764596/IMG_0027_normal.JPG" xr:uid="{D17CF6E0-2351-439A-8B0D-47B9775B6164}"/>
    <hyperlink ref="B90" r:id="rId262" display="https://twitter.com/INDIZbot" xr:uid="{12A7AE24-3654-4919-9343-7DA025A4FCE3}"/>
    <hyperlink ref="E90" r:id="rId263" display="https://twitter.com/INDIZbot/status/720537724407648256" xr:uid="{00886DB1-9F89-40B1-82FB-88AA516994CD}"/>
    <hyperlink ref="O90" r:id="rId264" display="https://pbs.twimg.com/profile_images/645716711723925506/t5G0qOS6_normal.jpg" xr:uid="{FA818910-0663-4898-ACA4-7692EB1F7C60}"/>
    <hyperlink ref="B91" r:id="rId265" display="https://twitter.com/CapgeminiDE" xr:uid="{5C52DB4A-06F5-4347-A2DB-8B959A15411D}"/>
    <hyperlink ref="E91" r:id="rId266" display="https://twitter.com/CapgeminiDE/status/720538413624074240" xr:uid="{D093E598-443E-455A-8005-4134C5E66149}"/>
    <hyperlink ref="O91" r:id="rId267" display="https://pbs.twimg.com/profile_images/666911961599315968/aP7ID_qm_normal.png" xr:uid="{C4230B87-E8F3-4713-89A2-71F0ACDE25B7}"/>
    <hyperlink ref="B92" r:id="rId268" display="https://twitter.com/TizianoLenoci" xr:uid="{8472A60D-62E0-4F17-A11D-3D60C15CA903}"/>
    <hyperlink ref="E92" r:id="rId269" display="https://twitter.com/TizianoLenoci/status/720541307026980864" xr:uid="{8281A220-D0DA-4EBE-B685-DE2DED9F4134}"/>
    <hyperlink ref="O92" r:id="rId270" display="https://pbs.twimg.com/profile_images/713084835712143360/xWrADVIr_normal.jpg" xr:uid="{7F2970AA-07A3-4138-8197-728B2B899195}"/>
    <hyperlink ref="B93" r:id="rId271" display="https://twitter.com/Apandia" xr:uid="{C6B8E176-D448-4EAA-89FC-86D85BEF0F85}"/>
    <hyperlink ref="E93" r:id="rId272" display="https://twitter.com/Apandia/status/720541412245270528" xr:uid="{10C00D7C-57D7-454D-9319-70AF87D51AC9}"/>
    <hyperlink ref="O93" r:id="rId273" display="https://pbs.twimg.com/profile_images/685327213/Apandia_normal.gif" xr:uid="{3372ECBA-7409-4366-BD93-15FE551E3726}"/>
    <hyperlink ref="B94" r:id="rId274" display="https://twitter.com/Tim_Caesar" xr:uid="{6E38693B-9098-45C4-9236-9E5956F75767}"/>
    <hyperlink ref="E94" r:id="rId275" display="https://twitter.com/Tim_Caesar/status/720541721222889472" xr:uid="{E88ED210-E8B0-4790-8059-8226F23D70E5}"/>
    <hyperlink ref="O94" r:id="rId276" display="https://pbs.twimg.com/profile_images/574517024556089345/fuK3tcde_normal.jpeg" xr:uid="{77132699-13F3-46B9-A836-560D7FEAF436}"/>
    <hyperlink ref="B95" r:id="rId277" display="https://twitter.com/VincentSchwerd" xr:uid="{0F1B9F62-7346-494D-9E8D-285BB1FDE055}"/>
    <hyperlink ref="E95" r:id="rId278" display="https://twitter.com/VincentSchwerd/status/720542490806366209" xr:uid="{AEBD35CE-C9AF-43FE-93CE-234E211DA4F7}"/>
    <hyperlink ref="O95" r:id="rId279" display="https://pbs.twimg.com/profile_images/545571840358227968/nU5Ag3e7_normal.jpeg" xr:uid="{03B713CD-F51F-4859-BDAC-B133E8BB646F}"/>
    <hyperlink ref="B96" r:id="rId280" display="https://twitter.com/Apandia" xr:uid="{9896629B-C594-4DF0-881C-893D9B46DECA}"/>
    <hyperlink ref="E96" r:id="rId281" display="https://twitter.com/Apandia/status/720543126721421312" xr:uid="{F34E650D-14C0-4CDB-B33E-0C34FCB078FC}"/>
    <hyperlink ref="O96" r:id="rId282" display="https://pbs.twimg.com/profile_images/685327213/Apandia_normal.gif" xr:uid="{2F63B10A-6386-4F04-B824-D3254022F636}"/>
    <hyperlink ref="B97" r:id="rId283" display="https://twitter.com/automotive_IT" xr:uid="{462B9CC9-DDA3-4D67-B24A-5517F9228FC6}"/>
    <hyperlink ref="E97" r:id="rId284" display="https://twitter.com/automotive_IT/status/720543476065177602" xr:uid="{FEB530D2-DDFA-4464-8BEA-7D1DE95DF63A}"/>
    <hyperlink ref="O97" r:id="rId285" display="https://pbs.twimg.com/profile_images/616871511236997121/YFo9usbN_normal.png" xr:uid="{5788F2E7-F152-4DEB-AED8-3F98172F57D9}"/>
    <hyperlink ref="B98" r:id="rId286" display="https://twitter.com/Tim_Caesar" xr:uid="{80F7DEAA-3996-4699-BA05-EF037569F200}"/>
    <hyperlink ref="E98" r:id="rId287" display="https://twitter.com/Tim_Caesar/status/720543636597915648" xr:uid="{5D2653BD-7E8B-44F9-AF1D-A73F10114A2A}"/>
    <hyperlink ref="O98" r:id="rId288" display="https://pbs.twimg.com/profile_images/574517024556089345/fuK3tcde_normal.jpeg" xr:uid="{7849D253-2A78-42F4-BB98-6024AD80C84E}"/>
    <hyperlink ref="B99" r:id="rId289" display="https://twitter.com/MeinGeldMedien" xr:uid="{0EF179D9-6907-4F4A-9831-0655810E0906}"/>
    <hyperlink ref="E99" r:id="rId290" display="https://twitter.com/MeinGeldMedien/status/720543938105458689" xr:uid="{88970820-D4B3-4319-AFD9-86D0D989662C}"/>
    <hyperlink ref="O99" r:id="rId291" display="https://pbs.twimg.com/profile_images/473759721023758338/3CcJL-Vq_normal.jpeg" xr:uid="{82EBC768-0844-4FA9-94E2-7C1F154B25F4}"/>
    <hyperlink ref="B100" r:id="rId292" display="https://twitter.com/Marc_Leeuw" xr:uid="{8BF7D89E-2F69-4F7B-A829-EC17091129FD}"/>
    <hyperlink ref="E100" r:id="rId293" display="https://twitter.com/Marc_Leeuw/status/720544166627962880" xr:uid="{8C62E5D8-B274-4402-8913-B188EC6F2881}"/>
    <hyperlink ref="O100" r:id="rId294" display="https://pbs.twimg.com/profile_images/636436164719833088/w9xzGNpd_normal.png" xr:uid="{73D6B42D-F311-48A5-B4CC-4C2706B0D552}"/>
    <hyperlink ref="B101" r:id="rId295" display="https://twitter.com/blaudoux" xr:uid="{A3500DC2-59F5-46E6-9293-5B8AD012E3C9}"/>
    <hyperlink ref="E101" r:id="rId296" display="https://twitter.com/blaudoux/status/720544560213057536" xr:uid="{F8408F33-4D89-4403-B750-6BFA198F5808}"/>
    <hyperlink ref="O101" r:id="rId297" display="https://pbs.twimg.com/profile_images/565182407536427008/csyYWkPB_normal.jpeg" xr:uid="{981AECE1-E89A-4AA0-BB75-8BCF15DDBF69}"/>
    <hyperlink ref="B102" r:id="rId298" display="https://twitter.com/INDIZbot" xr:uid="{BDC14898-4DC5-4D86-96C2-5A2B75955C3E}"/>
    <hyperlink ref="E102" r:id="rId299" display="https://twitter.com/INDIZbot/status/720544914489155584" xr:uid="{CFB1A636-6BB3-4CDE-86A8-D18378D22D94}"/>
    <hyperlink ref="O102" r:id="rId300" display="https://pbs.twimg.com/profile_images/645716711723925506/t5G0qOS6_normal.jpg" xr:uid="{0BF69239-BAA5-4D9D-97A2-867375B73256}"/>
    <hyperlink ref="B103" r:id="rId301" display="https://twitter.com/INDIZbot" xr:uid="{77A4D0B6-6891-4817-B611-A8321ABE0E5C}"/>
    <hyperlink ref="E103" r:id="rId302" display="https://twitter.com/INDIZbot/status/720545028012175360" xr:uid="{FAA703A1-180E-4AA7-B676-07E2546D4675}"/>
    <hyperlink ref="O103" r:id="rId303" display="https://pbs.twimg.com/profile_images/645716711723925506/t5G0qOS6_normal.jpg" xr:uid="{2E3167C0-0E4F-43D3-920A-7C07806B8610}"/>
    <hyperlink ref="B104" r:id="rId304" display="https://twitter.com/INDIZbot" xr:uid="{C55543BA-D324-4AB1-BF9F-C6A3BECAB0E0}"/>
    <hyperlink ref="E104" r:id="rId305" display="https://twitter.com/INDIZbot/status/720545153115635713" xr:uid="{6B6C713F-2EAA-438C-8E13-D3B4CE32300F}"/>
    <hyperlink ref="O104" r:id="rId306" display="https://pbs.twimg.com/profile_images/645716711723925506/t5G0qOS6_normal.jpg" xr:uid="{45165B05-1793-44A2-B485-2DDB2195AAE6}"/>
    <hyperlink ref="B105" r:id="rId307" display="https://twitter.com/mbrilhault" xr:uid="{F427F7C6-90A1-428B-98C6-31CE87B9F8C1}"/>
    <hyperlink ref="E105" r:id="rId308" display="https://twitter.com/mbrilhault/status/720545539889242113" xr:uid="{316FF770-4D1D-424A-ACFA-2BC04E19DC2A}"/>
    <hyperlink ref="O105" r:id="rId309" display="https://pbs.twimg.com/profile_images/570939838803632128/7pCUkjlR_normal.png" xr:uid="{1FD433F7-13F6-40D9-98B8-5ABC575B5207}"/>
    <hyperlink ref="B106" r:id="rId310" display="https://twitter.com/mitunsdigital" xr:uid="{A4AA1C1A-1184-4387-98C9-F28741EB1D80}"/>
    <hyperlink ref="E106" r:id="rId311" display="https://twitter.com/mitunsdigital/status/720547276477886464" xr:uid="{94B9505D-AFED-4C42-A7B0-64B89A448CDC}"/>
    <hyperlink ref="O106" r:id="rId312" display="https://pbs.twimg.com/profile_images/695227740136587265/5eHVsAlx_normal.png" xr:uid="{BD0AB3AE-F0E1-42AE-AC16-DC181F5E6678}"/>
    <hyperlink ref="B107" r:id="rId313" display="https://twitter.com/mint22com" xr:uid="{D0F2F0EC-1E02-4C52-B373-D0879FA86737}"/>
    <hyperlink ref="E107" r:id="rId314" display="https://twitter.com/mint22com/status/720547820554620928" xr:uid="{E2CC7C0A-48EF-4944-8DC0-A2F18CE28A7D}"/>
    <hyperlink ref="O107" r:id="rId315" display="https://pbs.twimg.com/profile_images/709020486072713216/SRvMkEf1_normal.jpg" xr:uid="{FAEC5779-0DEA-4C31-BD89-49C226931366}"/>
    <hyperlink ref="B108" r:id="rId316" display="https://twitter.com/derVITM" xr:uid="{2F987BBF-0660-4EED-842D-86C3F1092B95}"/>
    <hyperlink ref="E108" r:id="rId317" display="https://twitter.com/derVITM/status/720548358893518848" xr:uid="{56E52EA3-B7ED-4D99-888E-DF748C3A99EF}"/>
    <hyperlink ref="O108" r:id="rId318" display="https://pbs.twimg.com/profile_images/653933165556428800/DJXzWpgl_normal.jpg" xr:uid="{447D2252-CA4C-4BB5-A306-D501F85E9D9D}"/>
    <hyperlink ref="B109" r:id="rId319" display="https://twitter.com/digitale_Konst" xr:uid="{EFC9F0C2-7FA8-48B1-A57A-48BB2BF50E2A}"/>
    <hyperlink ref="E109" r:id="rId320" display="https://twitter.com/digitale_Konst/status/720549941404442624" xr:uid="{69B45A85-5306-43A6-BC40-222E7FA294FD}"/>
    <hyperlink ref="O109" r:id="rId321" display="https://pbs.twimg.com/profile_images/464033027979354112/23dSqd5o_normal.jpeg" xr:uid="{7D2D05E4-E903-4AA1-B1D1-EDB80208A761}"/>
    <hyperlink ref="B110" r:id="rId322" display="https://twitter.com/digitale_Konst" xr:uid="{E7B79C3F-E031-4CCF-94BE-00690ADD56ED}"/>
    <hyperlink ref="E110" r:id="rId323" display="https://twitter.com/digitale_Konst/status/720550312889741312" xr:uid="{EFC82F90-F066-4E88-A65A-E39A7AC6A7DD}"/>
    <hyperlink ref="O110" r:id="rId324" display="https://pbs.twimg.com/profile_images/464033027979354112/23dSqd5o_normal.jpeg" xr:uid="{9529BE4B-831F-4148-9ECF-4AFA2F637C66}"/>
    <hyperlink ref="B111" r:id="rId325" display="https://twitter.com/dorn_v" xr:uid="{0485D967-9FD7-43B0-955C-BF82954FE700}"/>
    <hyperlink ref="E111" r:id="rId326" display="https://twitter.com/dorn_v/status/720550489864212480" xr:uid="{0C9054E5-EC4E-4549-B37C-3077F19CAC24}"/>
    <hyperlink ref="O111" r:id="rId327" display="https://pbs.twimg.com/profile_images/1109762201/dorn_v_normal.png" xr:uid="{7C58A17B-F925-4D51-A486-3641A3A15B40}"/>
    <hyperlink ref="B112" r:id="rId328" display="https://twitter.com/SICOS_BW" xr:uid="{C6E46631-793C-4D25-A924-BA5A99BD59E4}"/>
    <hyperlink ref="E112" r:id="rId329" display="https://twitter.com/SICOS_BW/status/720551100852658176" xr:uid="{82FDE089-2A81-47EA-91C6-3DAFCBA34D57}"/>
    <hyperlink ref="O112" r:id="rId330" display="https://pbs.twimg.com/profile_images/426286752676859904/7noNOVPy_normal.jpeg" xr:uid="{BCF705AB-B048-469B-AFEA-FDE34BB03925}"/>
    <hyperlink ref="B113" r:id="rId331" display="https://twitter.com/DIN_Innovation" xr:uid="{DB343F78-B6B9-492A-9ADC-67DE4DA93E6E}"/>
    <hyperlink ref="E113" r:id="rId332" display="https://twitter.com/DIN_Innovation/status/720552511384526848" xr:uid="{18E54269-9D76-420B-BE1D-73BF0624A187}"/>
    <hyperlink ref="O113" r:id="rId333" display="https://pbs.twimg.com/profile_images/574936239398240256/ExVwnQj9_normal.png" xr:uid="{A99BE6E5-F2D8-4D5F-87A0-FCAC3E14C511}"/>
    <hyperlink ref="B114" r:id="rId334" display="https://twitter.com/LianeServices" xr:uid="{9FA3D401-4C28-4F3A-828C-D4B86310E116}"/>
    <hyperlink ref="E114" r:id="rId335" display="https://twitter.com/LianeServices/status/720553465232154625" xr:uid="{527818AE-1469-415A-9A2C-968A53259BF7}"/>
    <hyperlink ref="O114" r:id="rId336" display="https://pbs.twimg.com/profile_images/604027091823284224/YZAx05HJ_normal.jpg" xr:uid="{819FB638-B96F-405D-A277-7B94195AE894}"/>
    <hyperlink ref="B115" r:id="rId337" display="https://twitter.com/Brahim_M_Masri" xr:uid="{E4E8D067-28E2-4EBA-84D3-8FCC2A28AA2C}"/>
    <hyperlink ref="E115" r:id="rId338" display="https://twitter.com/Brahim_M_Masri/status/720553908066787328" xr:uid="{5567853A-D9EB-466D-B1BC-F3A494BC5B52}"/>
    <hyperlink ref="O115" r:id="rId339" display="https://abs.twimg.com/sticky/default_profile_images/default_profile_6_normal.png" xr:uid="{2ABFE0C3-4D52-4D46-9BCA-3987B05D9506}"/>
    <hyperlink ref="B116" r:id="rId340" display="https://twitter.com/bamitav" xr:uid="{D43C70AE-3482-49C9-B4D1-247DE5DB7A7A}"/>
    <hyperlink ref="E116" r:id="rId341" display="https://twitter.com/bamitav/status/720555339691737088" xr:uid="{55F93C5E-ACBC-4B4A-B2EE-D0F6E792A4B6}"/>
    <hyperlink ref="O116" r:id="rId342" display="https://pbs.twimg.com/profile_images/672794348442877952/m6Is-Nrc_normal.jpg" xr:uid="{014B0360-3D33-4FD6-B7E4-CE2CDCBF1A37}"/>
    <hyperlink ref="B117" r:id="rId343" display="https://twitter.com/iotsecurity2" xr:uid="{B1169C48-BF6D-4DB7-80DD-8A354E08F019}"/>
    <hyperlink ref="E117" r:id="rId344" display="https://twitter.com/iotsecurity2/status/720555602846564352" xr:uid="{0617197B-EA06-4742-9E48-3BF9F3CBC2BD}"/>
    <hyperlink ref="O117" r:id="rId345" display="https://abs.twimg.com/sticky/default_profile_images/default_profile_3_normal.png" xr:uid="{E4A11248-4A32-46E2-AD67-D8E37497D575}"/>
    <hyperlink ref="B118" r:id="rId346" display="https://twitter.com/gpodagrosi" xr:uid="{F668CD3D-4436-41DD-B66C-3606DF6738EC}"/>
    <hyperlink ref="E118" r:id="rId347" display="https://twitter.com/gpodagrosi/status/720555698413838336" xr:uid="{FB1AFD03-96BC-4230-A564-22CD8F9CD708}"/>
    <hyperlink ref="O118" r:id="rId348" display="https://pbs.twimg.com/profile_images/588981131996966912/55KBnYR7_normal.jpg" xr:uid="{76673076-3A6F-43B6-9135-8BB2EC48624D}"/>
    <hyperlink ref="B119" r:id="rId349" display="https://twitter.com/induux_de" xr:uid="{2018CFB6-A84D-4FE8-BD06-B4549AFBA1DA}"/>
    <hyperlink ref="E119" r:id="rId350" display="https://twitter.com/induux_de/status/720555974784851968" xr:uid="{CFEB824D-488D-45B4-B802-D4DB940E39E5}"/>
    <hyperlink ref="O119" r:id="rId351" display="https://pbs.twimg.com/profile_images/455629070454116352/ujZ3h7Ww_normal.png" xr:uid="{2B87ABB0-5DFB-4C39-8EDE-DCEE2C631BAE}"/>
    <hyperlink ref="B120" r:id="rId352" display="https://twitter.com/AWNarses" xr:uid="{1C63D3E2-1C08-437E-9264-24C6614F11B8}"/>
    <hyperlink ref="E120" r:id="rId353" display="https://twitter.com/AWNarses/status/720557708278108160" xr:uid="{01C06DDE-3924-42A1-A06C-37780B4B935B}"/>
    <hyperlink ref="O120" r:id="rId354" display="https://pbs.twimg.com/profile_images/553105273720561665/EBknbLOh_normal.jpeg" xr:uid="{D101E809-2C67-4C43-8FDA-608FC0E9AD63}"/>
    <hyperlink ref="B121" r:id="rId355" display="https://twitter.com/Balluff" xr:uid="{424C2B56-1986-416F-89E5-607A9831FCBC}"/>
    <hyperlink ref="E121" r:id="rId356" display="https://twitter.com/Balluff/status/720562802662993920" xr:uid="{0CA7E49F-E283-4FAF-A10D-B7EB1FD2C502}"/>
    <hyperlink ref="O121" r:id="rId357" display="https://pbs.twimg.com/profile_images/663668561366245376/2ovYiiJf_normal.jpg" xr:uid="{A6D02424-3660-4F78-AF0C-24A270BD67DF}"/>
    <hyperlink ref="B122" r:id="rId358" display="https://twitter.com/cianfaranim" xr:uid="{82938FE6-11E7-4FEF-9C6E-FC63D4177FEB}"/>
    <hyperlink ref="E122" r:id="rId359" display="https://twitter.com/cianfaranim/status/720563245417947136" xr:uid="{223C1CBF-68C6-43D2-A8C2-DA97431F5209}"/>
    <hyperlink ref="O122" r:id="rId360" display="https://pbs.twimg.com/profile_images/569775748420878336/9QtKa5WK_normal.png" xr:uid="{3D82324D-D8F4-4016-BC11-CC2A8584224B}"/>
    <hyperlink ref="B123" r:id="rId361" display="https://twitter.com/LeenenNils" xr:uid="{02D7793C-E65C-4CA2-A948-8B0282C91347}"/>
    <hyperlink ref="E123" r:id="rId362" display="https://twitter.com/LeenenNils/status/720563420102332417" xr:uid="{DCE081B4-F1EB-4BC2-ADD9-CE856BEC4F3C}"/>
    <hyperlink ref="O123" r:id="rId363" display="https://pbs.twimg.com/profile_images/378800000594328281/0f4e54fd3c2920f7ea26009ea43c0c3d_normal.jpeg" xr:uid="{8895AE72-143B-4D6B-965B-28D17B508DCA}"/>
    <hyperlink ref="B124" r:id="rId364" display="https://twitter.com/IT_Connection" xr:uid="{1B040D3B-BF33-439C-8136-DCDB684FA302}"/>
    <hyperlink ref="E124" r:id="rId365" display="https://twitter.com/IT_Connection/status/720566974993035264" xr:uid="{0840671F-19B0-449E-A299-A76B2302B9C6}"/>
    <hyperlink ref="O124" r:id="rId366" display="https://pbs.twimg.com/profile_images/566986293888835584/_uYTcau__normal.png" xr:uid="{165E19E4-C139-4CB5-BA0A-A6C1D1FDDC89}"/>
    <hyperlink ref="B125" r:id="rId367" display="https://twitter.com/verlinked" xr:uid="{A9282A88-BA5A-4C6C-A2F8-75C850282C48}"/>
    <hyperlink ref="E125" r:id="rId368" display="https://twitter.com/verlinked/status/720567299871084544" xr:uid="{78ED414E-FE1A-4471-8100-1DD2CBB16383}"/>
    <hyperlink ref="O125" r:id="rId369" display="https://pbs.twimg.com/profile_images/722385992343285760/ww8YLZ2q_normal.jpg" xr:uid="{3B902C3C-B5EC-43F3-B9B4-3B7A4CBFDC76}"/>
    <hyperlink ref="B126" r:id="rId370" display="https://twitter.com/H_IT_D" xr:uid="{4F2A2B5A-FFCA-4ABA-9390-F7C529AE9856}"/>
    <hyperlink ref="E126" r:id="rId371" display="https://twitter.com/H_IT_D/status/720568252502376448" xr:uid="{E74DFBE6-30B3-4DD8-819B-8576202FE85A}"/>
    <hyperlink ref="O126" r:id="rId372" display="https://pbs.twimg.com/profile_images/662723326096224256/5V4KH9_O_normal.jpg" xr:uid="{B738E174-25F8-4D86-9274-9774448E3402}"/>
    <hyperlink ref="B127" r:id="rId373" display="https://twitter.com/kommoptimierer" xr:uid="{3FBA939E-2A6B-4F6F-91F4-56D49573F9E4}"/>
    <hyperlink ref="E127" r:id="rId374" display="https://twitter.com/kommoptimierer/status/720568540139532288" xr:uid="{AFC409D4-D2EA-4465-A5FC-4D686116A7BD}"/>
    <hyperlink ref="O127" r:id="rId375" display="https://pbs.twimg.com/profile_images/541146126158536704/IYardufS_normal.jpeg" xr:uid="{57F753EF-5E7E-4643-8A4F-38EB5A4FA2EA}"/>
    <hyperlink ref="B128" r:id="rId376" display="https://twitter.com/INKA_Forum" xr:uid="{94877295-662C-413F-8747-65826C472B33}"/>
    <hyperlink ref="E128" r:id="rId377" display="https://twitter.com/INKA_Forum/status/720568560880324608" xr:uid="{4B125D68-FFCE-44F8-99FD-00A8EABBBAE0}"/>
    <hyperlink ref="O128" r:id="rId378" display="https://pbs.twimg.com/profile_images/604242232300982273/waw_nkJr_normal.jpg" xr:uid="{0EBC9688-EDB5-48D8-B3BF-983BF99DD4F4}"/>
    <hyperlink ref="B129" r:id="rId379" display="https://twitter.com/CapgeminiDE" xr:uid="{8A645AF2-FA49-499D-843D-74B3EBA852F7}"/>
    <hyperlink ref="E129" r:id="rId380" display="https://twitter.com/CapgeminiDE/status/720569910213111808" xr:uid="{B09AB767-3D73-4D52-A34B-DE1BEA4BD09B}"/>
    <hyperlink ref="O129" r:id="rId381" display="https://pbs.twimg.com/profile_images/666911961599315968/aP7ID_qm_normal.png" xr:uid="{0D9A7117-1DDE-4F1A-B45C-C78507582A41}"/>
    <hyperlink ref="B130" r:id="rId382" display="https://twitter.com/zen_mfg" xr:uid="{47891A7B-582F-4A34-A981-464CA244D81F}"/>
    <hyperlink ref="E130" r:id="rId383" display="https://twitter.com/zen_mfg/status/720570318503428096" xr:uid="{15150034-F828-4373-B63E-9AF39197AFEF}"/>
    <hyperlink ref="O130" r:id="rId384" display="https://pbs.twimg.com/profile_images/719855439022678017/ywr6leIV_normal.jpg" xr:uid="{A5C9071B-347C-4FC9-AB53-63486760A481}"/>
    <hyperlink ref="B131" r:id="rId385" display="https://twitter.com/LutzVA" xr:uid="{B0F80AF5-0AF1-4D06-9FD5-C12E33643915}"/>
    <hyperlink ref="E131" r:id="rId386" display="https://twitter.com/LutzVA/status/720570338698993664" xr:uid="{388466BE-280A-4957-91E4-79B8EABAF147}"/>
    <hyperlink ref="O131" r:id="rId387" display="https://pbs.twimg.com/profile_images/641558874294628356/0gpa7sTF_normal.jpg" xr:uid="{91269B59-D3E9-4D52-8052-4601A207C63C}"/>
    <hyperlink ref="B132" r:id="rId388" display="https://twitter.com/cdoerflinger" xr:uid="{5B830ED2-4380-46F4-A187-88AEB9F63482}"/>
    <hyperlink ref="E132" r:id="rId389" display="https://twitter.com/cdoerflinger/status/720576171575001088" xr:uid="{E6217F0F-837E-479B-BF94-EF4E76C18423}"/>
    <hyperlink ref="O132" r:id="rId390" display="https://pbs.twimg.com/profile_images/715422612478894080/xCNNzr6__normal.jpg" xr:uid="{6AA0DB25-6A49-481A-B065-D9702A71D0A5}"/>
    <hyperlink ref="B133" r:id="rId391" display="https://twitter.com/ZVEIorg" xr:uid="{AAE417FA-E215-461C-8A26-6A773A4215DD}"/>
    <hyperlink ref="E133" r:id="rId392" display="https://twitter.com/ZVEIorg/status/720577810809663489" xr:uid="{B18C0DBB-FA01-4B01-80B5-D2E7BDB08822}"/>
    <hyperlink ref="O133" r:id="rId393" display="https://pbs.twimg.com/profile_images/479147477975588864/z94n3mRF_normal.jpeg" xr:uid="{DB8A7318-8B37-4819-A931-DB0B7B85F41A}"/>
    <hyperlink ref="B134" r:id="rId394" display="https://twitter.com/MeinGeldMedien" xr:uid="{95B455E0-E174-4926-86D6-8F60CCC12BEC}"/>
    <hyperlink ref="E134" r:id="rId395" display="https://twitter.com/MeinGeldMedien/status/720578696264945664" xr:uid="{44EE7C65-7730-4FAF-9983-5FEC416C7FAA}"/>
    <hyperlink ref="O134" r:id="rId396" display="https://pbs.twimg.com/profile_images/473759721023758338/3CcJL-Vq_normal.jpeg" xr:uid="{ABF0E5CE-C9C6-417F-8206-0C13AC73C638}"/>
    <hyperlink ref="B135" r:id="rId397" display="https://twitter.com/INDIZbot" xr:uid="{F9DF7B36-19F5-486C-ADFD-0243AA3FD2FF}"/>
    <hyperlink ref="E135" r:id="rId398" display="https://twitter.com/INDIZbot/status/720580301852971008" xr:uid="{959FAD3C-668C-4E94-93B8-BD2F3C4AE16D}"/>
    <hyperlink ref="O135" r:id="rId399" display="https://pbs.twimg.com/profile_images/645716711723925506/t5G0qOS6_normal.jpg" xr:uid="{E9B5644E-E1AD-4B56-B1C5-8D724C5B89D1}"/>
    <hyperlink ref="B136" r:id="rId400" display="https://twitter.com/opengateitalia" xr:uid="{9F15667E-6A16-471A-AE72-04B79251348C}"/>
    <hyperlink ref="E136" r:id="rId401" display="https://twitter.com/opengateitalia/status/720582567087321088" xr:uid="{5090C9FF-A091-4BBC-88EF-5CA7C2E79CDD}"/>
    <hyperlink ref="O136" r:id="rId402" display="https://pbs.twimg.com/profile_images/626731191715131393/jns17fVE_normal.png" xr:uid="{088281C0-7A76-41A7-9CBF-FC1024569FB6}"/>
    <hyperlink ref="B137" r:id="rId403" display="https://twitter.com/Ralf_Kuder" xr:uid="{8234ADB1-028C-4115-819B-88BC2C577249}"/>
    <hyperlink ref="E137" r:id="rId404" display="https://twitter.com/Ralf_Kuder/status/720582979974742016" xr:uid="{707761CB-C981-48DC-A5EC-4BD1814249B8}"/>
    <hyperlink ref="O137" r:id="rId405" display="https://pbs.twimg.com/profile_images/721292749069291520/oMrDhdql_normal.jpg" xr:uid="{C2610A44-647B-449D-887A-01C82CAB38CD}"/>
    <hyperlink ref="B138" r:id="rId406" display="https://twitter.com/LoidlRudolf" xr:uid="{4293EFBC-B603-4FDD-940B-7072052786B0}"/>
    <hyperlink ref="E138" r:id="rId407" display="https://twitter.com/LoidlRudolf/status/720584435524050945" xr:uid="{F5C0E026-FFB7-4DA6-ABD4-BE6FD1C6E762}"/>
    <hyperlink ref="O138" r:id="rId408" display="https://pbs.twimg.com/profile_images/530334369559625730/-6TCL4Zc_normal.jpeg" xr:uid="{22E2F870-B863-45CD-BAE8-108506FD80D8}"/>
    <hyperlink ref="B139" r:id="rId409" display="https://twitter.com/IFS_D_A_CH" xr:uid="{0446B9C5-1539-4780-ABDA-8F28DF92A9E4}"/>
    <hyperlink ref="E139" r:id="rId410" display="https://twitter.com/IFS_D_A_CH/status/720585329397403648" xr:uid="{124676DE-B7CD-4C65-A26F-26EF8747FBE5}"/>
    <hyperlink ref="O139" r:id="rId411" display="https://pbs.twimg.com/profile_images/494599434/ifs_logo_rgb_normal.jpg" xr:uid="{AD32D7CB-0432-4EC0-9436-44F4163B89C0}"/>
    <hyperlink ref="B140" r:id="rId412" display="https://twitter.com/z_eisberg" xr:uid="{1332DD98-C677-442B-850D-F567537B35DE}"/>
    <hyperlink ref="E140" r:id="rId413" display="https://twitter.com/z_eisberg/status/720586693859012608" xr:uid="{4F15F877-C416-4377-8581-B203F0851835}"/>
    <hyperlink ref="O140" r:id="rId414" display="https://pbs.twimg.com/profile_images/637165149456044032/CS70v85H_normal.jpg" xr:uid="{172CACCF-ABB1-4E54-B49A-1423472B628F}"/>
    <hyperlink ref="B141" r:id="rId415" display="https://twitter.com/ROKAutomationUK" xr:uid="{6BCEAF10-C5B2-4D14-BB4E-7AB0B67F349D}"/>
    <hyperlink ref="E141" r:id="rId416" display="https://twitter.com/ROKAutomationUK/status/720587255006371841" xr:uid="{A4180A3D-5525-4790-A1A1-D2191A6B7BE0}"/>
    <hyperlink ref="O141" r:id="rId417" display="https://pbs.twimg.com/profile_images/502402188295946240/rN3wbNyn_normal.jpeg" xr:uid="{52708C9B-816B-48DB-B99F-82054D7AEB34}"/>
    <hyperlink ref="B142" r:id="rId418" display="https://twitter.com/INDIZbot" xr:uid="{6C7DBF72-8DE0-4FCE-8972-0AE7FB9DBAB5}"/>
    <hyperlink ref="E142" r:id="rId419" display="https://twitter.com/INDIZbot/status/720587835628195840" xr:uid="{77CE61A8-31C4-427F-A548-456CF6ECCABC}"/>
    <hyperlink ref="O142" r:id="rId420" display="https://pbs.twimg.com/profile_images/645716711723925506/t5G0qOS6_normal.jpg" xr:uid="{F5C53513-FFB6-472F-A366-309716153AEB}"/>
    <hyperlink ref="B143" r:id="rId421" display="https://twitter.com/celebalcorp" xr:uid="{C63050CA-7483-426E-A111-FBF091E77492}"/>
    <hyperlink ref="E143" r:id="rId422" display="https://twitter.com/celebalcorp/status/720588704453173248" xr:uid="{B688DF07-7446-45CF-AA62-72D3161B8A3E}"/>
    <hyperlink ref="O143" r:id="rId423" display="https://pbs.twimg.com/profile_images/684329817961967616/5Xb2yHEP_normal.png" xr:uid="{74D30E5D-0300-427A-88AB-85554EA56933}"/>
    <hyperlink ref="B144" r:id="rId424" display="https://twitter.com/acad_sup" xr:uid="{05E90C77-168A-4169-8732-ADD4119F5D92}"/>
    <hyperlink ref="E144" r:id="rId425" display="https://twitter.com/acad_sup/status/720589504868978688" xr:uid="{23B0992A-28C8-4948-B897-C254562CAAE0}"/>
    <hyperlink ref="O144" r:id="rId426" display="https://pbs.twimg.com/profile_images/502075263350349824/ANbb-SSS_normal.png" xr:uid="{79F8E76B-099A-407B-BA78-6DEF8627160D}"/>
    <hyperlink ref="B145" r:id="rId427" display="https://twitter.com/NRWinEU" xr:uid="{5657BA3A-2B72-47C0-A6D0-0DFCDAF96469}"/>
    <hyperlink ref="E145" r:id="rId428" display="https://twitter.com/NRWinEU/status/720590176217624576" xr:uid="{FB86C6B1-2F7E-4C43-B5F8-93C7D5AFF77C}"/>
    <hyperlink ref="O145" r:id="rId429" display="https://pbs.twimg.com/profile_images/454290279252500480/JkMkXwUd_normal.jpeg" xr:uid="{F6A639D4-D42D-4F90-A656-99C6F7D240BB}"/>
    <hyperlink ref="B146" r:id="rId430" display="https://twitter.com/HLinzenbold" xr:uid="{B34FAE3E-C048-4C32-AD26-A765F5DEAF1F}"/>
    <hyperlink ref="E146" r:id="rId431" display="https://twitter.com/HLinzenbold/status/720591433791614976" xr:uid="{520B83F0-80CB-4EFD-8433-474F4BBF7D83}"/>
    <hyperlink ref="O146" r:id="rId432" display="https://pbs.twimg.com/profile_images/634361054064041984/Aq94Wi5i_normal.jpg" xr:uid="{54CC8BDB-05E2-43FA-85F2-54338C92E347}"/>
    <hyperlink ref="B147" r:id="rId433" display="https://twitter.com/IoTMinded" xr:uid="{30C0E654-B12F-46BF-9DA2-4CD77B960432}"/>
    <hyperlink ref="E147" r:id="rId434" display="https://twitter.com/IoTMinded/status/720591681561735168" xr:uid="{60F3CD86-DD2A-4A6A-B370-23690AC478BA}"/>
    <hyperlink ref="O147" r:id="rId435" display="https://pbs.twimg.com/profile_images/603699032804859904/lb5IMG5x_normal.jpg" xr:uid="{16ADF369-DE12-4BDA-8888-3E216E771010}"/>
    <hyperlink ref="B148" r:id="rId436" display="https://twitter.com/corischindlbeck" xr:uid="{1B229786-F0C8-4233-94E5-8C6CE0D557DF}"/>
    <hyperlink ref="E148" r:id="rId437" display="https://twitter.com/corischindlbeck/status/720592400025051137" xr:uid="{B43A5E11-D8E3-4AFB-A7A1-AB480A6E2444}"/>
    <hyperlink ref="O148" r:id="rId438" display="https://pbs.twimg.com/profile_images/713459590608855041/fYp1lxGW_normal.jpg" xr:uid="{AB885C01-F106-41F0-8FB9-42272B84808A}"/>
    <hyperlink ref="B149" r:id="rId439" display="https://twitter.com/Electronic_Jobs" xr:uid="{76C8F8DD-C151-4A8F-B45D-7CA1233D230D}"/>
    <hyperlink ref="E149" r:id="rId440" display="https://twitter.com/Electronic_Jobs/status/720592440017690624" xr:uid="{37E3C314-ED8A-4DAD-90B8-2D751B6B0559}"/>
    <hyperlink ref="O149" r:id="rId441" display="https://pbs.twimg.com/profile_images/646321353822498816/uxRoNbdD_normal.jpg" xr:uid="{6055E5F7-0265-4B07-A64E-5110E442CAF7}"/>
    <hyperlink ref="B150" r:id="rId442" display="https://twitter.com/EDV_Twitt" xr:uid="{32AC2D97-D875-4183-8A9A-4D2967591014}"/>
    <hyperlink ref="E150" r:id="rId443" display="https://twitter.com/EDV_Twitt/status/720594419792146432" xr:uid="{70DE6BEE-D96F-4BFF-8B87-5B5D5F536505}"/>
    <hyperlink ref="O150" r:id="rId444" display="https://pbs.twimg.com/profile_images/703199515042418688/5Z4p9wxm_normal.png" xr:uid="{88464B09-53CA-40E9-BB83-6CF36F7379B6}"/>
    <hyperlink ref="B151" r:id="rId445" display="https://twitter.com/H_IT_D" xr:uid="{2B3B7647-8C3F-4F32-BDDB-91162538B6EA}"/>
    <hyperlink ref="E151" r:id="rId446" display="https://twitter.com/H_IT_D/status/720595120773406720" xr:uid="{A67CA0C9-4456-4A13-B283-215243ADE85F}"/>
    <hyperlink ref="O151" r:id="rId447" display="https://pbs.twimg.com/profile_images/662723326096224256/5V4KH9_O_normal.jpg" xr:uid="{7009519A-48CC-4F77-B3DE-C9F78D362626}"/>
    <hyperlink ref="B152" r:id="rId448" display="https://twitter.com/INDIZbot" xr:uid="{05B11E6B-C94A-4C81-BB5C-15DCCA014B98}"/>
    <hyperlink ref="E152" r:id="rId449" display="https://twitter.com/INDIZbot/status/720595366173937664" xr:uid="{4579E35D-7E4D-4377-B4EC-70E182BC6839}"/>
    <hyperlink ref="O152" r:id="rId450" display="https://pbs.twimg.com/profile_images/645716711723925506/t5G0qOS6_normal.jpg" xr:uid="{1F28EE4A-283E-41FF-B446-2FC25CBD12C5}"/>
    <hyperlink ref="B153" r:id="rId451" display="https://twitter.com/QuickFindsIn" xr:uid="{ED33412C-07EA-4D65-9BDF-EB7DB4896C6A}"/>
    <hyperlink ref="E153" r:id="rId452" display="https://twitter.com/QuickFindsIn/status/720597479125680128" xr:uid="{643A0FD5-4183-49A2-BF25-848B99B4B31D}"/>
    <hyperlink ref="O153" r:id="rId453" display="https://pbs.twimg.com/profile_images/591951396217327616/HbcCX2zX_normal.png" xr:uid="{41CBC558-4F5B-4A3C-BEAC-C5FB9280E24A}"/>
    <hyperlink ref="B154" r:id="rId454" display="https://twitter.com/quickfindseotip" xr:uid="{EE1228DB-89E9-4C13-B04E-083E5E33D58E}"/>
    <hyperlink ref="E154" r:id="rId455" display="https://twitter.com/quickfindseotip/status/720597479167623169" xr:uid="{49BFFC18-4F54-426C-BCCC-4E0FCB6DE99B}"/>
    <hyperlink ref="O154" r:id="rId456" display="https://pbs.twimg.com/profile_images/592208932988264449/bM2abhue_normal.png" xr:uid="{E9EA5CFE-A6A6-4B20-9D42-6FFD0A6B625D}"/>
    <hyperlink ref="B155" r:id="rId457" display="https://twitter.com/verlinked" xr:uid="{D059CB35-EA18-468A-82E8-0117B5A61468}"/>
    <hyperlink ref="E155" r:id="rId458" display="https://twitter.com/verlinked/status/720597524294144000" xr:uid="{6AC7ABFA-EC27-4E4B-AB3A-5CB5218ADC66}"/>
    <hyperlink ref="O155" r:id="rId459" display="https://pbs.twimg.com/profile_images/722385992343285760/ww8YLZ2q_normal.jpg" xr:uid="{63A76D4B-B2D6-481F-95C5-C91614F6B9C9}"/>
    <hyperlink ref="B156" r:id="rId460" display="https://twitter.com/EmreKayadelen2" xr:uid="{483A82FF-5DDD-4AD0-A852-E398E20C5D75}"/>
    <hyperlink ref="E156" r:id="rId461" display="https://twitter.com/EmreKayadelen2/status/720598356557500416" xr:uid="{F570E536-F6F5-4AC8-8F30-A4BAFEEEE188}"/>
    <hyperlink ref="O156" r:id="rId462" display="https://pbs.twimg.com/profile_images/650275357636038656/k7dfy49Q_normal.jpg" xr:uid="{2643A1FC-6BBF-4CA0-93A3-A131107B5E0F}"/>
    <hyperlink ref="B157" r:id="rId463" display="https://twitter.com/Personalpraxis" xr:uid="{50DE9A62-55BD-493F-BA96-7AF9EBD18609}"/>
    <hyperlink ref="C157" r:id="rId464" xr:uid="{08AC03DD-78A9-4D6C-9EB8-F1843BE2DDDB}"/>
    <hyperlink ref="E157" r:id="rId465" display="https://twitter.com/Personalpraxis/status/720599615821717504" xr:uid="{D0208722-488F-42CA-A771-EE50366C0E20}"/>
    <hyperlink ref="O157" r:id="rId466" display="https://pbs.twimg.com/profile_images/1689149413/PP24_Twittervogel_normal.jpg" xr:uid="{9B09BE1D-3756-4E58-AA08-C370F2D59FC0}"/>
    <hyperlink ref="B158" r:id="rId467" display="https://twitter.com/abasERP" xr:uid="{3B150F39-180D-47C6-BB68-74D1A6280889}"/>
    <hyperlink ref="E158" r:id="rId468" display="https://twitter.com/abasERP/status/720599964636815360" xr:uid="{7DD917DF-BB98-4761-B8FF-C97BA6BC4F27}"/>
    <hyperlink ref="O158" r:id="rId469" display="https://pbs.twimg.com/profile_images/515120426473627649/wHhF7KVO_normal.png" xr:uid="{3FDB7B87-8E3E-468D-8966-9FB865623F01}"/>
    <hyperlink ref="B159" r:id="rId470" display="https://twitter.com/cmerhy" xr:uid="{FBFDA348-DE1E-4C05-BFB2-729AC23FE5D3}"/>
    <hyperlink ref="E159" r:id="rId471" display="https://twitter.com/cmerhy/status/720600049391136768" xr:uid="{01B5C233-4D0F-4E69-9484-4C5B28D4693D}"/>
    <hyperlink ref="O159" r:id="rId472" display="https://pbs.twimg.com/profile_images/498786740618792960/F5YajKYc_normal.jpeg" xr:uid="{31F72C02-CF83-4DCC-AB6B-2FBC50E0D905}"/>
    <hyperlink ref="B160" r:id="rId473" display="https://twitter.com/INDIZbot" xr:uid="{2E533073-BC5D-4747-BFF7-2E1EC9D86349}"/>
    <hyperlink ref="E160" r:id="rId474" display="https://twitter.com/INDIZbot/status/720600673780416513" xr:uid="{594DB07D-612C-4BDF-B06B-B79EC2B18A11}"/>
    <hyperlink ref="O160" r:id="rId475" display="https://pbs.twimg.com/profile_images/645716711723925506/t5G0qOS6_normal.jpg" xr:uid="{44E86527-0E29-4B98-A286-CD35679D02F0}"/>
    <hyperlink ref="B161" r:id="rId476" display="https://twitter.com/ROKAutomationIT" xr:uid="{6154356E-5FF3-4E4C-A5E5-F41A4BD4FD08}"/>
    <hyperlink ref="E161" r:id="rId477" display="https://twitter.com/ROKAutomationIT/status/720601277076361216" xr:uid="{916B2253-4055-47E0-AA17-A48771223F33}"/>
    <hyperlink ref="O161" r:id="rId478" display="https://pbs.twimg.com/profile_images/497752224643043331/9wtAAp-D_normal.jpeg" xr:uid="{2C659421-BEC6-460F-9046-D41CCC659E8B}"/>
    <hyperlink ref="B162" r:id="rId479" display="https://twitter.com/ROKAutoCHIT" xr:uid="{63A13135-9C25-4489-B174-14BED2E4496F}"/>
    <hyperlink ref="E162" r:id="rId480" display="https://twitter.com/ROKAutoCHIT/status/720601278481457152" xr:uid="{79D36265-F7A5-459B-80E5-EEAF3CED2C79}"/>
    <hyperlink ref="O162" r:id="rId481" display="https://pbs.twimg.com/profile_images/496687683813404674/YzNGUapS_normal.jpeg" xr:uid="{D8EA8381-72D3-455E-ADF7-CE2D7C0D83B6}"/>
    <hyperlink ref="B163" r:id="rId482" display="https://twitter.com/hjvsch" xr:uid="{E580CFA4-9C77-4D07-A4A8-B54E5D015287}"/>
    <hyperlink ref="E163" r:id="rId483" display="https://twitter.com/hjvsch/status/720604990226755584" xr:uid="{52437BB0-3CE7-49CA-AB7A-6F00101AF259}"/>
    <hyperlink ref="O163" r:id="rId484" display="https://pbs.twimg.com/profile_images/704596570717683712/S63wpVif_normal.jpg" xr:uid="{D8A46B85-2BC2-4F9A-BF32-113C4DC5A0D0}"/>
    <hyperlink ref="B164" r:id="rId485" display="https://twitter.com/Metaalmagazine" xr:uid="{696BF536-018F-405B-80E2-3796C5606FA5}"/>
    <hyperlink ref="E164" r:id="rId486" display="https://twitter.com/Metaalmagazine/status/720605789510111232" xr:uid="{7831C0ED-177C-4205-983B-DA529ABDD040}"/>
    <hyperlink ref="O164" r:id="rId487" display="https://pbs.twimg.com/profile_images/694492956108009473/r9GcMUcI_normal.jpg" xr:uid="{0FFCEBFF-95D5-48D9-9AC7-50434C2ED272}"/>
    <hyperlink ref="B165" r:id="rId488" display="https://twitter.com/BolognaFiere" xr:uid="{F6A4606F-5B92-4F6F-8D55-CB4668EF83C7}"/>
    <hyperlink ref="E165" r:id="rId489" display="https://twitter.com/BolognaFiere/status/720606274195492864" xr:uid="{E3387612-02E3-477D-BB26-4C3C79BD2DDD}"/>
    <hyperlink ref="O165" r:id="rId490" display="https://pbs.twimg.com/profile_images/701807284599595008/bwjAwP-P_normal.jpg" xr:uid="{BA38EE13-D6CA-4200-AAEA-D6796533818F}"/>
    <hyperlink ref="B166" r:id="rId491" display="https://twitter.com/JIJmt" xr:uid="{B808B921-AB86-449B-A8FE-381697D9D1B8}"/>
    <hyperlink ref="E166" r:id="rId492" display="https://twitter.com/JIJmt/status/720606335092592641" xr:uid="{43D30709-F0CD-43E8-8EDB-F5723B39E805}"/>
    <hyperlink ref="O166" r:id="rId493" display="https://pbs.twimg.com/profile_images/671714912956243968/T1wpMEU5_normal.jpg" xr:uid="{8F956279-AD9C-4A21-AE43-871A35918A3A}"/>
    <hyperlink ref="B167" r:id="rId494" display="https://twitter.com/HudsonFasteners" xr:uid="{A1225BB5-DA9B-47B8-9AEB-289F6ACC6EEF}"/>
    <hyperlink ref="E167" r:id="rId495" display="https://twitter.com/HudsonFasteners/status/720607205586767873" xr:uid="{690CB4A4-9C8B-4E3D-A491-E393DB859B8C}"/>
    <hyperlink ref="O167" r:id="rId496" display="https://pbs.twimg.com/profile_images/681576688258576389/mxs8SoHc_normal.png" xr:uid="{41838AA8-FA4E-4FDE-819C-D0C07A00783F}"/>
    <hyperlink ref="B168" r:id="rId497" display="https://twitter.com/PSIPENTA" xr:uid="{6CFF0FC3-AF09-4B3B-92BC-5548A5106B4D}"/>
    <hyperlink ref="E168" r:id="rId498" display="https://twitter.com/PSIPENTA/status/720607865866739713" xr:uid="{64FE77D8-1596-473D-BAA8-B3CFC6AB46D8}"/>
    <hyperlink ref="O168" r:id="rId499" display="https://pbs.twimg.com/profile_images/684325175849037824/2vFq058g_normal.jpg" xr:uid="{39ED2605-1A0D-4739-BCD4-FDC8310DCA32}"/>
    <hyperlink ref="B169" r:id="rId500" display="https://twitter.com/Aurelien_T_K" xr:uid="{23317D96-50DA-43CD-AE8C-7D88E40255CD}"/>
    <hyperlink ref="E169" r:id="rId501" display="https://twitter.com/Aurelien_T_K/status/720608136252497920" xr:uid="{59E6CE19-3DD3-4B80-B1F6-03E2EBACFF37}"/>
    <hyperlink ref="O169" r:id="rId502" display="https://pbs.twimg.com/profile_images/711460495795097600/GjVvY72S_normal.jpg" xr:uid="{1100F0E0-060F-49E2-8A7B-E42558D3D19E}"/>
    <hyperlink ref="B170" r:id="rId503" display="https://twitter.com/prxpragma" xr:uid="{7AEF9194-04F7-457F-BA81-BC37D78EF729}"/>
    <hyperlink ref="E170" r:id="rId504" display="https://twitter.com/prxpragma/status/720608246487232512" xr:uid="{D0A19CD1-3FE2-43BE-B010-70B29355CD84}"/>
    <hyperlink ref="O170" r:id="rId505" display="https://pbs.twimg.com/profile_images/595629691249233920/PnZxF5UO_normal.jpg" xr:uid="{74AFA8B2-AEB8-49E2-996A-359F8BF61733}"/>
    <hyperlink ref="B171" r:id="rId506" display="https://twitter.com/Teresa_Leggettt" xr:uid="{E246327A-5E09-4AE6-822E-24C302D0B384}"/>
    <hyperlink ref="E171" r:id="rId507" display="https://twitter.com/Teresa_Leggettt/status/720611817819619328" xr:uid="{64CED4C7-12E0-44F0-9030-7D4DEB7706E8}"/>
    <hyperlink ref="O171" r:id="rId508" display="https://pbs.twimg.com/profile_images/711209126039146496/EGZvHaKr_normal.jpg" xr:uid="{BC34DFF8-7E36-46A4-8217-CCACF7D9D522}"/>
    <hyperlink ref="B172" r:id="rId509" display="https://twitter.com/QuickFindsIn" xr:uid="{19AD0A84-3831-4ADC-BAB2-3AAB5F7388EE}"/>
    <hyperlink ref="E172" r:id="rId510" display="https://twitter.com/QuickFindsIn/status/720612580213919744" xr:uid="{E2AA8B9F-99DC-43E4-B218-075F40099AF0}"/>
    <hyperlink ref="O172" r:id="rId511" display="https://pbs.twimg.com/profile_images/591951396217327616/HbcCX2zX_normal.png" xr:uid="{F2391FD8-33FB-4822-9621-A62FE3620F6C}"/>
    <hyperlink ref="B173" r:id="rId512" display="https://twitter.com/Tim_Caesar" xr:uid="{CC46B4B8-68F2-482F-B125-B17579EE7046}"/>
    <hyperlink ref="E173" r:id="rId513" display="https://twitter.com/Tim_Caesar/status/720613072591839232" xr:uid="{6648F8E2-E681-4252-B99D-017684D27511}"/>
    <hyperlink ref="O173" r:id="rId514" display="https://pbs.twimg.com/profile_images/574517024556089345/fuK3tcde_normal.jpeg" xr:uid="{19CC5C5E-3A42-4771-B236-2538CE97CDE3}"/>
    <hyperlink ref="B174" r:id="rId515" display="https://twitter.com/kommoptimierer" xr:uid="{18F2C482-D548-423E-94F8-2F6A7A6245EB}"/>
    <hyperlink ref="E174" r:id="rId516" display="https://twitter.com/kommoptimierer/status/720613836185841664" xr:uid="{B9B54009-9362-425B-BFD7-C849AB29B3B2}"/>
    <hyperlink ref="O174" r:id="rId517" display="https://pbs.twimg.com/profile_images/541146126158536704/IYardufS_normal.jpeg" xr:uid="{298B5F6C-00B4-4980-AEC5-F64E7DA88E51}"/>
    <hyperlink ref="B175" r:id="rId518" display="https://twitter.com/relayr_cloud" xr:uid="{6365C2D1-4F5B-45D3-9C34-27CF6CFEB58C}"/>
    <hyperlink ref="E175" r:id="rId519" display="https://twitter.com/relayr_cloud/status/720614299861958656" xr:uid="{5D5690F4-5A94-41EA-8CC9-53D66E4B1C7D}"/>
    <hyperlink ref="O175" r:id="rId520" display="https://pbs.twimg.com/profile_images/704341480748535809/zvvtFziI_normal.jpg" xr:uid="{0F9ABD16-0052-47E8-B80C-B58249D9CC27}"/>
    <hyperlink ref="B176" r:id="rId521" display="https://twitter.com/akquinet" xr:uid="{F39BC9A7-A797-4E0A-B4B0-214C40B91532}"/>
    <hyperlink ref="E176" r:id="rId522" display="https://twitter.com/akquinet/status/720614526656344065" xr:uid="{EA462B34-60D2-48F4-AACD-063322E3BAD1}"/>
    <hyperlink ref="O176" r:id="rId523" display="https://pbs.twimg.com/profile_images/509252372774653952/cl1TCi-g_normal.png" xr:uid="{C2FC5E1C-A863-4958-8821-2E4E16D48184}"/>
    <hyperlink ref="B177" r:id="rId524" display="https://twitter.com/HoptonPaul" xr:uid="{AB5048D2-3CC4-40C2-BFF8-2C787C1ED404}"/>
    <hyperlink ref="E177" r:id="rId525" display="https://twitter.com/HoptonPaul/status/720614754901979136" xr:uid="{CACA974D-91C1-4FFD-B1B8-0F4216657D7C}"/>
    <hyperlink ref="O177" r:id="rId526" display="https://pbs.twimg.com/profile_images/378800000740380059/fd2425e08af8db5b2d2cfa181f5efc97_normal.jpeg" xr:uid="{4A9179EE-1D73-40A3-8A18-65B80D65E9EB}"/>
    <hyperlink ref="B178" r:id="rId527" display="https://twitter.com/guneetIoT" xr:uid="{6709317E-4BAB-4BEE-95C9-D824C506BC54}"/>
    <hyperlink ref="E178" r:id="rId528" display="https://twitter.com/guneetIoT/status/720614773424013312" xr:uid="{BDDA1AAA-547D-4AC4-B808-A9F1BEC1D67F}"/>
    <hyperlink ref="O178" r:id="rId529" display="https://pbs.twimg.com/profile_images/695659196495212544/gFtjiHfg_normal.jpg" xr:uid="{07BD081F-B018-47F5-81D3-A78BF2010723}"/>
    <hyperlink ref="B179" r:id="rId530" display="https://twitter.com/JmuellerIoT" xr:uid="{EDAE220E-DC6A-4D6A-B3F0-EBF0139E2E95}"/>
    <hyperlink ref="E179" r:id="rId531" display="https://twitter.com/JmuellerIoT/status/720614791040077825" xr:uid="{7AD36FFB-CC7F-4451-9A4A-4E8CD0CFB711}"/>
    <hyperlink ref="O179" r:id="rId532" display="https://pbs.twimg.com/profile_images/595262312518438912/sodQUqdg_normal.jpg" xr:uid="{FE6095AE-F3BB-4EAB-BDB5-01F12DC848A1}"/>
    <hyperlink ref="B180" r:id="rId533" display="https://twitter.com/jsbond" xr:uid="{DA7FC37C-E9D9-4828-ACDA-F1B7C99A6980}"/>
    <hyperlink ref="E180" r:id="rId534" display="https://twitter.com/jsbond/status/720614816524734465" xr:uid="{D846FDAA-407B-4DBA-9D61-6B05CC5E4F31}"/>
    <hyperlink ref="O180" r:id="rId535" display="https://pbs.twimg.com/profile_images/576881257138642944/jM7N3IE3_normal.png" xr:uid="{51B8BD18-9E03-4A20-92A7-251F5F7F5AFD}"/>
    <hyperlink ref="B181" r:id="rId536" display="https://twitter.com/beSoLoMo" xr:uid="{2E45D594-BAF5-43B8-A443-B7269B711287}"/>
    <hyperlink ref="E181" r:id="rId537" display="https://twitter.com/beSoLoMo/status/720615339596378112" xr:uid="{61FD4D24-CD37-4CF4-8712-3F20A3F0C330}"/>
    <hyperlink ref="O181" r:id="rId538" display="https://pbs.twimg.com/profile_images/424865513492074496/m4LeM9m0_normal.jpeg" xr:uid="{EDCA1E5F-D4A5-43C0-8C45-26DFE3F9620B}"/>
    <hyperlink ref="B182" r:id="rId539" display="https://twitter.com/INDIZbot" xr:uid="{47CFC059-0A54-42D3-A6AE-63861B878F3A}"/>
    <hyperlink ref="E182" r:id="rId540" display="https://twitter.com/INDIZbot/status/720615827586838528" xr:uid="{786FF178-925E-4CBF-AB6F-231E99AB6127}"/>
    <hyperlink ref="O182" r:id="rId541" display="https://pbs.twimg.com/profile_images/645716711723925506/t5G0qOS6_normal.jpg" xr:uid="{4AA4A4CB-882D-4ADF-842F-BB6B56200CF5}"/>
    <hyperlink ref="B183" r:id="rId542" display="https://twitter.com/SchuermannChris" xr:uid="{BB24F7CA-D76D-43E3-9C3F-D64D616B7C5D}"/>
    <hyperlink ref="E183" r:id="rId543" display="https://twitter.com/SchuermannChris/status/720616174090915841" xr:uid="{826FF658-9E8A-4465-A9D6-FB2CAF238464}"/>
    <hyperlink ref="O183" r:id="rId544" display="https://pbs.twimg.com/profile_images/516661653790670848/n3wtoDXf_normal.jpeg" xr:uid="{3E77CB7E-94E2-4EFD-8880-80BEEB399A13}"/>
    <hyperlink ref="B184" r:id="rId545" display="https://twitter.com/FalcoCS" xr:uid="{D3C785B7-9950-427F-8FBD-261DD5522484}"/>
    <hyperlink ref="E184" r:id="rId546" display="https://twitter.com/FalcoCS/status/720617481279270912" xr:uid="{4000AF69-9A00-453A-8C96-9183559D6D60}"/>
    <hyperlink ref="O184" r:id="rId547" display="https://pbs.twimg.com/profile_images/659433862364307458/Mi7JDgeJ_normal.jpg" xr:uid="{23AABE78-DA7B-4BA5-BC73-52FDB4555946}"/>
    <hyperlink ref="B185" r:id="rId548" display="https://twitter.com/Global_Fairs" xr:uid="{08689AA0-CAA9-41EF-B120-47DAD73436AA}"/>
    <hyperlink ref="E185" r:id="rId549" display="https://twitter.com/Global_Fairs/status/720617657435877376" xr:uid="{B1B8D855-21BC-4EBD-B18E-EB679B360301}"/>
    <hyperlink ref="O185" r:id="rId550" display="https://pbs.twimg.com/profile_images/694530943139315712/TQHmYxMT_normal.png" xr:uid="{6DD07BD9-F1AB-4713-B0D4-9346F67AB990}"/>
    <hyperlink ref="B186" r:id="rId551" display="https://twitter.com/Global_Fairs" xr:uid="{F189CB65-19B7-499E-8DA0-B3A62BA87C65}"/>
    <hyperlink ref="E186" r:id="rId552" display="https://twitter.com/Global_Fairs/status/720617933563670528" xr:uid="{27337A33-A9DF-42CF-802A-17489CBE8ACA}"/>
    <hyperlink ref="O186" r:id="rId553" display="https://pbs.twimg.com/profile_images/694530943139315712/TQHmYxMT_normal.png" xr:uid="{DA2D0621-FE51-4CB9-B8B9-14F895E253C1}"/>
    <hyperlink ref="B187" r:id="rId554" display="https://twitter.com/iDigitalTrends" xr:uid="{5FC9183D-BEC4-4B9A-B0D8-57A43FDAB877}"/>
    <hyperlink ref="E187" r:id="rId555" display="https://twitter.com/iDigitalTrends/status/720618153609400321" xr:uid="{9F8D983F-A8F2-492D-BD8C-E9BADA96858D}"/>
    <hyperlink ref="O187" r:id="rId556" display="https://pbs.twimg.com/profile_images/683477524907732992/tC5jnkk8_normal.jpg" xr:uid="{29A50415-6EBB-4A93-8AB5-4DA9C01ACD7C}"/>
    <hyperlink ref="B188" r:id="rId557" display="https://twitter.com/EEIPEnMg" xr:uid="{2BB6DA53-F38E-4712-8A6E-5778595AC83E}"/>
    <hyperlink ref="E188" r:id="rId558" display="https://twitter.com/EEIPEnMg/status/720620651552378882" xr:uid="{AB6DBE38-CDAA-4052-B21C-F638A5B9A9AF}"/>
    <hyperlink ref="O188" r:id="rId559" display="https://pbs.twimg.com/profile_images/572354999586267136/ICM-pVdp_normal.png" xr:uid="{07E7D584-7D3F-4C33-ADB3-6D4246325336}"/>
    <hyperlink ref="B189" r:id="rId560" display="https://twitter.com/EnergyPages" xr:uid="{328D1619-1892-4F58-B2DA-5BD208244C35}"/>
    <hyperlink ref="E189" r:id="rId561" display="https://twitter.com/EnergyPages/status/720620696376893440" xr:uid="{C4B750EC-CC2A-45C0-8363-43183E902666}"/>
    <hyperlink ref="O189" r:id="rId562" display="https://pbs.twimg.com/profile_images/624496248704270336/obg6_pOk_normal.png" xr:uid="{095605BD-8DC0-462E-9624-0FD26AD98A65}"/>
    <hyperlink ref="B190" r:id="rId563" display="https://twitter.com/logistiknews" xr:uid="{A2767599-A525-45E2-9408-910E3D7252EA}"/>
    <hyperlink ref="E190" r:id="rId564" display="https://twitter.com/logistiknews/status/720622845940916224" xr:uid="{128710CF-E870-4E7D-AA9C-61A7E35E2F86}"/>
    <hyperlink ref="O190" r:id="rId565" display="https://pbs.twimg.com/profile_images/465833729533820928/XEgCMpMC_normal.jpeg" xr:uid="{AC61D8EA-5374-4A34-BFB2-23F74BA55BE2}"/>
    <hyperlink ref="B191" r:id="rId566" display="https://twitter.com/Markenartikler" xr:uid="{927992E4-86C9-4D7C-889F-72BAF91DA0C0}"/>
    <hyperlink ref="E191" r:id="rId567" display="https://twitter.com/Markenartikler/status/720626189304352769" xr:uid="{2EC2ED2E-5863-4DA3-865F-95E213CAE76F}"/>
    <hyperlink ref="O191" r:id="rId568" display="https://pbs.twimg.com/profile_images/684297499461423104/URLCw8tn_normal.jpg" xr:uid="{0D1B3911-958A-4E95-AAF5-FA1183802DC3}"/>
    <hyperlink ref="B192" r:id="rId569" display="https://twitter.com/GSqueri" xr:uid="{5B0F5FA0-EB31-425B-8E70-FF502E34AE05}"/>
    <hyperlink ref="E192" r:id="rId570" display="https://twitter.com/GSqueri/status/720626669585833985" xr:uid="{D4834515-069E-48A3-995C-AD39915397F7}"/>
    <hyperlink ref="O192" r:id="rId571" display="https://pbs.twimg.com/profile_images/470922785649209346/cy96pZaI_normal.jpeg" xr:uid="{3F645C58-2268-4958-B407-50FCF596FF9E}"/>
    <hyperlink ref="B193" r:id="rId572" display="https://twitter.com/logistiknews" xr:uid="{3AD94DA8-EB84-43C6-A751-D71AD8FBF882}"/>
    <hyperlink ref="E193" r:id="rId573" display="https://twitter.com/logistiknews/status/720631000515112960" xr:uid="{EDC48938-501A-4D94-BB83-50D55F931569}"/>
    <hyperlink ref="O193" r:id="rId574" display="https://pbs.twimg.com/profile_images/465833729533820928/XEgCMpMC_normal.jpeg" xr:uid="{F46CB752-A47F-42E0-8289-CAF09A500321}"/>
    <hyperlink ref="B194" r:id="rId575" display="https://twitter.com/Becker_AnnaLisa" xr:uid="{86CCDF31-E83D-4F8A-922F-BD4ADC7E4A57}"/>
    <hyperlink ref="E194" r:id="rId576" display="https://twitter.com/Becker_AnnaLisa/status/720631633343356929" xr:uid="{ED23C500-DDA2-4958-AF0F-88A7B12BC20A}"/>
    <hyperlink ref="O194" r:id="rId577" display="https://pbs.twimg.com/profile_images/676325832600743936/gCXpokOx_normal.jpg" xr:uid="{048F4122-EB81-4269-97D7-17F610FC9AB2}"/>
    <hyperlink ref="B195" r:id="rId578" display="https://twitter.com/ScheerKarriere" xr:uid="{BD2AB071-ED4A-453A-AD84-640ED710D6E4}"/>
    <hyperlink ref="E195" r:id="rId579" display="https://twitter.com/ScheerKarriere/status/720631633590804480" xr:uid="{035D9578-15E5-4FCB-87DF-39D5497EA82C}"/>
    <hyperlink ref="O195" r:id="rId580" display="https://pbs.twimg.com/profile_images/704970625748697089/GQl2pOlK_normal.jpg" xr:uid="{F4D20029-68AF-48B8-9DFA-6559292951DA}"/>
    <hyperlink ref="B196" r:id="rId581" display="https://twitter.com/INDIZbot" xr:uid="{3B654C6E-3DE6-4D42-AB78-1CD8EF7061D7}"/>
    <hyperlink ref="E196" r:id="rId582" display="https://twitter.com/INDIZbot/status/720632997721059328" xr:uid="{EAFDF51A-17C4-49FB-AA19-D250F09C46AE}"/>
    <hyperlink ref="O196" r:id="rId583" display="https://pbs.twimg.com/profile_images/645716711723925506/t5G0qOS6_normal.jpg" xr:uid="{BCAFB516-3B70-4970-AA6D-006460674E67}"/>
    <hyperlink ref="B197" r:id="rId584" display="https://twitter.com/INDIZbot" xr:uid="{CFEE074A-D638-4FAD-A1D6-D5838EB98030}"/>
    <hyperlink ref="E197" r:id="rId585" display="https://twitter.com/INDIZbot/status/720633072677466113" xr:uid="{50419709-A084-429E-ACF3-E8E3E6A90F53}"/>
    <hyperlink ref="O197" r:id="rId586" display="https://pbs.twimg.com/profile_images/645716711723925506/t5G0qOS6_normal.jpg" xr:uid="{66387B7A-D77F-4857-855A-6A276D961FE8}"/>
    <hyperlink ref="B198" r:id="rId587" display="https://twitter.com/INDIZbot" xr:uid="{C1B7FE14-C1EF-4CC3-A1FF-5C72F941BD06}"/>
    <hyperlink ref="E198" r:id="rId588" display="https://twitter.com/INDIZbot/status/720633198145880064" xr:uid="{C1B2E2B3-A218-434D-BADC-B03440D67139}"/>
    <hyperlink ref="O198" r:id="rId589" display="https://pbs.twimg.com/profile_images/645716711723925506/t5G0qOS6_normal.jpg" xr:uid="{29591464-1E6D-44A8-9497-ADB3ABEE8B79}"/>
    <hyperlink ref="B199" r:id="rId590" display="https://twitter.com/S_Koebernick" xr:uid="{00FE1861-6BDB-4001-BFB7-FDA18B883013}"/>
    <hyperlink ref="E199" r:id="rId591" display="https://twitter.com/S_Koebernick/status/720633909080408065" xr:uid="{E89F5A44-1957-45F5-97C6-5138EF4E40E1}"/>
    <hyperlink ref="O199" r:id="rId592" display="https://pbs.twimg.com/profile_images/567384025568776192/u-T3fEX2_normal.jpeg" xr:uid="{03F3CBC1-6A1A-4B3D-BA6C-D9A8D218483F}"/>
    <hyperlink ref="B200" r:id="rId593" display="https://twitter.com/Pamsav1" xr:uid="{9E105746-D9DA-4821-B190-503F7727BA2F}"/>
    <hyperlink ref="E200" r:id="rId594" display="https://twitter.com/Pamsav1/status/720634002630144000" xr:uid="{9BAB7748-1409-4AE4-B99A-5E8234076BFC}"/>
    <hyperlink ref="O200" r:id="rId595" display="https://pbs.twimg.com/profile_images/706811232695750657/fVFQauFe_normal.jpg" xr:uid="{386355AF-0627-49A8-9E7B-5E1ECF33C3BC}"/>
    <hyperlink ref="B201" r:id="rId596" display="https://twitter.com/AutotaskGmbH" xr:uid="{A4330D5B-167A-4571-BA30-94C86B611FD5}"/>
    <hyperlink ref="E201" r:id="rId597" display="https://twitter.com/AutotaskGmbH/status/720634031377944579" xr:uid="{CBB7552A-0A3A-47AA-AD51-4DA92F1393FC}"/>
    <hyperlink ref="O201" r:id="rId598" display="https://pbs.twimg.com/profile_images/469841276188098560/7H13R02s_normal.jpeg" xr:uid="{FBE05DEF-9FDA-4D4E-A930-5BDEF1C2CEF8}"/>
    <hyperlink ref="B202" r:id="rId599" display="https://twitter.com/Geschnattere" xr:uid="{FE3C4F56-B860-49E6-B2B2-35848E7BE13E}"/>
    <hyperlink ref="E202" r:id="rId600" display="https://twitter.com/Geschnattere/status/720634083127201792" xr:uid="{C184A0B1-12E3-4312-B3CF-FEB987765D21}"/>
    <hyperlink ref="O202" r:id="rId601" display="https://pbs.twimg.com/profile_images/690957065490161664/Nat2upS4_normal.jpg" xr:uid="{93DB2C7F-2F2D-4182-8714-AE4915CF8651}"/>
    <hyperlink ref="B203" r:id="rId602" display="https://twitter.com/Geschnattere" xr:uid="{DB66B361-A63B-4275-B9E5-7A8B146A2D29}"/>
    <hyperlink ref="E203" r:id="rId603" display="https://twitter.com/Geschnattere/status/720634099359182851" xr:uid="{7A7FB1D5-5C2B-4AC9-AE8A-29E67652A946}"/>
    <hyperlink ref="O203" r:id="rId604" display="https://pbs.twimg.com/profile_images/690957065490161664/Nat2upS4_normal.jpg" xr:uid="{E1CAC10F-9BCA-4E9F-BC1B-D26B54644ED0}"/>
    <hyperlink ref="B204" r:id="rId605" display="https://twitter.com/Pamsav1" xr:uid="{5A62EB75-83DB-44B2-A049-C35958C5691D}"/>
    <hyperlink ref="E204" r:id="rId606" display="https://twitter.com/Pamsav1/status/720634140115210240" xr:uid="{8AA730E1-6FC6-4573-992D-1493DF769EF2}"/>
    <hyperlink ref="O204" r:id="rId607" display="https://pbs.twimg.com/profile_images/706811232695750657/fVFQauFe_normal.jpg" xr:uid="{58D48185-69F1-43C1-87DE-DB5D7B422B19}"/>
    <hyperlink ref="B205" r:id="rId608" display="https://twitter.com/TForwardingGmbH" xr:uid="{84A44575-E56D-49F1-A331-FAF60A0356C0}"/>
    <hyperlink ref="E205" r:id="rId609" display="https://twitter.com/TForwardingGmbH/status/720635353325969408" xr:uid="{3C9CD561-60DB-415E-85FA-B535AC873958}"/>
    <hyperlink ref="O205" r:id="rId610" display="https://pbs.twimg.com/profile_images/2149665370/TF_beeldmerk_DEF_normal.jpg" xr:uid="{4B7D8E9D-6014-4D98-BDF3-3C8DD7BBD4B1}"/>
    <hyperlink ref="B206" r:id="rId611" display="https://twitter.com/INDIZbot" xr:uid="{1F64C51B-70A8-4BD7-BD03-901C06A39BF4}"/>
    <hyperlink ref="E206" r:id="rId612" display="https://twitter.com/INDIZbot/status/720635721107812353" xr:uid="{67E4F9EE-6C44-498B-9353-24E9CC92826C}"/>
    <hyperlink ref="O206" r:id="rId613" display="https://pbs.twimg.com/profile_images/645716711723925506/t5G0qOS6_normal.jpg" xr:uid="{B82FDF87-BD4F-42CA-9036-95D801330BF5}"/>
    <hyperlink ref="B207" r:id="rId614" display="https://twitter.com/IT_Connection" xr:uid="{0F1A8276-7E84-4C6F-9DE8-072ABF9D65F5}"/>
    <hyperlink ref="E207" r:id="rId615" display="https://twitter.com/IT_Connection/status/720636576489947136" xr:uid="{299FA100-4207-4AC3-8F60-F4A8212C799A}"/>
    <hyperlink ref="O207" r:id="rId616" display="https://pbs.twimg.com/profile_images/566986293888835584/_uYTcau__normal.png" xr:uid="{364CA4A9-7252-48BB-917F-2F4D89327953}"/>
    <hyperlink ref="B208" r:id="rId617" display="https://twitter.com/neoAddons" xr:uid="{15F43797-F239-4849-8BDF-8F54CD56A306}"/>
    <hyperlink ref="E208" r:id="rId618" display="https://twitter.com/neoAddons/status/720636857915154432" xr:uid="{86C2CB29-3505-42F6-B45D-CBEC333D8E3A}"/>
    <hyperlink ref="O208" r:id="rId619" display="https://pbs.twimg.com/profile_images/471625901646422018/85MkjfMR_normal.png" xr:uid="{B724EE78-2218-4E92-8BCE-6A5388DDD839}"/>
    <hyperlink ref="B209" r:id="rId620" display="https://twitter.com/proALPHA" xr:uid="{879767D9-79C4-487A-87BB-EF0742CA628C}"/>
    <hyperlink ref="E209" r:id="rId621" display="https://twitter.com/proALPHA/status/720637087544971264" xr:uid="{86750680-30B8-4604-ADCE-F4F357260232}"/>
    <hyperlink ref="O209" r:id="rId622" display="https://pbs.twimg.com/profile_images/469026236916715520/DY-tlJ0c_normal.jpeg" xr:uid="{9E763D86-4605-4659-A322-836B6B0B8763}"/>
    <hyperlink ref="B210" r:id="rId623" display="https://twitter.com/MiklosLoerinczi" xr:uid="{759D2DC0-43EB-46AE-8FC2-211B65987AF6}"/>
    <hyperlink ref="E210" r:id="rId624" display="https://twitter.com/MiklosLoerinczi/status/720639802580852736" xr:uid="{83B7F79D-DE20-4E69-9FC2-0CE634F2BAA8}"/>
    <hyperlink ref="O210" r:id="rId625" display="https://pbs.twimg.com/profile_images/564519770763300865/LzdRUs8v_normal.jpeg" xr:uid="{60B1CA70-C582-49D6-95B9-CDEAFF73E3EB}"/>
    <hyperlink ref="B211" r:id="rId626" display="https://twitter.com/DocPeterAndrews" xr:uid="{5DD6A71F-3230-4A7D-AE5C-CB53D9DEC0F4}"/>
    <hyperlink ref="E211" r:id="rId627" display="https://twitter.com/DocPeterAndrews/status/720646298190352384" xr:uid="{9F2E8199-39D7-4BC8-ABDE-BD07CE9700EF}"/>
    <hyperlink ref="O211" r:id="rId628" display="https://pbs.twimg.com/profile_images/3408651674/e9a95353a2e06d8ec7504966a971683c_normal.png" xr:uid="{CE51C745-29C8-4ADF-B74F-B31DD00FB1BC}"/>
    <hyperlink ref="B212" r:id="rId629" display="https://twitter.com/awesigs" xr:uid="{04985D27-4E1A-4957-AB1D-FC6567D5E87C}"/>
    <hyperlink ref="E212" r:id="rId630" display="https://twitter.com/awesigs/status/720646748570574848" xr:uid="{77B54547-2B13-4C1A-B6F1-D49BB4D1B0D6}"/>
    <hyperlink ref="O212" r:id="rId631" display="https://pbs.twimg.com/profile_images/1398405138/wallpaper-85615_normal.jpg" xr:uid="{EC1280F4-B87B-4BDD-B006-F5480B51EEC5}"/>
    <hyperlink ref="B213" r:id="rId632" display="https://twitter.com/HolgerPaul66" xr:uid="{9E18694F-F8D9-45FD-9E1E-983BEFB65866}"/>
    <hyperlink ref="E213" r:id="rId633" display="https://twitter.com/HolgerPaul66/status/720647509668950016" xr:uid="{2373934E-6E77-420A-A911-D0BB344EC8B5}"/>
    <hyperlink ref="O213" r:id="rId634" display="https://pbs.twimg.com/profile_images/525998513264410624/ZHDocuJo_normal.jpeg" xr:uid="{2D6C6CB3-4750-473E-ACDE-078FEE6355D3}"/>
    <hyperlink ref="B214" r:id="rId635" display="https://twitter.com/INDIZbot" xr:uid="{A472AE5F-C24B-428A-8D2B-E262A1E042C0}"/>
    <hyperlink ref="E214" r:id="rId636" display="https://twitter.com/INDIZbot/status/720648191239196672" xr:uid="{DC72F117-64B2-49B4-842B-CB192B9E5DB0}"/>
    <hyperlink ref="O214" r:id="rId637" display="https://pbs.twimg.com/profile_images/645716711723925506/t5G0qOS6_normal.jpg" xr:uid="{7CBB4127-FF07-4DAF-8E15-93872F2DADE0}"/>
    <hyperlink ref="B215" r:id="rId638" display="https://twitter.com/FranBlanSAP" xr:uid="{CF5B0FD3-656E-4EE9-B7E2-002114FE927D}"/>
    <hyperlink ref="E215" r:id="rId639" display="https://twitter.com/FranBlanSAP/status/720648812319154176" xr:uid="{EE4F22BC-8191-4902-9E82-58E48121DFCF}"/>
    <hyperlink ref="O215" r:id="rId640" display="https://pbs.twimg.com/profile_images/526839119175880705/0Z9Mlwc5_normal.jpeg" xr:uid="{76E6FFE5-3203-4BC2-83B3-73674D45BA7F}"/>
    <hyperlink ref="B216" r:id="rId641" display="https://twitter.com/GalatiRita" xr:uid="{C93330C4-8671-416A-B67C-13A7FE572A51}"/>
    <hyperlink ref="E216" r:id="rId642" display="https://twitter.com/GalatiRita/status/720649131677642758" xr:uid="{E1779F1C-3777-4056-BF3D-AB44EB0FC892}"/>
    <hyperlink ref="O216" r:id="rId643" display="https://pbs.twimg.com/profile_images/527810716611260416/_hbIRCwV_normal.jpeg" xr:uid="{3D235614-3D97-45B7-8A95-D63E1BAC9422}"/>
    <hyperlink ref="B217" r:id="rId644" display="https://twitter.com/SFSFFrance" xr:uid="{42B82529-FCE6-401E-BF43-94766D3CC64D}"/>
    <hyperlink ref="E217" r:id="rId645" display="https://twitter.com/SFSFFrance/status/720649607928221698" xr:uid="{60DD9C30-34AF-4D04-AEAF-6839B0BBA407}"/>
    <hyperlink ref="O217" r:id="rId646" display="https://pbs.twimg.com/profile_images/2736953018/767c4769e70af7d38ca77d15108e500e_normal.png" xr:uid="{D4D917A4-C5EA-4AFC-9435-CE6AC26B12C4}"/>
    <hyperlink ref="B218" r:id="rId647" display="https://twitter.com/MichaelleSalmon" xr:uid="{2C33854B-E54E-4E9E-AAC3-86E847CEA7B0}"/>
    <hyperlink ref="E218" r:id="rId648" display="https://twitter.com/MichaelleSalmon/status/720650557325754368" xr:uid="{6DF5B883-2EE4-4842-9420-7DAB3C17C2D9}"/>
    <hyperlink ref="O218" r:id="rId649" display="https://pbs.twimg.com/profile_images/565783312728215552/VwNqFg6U_normal.jpeg" xr:uid="{95D5A0D6-67B7-4AB6-B2F7-7B3EE2A33A32}"/>
    <hyperlink ref="B219" r:id="rId650" display="https://twitter.com/francoisdex" xr:uid="{25D23161-3291-4435-96D1-6C2AEAFD03E7}"/>
    <hyperlink ref="E219" r:id="rId651" display="https://twitter.com/francoisdex/status/720652232329469952" xr:uid="{38E9360C-FF2B-493F-B3E3-B98CA85632F9}"/>
    <hyperlink ref="O219" r:id="rId652" display="https://pbs.twimg.com/profile_images/671733755254583296/Ad-8W4wG_normal.jpg" xr:uid="{8B931E67-6EF7-4784-ACA4-74C1F771DFC9}"/>
    <hyperlink ref="B220" r:id="rId653" display="https://twitter.com/bengolder" xr:uid="{EEB25CCA-C0C8-4D0B-82E1-3925312A37A6}"/>
    <hyperlink ref="E220" r:id="rId654" display="https://twitter.com/bengolder/status/720652419911303170" xr:uid="{228C9741-5082-4C57-834C-2207D387C7FD}"/>
    <hyperlink ref="O220" r:id="rId655" display="https://pbs.twimg.com/profile_images/719524881973571584/Qe9-Bm8r_normal.jpg" xr:uid="{5818E9EC-33E9-43C8-AEB2-41A5DD337EB6}"/>
    <hyperlink ref="B221" r:id="rId656" display="https://twitter.com/maurelita" xr:uid="{4A38E664-6989-461B-9DA2-6AB5A705D841}"/>
    <hyperlink ref="E221" r:id="rId657" display="https://twitter.com/maurelita/status/720654647762018304" xr:uid="{8906493E-2B06-47E9-B19F-530D518DA21D}"/>
    <hyperlink ref="O221" r:id="rId658" display="https://pbs.twimg.com/profile_images/693723211972907008/LSMUxTvG_normal.jpg" xr:uid="{311868D7-1449-468F-8F0B-F87CB356B4AC}"/>
    <hyperlink ref="B222" r:id="rId659" display="https://twitter.com/GiselePrevost" xr:uid="{43F9FD45-8A0D-47B4-B8BD-198A39DEEAAD}"/>
    <hyperlink ref="E222" r:id="rId660" display="https://twitter.com/GiselePrevost/status/720655041053515777" xr:uid="{C20237FF-4FC4-4E8D-8774-EB162409E0F7}"/>
    <hyperlink ref="O222" r:id="rId661" display="https://pbs.twimg.com/profile_images/476275729806536704/jxs63xEZ_normal.jpeg" xr:uid="{5372FCFB-5AF9-425C-9086-946812F9750C}"/>
    <hyperlink ref="B223" r:id="rId662" display="https://twitter.com/MichaeloIoT" xr:uid="{A2F6E4F5-15F5-4369-875F-D630918B1C45}"/>
    <hyperlink ref="E223" r:id="rId663" display="https://twitter.com/MichaeloIoT/status/720656840674160641" xr:uid="{141555F2-0FC4-4F89-B035-8004B54C39D0}"/>
    <hyperlink ref="O223" r:id="rId664" display="https://pbs.twimg.com/profile_images/714825688344301568/KnFnw6t6_normal.jpg" xr:uid="{F837B34F-1B9F-4AC5-BFBD-6965E145E48B}"/>
    <hyperlink ref="B224" r:id="rId665" display="https://twitter.com/IT_Connection" xr:uid="{7E88F094-A5F7-4B86-B9BC-3EF4D06A20FF}"/>
    <hyperlink ref="E224" r:id="rId666" display="https://twitter.com/IT_Connection/status/720659247856545792" xr:uid="{C5FCD9DC-015C-4E0B-89CD-65E80DAF5A07}"/>
    <hyperlink ref="O224" r:id="rId667" display="https://pbs.twimg.com/profile_images/566986293888835584/_uYTcau__normal.png" xr:uid="{53AE542B-3B28-4F68-B690-EF68C0472E12}"/>
    <hyperlink ref="B225" r:id="rId668" display="https://twitter.com/INDIZbot" xr:uid="{A64D074F-DBD1-4AAF-BC70-CCDE45128CF6}"/>
    <hyperlink ref="E225" r:id="rId669" display="https://twitter.com/INDIZbot/status/720660682979557376" xr:uid="{4C43E752-F81A-4F67-AA6E-1620649E66FC}"/>
    <hyperlink ref="O225" r:id="rId670" display="https://pbs.twimg.com/profile_images/645716711723925506/t5G0qOS6_normal.jpg" xr:uid="{F49A518C-A5FE-4250-BAF3-5F05B1E3F910}"/>
    <hyperlink ref="B226" r:id="rId671" display="https://twitter.com/FabLabLondon" xr:uid="{C527F063-90CB-4A8C-8D3D-79E6798644AC}"/>
    <hyperlink ref="E226" r:id="rId672" display="https://twitter.com/FabLabLondon/status/720662554373197824" xr:uid="{9CDE0AA2-19C4-42C8-B024-82D0361761D5}"/>
    <hyperlink ref="O226" r:id="rId673" display="https://pbs.twimg.com/profile_images/378800000700086175/017ad676773207b097a1b93a5b10074d_normal.png" xr:uid="{DEEC2513-BE3D-458C-BB2E-00F5D12A2370}"/>
    <hyperlink ref="B227" r:id="rId674" display="https://twitter.com/AndeGregson" xr:uid="{38DF68D2-74A7-49E6-9546-39676AE4DD44}"/>
    <hyperlink ref="E227" r:id="rId675" display="https://twitter.com/AndeGregson/status/720663181660721152" xr:uid="{A96E7D0B-2173-4053-B4DC-4B8A59E13FFF}"/>
    <hyperlink ref="O227" r:id="rId676" display="https://pbs.twimg.com/profile_images/2552626150/i2ig5lfbkrnpc07ugir7_normal.png" xr:uid="{873684E8-8551-4FD7-BFE0-FD10E715006A}"/>
    <hyperlink ref="B228" r:id="rId677" display="https://twitter.com/GalatiRita" xr:uid="{DB1FB9EC-DFB4-44D4-A938-AD3047759DB7}"/>
    <hyperlink ref="E228" r:id="rId678" display="https://twitter.com/GalatiRita/status/720671821054480384" xr:uid="{FE15D55B-4318-43F9-9B2D-134076647506}"/>
    <hyperlink ref="O228" r:id="rId679" display="https://pbs.twimg.com/profile_images/527810716611260416/_hbIRCwV_normal.jpeg" xr:uid="{D5C2F98A-58F2-450A-AC61-A4872B50C7B0}"/>
    <hyperlink ref="B229" r:id="rId680" display="https://twitter.com/FlashTweet" xr:uid="{75C87EC8-0177-46E3-906D-E1BE975AFB8E}"/>
    <hyperlink ref="E229" r:id="rId681" display="https://twitter.com/FlashTweet/status/720673514638942209" xr:uid="{D75A6BFD-BAB6-458C-A945-DA97F3E909FF}"/>
    <hyperlink ref="O229" r:id="rId682" display="https://pbs.twimg.com/profile_images/708264103798824960/BACwIYDp_normal.jpg" xr:uid="{C18F0C4E-1D06-406F-9BB7-60D66579447B}"/>
    <hyperlink ref="B230" r:id="rId683" display="https://twitter.com/sanjaydhumieres" xr:uid="{B8843D92-8246-440C-8913-0F6E0C75DB04}"/>
    <hyperlink ref="E230" r:id="rId684" display="https://twitter.com/sanjaydhumieres/status/720674291541536773" xr:uid="{DB4F1A30-8678-45D0-9AA6-B35CA95764D3}"/>
    <hyperlink ref="O230" r:id="rId685" display="https://pbs.twimg.com/profile_images/711638065056456704/F8v21TMA_normal.jpg" xr:uid="{F01CA0FB-3C3D-4878-922C-EAECDBA7BC47}"/>
    <hyperlink ref="B231" r:id="rId686" display="https://twitter.com/brill_stefan" xr:uid="{95B78F94-7FA6-452F-AE7D-E740E8ECC46F}"/>
    <hyperlink ref="E231" r:id="rId687" display="https://twitter.com/brill_stefan/status/720677714622091264" xr:uid="{2249D0D7-51C2-4A9F-AC75-ABC137FA657F}"/>
    <hyperlink ref="O231" r:id="rId688" display="https://pbs.twimg.com/profile_images/598166829174005760/M39Pe098_normal.jpg" xr:uid="{6878992C-0998-45A0-ABDF-3D7CB947F118}"/>
    <hyperlink ref="B232" r:id="rId689" display="https://twitter.com/JCGeorghiou" xr:uid="{577F7081-C1D3-4608-AECA-ED4115AED4CB}"/>
    <hyperlink ref="E232" r:id="rId690" display="https://twitter.com/JCGeorghiou/status/720678979502546944" xr:uid="{0ED56D77-D563-4F3E-896A-7C8AB2164553}"/>
    <hyperlink ref="O232" r:id="rId691" display="https://pbs.twimg.com/profile_images/692728796336754690/RKiqJiFN_normal.jpg" xr:uid="{11E13ED8-AAF8-4A2E-962D-502D1EE06105}"/>
    <hyperlink ref="B233" r:id="rId692" display="https://twitter.com/HWachtersbach" xr:uid="{9B167B27-4658-4AC9-AC7A-B2BB78030611}"/>
    <hyperlink ref="E233" r:id="rId693" display="https://twitter.com/HWachtersbach/status/720679503362670592" xr:uid="{F4F9ED47-8F13-44D5-93FC-135D92DE5216}"/>
    <hyperlink ref="O233" r:id="rId694" display="https://pbs.twimg.com/profile_images/618481301654388736/vDFKHG_7_normal.jpg" xr:uid="{6E676F50-6597-4113-B40A-C2A7F567E389}"/>
    <hyperlink ref="B234" r:id="rId695" display="https://twitter.com/BWSAGROUP" xr:uid="{16974F7A-9653-4A67-A7AC-CA3672EE050F}"/>
    <hyperlink ref="E234" r:id="rId696" display="https://twitter.com/BWSAGROUP/status/720680644737675269" xr:uid="{21A0656A-2673-4BEE-9FFA-A15336F5B7E7}"/>
    <hyperlink ref="O234" r:id="rId697" display="https://pbs.twimg.com/profile_images/656107467403870208/RXGOkKZu_normal.jpg" xr:uid="{C9F57D88-9C42-40EC-89C0-9B3859F390B7}"/>
    <hyperlink ref="B235" r:id="rId698" display="https://twitter.com/ROKAutomationCZ" xr:uid="{2E2CB336-3029-4D3D-957B-DEB75273480F}"/>
    <hyperlink ref="E235" r:id="rId699" display="https://twitter.com/ROKAutomationCZ/status/720680844172640256" xr:uid="{00FD2F1C-9C2A-4081-BB03-CB51D09E56D3}"/>
    <hyperlink ref="O235" r:id="rId700" display="https://pbs.twimg.com/profile_images/502403624635359232/dhMZDAHI_normal.jpeg" xr:uid="{B4042215-0863-450E-ADA2-43D4651D1BBA}"/>
    <hyperlink ref="B236" r:id="rId701" display="https://twitter.com/MOC_AllianceBD" xr:uid="{AB7133DF-4F14-4BAB-9441-F81AC4CAB70E}"/>
    <hyperlink ref="E236" r:id="rId702" display="https://twitter.com/MOC_AllianceBD/status/720681829615984642" xr:uid="{EFEE3D39-B31C-44A4-A86A-1FC35D54E964}"/>
    <hyperlink ref="O236" r:id="rId703" display="https://pbs.twimg.com/profile_images/682836758464192512/-nudFO2c_normal.jpg" xr:uid="{92F4B6B3-60D7-4433-9FA1-EC893D18DCAC}"/>
    <hyperlink ref="B237" r:id="rId704" display="https://twitter.com/JOUAILLECM" xr:uid="{66966251-1F1D-473C-A401-BC0978990D35}"/>
    <hyperlink ref="E237" r:id="rId705" display="https://twitter.com/JOUAILLECM/status/720683078667083777" xr:uid="{AF2FCC05-BB13-452D-876A-F8D05BB37E66}"/>
    <hyperlink ref="O237" r:id="rId706" display="https://pbs.twimg.com/profile_images/378800000753233896/be7abfe2b94083c25a106659b5859136_normal.jpeg" xr:uid="{B83BEFFF-B0B5-4588-8C9A-1C0A626EB27F}"/>
    <hyperlink ref="B238" r:id="rId707" display="https://twitter.com/DerLogistikfan" xr:uid="{2F153004-1736-40E9-A1B9-099EDC4CEE37}"/>
    <hyperlink ref="E238" r:id="rId708" display="https://twitter.com/DerLogistikfan/status/720684133484269572" xr:uid="{B232C87D-2FCD-47F1-A218-1ED61E511BA8}"/>
    <hyperlink ref="O238" r:id="rId709" display="https://pbs.twimg.com/profile_images/573813498947354624/g3IUfKZ5_normal.jpeg" xr:uid="{93F33B40-493D-47A9-BB1D-3D63F737F57A}"/>
    <hyperlink ref="B239" r:id="rId710" display="https://twitter.com/tuessl" xr:uid="{DD181993-2C9F-4776-92E8-A73541E86190}"/>
    <hyperlink ref="E239" r:id="rId711" display="https://twitter.com/tuessl/status/720685451611385856" xr:uid="{6FC0DDAB-9244-4320-9C72-04F4FA31B981}"/>
    <hyperlink ref="O239" r:id="rId712" display="https://pbs.twimg.com/profile_images/666540900990984192/lziqwbbo_normal.jpg" xr:uid="{5C506217-6E6F-4FE3-AE59-4F17E8726A53}"/>
    <hyperlink ref="B240" r:id="rId713" display="https://twitter.com/INDIZbot" xr:uid="{9080F9C9-C90D-4E02-BD52-5F237CF3DE1C}"/>
    <hyperlink ref="E240" r:id="rId714" display="https://twitter.com/INDIZbot/status/720685841220255745" xr:uid="{7580F429-6DCB-49CD-BBA2-60B61F6744A3}"/>
    <hyperlink ref="O240" r:id="rId715" display="https://pbs.twimg.com/profile_images/645716711723925506/t5G0qOS6_normal.jpg" xr:uid="{7F517611-1959-4472-901A-F569EF80C916}"/>
    <hyperlink ref="B241" r:id="rId716" display="https://twitter.com/INDIZbot" xr:uid="{5E0ED107-2E33-4FA3-ADFA-B05555D65BE5}"/>
    <hyperlink ref="E241" r:id="rId717" display="https://twitter.com/INDIZbot/status/720685995440676864" xr:uid="{A6828A32-B7FC-41D6-B762-6A399B3C1D37}"/>
    <hyperlink ref="O241" r:id="rId718" display="https://pbs.twimg.com/profile_images/645716711723925506/t5G0qOS6_normal.jpg" xr:uid="{57DFD8F5-53AC-42F4-ACE2-93CB1F697972}"/>
    <hyperlink ref="B242" r:id="rId719" display="https://twitter.com/corischindlbeck" xr:uid="{D4993338-67D5-458F-BC7E-DD0FCE3168C8}"/>
    <hyperlink ref="E242" r:id="rId720" display="https://twitter.com/corischindlbeck/status/720687386603208704" xr:uid="{A7DFA654-AD81-4571-A62A-2593927B3D73}"/>
    <hyperlink ref="O242" r:id="rId721" display="https://pbs.twimg.com/profile_images/713459590608855041/fYp1lxGW_normal.jpg" xr:uid="{7842C3AB-7709-4B6F-94BE-9B69561DC17F}"/>
    <hyperlink ref="B243" r:id="rId722" display="https://twitter.com/kommoptimierer" xr:uid="{B656C491-3712-4B1A-B557-9A9E93A8E10C}"/>
    <hyperlink ref="E243" r:id="rId723" display="https://twitter.com/kommoptimierer/status/720688076268380161" xr:uid="{D50E2EBB-97DF-4F44-A8F9-1FB434ABB928}"/>
    <hyperlink ref="O243" r:id="rId724" display="https://pbs.twimg.com/profile_images/541146126158536704/IYardufS_normal.jpeg" xr:uid="{40B62140-1732-4854-860C-615A314FEAA2}"/>
    <hyperlink ref="B244" r:id="rId725" display="https://twitter.com/bgebot" xr:uid="{EC749B00-B9B2-4778-9166-8F73ED90826D}"/>
    <hyperlink ref="E244" r:id="rId726" display="https://twitter.com/bgebot/status/720688138394472449" xr:uid="{CE4DE923-5454-4BDF-A014-FA94770B596D}"/>
    <hyperlink ref="O244" r:id="rId727" display="https://pbs.twimg.com/profile_images/1161922354/bge-bot-big-twitterversion2_normal.png" xr:uid="{0B7063BE-F297-4710-A7EF-F28BDA08F6AC}"/>
    <hyperlink ref="B245" r:id="rId728" display="https://twitter.com/MiklosLoerinczi" xr:uid="{38D74AEA-2137-48CB-8918-E1700DF04B8B}"/>
    <hyperlink ref="E245" r:id="rId729" display="https://twitter.com/MiklosLoerinczi/status/720688584701911041" xr:uid="{C1F6A47A-2028-487D-840A-30721A293B91}"/>
    <hyperlink ref="O245" r:id="rId730" display="https://pbs.twimg.com/profile_images/564519770763300865/LzdRUs8v_normal.jpeg" xr:uid="{3C82269C-6181-4BC3-B8DF-F51BBF281B7A}"/>
    <hyperlink ref="B246" r:id="rId731" display="https://twitter.com/paoloigna1" xr:uid="{243AC493-8018-4965-A228-9419D92F43E9}"/>
    <hyperlink ref="E246" r:id="rId732" display="https://twitter.com/paoloigna1/status/720689985586905089" xr:uid="{412A3AB6-EBC5-413B-B857-E0932519ED5C}"/>
    <hyperlink ref="O246" r:id="rId733" display="https://pbs.twimg.com/profile_images/418795472472383488/YQgyHWog_normal.jpeg" xr:uid="{3517E045-6BB0-4F94-8900-7C784794A3B6}"/>
    <hyperlink ref="B247" r:id="rId734" display="https://twitter.com/INDIZbot" xr:uid="{6F71605D-4E22-4D55-83CF-63688C005045}"/>
    <hyperlink ref="E247" r:id="rId735" display="https://twitter.com/INDIZbot/status/720691054425587712" xr:uid="{80E979D5-F423-473C-A078-49A09354737A}"/>
    <hyperlink ref="O247" r:id="rId736" display="https://pbs.twimg.com/profile_images/645716711723925506/t5G0qOS6_normal.jpg" xr:uid="{88D46227-794C-42DE-8F18-95F52B038DF9}"/>
    <hyperlink ref="B248" r:id="rId737" display="https://twitter.com/mfritz_fhg" xr:uid="{DA925BEE-59CD-474E-A886-7C0224937F1D}"/>
    <hyperlink ref="E248" r:id="rId738" display="https://twitter.com/mfritz_fhg/status/720691272126709761" xr:uid="{445B1B40-737B-471D-857C-1460F449F94F}"/>
    <hyperlink ref="O248" r:id="rId739" display="https://pbs.twimg.com/profile_images/653481171414872064/-C8HD5Mf_normal.jpg" xr:uid="{721EA511-1DD2-4DDA-8A39-5CCE1A094CF9}"/>
    <hyperlink ref="B249" r:id="rId740" display="https://twitter.com/TUslaender" xr:uid="{4C59A9FC-A429-49FE-AE1E-75A31243FAD6}"/>
    <hyperlink ref="E249" r:id="rId741" display="https://twitter.com/TUslaender/status/720693938756173824" xr:uid="{8268506B-292A-4970-988E-EDCFCE0FA698}"/>
    <hyperlink ref="O249" r:id="rId742" display="https://pbs.twimg.com/profile_images/504569405494161410/4CpoyfPM_normal.jpeg" xr:uid="{C3195CAF-B604-4DDC-8885-A45E74A1D943}"/>
    <hyperlink ref="B250" r:id="rId743" display="https://twitter.com/c_best01" xr:uid="{606DC45E-F60A-44C4-AC9D-B10BBE05DA1B}"/>
    <hyperlink ref="E250" r:id="rId744" display="https://twitter.com/c_best01/status/720694637988560896" xr:uid="{0E8F8850-60E1-4A17-AA19-528276E7F9B1}"/>
    <hyperlink ref="O250" r:id="rId745" display="https://pbs.twimg.com/profile_images/696677095200727040/JDNylP2p_normal.jpg" xr:uid="{260EC9D1-1614-4C58-AD5F-839806DD51F0}"/>
    <hyperlink ref="B251" r:id="rId746" display="https://twitter.com/rapifireio" xr:uid="{D574ECF6-D935-4EC9-9B90-5A3B7BCFF256}"/>
    <hyperlink ref="E251" r:id="rId747" display="https://twitter.com/rapifireio/status/720694895971688448" xr:uid="{610A7DF5-7076-4BEA-ADBF-F7F095A7F62E}"/>
    <hyperlink ref="O251" r:id="rId748" display="https://pbs.twimg.com/profile_images/676700631248166912/ZVQvTezj_normal.png" xr:uid="{EF7F042E-6BCA-45DC-894D-1C2E3D76BE0F}"/>
    <hyperlink ref="B252" r:id="rId749" display="https://twitter.com/kommoptimierer" xr:uid="{69911592-8221-45AD-AF93-4E336B17679D}"/>
    <hyperlink ref="E252" r:id="rId750" display="https://twitter.com/kommoptimierer/status/720695626187542528" xr:uid="{8BB20544-8288-465F-9ECB-CCAD3A2542D7}"/>
    <hyperlink ref="O252" r:id="rId751" display="https://pbs.twimg.com/profile_images/541146126158536704/IYardufS_normal.jpeg" xr:uid="{AFA79632-CF83-4BA7-999F-735639E7C266}"/>
    <hyperlink ref="B253" r:id="rId752" display="https://twitter.com/ke13ds" xr:uid="{AFB64E03-84E1-4339-9A0D-2793DAD3957F}"/>
    <hyperlink ref="E253" r:id="rId753" display="https://twitter.com/ke13ds/status/720699296874643459" xr:uid="{668E3CFE-0B06-4F60-A40D-3D33F264C2A9}"/>
    <hyperlink ref="O253" r:id="rId754" display="https://pbs.twimg.com/profile_images/660034078662664192/fW_fR4oj_normal.jpg" xr:uid="{15240B93-E74A-45F0-90D3-884671890D88}"/>
    <hyperlink ref="B254" r:id="rId755" display="https://twitter.com/PTMAkademie" xr:uid="{87CCBFA2-B5C7-4C72-BFD3-0B0858405448}"/>
    <hyperlink ref="E254" r:id="rId756" display="https://twitter.com/PTMAkademie/status/720701324669685761" xr:uid="{09716DE5-D0DD-4827-B488-B3ADBCE0728A}"/>
    <hyperlink ref="O254" r:id="rId757" display="https://pbs.twimg.com/profile_images/521588968844836864/_szXnEc__normal.jpeg" xr:uid="{5B17A86E-BECC-4365-877E-EEB706233268}"/>
    <hyperlink ref="B255" r:id="rId758" display="https://twitter.com/kommoptimierer" xr:uid="{FCC0BCB1-D404-46EC-8D8D-6DD0C253E66D}"/>
    <hyperlink ref="E255" r:id="rId759" display="https://twitter.com/kommoptimierer/status/720704435404554245" xr:uid="{2A9DD215-958D-4FCA-9CE4-24CA9B50D0FB}"/>
    <hyperlink ref="O255" r:id="rId760" display="https://pbs.twimg.com/profile_images/541146126158536704/IYardufS_normal.jpeg" xr:uid="{1E230485-442E-48C9-B4A7-FF0273EFCEA7}"/>
    <hyperlink ref="B256" r:id="rId761" display="https://twitter.com/dutchhts" xr:uid="{C278AA54-4245-4EC5-832D-85AEE90A7953}"/>
    <hyperlink ref="E256" r:id="rId762" display="https://twitter.com/dutchhts/status/720709501490475008" xr:uid="{DD92E1DC-4364-42B0-A40E-ECD692087E96}"/>
    <hyperlink ref="O256" r:id="rId763" display="https://pbs.twimg.com/profile_images/523906834000650242/-PpDUEnV_normal.jpeg" xr:uid="{CD8CAA86-B8CE-4442-9DA9-1009994FAE05}"/>
    <hyperlink ref="B257" r:id="rId764" display="https://twitter.com/H_IT_D" xr:uid="{287340C8-7A2B-4BA5-BEEC-38A01C91D767}"/>
    <hyperlink ref="E257" r:id="rId765" display="https://twitter.com/H_IT_D/status/720710832867254272" xr:uid="{EA14DE44-9AD1-40DB-99BE-9071478EF482}"/>
    <hyperlink ref="O257" r:id="rId766" display="https://pbs.twimg.com/profile_images/662723326096224256/5V4KH9_O_normal.jpg" xr:uid="{EA03982C-8C0D-4180-8339-92EFF2AEACA2}"/>
    <hyperlink ref="B258" r:id="rId767" display="https://twitter.com/MahsaGivehchi" xr:uid="{C4275761-33E7-4318-91D3-226B4BB84D23}"/>
    <hyperlink ref="E258" r:id="rId768" display="https://twitter.com/MahsaGivehchi/status/720713599543558144" xr:uid="{EF5E1AA8-B723-4E35-AD19-1DA03160F1B1}"/>
    <hyperlink ref="O258" r:id="rId769" display="https://pbs.twimg.com/profile_images/638673774603321344/HCV91gN7_normal.jpg" xr:uid="{E26A0384-E9BD-4E10-96B5-FEBA2C464E35}"/>
    <hyperlink ref="B259" r:id="rId770" display="https://twitter.com/LeanKnowledge" xr:uid="{11266CB7-F172-48D4-B8D2-A7DDC10277A6}"/>
    <hyperlink ref="E259" r:id="rId771" display="https://twitter.com/LeanKnowledge/status/720714306241826818" xr:uid="{B2CCFCCD-20E3-4B7B-8735-9C25CEE67547}"/>
    <hyperlink ref="O259" r:id="rId772" display="https://pbs.twimg.com/profile_images/667622351345950720/HAHOiaMn_normal.jpg" xr:uid="{546D4E9C-1ADE-4265-B0EC-321B6AC0619C}"/>
    <hyperlink ref="B260" r:id="rId773" display="https://twitter.com/boerni_w" xr:uid="{FB1BA56D-D79F-4879-9BC0-D3D09E3740E1}"/>
    <hyperlink ref="E260" r:id="rId774" display="https://twitter.com/boerni_w/status/720714978651742208" xr:uid="{CC67971C-3B17-4771-BCF2-4168FB9B79B3}"/>
    <hyperlink ref="O260" r:id="rId775" display="https://pbs.twimg.com/profile_images/378800000832540984/08f85f5a644d0edf1fc387140334494b_normal.jpeg" xr:uid="{A2F6A36D-3759-4121-AB72-02B70F1D8178}"/>
    <hyperlink ref="B261" r:id="rId776" display="https://twitter.com/Lean_john" xr:uid="{C44129D2-CE4D-46A9-985C-CB0D7D159A15}"/>
    <hyperlink ref="E261" r:id="rId777" display="https://twitter.com/Lean_john/status/720716268362444800" xr:uid="{53B0E535-A049-4A2C-8420-F63ABE53DAA4}"/>
    <hyperlink ref="O261" r:id="rId778" display="https://pbs.twimg.com/profile_images/2181612837/Johann_normal.jpg" xr:uid="{9DE6CE46-F163-47F8-B0F3-394F2F48B750}"/>
    <hyperlink ref="B262" r:id="rId779" display="https://twitter.com/heikevangeel" xr:uid="{A321B2B4-C97F-43B1-A5A8-78367E84126A}"/>
    <hyperlink ref="E262" r:id="rId780" display="https://twitter.com/heikevangeel/status/720717026625458176" xr:uid="{38C8467B-95AC-40B3-BB49-3C9A5096846D}"/>
    <hyperlink ref="O262" r:id="rId781" display="https://pbs.twimg.com/profile_images/491236810560114688/qHaoNgg2_normal.jpeg" xr:uid="{0642DFA1-1F84-4AF4-B705-74A08B12BB28}"/>
    <hyperlink ref="B263" r:id="rId782" display="https://twitter.com/QuickFindsIn" xr:uid="{CA63A80A-E333-4A95-9214-593570A93169}"/>
    <hyperlink ref="E263" r:id="rId783" display="https://twitter.com/QuickFindsIn/status/720718275181580288" xr:uid="{A9B04B7A-AA7C-4488-8A0A-19FA7D5923DA}"/>
    <hyperlink ref="O263" r:id="rId784" display="https://pbs.twimg.com/profile_images/591951396217327616/HbcCX2zX_normal.png" xr:uid="{9D1C2763-DA9B-4215-8D59-07FBC2094EA8}"/>
    <hyperlink ref="B264" r:id="rId785" display="https://twitter.com/hermvdbeek" xr:uid="{A70EF70D-A7CA-489A-9A84-F66C2B710684}"/>
    <hyperlink ref="E264" r:id="rId786" display="https://twitter.com/hermvdbeek/status/720718588647251972" xr:uid="{7DCFBAB9-28B7-4639-A251-BC3ED66969D2}"/>
    <hyperlink ref="O264" r:id="rId787" display="https://pbs.twimg.com/profile_images/3481397109/ab4243c43a6b51f42c9e99664026c1a1_normal.jpeg" xr:uid="{411385CC-14C8-44F9-8C67-D1B173DF2562}"/>
    <hyperlink ref="B265" r:id="rId788" display="https://twitter.com/AgnesGrange" xr:uid="{260B63AB-511A-4D8C-A7FF-486CED2816BF}"/>
    <hyperlink ref="E265" r:id="rId789" display="https://twitter.com/AgnesGrange/status/720718946375176193" xr:uid="{0A5E11D3-E37E-4485-9678-D70CE07674B5}"/>
    <hyperlink ref="O265" r:id="rId790" display="https://pbs.twimg.com/profile_images/721092664930779137/ztqd4vFK_normal.jpg" xr:uid="{26A4CE3A-81B7-4B0F-B51A-2F54984B31DC}"/>
    <hyperlink ref="B266" r:id="rId791" display="https://twitter.com/willempoterman" xr:uid="{584F00EA-E3BA-4D35-ACAA-B57FC00046DD}"/>
    <hyperlink ref="E266" r:id="rId792" display="https://twitter.com/willempoterman/status/720720390004326400" xr:uid="{056F381B-D8F4-4B60-8EC9-7C77CAC2C56A}"/>
    <hyperlink ref="O266" r:id="rId793" display="https://pbs.twimg.com/profile_images/578308237197488128/jHoPuLF7_normal.jpeg" xr:uid="{0077EBF8-366C-419F-9B77-7814914E26A2}"/>
    <hyperlink ref="B267" r:id="rId794" display="https://twitter.com/AbockAngela" xr:uid="{D042995B-7596-4517-8FC0-F812BFD11AB1}"/>
    <hyperlink ref="E267" r:id="rId795" display="https://twitter.com/AbockAngela/status/720720640467169280" xr:uid="{327F3BC4-B0D0-4314-8615-FFFD8F3E1490}"/>
    <hyperlink ref="O267" r:id="rId796" display="https://abs.twimg.com/sticky/default_profile_images/default_profile_1_normal.png" xr:uid="{A22B2D32-7F44-4163-B613-4CB51FABCCEB}"/>
    <hyperlink ref="B268" r:id="rId797" display="https://twitter.com/IT2Industry" xr:uid="{FA3C8806-8B0A-45A0-AF5B-4A41123C6DF3}"/>
    <hyperlink ref="E268" r:id="rId798" display="https://twitter.com/IT2Industry/status/720727138379382784" xr:uid="{1DCD32A0-255F-4574-85BA-F07738F63BC2}"/>
    <hyperlink ref="F268" r:id="rId799" xr:uid="{183D9038-993E-4080-8EC5-C19102DB30D9}"/>
    <hyperlink ref="O268" r:id="rId800" display="https://pbs.twimg.com/profile_images/489403559394304001/8SQlWWA1_normal.jpeg" xr:uid="{6AC25061-84C7-4E10-83CB-F6ACFE2B81AA}"/>
    <hyperlink ref="B269" r:id="rId801" display="https://twitter.com/m_biscarrat" xr:uid="{0AA3CE77-D22A-4335-886F-354751E22F10}"/>
    <hyperlink ref="E269" r:id="rId802" display="https://twitter.com/m_biscarrat/status/720731121290502148" xr:uid="{FBA990C0-C0D2-43AA-806F-0CB0D8536262}"/>
    <hyperlink ref="O269" r:id="rId803" display="https://pbs.twimg.com/profile_images/699724829713428484/rUT0r7Dq_normal.jpg" xr:uid="{FE4725DE-EC8A-4270-8264-16F538D03DF6}"/>
    <hyperlink ref="B270" r:id="rId804" display="https://twitter.com/RolandKnoor" xr:uid="{E1FF03B0-D538-46C2-8587-156732C43645}"/>
    <hyperlink ref="E270" r:id="rId805" display="https://twitter.com/RolandKnoor/status/720732289777430528" xr:uid="{20CC372C-037C-499C-8E06-5D127055FB12}"/>
    <hyperlink ref="O270" r:id="rId806" display="https://pbs.twimg.com/profile_images/3131255869/66d4286d22da313e15d729036f46103d_normal.jpeg" xr:uid="{B3B3B7E1-81F3-4030-A536-F335D31B4215}"/>
    <hyperlink ref="B271" r:id="rId807" display="https://twitter.com/JulienGre38" xr:uid="{9CEED510-E3EF-43A7-95BA-1D4D76D0D3A6}"/>
    <hyperlink ref="E271" r:id="rId808" display="https://twitter.com/JulienGre38/status/720737830717300736" xr:uid="{369B871A-655B-4848-8E25-0E27A4BFA588}"/>
    <hyperlink ref="O271" r:id="rId809" display="https://pbs.twimg.com/profile_images/618126359622221824/GH4y7y_J_normal.jpg" xr:uid="{62F9A00E-8530-4630-B3F4-FA8ED5234D4E}"/>
    <hyperlink ref="B272" r:id="rId810" display="https://twitter.com/QuickFindsIn" xr:uid="{E5B09F9D-34C1-44F6-8EDD-C07C6CA36D07}"/>
    <hyperlink ref="E272" r:id="rId811" display="https://twitter.com/QuickFindsIn/status/720775652371083264" xr:uid="{784577D3-F391-4175-8CAE-7A33CE8BD8BA}"/>
    <hyperlink ref="O272" r:id="rId812" display="https://pbs.twimg.com/profile_images/591951396217327616/HbcCX2zX_normal.png" xr:uid="{6005253E-8C04-483C-8419-B3D5FB8F9E02}"/>
    <hyperlink ref="B273" r:id="rId813" display="https://twitter.com/H_IT_D" xr:uid="{29E5EE64-FFA2-44DA-9087-E71683E13111}"/>
    <hyperlink ref="E273" r:id="rId814" display="https://twitter.com/H_IT_D/status/720792558176055296" xr:uid="{F1CED72E-3EAE-4664-A44F-038DAF14F72F}"/>
    <hyperlink ref="O273" r:id="rId815" display="https://pbs.twimg.com/profile_images/662723326096224256/5V4KH9_O_normal.jpg" xr:uid="{E4E90F9A-8515-4E94-BC32-27939E2C6E2B}"/>
    <hyperlink ref="B274" r:id="rId816" display="https://twitter.com/QuickFindsIn" xr:uid="{E482A90C-BDDD-4001-BC0A-113EFD217682}"/>
    <hyperlink ref="E274" r:id="rId817" display="https://twitter.com/QuickFindsIn/status/720793776101326848" xr:uid="{F7DD327C-C788-4BEF-A5B0-3E1488626FC8}"/>
    <hyperlink ref="O274" r:id="rId818" display="https://pbs.twimg.com/profile_images/591951396217327616/HbcCX2zX_normal.png" xr:uid="{26D7FDA8-13F7-4225-A0E0-855D928C5168}"/>
    <hyperlink ref="B275" r:id="rId819" display="https://twitter.com/INDIZbot" xr:uid="{5C3F2E67-AC24-47FB-B48F-2B6F9A6067F2}"/>
    <hyperlink ref="E275" r:id="rId820" display="https://twitter.com/INDIZbot/status/720793982830317569" xr:uid="{49043973-0308-457A-8B78-C32BD6AB7900}"/>
    <hyperlink ref="O275" r:id="rId821" display="https://pbs.twimg.com/profile_images/645716711723925506/t5G0qOS6_normal.jpg" xr:uid="{F251FC86-EB51-4A6E-A9C6-8DAF580BAA9A}"/>
    <hyperlink ref="B276" r:id="rId822" display="https://twitter.com/condet020274" xr:uid="{102A30D2-AA6C-4091-8421-3D46BFB18425}"/>
    <hyperlink ref="E276" r:id="rId823" display="https://twitter.com/condet020274/status/720806721535479809" xr:uid="{44501B71-1DD3-4724-9B49-989BD3F2A993}"/>
    <hyperlink ref="O276" r:id="rId824" display="https://pbs.twimg.com/profile_images/507399803509026816/KdF-WSKm_normal.jpeg" xr:uid="{7B01CBA1-09E9-4EEE-80F7-4F06FB2F7BBC}"/>
    <hyperlink ref="B277" r:id="rId825" display="https://twitter.com/bamitav" xr:uid="{8EFD952D-0E94-4A6F-8C37-2948B63D2E65}"/>
    <hyperlink ref="E277" r:id="rId826" display="https://twitter.com/bamitav/status/720824880870989825" xr:uid="{659D0430-B612-46F4-B54A-040D73A4FC4E}"/>
    <hyperlink ref="O277" r:id="rId827" display="https://pbs.twimg.com/profile_images/672794348442877952/m6Is-Nrc_normal.jpg" xr:uid="{85DA30A3-B313-400E-B94C-980ED52F8610}"/>
    <hyperlink ref="B278" r:id="rId828" display="https://twitter.com/DataCentreUG" xr:uid="{761C3D9B-DD6D-43B8-86C8-F4ADBABD222D}"/>
    <hyperlink ref="E278" r:id="rId829" display="https://twitter.com/DataCentreUG/status/720832531952640000" xr:uid="{A8BB99C9-6B4C-4F4B-8191-631781D67317}"/>
    <hyperlink ref="O278" r:id="rId830" display="https://pbs.twimg.com/profile_images/509268388779020288/SUPeF7yO_normal.png" xr:uid="{778A64FE-7934-4D06-9EBF-790C3138009E}"/>
    <hyperlink ref="B279" r:id="rId831" display="https://twitter.com/josebaghdad" xr:uid="{1DE1C666-CF67-46E6-AEE3-AC5BA7B9F3C7}"/>
    <hyperlink ref="E279" r:id="rId832" display="https://twitter.com/josebaghdad/status/720834662436745217" xr:uid="{C5737015-E2E8-4419-8445-3EF43B272DA5}"/>
    <hyperlink ref="O279" r:id="rId833" display="https://pbs.twimg.com/profile_images/697158646841610240/jndBu0u2_normal.jpg" xr:uid="{09F9CE36-28BA-4878-BB9A-A890445A6698}"/>
    <hyperlink ref="B280" r:id="rId834" display="https://twitter.com/joworf" xr:uid="{B0095142-10E3-41EA-81D5-FF7953D36FC5}"/>
    <hyperlink ref="E280" r:id="rId835" display="https://twitter.com/joworf/status/720835389850693632" xr:uid="{27BBC6AE-ACF5-4307-BD20-3365F21DE917}"/>
    <hyperlink ref="O280" r:id="rId836" display="https://pbs.twimg.com/profile_images/378800000730237374/61248132aea1de8788bfabe0f46145e3_normal.jpeg" xr:uid="{059DC95E-BD5E-41B9-A005-384887DEE682}"/>
    <hyperlink ref="B281" r:id="rId837" display="https://twitter.com/TheSDDC" xr:uid="{87CBC936-4E3D-4491-8F9B-F77F41E2BB63}"/>
    <hyperlink ref="E281" r:id="rId838" display="https://twitter.com/TheSDDC/status/720836289025576960" xr:uid="{8D307284-312D-458C-A2E7-A1286523C8CB}"/>
    <hyperlink ref="O281" r:id="rId839" display="https://pbs.twimg.com/profile_images/378800000177102465/9fe3601a963678befe4f668ccae2773f_normal.png" xr:uid="{BDB57E7E-506C-4634-9066-94CE83A8AF72}"/>
    <hyperlink ref="B282" r:id="rId840" display="https://twitter.com/bastihollmann" xr:uid="{421FB275-CB48-498D-86FE-336A4F447BA3}"/>
    <hyperlink ref="E282" r:id="rId841" display="https://twitter.com/bastihollmann/status/720843543644733443" xr:uid="{01A71522-DE61-49E3-8260-1E2D6226EF04}"/>
    <hyperlink ref="O282" r:id="rId842" display="https://pbs.twimg.com/profile_images/593054907936186369/zjxLhMTm_normal.jpg" xr:uid="{2335B1A6-852F-45C3-B2F1-2B7C97148134}"/>
    <hyperlink ref="B283" r:id="rId843" display="https://twitter.com/bastihollmann" xr:uid="{88EF017C-44A5-45EB-80C3-BBA545113268}"/>
    <hyperlink ref="E283" r:id="rId844" display="https://twitter.com/bastihollmann/status/720844059137290240" xr:uid="{4EA007BE-D005-4D04-9662-80ECBA0ACFC5}"/>
    <hyperlink ref="O283" r:id="rId845" display="https://pbs.twimg.com/profile_images/593054907936186369/zjxLhMTm_normal.jpg" xr:uid="{EE409D82-739E-42BD-8084-2CEE82BE7F53}"/>
    <hyperlink ref="B284" r:id="rId846" display="https://twitter.com/INDIZbot" xr:uid="{6711D7A1-52E4-4CE7-971E-551408E138DF}"/>
    <hyperlink ref="E284" r:id="rId847" display="https://twitter.com/INDIZbot/status/720844386670481409" xr:uid="{076888DB-A690-41AA-B27A-177E9FD1B2D0}"/>
    <hyperlink ref="O284" r:id="rId848" display="https://pbs.twimg.com/profile_images/645716711723925506/t5G0qOS6_normal.jpg" xr:uid="{70A0CCB6-154E-467C-9C3B-084833AE5128}"/>
    <hyperlink ref="B285" r:id="rId849" display="https://twitter.com/INDIZbot" xr:uid="{E84D1F74-ED01-4290-B586-8681BCEE117F}"/>
    <hyperlink ref="E285" r:id="rId850" display="https://twitter.com/INDIZbot/status/720844432128389120" xr:uid="{F0F322A8-A2DD-4A76-908F-368C1B86D08F}"/>
    <hyperlink ref="O285" r:id="rId851" display="https://pbs.twimg.com/profile_images/645716711723925506/t5G0qOS6_normal.jpg" xr:uid="{D98883D3-C272-4622-AE5D-7CE8306DADA6}"/>
    <hyperlink ref="B286" r:id="rId852" display="https://twitter.com/DrBorisOtto" xr:uid="{D9E12A4C-5FD8-472E-A5B4-FA0FC3845322}"/>
    <hyperlink ref="E286" r:id="rId853" display="https://twitter.com/DrBorisOtto/status/720847717480595456" xr:uid="{F66B2F92-F392-41CD-BBED-81F520421579}"/>
    <hyperlink ref="O286" r:id="rId854" display="https://pbs.twimg.com/profile_images/423916767895769089/b3FaQ9P4_normal.jpeg" xr:uid="{B90A60AD-7C9E-4CD4-BA7C-2E57105DD149}"/>
    <hyperlink ref="B287" r:id="rId855" display="https://twitter.com/nicolaikr" xr:uid="{88B2451C-3DDF-430A-9CA9-962FFB8997C8}"/>
    <hyperlink ref="E287" r:id="rId856" display="https://twitter.com/nicolaikr/status/720848533058785280" xr:uid="{0873A803-D67F-4BF9-8BB0-D11CDA13F4C4}"/>
    <hyperlink ref="O287" r:id="rId857" display="https://pbs.twimg.com/profile_images/709356351768686592/BWnChYSq_normal.jpg" xr:uid="{F53C9DB7-D33E-4E9E-A61B-24C1184D2A87}"/>
    <hyperlink ref="B288" r:id="rId858" display="https://twitter.com/marcusreif" xr:uid="{C47FA9D1-AB0C-46DD-B91B-FAAB85D891A1}"/>
    <hyperlink ref="E288" r:id="rId859" display="https://twitter.com/marcusreif/status/720850588389347332" xr:uid="{AF167522-ED05-4592-8698-B52CC32A46C2}"/>
    <hyperlink ref="O288" r:id="rId860" display="https://pbs.twimg.com/profile_images/712549274660298752/BZvASwsz_normal.jpg" xr:uid="{381F77D6-1FC9-4F1F-8D65-910711AC0B1A}"/>
    <hyperlink ref="B289" r:id="rId861" display="https://twitter.com/PChbx" xr:uid="{CB551E84-B270-4782-AC4C-DB42148207FA}"/>
    <hyperlink ref="E289" r:id="rId862" display="https://twitter.com/PChbx/status/720850722300932096" xr:uid="{97103349-8974-4222-B539-431DF2D9340C}"/>
    <hyperlink ref="O289" r:id="rId863" display="https://pbs.twimg.com/profile_images/456733287579258880/TyCf6C1b_normal.png" xr:uid="{ED7B50AC-155B-4DDF-BA8C-9C061B93C67F}"/>
    <hyperlink ref="B290" r:id="rId864" display="https://twitter.com/hirschtec" xr:uid="{47AC6848-431D-46AE-9988-98E961E54A46}"/>
    <hyperlink ref="E290" r:id="rId865" display="https://twitter.com/hirschtec/status/720853546766184448" xr:uid="{64B86760-56CA-4726-A2F8-3A2F78A4BDC2}"/>
    <hyperlink ref="O290" r:id="rId866" display="https://pbs.twimg.com/profile_images/454550195015925761/IwecjfOb_normal.jpeg" xr:uid="{DBB2EA2D-5ADB-4CFE-A350-CF6FE0535634}"/>
    <hyperlink ref="B291" r:id="rId867" display="https://twitter.com/stefan_hagen" xr:uid="{7C3263DB-E653-4243-A0D2-88750657FA1C}"/>
    <hyperlink ref="E291" r:id="rId868" display="https://twitter.com/stefan_hagen/status/720853574452793344" xr:uid="{5A355460-6529-450A-90D6-1109BF77722B}"/>
    <hyperlink ref="O291" r:id="rId869" display="https://pbs.twimg.com/profile_images/670963753677029376/auLx_NC4_normal.jpg" xr:uid="{1899DB38-71AB-4011-A8A3-D0775AA9CC12}"/>
    <hyperlink ref="B292" r:id="rId870" display="https://twitter.com/VernierB" xr:uid="{3CFE28D0-F4C6-4C20-B94A-A2F071237A37}"/>
    <hyperlink ref="E292" r:id="rId871" display="https://twitter.com/VernierB/status/720854537448214528" xr:uid="{197B536E-134A-4375-9629-5E79A21B94B8}"/>
    <hyperlink ref="O292" r:id="rId872" display="https://pbs.twimg.com/profile_images/3247582182/3d83644b326395fb82d61be288193eae_normal.jpeg" xr:uid="{8F519D05-1B5B-4AE1-B212-7A40A35CEC51}"/>
    <hyperlink ref="B293" r:id="rId873" display="https://twitter.com/SALIM__S" xr:uid="{46D941E7-D774-4FEA-A47C-B29F3107C193}"/>
    <hyperlink ref="E293" r:id="rId874" display="https://twitter.com/SALIM__S/status/720855499420225536" xr:uid="{365B328C-73D2-4B9C-8B70-BCF2D16C6D63}"/>
    <hyperlink ref="O293" r:id="rId875" display="https://pbs.twimg.com/profile_images/707651451284287488/OJug5o2o_normal.jpg" xr:uid="{3720D1D3-A8DC-404D-9ECF-255AD30CDF9F}"/>
    <hyperlink ref="B294" r:id="rId876" display="https://twitter.com/catkinEU" xr:uid="{B31FD7A3-6B65-43A8-8547-7E7D4751F346}"/>
    <hyperlink ref="E294" r:id="rId877" display="https://twitter.com/catkinEU/status/720855843793543168" xr:uid="{9A8A2A17-0DBA-4896-95CC-828477D74735}"/>
    <hyperlink ref="O294" r:id="rId878" display="https://pbs.twimg.com/profile_images/604338428227010560/6jzSa8us_normal.png" xr:uid="{98EBCECF-9141-4F73-92C4-526830F73965}"/>
    <hyperlink ref="B295" r:id="rId879" display="https://twitter.com/UL_Commercial" xr:uid="{C8AE93C4-AB02-4725-931D-BF788B176E8D}"/>
    <hyperlink ref="E295" r:id="rId880" display="https://twitter.com/UL_Commercial/status/720856183439908865" xr:uid="{755412E3-4C52-4F49-984D-B7BE3B19E1CC}"/>
    <hyperlink ref="O295" r:id="rId881" display="https://pbs.twimg.com/profile_images/661569725550469124/-Uzw8rQt_normal.jpg" xr:uid="{C2411A4B-3E2A-4A98-989F-DC9320DAE5F6}"/>
    <hyperlink ref="B296" r:id="rId882" display="https://twitter.com/ULdialogue" xr:uid="{AC202768-11D1-4EC1-8277-0C34DC8C7FD6}"/>
    <hyperlink ref="E296" r:id="rId883" display="https://twitter.com/ULdialogue/status/720856184471683073" xr:uid="{60E5BB2D-6253-4DDC-9507-E46758854DFB}"/>
    <hyperlink ref="O296" r:id="rId884" display="https://pbs.twimg.com/profile_images/458696399211606016/rUZELqAc_normal.jpeg" xr:uid="{D7556C3C-3468-4C9F-BAB9-381233D71059}"/>
    <hyperlink ref="B297" r:id="rId885" display="https://twitter.com/INDIZbot" xr:uid="{C9744BEE-1DEE-4592-B27F-C162B86868D2}"/>
    <hyperlink ref="E297" r:id="rId886" display="https://twitter.com/INDIZbot/status/720856974011670529" xr:uid="{93DDFB10-D12F-4B62-B8C6-1808A3724481}"/>
    <hyperlink ref="O297" r:id="rId887" display="https://pbs.twimg.com/profile_images/645716711723925506/t5G0qOS6_normal.jpg" xr:uid="{DD40D951-4B7F-4269-BAF9-27C57EB74D2D}"/>
    <hyperlink ref="B298" r:id="rId888" display="https://twitter.com/INDIZbot" xr:uid="{0167A18B-046B-4DBB-BF97-08FB1E515A35}"/>
    <hyperlink ref="E298" r:id="rId889" display="https://twitter.com/INDIZbot/status/720857023231832066" xr:uid="{7A3234A6-04D6-4592-B643-86102FAAA7BE}"/>
    <hyperlink ref="O298" r:id="rId890" display="https://pbs.twimg.com/profile_images/645716711723925506/t5G0qOS6_normal.jpg" xr:uid="{806EAF0B-D5ED-42E2-80A1-6BF0B1E8385B}"/>
    <hyperlink ref="B299" r:id="rId891" display="https://twitter.com/AKTIVWirtschaft" xr:uid="{9045B0D0-C1EF-4BB8-A89E-A7CE2572E46F}"/>
    <hyperlink ref="E299" r:id="rId892" display="https://twitter.com/AKTIVWirtschaft/status/720857160771461121" xr:uid="{E02A9CF4-CBB8-46CD-BA26-1D115F9DB23F}"/>
    <hyperlink ref="O299" r:id="rId893" display="https://pbs.twimg.com/profile_images/562224809635893251/EqGfRP_d_normal.png" xr:uid="{AC9061D7-117D-4449-A049-55CE761AE060}"/>
    <hyperlink ref="B300" r:id="rId894" display="https://twitter.com/samuel_vuadens" xr:uid="{8B1F6EDD-8D0C-4392-A625-66AB88B2C7BF}"/>
    <hyperlink ref="E300" r:id="rId895" display="https://twitter.com/samuel_vuadens/status/720858129781489664" xr:uid="{4B3085EE-1168-493C-BC30-76D19BAF5AB6}"/>
    <hyperlink ref="O300" r:id="rId896" display="https://pbs.twimg.com/profile_images/645921258018725888/K6K3dJyf_normal.jpg" xr:uid="{F8ECAABD-DB37-442E-B12C-B1640FA25273}"/>
    <hyperlink ref="B301" r:id="rId897" display="https://twitter.com/TopsRP" xr:uid="{66A9747F-DD9B-497C-A32F-EA0379753D9E}"/>
    <hyperlink ref="E301" r:id="rId898" display="https://twitter.com/TopsRP/status/720860707080654849" xr:uid="{68723EDD-34B1-4350-A43F-DB33EA359048}"/>
    <hyperlink ref="O301" r:id="rId899" display="https://pbs.twimg.com/profile_images/3240405961/d15add510d44741aba20fbeab0ea49d2_normal.jpeg" xr:uid="{96019C6A-C1F2-4BBD-B05D-1463DB6BFDB6}"/>
    <hyperlink ref="B302" r:id="rId900" display="https://twitter.com/EnergyPages" xr:uid="{8FD44BBA-AF46-4320-92FC-8572F9F43515}"/>
    <hyperlink ref="E302" r:id="rId901" display="https://twitter.com/EnergyPages/status/720862239058632704" xr:uid="{D41EADA5-EB23-4E46-A664-2F47E9DD5097}"/>
    <hyperlink ref="O302" r:id="rId902" display="https://pbs.twimg.com/profile_images/624496248704270336/obg6_pOk_normal.png" xr:uid="{70A7E755-EB57-4AD2-9106-F391D9330816}"/>
    <hyperlink ref="B303" r:id="rId903" display="https://twitter.com/nicolaikr" xr:uid="{3F7906B5-61A1-4C13-B435-2E6928800C5C}"/>
    <hyperlink ref="E303" r:id="rId904" display="https://twitter.com/nicolaikr/status/720862378263326720" xr:uid="{AA632631-3252-49AF-AED5-04350B3D585A}"/>
    <hyperlink ref="O303" r:id="rId905" display="https://pbs.twimg.com/profile_images/709356351768686592/BWnChYSq_normal.jpg" xr:uid="{C96B1EEA-334B-406A-99D3-9AE6393F8051}"/>
    <hyperlink ref="B304" r:id="rId906" display="https://twitter.com/kommoptimierer" xr:uid="{9504EC6B-2088-4A0E-8214-F46AACA7E971}"/>
    <hyperlink ref="E304" r:id="rId907" display="https://twitter.com/kommoptimierer/status/720864244690857986" xr:uid="{FBD2FB7B-74B5-4430-AF71-1551E5E23E60}"/>
    <hyperlink ref="O304" r:id="rId908" display="https://pbs.twimg.com/profile_images/541146126158536704/IYardufS_normal.jpeg" xr:uid="{5627FFC5-F81B-4C38-A40B-F5FE624EFF1E}"/>
    <hyperlink ref="B305" r:id="rId909" display="https://twitter.com/INDIZbot" xr:uid="{E5D858A9-5C26-46E0-AE90-A157EE0EB0C9}"/>
    <hyperlink ref="E305" r:id="rId910" display="https://twitter.com/INDIZbot/status/720864522014031872" xr:uid="{8936B74E-804B-47C8-8B02-DC15A771DED6}"/>
    <hyperlink ref="O305" r:id="rId911" display="https://pbs.twimg.com/profile_images/645716711723925506/t5G0qOS6_normal.jpg" xr:uid="{61AE97AE-A44E-47DB-939B-13BE820E538B}"/>
    <hyperlink ref="B306" r:id="rId912" display="https://twitter.com/LWalendy" xr:uid="{16A2E695-78DB-4740-AB53-E78229D41EEB}"/>
    <hyperlink ref="E306" r:id="rId913" display="https://twitter.com/LWalendy/status/720865494945767428" xr:uid="{A374C9BA-ECE1-4819-A12A-243F5AD62DEE}"/>
    <hyperlink ref="O306" r:id="rId914" display="https://pbs.twimg.com/profile_images/606758558391246848/OeI4jq0j_normal.jpg" xr:uid="{0324C5FE-B724-40F9-A284-83B848F87BC4}"/>
    <hyperlink ref="B307" r:id="rId915" display="https://twitter.com/bengolder" xr:uid="{6E272FD5-8EF4-4741-BB95-B3DEF81D6FA1}"/>
    <hyperlink ref="E307" r:id="rId916" display="https://twitter.com/bengolder/status/720866470117269506" xr:uid="{EE04E32F-FC12-4500-9884-E1639DB0B15F}"/>
    <hyperlink ref="O307" r:id="rId917" display="https://pbs.twimg.com/profile_images/719524881973571584/Qe9-Bm8r_normal.jpg" xr:uid="{65686FA0-62EB-4B0B-BE39-7AA013D88AD4}"/>
    <hyperlink ref="B308" r:id="rId918" display="https://twitter.com/ThorstenRamus" xr:uid="{580F7772-4A80-4A77-92CC-EBAECB3D3C75}"/>
    <hyperlink ref="E308" r:id="rId919" display="https://twitter.com/ThorstenRamus/status/720867050378268672" xr:uid="{C3C102C0-E08A-41A5-BE8A-C57B34CFB318}"/>
    <hyperlink ref="O308" r:id="rId920" display="https://pbs.twimg.com/profile_images/649160019590684676/25rXh6pN_normal.jpg" xr:uid="{E6B76087-8EBC-4D1C-A49C-0A262F6A4628}"/>
    <hyperlink ref="B309" r:id="rId921" display="https://twitter.com/MichaelleSalmon" xr:uid="{6A888946-44A0-42FB-9834-E71B9146FA9C}"/>
    <hyperlink ref="E309" r:id="rId922" display="https://twitter.com/MichaelleSalmon/status/720867466264444928" xr:uid="{4F81869F-5486-4E24-9649-6617411E49ED}"/>
    <hyperlink ref="O309" r:id="rId923" display="https://pbs.twimg.com/profile_images/565783312728215552/VwNqFg6U_normal.jpeg" xr:uid="{6D5087F6-7840-48B4-8717-77D0AEF023A2}"/>
    <hyperlink ref="B310" r:id="rId924" display="https://twitter.com/StipoNad" xr:uid="{CD90FD18-204A-4A77-813A-F295B6A5C372}"/>
    <hyperlink ref="E310" r:id="rId925" display="https://twitter.com/StipoNad/status/720867841117782016" xr:uid="{4875C25D-8371-4731-A27A-C8A08FA1E12A}"/>
    <hyperlink ref="O310" r:id="rId926" display="https://pbs.twimg.com/profile_images/656779070798172160/TNRHncFi_normal.jpg" xr:uid="{A6B7CB89-9AB5-4E5A-B76E-0172580157A0}"/>
    <hyperlink ref="B311" r:id="rId927" display="https://twitter.com/VDMAonline" xr:uid="{CC6CDE23-67D9-40F3-802D-5D113F09AB29}"/>
    <hyperlink ref="E311" r:id="rId928" display="https://twitter.com/VDMAonline/status/720869360458305536" xr:uid="{1DD5ECA7-89B7-45B5-A4DE-614A9BF3BE5E}"/>
    <hyperlink ref="O311" r:id="rId929" display="https://pbs.twimg.com/profile_images/609375510158774272/P5glOk4b_normal.jpg" xr:uid="{0507B335-7FB7-4633-AD65-4CF4BC07C73F}"/>
    <hyperlink ref="B312" r:id="rId930" display="https://twitter.com/akrv1" xr:uid="{2676CE87-E508-4B1D-A165-84793A8E0D7F}"/>
    <hyperlink ref="E312" r:id="rId931" display="https://twitter.com/akrv1/status/720869393433952259" xr:uid="{05B3841D-E7FC-418C-B774-A32731737B92}"/>
    <hyperlink ref="O312" r:id="rId932" display="https://pbs.twimg.com/profile_images/550881746330218496/d6oxhtaL_normal.jpeg" xr:uid="{3209EFA5-6477-453B-A5DB-74BCEC847CA0}"/>
    <hyperlink ref="B313" r:id="rId933" display="https://twitter.com/ZuliefermarktDE" xr:uid="{47569F10-61DE-4A7D-AE21-5A19D950A319}"/>
    <hyperlink ref="E313" r:id="rId934" display="https://twitter.com/ZuliefermarktDE/status/720870222584893440" xr:uid="{A6F5508C-B604-40C6-BFB0-8703BEE3BF5B}"/>
    <hyperlink ref="O313" r:id="rId935" display="https://pbs.twimg.com/profile_images/621343128902107136/CU4aO3wi_normal.jpg" xr:uid="{A94D255C-835D-4871-931E-C2BB6B10D88C}"/>
    <hyperlink ref="B314" r:id="rId936" display="https://twitter.com/cnavi" xr:uid="{A99A40C1-2662-460B-AB41-4E143753C084}"/>
    <hyperlink ref="E314" r:id="rId937" display="https://twitter.com/cnavi/status/720870564391309312" xr:uid="{98FFA31A-123B-46D0-B79F-785F8E239718}"/>
    <hyperlink ref="O314" r:id="rId938" display="https://pbs.twimg.com/profile_images/702785921767182336/QzXgMAtq_normal.jpg" xr:uid="{B34441D3-CE7C-48C0-8B7D-014A0180B272}"/>
    <hyperlink ref="B315" r:id="rId939" display="https://twitter.com/retotrinkler" xr:uid="{58AA29BA-188C-41B9-ACA6-573F6DFDE9FC}"/>
    <hyperlink ref="E315" r:id="rId940" display="https://twitter.com/retotrinkler/status/720871166517256192" xr:uid="{A759B646-9996-41FE-9597-9B729A97D47A}"/>
    <hyperlink ref="O315" r:id="rId941" display="https://pbs.twimg.com/profile_images/706054603394183168/AQEIODuv_normal.jpg" xr:uid="{1DF4E02F-C5F2-4EC8-B369-BFE1BE62DC29}"/>
    <hyperlink ref="B316" r:id="rId942" display="https://twitter.com/INDIZbot" xr:uid="{7480DA56-D9A8-40C5-85EF-4440501BA6F4}"/>
    <hyperlink ref="E316" r:id="rId943" display="https://twitter.com/INDIZbot/status/720872305459499008" xr:uid="{E3DDF3CF-C2B1-4798-A6CB-2D6586EEB0AC}"/>
    <hyperlink ref="O316" r:id="rId944" display="https://pbs.twimg.com/profile_images/645716711723925506/t5G0qOS6_normal.jpg" xr:uid="{2646772D-AAE8-4568-83C2-48EC4884536E}"/>
    <hyperlink ref="B317" r:id="rId945" display="https://twitter.com/digimaweb" xr:uid="{927CAA7E-BA8E-4055-98E6-8E8BBBAC7F40}"/>
    <hyperlink ref="E317" r:id="rId946" display="https://twitter.com/digimaweb/status/720872353354227712" xr:uid="{84C902B9-8DAE-4CB3-944F-DD9035FC0F0B}"/>
    <hyperlink ref="O317" r:id="rId947" display="https://pbs.twimg.com/profile_images/378800000820155178/6664d84a949d3e421809fd63b22fdc6f_normal.jpeg" xr:uid="{40BA4262-9FD6-44FC-8480-8A8588FEC6ED}"/>
    <hyperlink ref="B318" r:id="rId948" display="https://twitter.com/EnergyDemand" xr:uid="{7BE7155A-AE9F-4996-B466-9C44AD603B5D}"/>
    <hyperlink ref="E318" r:id="rId949" display="https://twitter.com/EnergyDemand/status/720872459646291968" xr:uid="{80C557F2-CE92-4C48-801E-F2E44426D01E}"/>
    <hyperlink ref="O318" r:id="rId950" display="https://pbs.twimg.com/profile_images/2183737733/Unknown-3_normal.png" xr:uid="{1831743C-354D-4AEB-B6FF-2B01039BA72A}"/>
    <hyperlink ref="B319" r:id="rId951" display="https://twitter.com/JuLoewe" xr:uid="{6927162A-7384-42E5-A78B-BB8AF07C7660}"/>
    <hyperlink ref="E319" r:id="rId952" display="https://twitter.com/JuLoewe/status/720873916575526912" xr:uid="{9EFD003C-FBC6-4A4D-B239-14F08BC8C1D6}"/>
    <hyperlink ref="N319" r:id="rId953" xr:uid="{F1C3C074-D0A5-4894-B2E1-80BA8473BF20}"/>
    <hyperlink ref="O319" r:id="rId954" display="https://pbs.twimg.com/profile_images/609682170458804225/WAAXyFob_normal.jpg" xr:uid="{B763BC07-D4FE-4D66-99F3-6B35E6D6570A}"/>
    <hyperlink ref="B320" r:id="rId955" display="https://twitter.com/LightingnLife" xr:uid="{05F06BEF-2F14-4ED9-A9AB-5F78344AA803}"/>
    <hyperlink ref="E320" r:id="rId956" display="https://twitter.com/LightingnLife/status/720874168065986561" xr:uid="{C3F3F248-937D-483F-BB7C-D15EFE48E24E}"/>
    <hyperlink ref="O320" r:id="rId957" display="https://pbs.twimg.com/profile_images/693010392457613312/Rc-X9TLT_normal.jpg" xr:uid="{DB5A38BE-7F12-4D0C-8734-DA5C7F36E64E}"/>
    <hyperlink ref="B321" r:id="rId958" display="https://twitter.com/SvenMul" xr:uid="{E07BC5E8-E4E3-4D9B-B9BF-ED869C982A15}"/>
    <hyperlink ref="E321" r:id="rId959" display="https://twitter.com/SvenMul/status/720875289497047040" xr:uid="{68AAC6E2-4D9B-44AE-8C98-C31C08386C44}"/>
    <hyperlink ref="O321" r:id="rId960" display="https://pbs.twimg.com/profile_images/614378514989629440/hsR4Wlja_normal.jpg" xr:uid="{2FBB89C6-F644-4A10-9754-2B3CC6EE070F}"/>
    <hyperlink ref="B322" r:id="rId961" display="https://twitter.com/FlashTweet" xr:uid="{5958A940-C0ED-44E8-9ACD-1FD3E34AEBA5}"/>
    <hyperlink ref="E322" r:id="rId962" display="https://twitter.com/FlashTweet/status/720875435798573056" xr:uid="{8C7A9159-6E9B-46EB-9E35-D53DB709E3B5}"/>
    <hyperlink ref="O322" r:id="rId963" display="https://pbs.twimg.com/profile_images/708264103798824960/BACwIYDp_normal.jpg" xr:uid="{FDE5024A-7E67-4384-B64A-78AA73896D2A}"/>
    <hyperlink ref="B323" r:id="rId964" display="https://twitter.com/VDI_Tagungen" xr:uid="{7581BF07-A7B3-4E55-8DCD-BA432B2D778C}"/>
    <hyperlink ref="E323" r:id="rId965" display="https://twitter.com/VDI_Tagungen/status/720876965255753728" xr:uid="{D5E1B938-24F4-468B-9198-1D613D096471}"/>
    <hyperlink ref="O323" r:id="rId966" display="https://pbs.twimg.com/profile_images/236201556/Logo_PPB_RGB_normal.jpg" xr:uid="{29D5A06B-45B8-48B1-BA57-9A809E7E3ABE}"/>
    <hyperlink ref="B324" r:id="rId967" display="https://twitter.com/INDIZbot" xr:uid="{39689CE5-C960-4A99-B8E5-AD4E205F281F}"/>
    <hyperlink ref="E324" r:id="rId968" display="https://twitter.com/INDIZbot/status/720877102866628608" xr:uid="{B48473AB-F6AD-4F9A-8D98-AC42435B704D}"/>
    <hyperlink ref="O324" r:id="rId969" display="https://pbs.twimg.com/profile_images/645716711723925506/t5G0qOS6_normal.jpg" xr:uid="{7A14B9EA-1C38-46E5-A6DB-23F190EB143E}"/>
    <hyperlink ref="B325" r:id="rId970" display="https://twitter.com/MarianKoeller" xr:uid="{1BD040E9-EFA2-4D7A-AB0A-FD9C10BEFB99}"/>
    <hyperlink ref="E325" r:id="rId971" display="https://twitter.com/MarianKoeller/status/720879118020005889" xr:uid="{7E3645FE-B1E0-4A93-AAB9-E2E6FD5DA4EF}"/>
    <hyperlink ref="O325" r:id="rId972" display="https://pbs.twimg.com/profile_images/701004613206433792/o4DJfA8-_normal.jpg" xr:uid="{0F5FF637-47DD-4A13-94C6-74430C76ECAD}"/>
    <hyperlink ref="B326" r:id="rId973" display="https://twitter.com/PierreMetivier" xr:uid="{D732EA17-B2B0-4217-AF27-4C6EC3201CB3}"/>
    <hyperlink ref="E326" r:id="rId974" display="https://twitter.com/PierreMetivier/status/720879305044045827" xr:uid="{57CA962F-616D-439F-A3C1-BE22F8AF528C}"/>
    <hyperlink ref="O326" r:id="rId975" display="https://pbs.twimg.com/profile_images/104510198/pierre_metivier_normal.jpg" xr:uid="{B881E012-62B2-4AD9-BE23-F626C027DEEE}"/>
    <hyperlink ref="B327" r:id="rId976" display="https://twitter.com/INDIZbot" xr:uid="{6D899BC3-59FF-49E1-8A23-496005E7A440}"/>
    <hyperlink ref="E327" r:id="rId977" display="https://twitter.com/INDIZbot/status/720879619365142528" xr:uid="{3320B499-124A-48E5-913D-6DA9952674F3}"/>
    <hyperlink ref="O327" r:id="rId978" display="https://pbs.twimg.com/profile_images/645716711723925506/t5G0qOS6_normal.jpg" xr:uid="{BA9A8BAC-8D37-4DD5-B643-3DA61EFECE34}"/>
    <hyperlink ref="B328" r:id="rId979" display="https://twitter.com/QBedos" xr:uid="{9AF70B45-6119-4A5C-8B6D-426D7F68B211}"/>
    <hyperlink ref="E328" r:id="rId980" display="https://twitter.com/QBedos/status/720879874651521026" xr:uid="{9CAFC838-87A5-4594-B965-F53C2EE1E9D7}"/>
    <hyperlink ref="O328" r:id="rId981" display="https://pbs.twimg.com/profile_images/707932715748876288/SDVwT7ct_normal.jpg" xr:uid="{74880CE3-174A-4B66-A249-52D5FAD43D5A}"/>
    <hyperlink ref="B329" r:id="rId982" display="https://twitter.com/rapifireio" xr:uid="{0FE93EC3-A3FC-4C81-B32F-B7CFB1E14634}"/>
    <hyperlink ref="E329" r:id="rId983" display="https://twitter.com/rapifireio/status/720880261265629184" xr:uid="{37B7E353-DA7A-4B94-BC18-01518E48C3A8}"/>
    <hyperlink ref="O329" r:id="rId984" display="https://pbs.twimg.com/profile_images/676700631248166912/ZVQvTezj_normal.png" xr:uid="{0EC5FFEF-3C8E-429C-AD95-C1FF94470E17}"/>
    <hyperlink ref="B330" r:id="rId985" display="https://twitter.com/TheAuditCompany" xr:uid="{77FC191B-A0F2-449D-B2EF-032469940D3D}"/>
    <hyperlink ref="E330" r:id="rId986" display="https://twitter.com/TheAuditCompany/status/720880517613096961" xr:uid="{DC0E1860-27B8-4FB0-B610-EF460720BCD2}"/>
    <hyperlink ref="O330" r:id="rId987" display="https://pbs.twimg.com/profile_images/633998643528368132/GDKsBAEc_normal.jpg" xr:uid="{2A4B72F5-98C4-4405-B2EC-DD45DED9D6F4}"/>
    <hyperlink ref="B331" r:id="rId988" display="https://twitter.com/catkinEU" xr:uid="{00CC231D-0505-440C-A9CC-A31995EF2874}"/>
    <hyperlink ref="E331" r:id="rId989" display="https://twitter.com/catkinEU/status/720880863773208576" xr:uid="{4DB861B9-BA76-4AD8-A5BB-78DBB91E8E35}"/>
    <hyperlink ref="O331" r:id="rId990" display="https://pbs.twimg.com/profile_images/604338428227010560/6jzSa8us_normal.png" xr:uid="{59624C67-44A1-41B0-B807-8C707C99DBCB}"/>
    <hyperlink ref="B332" r:id="rId991" display="https://twitter.com/docbroemer" xr:uid="{C8D0DF82-1430-4C0C-AC65-2F7FDDCE987C}"/>
    <hyperlink ref="E332" r:id="rId992" display="https://twitter.com/docbroemer/status/720881205030162433" xr:uid="{1BE22108-FD09-4DEE-9CEF-24AF15EC5226}"/>
    <hyperlink ref="O332" r:id="rId993" display="https://pbs.twimg.com/profile_images/659313711710994432/MhoVyL8j_normal.jpg" xr:uid="{937941FA-523D-49FB-A1B3-153661C8ED11}"/>
    <hyperlink ref="B333" r:id="rId994" display="https://twitter.com/sbernhardt" xr:uid="{33C229AC-AA3C-4652-ABEC-D15C498B664E}"/>
    <hyperlink ref="E333" r:id="rId995" display="https://twitter.com/sbernhardt/status/720881970738126848" xr:uid="{597793B4-E25A-4F3D-A372-C5A6F6C9A9E7}"/>
    <hyperlink ref="O333" r:id="rId996" display="https://pbs.twimg.com/profile_images/378800000496249418/bed3c508afeaf218c198e79d2c465c39_normal.png" xr:uid="{789728CE-D9E3-4E00-94C7-AD6C6977C0EB}"/>
    <hyperlink ref="B334" r:id="rId997" display="https://twitter.com/YJ_Vesco" xr:uid="{7203FB42-A39D-44F7-B848-422C9455A2D2}"/>
    <hyperlink ref="E334" r:id="rId998" display="https://twitter.com/YJ_Vesco/status/720882708067389441" xr:uid="{3FA94434-4CF8-4F81-AFF8-760E3D8439B9}"/>
    <hyperlink ref="O334" r:id="rId999" display="https://pbs.twimg.com/profile_images/378800000106181928/1a04a42f111dbef8009dee7b7a2cbb25_normal.jpeg" xr:uid="{9EA4022A-ECE1-4F3C-8AE5-E32E66064405}"/>
    <hyperlink ref="B335" r:id="rId1000" display="https://twitter.com/MEArbeitgeber" xr:uid="{DB7E3715-D438-47AC-9C25-A5AC447B7F35}"/>
    <hyperlink ref="E335" r:id="rId1001" display="https://twitter.com/MEArbeitgeber/status/720883123219607552" xr:uid="{BD697B36-63E5-4EEF-8448-D1D41EADDE6A}"/>
    <hyperlink ref="O335" r:id="rId1002" display="https://pbs.twimg.com/profile_images/572722352144666624/2G6VnJJx_normal.jpeg" xr:uid="{C3147898-58F7-4A3F-980F-752F9DB642B5}"/>
    <hyperlink ref="B336" r:id="rId1003" display="https://twitter.com/Gesamtmetall" xr:uid="{1E08A76A-258E-4280-8C57-FA571C9D0E68}"/>
    <hyperlink ref="E336" r:id="rId1004" display="https://twitter.com/Gesamtmetall/status/720883126155673600" xr:uid="{3D13C4FE-261F-4F10-895A-D821EF6AD445}"/>
    <hyperlink ref="O336" r:id="rId1005" display="https://pbs.twimg.com/profile_images/572721926804488192/AGAGHTgy_normal.jpeg" xr:uid="{9930A9E3-E6C1-4D46-9EBC-976F4A018272}"/>
    <hyperlink ref="B337" r:id="rId1006" display="https://twitter.com/PolarionNews_de" xr:uid="{B1266562-52A9-4E00-8341-56152E71D369}"/>
    <hyperlink ref="E337" r:id="rId1007" display="https://twitter.com/PolarionNews_de/status/720883459162382336" xr:uid="{16B4121E-A34A-4E25-8CA7-EAB9EFD6CDE2}"/>
    <hyperlink ref="O337" r:id="rId1008" display="https://pbs.twimg.com/profile_images/644041606304256000/yOHTHLkX_normal.jpg" xr:uid="{6BE951C2-4905-4119-8014-47C12198123B}"/>
    <hyperlink ref="B338" r:id="rId1009" display="https://twitter.com/markherten" xr:uid="{0E63641C-3ABB-4A80-B8DE-C494891CDADF}"/>
    <hyperlink ref="E338" r:id="rId1010" display="https://twitter.com/markherten/status/720883756374986752" xr:uid="{301E06EC-8C49-4F0D-A304-E32A12E29A84}"/>
    <hyperlink ref="O338" r:id="rId1011" display="https://pbs.twimg.com/profile_images/718175389890310145/GX8DLe_h_normal.jpg" xr:uid="{9BCDA7FA-B655-4240-AA01-1FDE9FF24D9F}"/>
    <hyperlink ref="B339" r:id="rId1012" display="https://twitter.com/Lenze_Gruppe" xr:uid="{9560330E-15EA-48AE-A4D2-2BC77253393E}"/>
    <hyperlink ref="E339" r:id="rId1013" display="https://twitter.com/Lenze_Gruppe/status/720884993686249472" xr:uid="{2A8519FD-7DEC-46DB-878C-94268B93DA41}"/>
    <hyperlink ref="O339" r:id="rId1014" display="https://pbs.twimg.com/profile_images/1655244498/Lenze_RGB_400x400px_normal.jpg" xr:uid="{C08AA779-50F4-4829-A422-319F521D4B36}"/>
    <hyperlink ref="B340" r:id="rId1015" display="https://twitter.com/sensorplustest" xr:uid="{ECC40797-95A7-4CC7-AB75-C38C2818BAC1}"/>
    <hyperlink ref="E340" r:id="rId1016" display="https://twitter.com/sensorplustest/status/720885131934715904" xr:uid="{98047756-38CF-4BC2-97EE-B1B5F43729CC}"/>
    <hyperlink ref="O340" r:id="rId1017" display="https://pbs.twimg.com/profile_images/378800000664327316/6a5c3a2d43525a9b5044906960528925_normal.jpeg" xr:uid="{15FFD740-A143-48D2-AB61-273900AD44FA}"/>
    <hyperlink ref="B341" r:id="rId1018" display="https://twitter.com/markherten" xr:uid="{3795B7AD-24D4-497B-AEFC-B15C5D5C4B87}"/>
    <hyperlink ref="E341" r:id="rId1019" display="https://twitter.com/markherten/status/720885231167758336" xr:uid="{4BCF7471-41CB-43FE-9114-708C15D08CA3}"/>
    <hyperlink ref="O341" r:id="rId1020" display="https://pbs.twimg.com/profile_images/718175389890310145/GX8DLe_h_normal.jpg" xr:uid="{B76BDAA6-2154-483F-AC55-EC375ED471B3}"/>
    <hyperlink ref="B342" r:id="rId1021" display="https://twitter.com/VDC_Fellbach" xr:uid="{387C08C7-8BD6-4483-A02E-AA64CC5A2479}"/>
    <hyperlink ref="E342" r:id="rId1022" display="https://twitter.com/VDC_Fellbach/status/720885707946872833" xr:uid="{8B2C8F52-75D9-4276-ADB0-C836991CC856}"/>
    <hyperlink ref="O342" r:id="rId1023" display="https://pbs.twimg.com/profile_images/675314462233141248/Hr1lNIfG_normal.jpg" xr:uid="{371B1C68-F076-4EAC-80F2-AAD7A1172E62}"/>
    <hyperlink ref="B343" r:id="rId1024" display="https://twitter.com/dirste" xr:uid="{099887D6-A1FE-4983-B7A8-A075E2558DD2}"/>
    <hyperlink ref="E343" r:id="rId1025" display="https://twitter.com/dirste/status/720885933982097409" xr:uid="{B1056AD6-9796-4BFA-B0E1-2831036CB275}"/>
    <hyperlink ref="O343" r:id="rId1026" display="https://pbs.twimg.com/profile_images/715968416834781185/hP9LV1pl_normal.jpg" xr:uid="{629A8A3D-8ED9-4ED6-8F16-5528D7F1AD48}"/>
    <hyperlink ref="B344" r:id="rId1027" display="https://twitter.com/INDIZbot" xr:uid="{4FD3C8AD-D9EB-43E3-9DBF-7748ED40FFE7}"/>
    <hyperlink ref="E344" r:id="rId1028" display="https://twitter.com/INDIZbot/status/720887429989863424" xr:uid="{234B8300-E722-4373-97D3-643D6F19E870}"/>
    <hyperlink ref="O344" r:id="rId1029" display="https://pbs.twimg.com/profile_images/645716711723925506/t5G0qOS6_normal.jpg" xr:uid="{DF8FCD6A-520A-4BCB-8DEA-3AE20864B019}"/>
    <hyperlink ref="B345" r:id="rId1030" display="https://twitter.com/INDIZbot" xr:uid="{BE1A8F97-1B32-4DC3-90BF-167C9E4A23D1}"/>
    <hyperlink ref="E345" r:id="rId1031" display="https://twitter.com/INDIZbot/status/720887522407104512" xr:uid="{39372F7B-9172-4285-8638-E34DEE94E929}"/>
    <hyperlink ref="O345" r:id="rId1032" display="https://pbs.twimg.com/profile_images/645716711723925506/t5G0qOS6_normal.jpg" xr:uid="{9D24E8D6-1232-4BC6-A999-EC4A3B8A3A36}"/>
    <hyperlink ref="B346" r:id="rId1033" display="https://twitter.com/StipoNad" xr:uid="{0BF55BED-15A4-4D30-80A1-2A7A1A0D08AB}"/>
    <hyperlink ref="E346" r:id="rId1034" display="https://twitter.com/StipoNad/status/720887544586448896" xr:uid="{3EB2A199-315D-4C43-86C1-157B872E62A3}"/>
    <hyperlink ref="O346" r:id="rId1035" display="https://pbs.twimg.com/profile_images/656779070798172160/TNRHncFi_normal.jpg" xr:uid="{B9B7FE40-8788-40C8-9CF5-B7311986E14B}"/>
    <hyperlink ref="B347" r:id="rId1036" display="https://twitter.com/josefbrunner" xr:uid="{0F6F829C-8A3F-4771-BA8D-21AB4F6CAAAE}"/>
    <hyperlink ref="E347" r:id="rId1037" display="https://twitter.com/josefbrunner/status/720888109240422400" xr:uid="{A64A2B0C-3955-4E32-9CB4-90AABE254C2E}"/>
    <hyperlink ref="O347" r:id="rId1038" display="https://pbs.twimg.com/profile_images/1142225593/IMG_0061_normal.JPG" xr:uid="{ABF2E57E-73B8-433E-8F7A-D895E4A45635}"/>
    <hyperlink ref="B348" r:id="rId1039" display="https://twitter.com/confare" xr:uid="{68BE347F-36B3-4034-AEFC-98D49B7D6274}"/>
    <hyperlink ref="E348" r:id="rId1040" display="https://twitter.com/confare/status/720888667913498626" xr:uid="{B9C39981-12B3-4863-B1B8-3FFB19FCF1E9}"/>
    <hyperlink ref="O348" r:id="rId1041" display="https://pbs.twimg.com/profile_images/329707557/Skyscraper_normal.jpg" xr:uid="{BE913A38-A1D8-4C9B-8BB5-509185FAC561}"/>
    <hyperlink ref="B349" r:id="rId1042" display="https://twitter.com/ScopeOnline" xr:uid="{D94D8359-7B33-4A9D-BF5D-5DA3F756D29D}"/>
    <hyperlink ref="E349" r:id="rId1043" display="https://twitter.com/ScopeOnline/status/720888746116128768" xr:uid="{9B2C5E7C-3BD3-479C-B3BE-39CDCAA44E87}"/>
    <hyperlink ref="O349" r:id="rId1044" display="https://pbs.twimg.com/profile_images/542205461139705857/rG0aBulP_normal.png" xr:uid="{184161C6-4707-4CC4-8547-E063334EC885}"/>
    <hyperlink ref="B350" r:id="rId1045" display="https://twitter.com/markherten" xr:uid="{3BA8E3E1-9886-47B9-8DEF-42FF95E416C3}"/>
    <hyperlink ref="E350" r:id="rId1046" display="https://twitter.com/markherten/status/720889350733578240" xr:uid="{2C4D8E54-865D-4DE6-AF83-72FC8BE554D3}"/>
    <hyperlink ref="O350" r:id="rId1047" display="https://pbs.twimg.com/profile_images/718175389890310145/GX8DLe_h_normal.jpg" xr:uid="{32448158-107D-4267-89D6-D2C36464DED3}"/>
    <hyperlink ref="B351" r:id="rId1048" display="https://twitter.com/markherten" xr:uid="{2A75CD08-D148-4EB8-B107-328E83789E2C}"/>
    <hyperlink ref="E351" r:id="rId1049" display="https://twitter.com/markherten/status/720889385756004352" xr:uid="{A19BCCAC-58E0-4399-AA85-7660768FE3EE}"/>
    <hyperlink ref="O351" r:id="rId1050" display="https://pbs.twimg.com/profile_images/718175389890310145/GX8DLe_h_normal.jpg" xr:uid="{472CDB66-AF34-4F2A-B292-9B54C595CCD8}"/>
    <hyperlink ref="B352" r:id="rId1051" display="https://twitter.com/werliefertwas" xr:uid="{6CC8BCB4-FE14-482F-9C5B-24B0BD073079}"/>
    <hyperlink ref="E352" r:id="rId1052" display="https://twitter.com/werliefertwas/status/720890514690584576" xr:uid="{88F80463-675A-4923-9596-78071150D1B8}"/>
    <hyperlink ref="O352" r:id="rId1053" display="https://pbs.twimg.com/profile_images/472323621445042176/etL3MUED_normal.png" xr:uid="{15D12934-4D00-4D8B-8045-9E53FE830092}"/>
    <hyperlink ref="B353" r:id="rId1054" display="https://twitter.com/Stefan_Schaus" xr:uid="{E3D92994-42A9-41E3-A27A-232D4C500938}"/>
    <hyperlink ref="E353" r:id="rId1055" display="https://twitter.com/Stefan_Schaus/status/720891165235503104" xr:uid="{339DAF2D-C6AC-4782-A53F-6A4B0E0DD9D2}"/>
    <hyperlink ref="O353" r:id="rId1056" display="https://pbs.twimg.com/profile_images/679303029431083008/S29_duNb_normal.jpg" xr:uid="{C63C24DE-49AD-4A93-8FE2-ADC1CB78A262}"/>
    <hyperlink ref="B354" r:id="rId1057" display="https://twitter.com/chemie_azubi" xr:uid="{01B09AAC-9800-4FE7-84E0-C423EA21E08C}"/>
    <hyperlink ref="E354" r:id="rId1058" display="https://twitter.com/chemie_azubi/status/720891627988979712" xr:uid="{4DD8C57C-5308-452C-BE0A-657A6007B356}"/>
    <hyperlink ref="O354" r:id="rId1059" display="https://pbs.twimg.com/profile_images/697410664533532672/IKCR3dV3_normal.jpg" xr:uid="{BA46E80C-7D8F-49EC-BF90-028A8E134793}"/>
    <hyperlink ref="B355" r:id="rId1060" display="https://twitter.com/ahk_frankreich" xr:uid="{F8DFDA0B-3B39-4486-AC64-A18E783A7D7B}"/>
    <hyperlink ref="E355" r:id="rId1061" display="https://twitter.com/ahk_frankreich/status/720892346980806656" xr:uid="{7F8FF987-1287-47F2-99D1-0257A7DEA5D9}"/>
    <hyperlink ref="O355" r:id="rId1062" display="https://pbs.twimg.com/profile_images/672343322632024064/4z8q3pp4_normal.jpg" xr:uid="{F0B789FB-F456-49EB-B24F-4A55265AFDD3}"/>
    <hyperlink ref="B356" r:id="rId1063" display="https://twitter.com/PwC_France" xr:uid="{EFF367E8-D61A-4BA2-A38B-7F9EA3B83890}"/>
    <hyperlink ref="E356" r:id="rId1064" display="https://twitter.com/PwC_France/status/720893215801548800" xr:uid="{C1FFBF2B-7AD9-46B1-BBD1-459729399A57}"/>
    <hyperlink ref="O356" r:id="rId1065" display="https://pbs.twimg.com/profile_images/623103587527344128/2HZGdh68_normal.png" xr:uid="{3DFC80E4-A1AA-4777-9E03-F1E741EAE0CE}"/>
    <hyperlink ref="B357" r:id="rId1066" display="https://twitter.com/MFakholy" xr:uid="{D001A995-93C9-45E9-BA9B-080C31B56290}"/>
    <hyperlink ref="E357" r:id="rId1067" display="https://twitter.com/MFakholy/status/720893452125388800" xr:uid="{9A77BA8F-AB44-4494-8FB2-E423BA4CB9BD}"/>
    <hyperlink ref="O357" r:id="rId1068" display="https://pbs.twimg.com/profile_images/635427906156687360/0vmdK-xU_normal.jpg" xr:uid="{88AE12D8-2C80-447E-AD37-BEFAF3720141}"/>
    <hyperlink ref="B358" r:id="rId1069" display="https://twitter.com/_TheDigitalGuy" xr:uid="{B1EDF550-60C9-4A53-99BE-06606EABF4E9}"/>
    <hyperlink ref="E358" r:id="rId1070" display="https://twitter.com/_TheDigitalGuy/status/720894115458756608" xr:uid="{93AF4D02-AE65-4C56-96EF-34BF8B44BE4B}"/>
    <hyperlink ref="O358" r:id="rId1071" display="https://pbs.twimg.com/profile_images/719241251590000640/4YpYqD7F_normal.jpg" xr:uid="{03BF483A-6B6E-4B01-B39C-CF4A8E5CF163}"/>
    <hyperlink ref="B359" r:id="rId1072" display="https://twitter.com/IGMetall" xr:uid="{8FFAED6F-7514-4EEB-854A-F809116AAD41}"/>
    <hyperlink ref="E359" r:id="rId1073" display="https://twitter.com/IGMetall/status/720898436569149440" xr:uid="{D433C427-9D80-48D2-BB11-1F808BA7C821}"/>
    <hyperlink ref="O359" r:id="rId1074" display="https://pbs.twimg.com/profile_images/378800000678134515/27b6e1353c05881133bb578e013f75ea_normal.png" xr:uid="{02B0BD85-842E-46E7-A38C-12322A31BA71}"/>
    <hyperlink ref="B360" r:id="rId1075" display="https://twitter.com/KunststoffeDE" xr:uid="{38EA121C-AA72-401E-BF1A-84A20A562E99}"/>
    <hyperlink ref="E360" r:id="rId1076" display="https://twitter.com/KunststoffeDE/status/720898726986924032" xr:uid="{605A2BAD-E0FA-4C97-B59C-FAF4A35CF970}"/>
    <hyperlink ref="O360" r:id="rId1077" display="https://pbs.twimg.com/profile_images/514743427217371136/l2tByK9G_normal.jpeg" xr:uid="{360F1D0D-BB18-453D-A7F3-EA22208BB8FF}"/>
    <hyperlink ref="B361" r:id="rId1078" display="https://twitter.com/mitunsdigital" xr:uid="{72E438CD-C880-4603-9CAA-5DE1F1444735}"/>
    <hyperlink ref="E361" r:id="rId1079" display="https://twitter.com/mitunsdigital/status/720899217556971520" xr:uid="{C06F028B-A520-4B4A-8F6C-606DAA382DF6}"/>
    <hyperlink ref="O361" r:id="rId1080" display="https://pbs.twimg.com/profile_images/695227740136587265/5eHVsAlx_normal.png" xr:uid="{9AD1BD0C-7D4C-4954-B86B-771AA1E03AE9}"/>
    <hyperlink ref="B362" r:id="rId1081" display="https://twitter.com/BakerMcGER" xr:uid="{3BE63C95-9463-4B88-B8BB-AA8B065B6D7C}"/>
    <hyperlink ref="E362" r:id="rId1082" display="https://twitter.com/BakerMcGER/status/720899229410045952" xr:uid="{14862355-44B9-467B-8BB6-D1AE8F4884DE}"/>
    <hyperlink ref="O362" r:id="rId1083" display="https://pbs.twimg.com/profile_images/707877685721231360/0WBLwHQ-_normal.jpg" xr:uid="{F44C2B74-FDA0-400D-9E5A-327695841970}"/>
    <hyperlink ref="B363" r:id="rId1084" display="https://twitter.com/verlinked" xr:uid="{839E389A-D231-4B65-B7B5-EC37E25CC82A}"/>
    <hyperlink ref="E363" r:id="rId1085" display="https://twitter.com/verlinked/status/720899497690202112" xr:uid="{CBF26255-427A-49E1-9334-A74010968B94}"/>
    <hyperlink ref="O363" r:id="rId1086" display="https://pbs.twimg.com/profile_images/722385992343285760/ww8YLZ2q_normal.jpg" xr:uid="{587273DB-FB85-444F-B323-8BFCFE42691A}"/>
    <hyperlink ref="B364" r:id="rId1087" display="https://twitter.com/kommoptimierer" xr:uid="{1BD15FC4-CDA8-4B75-83ED-ADE6B212E2C9}"/>
    <hyperlink ref="E364" r:id="rId1088" display="https://twitter.com/kommoptimierer/status/720899531198566400" xr:uid="{9386A2A1-1A0F-41D6-AAD9-019D8CFBD7E6}"/>
    <hyperlink ref="O364" r:id="rId1089" display="https://pbs.twimg.com/profile_images/541146126158536704/IYardufS_normal.jpeg" xr:uid="{8DDF082F-3D08-48DF-BF4B-9DDF6BC03224}"/>
    <hyperlink ref="B365" r:id="rId1090" display="https://twitter.com/DieLinkeKVKNO" xr:uid="{A1C71FC3-1448-4F2B-9D60-FF7EDD9231FA}"/>
    <hyperlink ref="E365" r:id="rId1091" display="https://twitter.com/DieLinkeKVKNO/status/720899604313714689" xr:uid="{A03C7900-2A84-403A-91E2-7D0DACCB727C}"/>
    <hyperlink ref="O365" r:id="rId1092" display="https://pbs.twimg.com/profile_images/438732935064076288/YQtGrBfD_normal.png" xr:uid="{D1B0C053-EC50-439B-9CED-2D365B0C1467}"/>
    <hyperlink ref="B366" r:id="rId1093" display="https://twitter.com/INDIZbot" xr:uid="{7B0E51D8-605A-490A-8D4B-0A3170383D0D}"/>
    <hyperlink ref="E366" r:id="rId1094" display="https://twitter.com/INDIZbot/status/720899752385253376" xr:uid="{83AE7975-0919-45C6-82EC-9ED7AE007DC0}"/>
    <hyperlink ref="O366" r:id="rId1095" display="https://pbs.twimg.com/profile_images/645716711723925506/t5G0qOS6_normal.jpg" xr:uid="{4D75C157-1639-4AA9-B799-B32D68239AB4}"/>
    <hyperlink ref="B367" r:id="rId1096" display="https://twitter.com/INDIZbot" xr:uid="{B22649A5-74ED-42EA-9F58-6FD41317D73A}"/>
    <hyperlink ref="E367" r:id="rId1097" display="https://twitter.com/INDIZbot/status/720899809692028928" xr:uid="{0C9E1C5E-6C02-468B-A0A4-7F6F0BBBCB02}"/>
    <hyperlink ref="O367" r:id="rId1098" display="https://pbs.twimg.com/profile_images/645716711723925506/t5G0qOS6_normal.jpg" xr:uid="{B9997D8F-EDAD-4CB4-BF9D-9E6FD9AFD3FF}"/>
    <hyperlink ref="B368" r:id="rId1099" display="https://twitter.com/INDIZbot" xr:uid="{2ED258F5-6C7A-47D6-88CE-613CDA1DB6E1}"/>
    <hyperlink ref="E368" r:id="rId1100" display="https://twitter.com/INDIZbot/status/720899854545862656" xr:uid="{FFDE1B5C-3381-45B3-88C8-E58BCD26D508}"/>
    <hyperlink ref="O368" r:id="rId1101" display="https://pbs.twimg.com/profile_images/645716711723925506/t5G0qOS6_normal.jpg" xr:uid="{E5442988-E411-40D5-B1C5-D85B71421B77}"/>
    <hyperlink ref="B369" r:id="rId1102" display="https://twitter.com/VDI_News" xr:uid="{FC62C4BF-C461-40E6-87FC-9D84A299EE8B}"/>
    <hyperlink ref="E369" r:id="rId1103" display="https://twitter.com/VDI_News/status/720899978617626624" xr:uid="{576B9837-85E0-496A-9D7F-A0A7D1F33E2C}"/>
    <hyperlink ref="O369" r:id="rId1104" display="https://pbs.twimg.com/profile_images/469070945483628546/iD8AeJP6_normal.png" xr:uid="{50C3C3EC-3937-4E57-B7F2-617D4A7557D8}"/>
    <hyperlink ref="B370" r:id="rId1105" display="https://twitter.com/een_at" xr:uid="{47D74124-EF09-4076-88E8-92F54C21D6E7}"/>
    <hyperlink ref="E370" r:id="rId1106" display="https://twitter.com/een_at/status/720900902220079104" xr:uid="{4FDF4E13-4D60-442D-8A3F-CF4AF0656E1A}"/>
    <hyperlink ref="O370" r:id="rId1107" display="https://pbs.twimg.com/profile_images/689808383810146304/diwbtNKF_normal.jpg" xr:uid="{8C0C2834-CA9D-44C3-B011-4523E936A875}"/>
    <hyperlink ref="B371" r:id="rId1108" display="https://twitter.com/Becker_AnnaLisa" xr:uid="{6797273B-7026-450F-AAA2-2C622402AD85}"/>
    <hyperlink ref="E371" r:id="rId1109" display="https://twitter.com/Becker_AnnaLisa/status/720901083380453376" xr:uid="{53704156-FE43-4A16-85EC-7AABBFF3CFC6}"/>
    <hyperlink ref="O371" r:id="rId1110" display="https://pbs.twimg.com/profile_images/676325832600743936/gCXpokOx_normal.jpg" xr:uid="{3D038907-F7DB-4408-A7B7-3652E8BB3808}"/>
    <hyperlink ref="B372" r:id="rId1111" display="https://twitter.com/DidierDeruaz" xr:uid="{D23A097F-D4AB-48ED-9806-BC99B6739C53}"/>
    <hyperlink ref="E372" r:id="rId1112" display="https://twitter.com/DidierDeruaz/status/720901998959271937" xr:uid="{46B5CD52-F8BC-4391-8E94-1EA72220DD62}"/>
    <hyperlink ref="O372" r:id="rId1113" display="https://pbs.twimg.com/profile_images/550954917972561921/vgRfRw0F_normal.jpeg" xr:uid="{94828FA3-93A8-4C58-89D1-2DB2B50DFF59}"/>
    <hyperlink ref="B373" r:id="rId1114" display="https://twitter.com/THMtweets" xr:uid="{E2D54DF3-E101-441C-A89C-536469D4BD5D}"/>
    <hyperlink ref="E373" r:id="rId1115" display="https://twitter.com/THMtweets/status/720902007494553601" xr:uid="{AD2932E2-2392-4749-884C-EABE002378E1}"/>
    <hyperlink ref="O373" r:id="rId1116" display="https://pbs.twimg.com/profile_images/461395880017276928/nlaLcdRc_normal.jpeg" xr:uid="{10985AD0-1FDF-4AC4-A40F-AD557659E4DB}"/>
    <hyperlink ref="B374" r:id="rId1117" display="https://twitter.com/Joerg_Koper" xr:uid="{6FC8D088-0145-4429-9597-4B9530BDA199}"/>
    <hyperlink ref="E374" r:id="rId1118" display="https://twitter.com/Joerg_Koper/status/720902093838618624" xr:uid="{3FA359AF-79F2-4B4E-8FA6-6288B70FA09E}"/>
    <hyperlink ref="O374" r:id="rId1119" display="https://pbs.twimg.com/profile_images/434788311308054528/SqZ-cQzT_normal.jpeg" xr:uid="{8F4133BD-14C8-4D7E-9832-36E11E38D3E2}"/>
    <hyperlink ref="B375" r:id="rId1120" display="https://twitter.com/INDIZbot" xr:uid="{EDB87C0D-2C2D-4431-BAE1-D508BC3C79AD}"/>
    <hyperlink ref="E375" r:id="rId1121" display="https://twitter.com/INDIZbot/status/720902397342703616" xr:uid="{E2608FF7-C847-4294-BD4B-099C3DD2782A}"/>
    <hyperlink ref="O375" r:id="rId1122" display="https://pbs.twimg.com/profile_images/645716711723925506/t5G0qOS6_normal.jpg" xr:uid="{E1B52DAD-DB95-490F-9B47-D2A5E3B58CB9}"/>
    <hyperlink ref="B376" r:id="rId1123" display="https://twitter.com/INDIZbot" xr:uid="{39B0566A-C4AF-4518-B2D3-DDB90D150EFC}"/>
    <hyperlink ref="E376" r:id="rId1124" display="https://twitter.com/INDIZbot/status/720902512585400320" xr:uid="{CAA64CE4-0628-4BB2-ABED-2C9403B81EA7}"/>
    <hyperlink ref="O376" r:id="rId1125" display="https://pbs.twimg.com/profile_images/645716711723925506/t5G0qOS6_normal.jpg" xr:uid="{32BCF07A-F962-4E99-B50F-F11E6C715F2B}"/>
    <hyperlink ref="B377" r:id="rId1126" display="https://twitter.com/Frank_Reinelt" xr:uid="{0AB9557B-1A94-4C43-936B-ED6A91801766}"/>
    <hyperlink ref="E377" r:id="rId1127" display="https://twitter.com/Frank_Reinelt/status/720904005820551168" xr:uid="{180A7063-3DE2-432C-8550-0A997F59E440}"/>
    <hyperlink ref="O377" r:id="rId1128" display="https://pbs.twimg.com/profile_images/669853588152283137/mqKB9aP__normal.jpg" xr:uid="{E9528197-188D-4CFF-B49B-FD5E281EF6C9}"/>
    <hyperlink ref="B378" r:id="rId1129" display="https://twitter.com/HilgerVoss" xr:uid="{68D67CC6-E3C3-4C7E-BD72-B783A5FEAC5E}"/>
    <hyperlink ref="E378" r:id="rId1130" display="https://twitter.com/HilgerVoss/status/720904144983322625" xr:uid="{A4D93A85-0F7A-4C82-826E-80BBB9675403}"/>
    <hyperlink ref="O378" r:id="rId1131" display="https://pbs.twimg.com/profile_images/647052308170297344/Q29AIuZ__normal.jpg" xr:uid="{04B09FC6-18FB-4CB2-9A6C-0B66908AA0CD}"/>
    <hyperlink ref="B379" r:id="rId1132" display="https://twitter.com/HilgerVoss" xr:uid="{921C217E-ED09-42E6-886F-9820412D89D6}"/>
    <hyperlink ref="E379" r:id="rId1133" display="https://twitter.com/HilgerVoss/status/720904928521273344" xr:uid="{41239576-80B4-4CF6-A683-4F29F29D06B0}"/>
    <hyperlink ref="O379" r:id="rId1134" display="https://pbs.twimg.com/profile_images/647052308170297344/Q29AIuZ__normal.jpg" xr:uid="{27E06E91-E3E5-491A-9601-1D58D60990D0}"/>
    <hyperlink ref="B380" r:id="rId1135" display="https://twitter.com/INDIZbot" xr:uid="{7A70BC87-92E0-45FA-9A4E-2A2710B6D76C}"/>
    <hyperlink ref="E380" r:id="rId1136" display="https://twitter.com/INDIZbot/status/720904989036703745" xr:uid="{5E9AFD82-6CC9-4FDE-86DD-86C3B029ABAB}"/>
    <hyperlink ref="O380" r:id="rId1137" display="https://pbs.twimg.com/profile_images/645716711723925506/t5G0qOS6_normal.jpg" xr:uid="{29A5905C-9A7D-462E-B6E1-1B10D8686BF5}"/>
    <hyperlink ref="B381" r:id="rId1138" display="https://twitter.com/blisslogixIT" xr:uid="{9959582A-4BA6-4C8B-AFCA-84808A6D0AD7}"/>
    <hyperlink ref="E381" r:id="rId1139" display="https://twitter.com/blisslogixIT/status/720906414252769280" xr:uid="{0DAF6BD5-ABE2-4B43-9D57-7C30CBEF4858}"/>
    <hyperlink ref="O381" r:id="rId1140" display="https://pbs.twimg.com/profile_images/608288196506456064/4N_hoRll_normal.png" xr:uid="{FDED4D5C-E59A-4C5B-B98B-0963568D9CD4}"/>
    <hyperlink ref="B382" r:id="rId1141" display="https://twitter.com/christophwitte" xr:uid="{1FA40433-0CD8-478B-BB5C-61C34A32F013}"/>
    <hyperlink ref="E382" r:id="rId1142" display="https://twitter.com/christophwitte/status/720907161359032320" xr:uid="{8857790C-602B-459F-90D0-392E3314AA30}"/>
    <hyperlink ref="O382" r:id="rId1143" display="https://pbs.twimg.com/profile_images/618449316055748612/F_9LrZDf_normal.jpg" xr:uid="{869C1934-B064-4EE7-80D2-00AC4AC0E128}"/>
    <hyperlink ref="B383" r:id="rId1144" display="https://twitter.com/it_rebellen" xr:uid="{FF185084-2E83-48CD-A21F-AD838DB9238D}"/>
    <hyperlink ref="E383" r:id="rId1145" display="https://twitter.com/it_rebellen/status/720907161384153088" xr:uid="{37655AA3-51F9-48C2-BAE8-FEC7B27EF217}"/>
    <hyperlink ref="O383" r:id="rId1146" display="https://pbs.twimg.com/profile_images/3625979673/acb661eae563d818836eb138c74e91f7_normal.jpeg" xr:uid="{FC064D88-44A7-42E3-A388-9C6029D93F22}"/>
    <hyperlink ref="B384" r:id="rId1147" display="https://twitter.com/INDIZbot" xr:uid="{D3E75866-19D0-477D-A58B-A0DA833185D8}"/>
    <hyperlink ref="E384" r:id="rId1148" display="https://twitter.com/INDIZbot/status/720907300911898624" xr:uid="{9538CBA7-76ED-470A-869B-0AA3D91A81A3}"/>
    <hyperlink ref="O384" r:id="rId1149" display="https://pbs.twimg.com/profile_images/645716711723925506/t5G0qOS6_normal.jpg" xr:uid="{4003EFEF-3AE5-40AF-8425-781EDFAF6291}"/>
    <hyperlink ref="B385" r:id="rId1150" display="https://twitter.com/INDIZbot" xr:uid="{A91BADFC-22B7-413A-AD14-1C15C141E675}"/>
    <hyperlink ref="E385" r:id="rId1151" display="https://twitter.com/INDIZbot/status/720907443799224320" xr:uid="{394BA288-5CBA-45EB-8A59-7A4FC84B6274}"/>
    <hyperlink ref="O385" r:id="rId1152" display="https://pbs.twimg.com/profile_images/645716711723925506/t5G0qOS6_normal.jpg" xr:uid="{6A3B5793-442B-4B68-811C-883060D33A29}"/>
    <hyperlink ref="B386" r:id="rId1153" display="https://twitter.com/topometric" xr:uid="{146BAD89-1039-4C16-8733-5E219B1ADFE7}"/>
    <hyperlink ref="E386" r:id="rId1154" display="https://twitter.com/topometric/status/720908907036741632" xr:uid="{DE50FFE0-5CC6-4772-87E5-C5442B4F0732}"/>
    <hyperlink ref="O386" r:id="rId1155" display="https://pbs.twimg.com/profile_images/2852333596/b758613f0f0e093a5895033c8ef9e6d1_normal.png" xr:uid="{79864C1B-397C-41ED-ABBF-2E52DE9BEFA2}"/>
    <hyperlink ref="B387" r:id="rId1156" display="https://twitter.com/echolotGruppe" xr:uid="{FE5DFB61-A512-436F-BBD2-AEAB4BC2CEDA}"/>
    <hyperlink ref="E387" r:id="rId1157" display="https://twitter.com/echolotGruppe/status/720909181423919104" xr:uid="{C40B4184-0C8D-4B40-961D-8C7B80CC688D}"/>
    <hyperlink ref="O387" r:id="rId1158" display="https://pbs.twimg.com/profile_images/651379403469926400/6LZT8xnc_normal.jpg" xr:uid="{BEFF2323-2760-4B9D-86EE-7991665EAB3A}"/>
    <hyperlink ref="B388" r:id="rId1159" display="https://twitter.com/Gruendercoaches" xr:uid="{89F8FEF1-D796-496E-99F6-D8AE7EC20C39}"/>
    <hyperlink ref="E388" r:id="rId1160" display="https://twitter.com/Gruendercoaches/status/720909521711939584" xr:uid="{38EA8447-2DC2-4105-B3B0-A2751082C93D}"/>
    <hyperlink ref="O388" r:id="rId1161" display="https://pbs.twimg.com/profile_images/561208179355185153/11KDu7Gt_normal.png" xr:uid="{91CAD656-DDD5-4932-9470-F84878FAAFF0}"/>
    <hyperlink ref="B389" r:id="rId1162" display="https://twitter.com/blisslogixIT" xr:uid="{4F2D5FEB-E035-4113-B636-83C79366DAFC}"/>
    <hyperlink ref="E389" r:id="rId1163" display="https://twitter.com/blisslogixIT/status/720910821279338497" xr:uid="{82DEB277-293D-49B3-A721-3CDF9E812FCE}"/>
    <hyperlink ref="O389" r:id="rId1164" display="https://pbs.twimg.com/profile_images/608288196506456064/4N_hoRll_normal.png" xr:uid="{1A49B2CF-D122-4E65-8F92-5E0170332B53}"/>
    <hyperlink ref="B390" r:id="rId1165" display="https://twitter.com/wolf_gregor" xr:uid="{CA3B645F-D7E9-4362-AB87-EF43FC631954}"/>
    <hyperlink ref="E390" r:id="rId1166" display="https://twitter.com/wolf_gregor/status/720911655899635712" xr:uid="{58EC2200-6CFB-4E5F-8A40-E98D28AB33F9}"/>
    <hyperlink ref="O390" r:id="rId1167" display="https://pbs.twimg.com/profile_images/1640880350/SAPMentor2012-512_normal.jpg" xr:uid="{631C29BC-617E-4A88-A841-CA06B4277315}"/>
    <hyperlink ref="B391" r:id="rId1168" display="https://twitter.com/Balluff" xr:uid="{5169E60F-43C4-4C2E-9448-34446E9BFD2C}"/>
    <hyperlink ref="E391" r:id="rId1169" display="https://twitter.com/Balluff/status/720911695837794304" xr:uid="{6D4C8DA2-3747-419C-94FB-155DF4646DB5}"/>
    <hyperlink ref="O391" r:id="rId1170" display="https://pbs.twimg.com/profile_images/663668561366245376/2ovYiiJf_normal.jpg" xr:uid="{439D5B46-E2D7-4B9E-8B13-B38B2DD50380}"/>
    <hyperlink ref="B392" r:id="rId1171" display="https://twitter.com/HeikeFiedlerPhe" xr:uid="{E08C2A78-893D-4C0B-A730-40D366C5DC3E}"/>
    <hyperlink ref="E392" r:id="rId1172" display="https://twitter.com/HeikeFiedlerPhe/status/720912577220505601" xr:uid="{78C9B66E-4E90-419F-8ADF-76A2CD467851}"/>
    <hyperlink ref="O392" r:id="rId1173" display="https://pbs.twimg.com/profile_images/2247114895/HatcherPass_normal.jpg" xr:uid="{EC8FDD9A-2E04-4F47-B904-0216ECE8E68C}"/>
    <hyperlink ref="B393" r:id="rId1174" display="https://twitter.com/PwC_France" xr:uid="{03BC3C88-4570-4CC0-B7E0-2C4D49464EFA}"/>
    <hyperlink ref="E393" r:id="rId1175" display="https://twitter.com/PwC_France/status/720913372997382144" xr:uid="{C712E839-FA06-4FB1-A4B5-7AE5AAC5B735}"/>
    <hyperlink ref="O393" r:id="rId1176" display="https://pbs.twimg.com/profile_images/623103587527344128/2HZGdh68_normal.png" xr:uid="{502C18F7-B0F1-4D90-895C-4FEAE40FE30D}"/>
    <hyperlink ref="B394" r:id="rId1177" display="https://twitter.com/Silex_France" xr:uid="{B9813929-FD01-4029-8197-4ACE86DBF40C}"/>
    <hyperlink ref="E394" r:id="rId1178" display="https://twitter.com/Silex_France/status/720915250304966656" xr:uid="{575FC3F0-E066-467A-BA75-27FDAB23A111}"/>
    <hyperlink ref="O394" r:id="rId1179" display="https://pbs.twimg.com/profile_images/554983681148727297/X_vneDtT_normal.jpeg" xr:uid="{A9B703BE-552D-4E8D-B49F-0987846BBBCB}"/>
    <hyperlink ref="B395" r:id="rId1180" display="https://twitter.com/Mtl_Paris" xr:uid="{8914E17D-A8AE-4D75-AEC0-26DF0F598A9B}"/>
    <hyperlink ref="E395" r:id="rId1181" display="https://twitter.com/Mtl_Paris/status/720916089958436865" xr:uid="{F496270E-94F2-4465-963F-702E6F4F32B2}"/>
    <hyperlink ref="O395" r:id="rId1182" display="https://pbs.twimg.com/profile_images/716373972904968192/6q0-4b_8_normal.jpg" xr:uid="{27906977-A867-43E8-9076-BDEB85F974AF}"/>
    <hyperlink ref="B396" r:id="rId1183" display="https://twitter.com/_DSAG" xr:uid="{CA44C91D-30AC-4256-987F-C895FA5BB8BA}"/>
    <hyperlink ref="E396" r:id="rId1184" display="https://twitter.com/_DSAG/status/720916161085489153" xr:uid="{798F9BCD-094E-4C94-B690-7A275D3B3207}"/>
    <hyperlink ref="O396" r:id="rId1185" display="https://pbs.twimg.com/profile_images/511887094579343360/p8leXtYW_normal.jpeg" xr:uid="{462686D0-8D12-4911-8BC8-3C93637C365A}"/>
    <hyperlink ref="B397" r:id="rId1186" display="https://twitter.com/_DSAG" xr:uid="{77E79498-BAAA-4A02-BBD8-5526CFAB6F6D}"/>
    <hyperlink ref="E397" r:id="rId1187" display="https://twitter.com/_DSAG/status/720916337497915392" xr:uid="{04E5B611-7B89-4D39-B51C-876576649EB9}"/>
    <hyperlink ref="O397" r:id="rId1188" display="https://pbs.twimg.com/profile_images/511887094579343360/p8leXtYW_normal.jpeg" xr:uid="{4B6309E9-83C6-46A3-97FB-53F38D9E20B6}"/>
    <hyperlink ref="B398" r:id="rId1189" display="https://twitter.com/HeikeFiedlerPhe" xr:uid="{EC23AEF5-C159-431F-A3A3-17421EDD9625}"/>
    <hyperlink ref="E398" r:id="rId1190" display="https://twitter.com/HeikeFiedlerPhe/status/720916925996527616" xr:uid="{5785AFBE-BF24-4B5C-856E-D69408E877D1}"/>
    <hyperlink ref="O398" r:id="rId1191" display="https://pbs.twimg.com/profile_images/2247114895/HatcherPass_normal.jpg" xr:uid="{31D2603B-A86C-4DCB-BED8-7A2EB17ECF62}"/>
    <hyperlink ref="B399" r:id="rId1192" display="https://twitter.com/ASUG_BI" xr:uid="{3BD35155-6E99-43FE-9CCF-82ECB9C888D0}"/>
    <hyperlink ref="E399" r:id="rId1193" display="https://twitter.com/ASUG_BI/status/720917900618571776" xr:uid="{5B695408-E6B9-4D30-B867-A08E60DBCA7C}"/>
    <hyperlink ref="O399" r:id="rId1194" display="https://pbs.twimg.com/profile_images/2313098110/4snjglcjaqs64pw8v2kf_normal.jpeg" xr:uid="{14FA5091-986C-41EC-8FBB-6AD4A36208FD}"/>
    <hyperlink ref="B400" r:id="rId1195" display="https://twitter.com/veronique_abela" xr:uid="{6E500819-FB76-4C83-9318-2F728C2A617F}"/>
    <hyperlink ref="E400" r:id="rId1196" display="https://twitter.com/veronique_abela/status/720921081377370112" xr:uid="{7709DAD2-FE06-4DEF-B08E-7C1CFC628BC4}"/>
    <hyperlink ref="O400" r:id="rId1197" display="https://pbs.twimg.com/profile_images/677809625719263232/CoI0S7eW_normal.jpg" xr:uid="{CC302241-8B84-4E11-B7D1-501BC2B07514}"/>
    <hyperlink ref="B401" r:id="rId1198" display="https://twitter.com/DamDamCom" xr:uid="{932DFFD4-4B11-4620-B21E-D9D0D60C4656}"/>
    <hyperlink ref="E401" r:id="rId1199" display="https://twitter.com/DamDamCom/status/720921177678561281" xr:uid="{B972106A-B5B9-41E1-8D09-AB5524916C80}"/>
    <hyperlink ref="O401" r:id="rId1200" display="https://pbs.twimg.com/profile_images/689494495101087744/QiE7i7oZ_normal.jpg" xr:uid="{7D420AE0-C8F8-434B-9A7B-E32DFFEDB5BD}"/>
    <hyperlink ref="B402" r:id="rId1201" display="https://twitter.com/FACTS4WORKERS" xr:uid="{75AFBD24-3912-43B6-8930-00A678F4F14E}"/>
    <hyperlink ref="E402" r:id="rId1202" display="https://twitter.com/FACTS4WORKERS/status/720921636669689856" xr:uid="{A3C1A78E-CE65-4F27-B0F6-9ADFE4026AFB}"/>
    <hyperlink ref="O402" r:id="rId1203" display="https://pbs.twimg.com/profile_images/585755321416687616/BYqDL_No_normal.png" xr:uid="{AE19F7EB-5CFC-4EBE-AF1B-476F0EB6195F}"/>
    <hyperlink ref="B403" r:id="rId1204" display="https://twitter.com/Celyn_david" xr:uid="{2180A1F5-1899-4760-9FFB-8D4B9BCA28D9}"/>
    <hyperlink ref="E403" r:id="rId1205" display="https://twitter.com/Celyn_david/status/720921734753480704" xr:uid="{394162F8-F669-460F-A11F-EC1E2B879D46}"/>
    <hyperlink ref="O403" r:id="rId1206" display="https://pbs.twimg.com/profile_images/692741210029592576/qnxpEsZ9_normal.png" xr:uid="{A42D09DA-4F68-4224-BDDB-CA5FA915DB87}"/>
    <hyperlink ref="B404" r:id="rId1207" display="https://twitter.com/tobias_goers" xr:uid="{4CC2FF36-DAED-4394-B222-AD3AA93FEE4E}"/>
    <hyperlink ref="E404" r:id="rId1208" display="https://twitter.com/tobias_goers/status/720922746948100096" xr:uid="{5E8C467E-AA6A-42F7-A648-16870E6D28B3}"/>
    <hyperlink ref="O404" r:id="rId1209" display="https://pbs.twimg.com/profile_images/619429467434434560/ywWYiH5V_normal.jpg" xr:uid="{F1624B91-935B-4301-B425-C6AEB26B0E73}"/>
    <hyperlink ref="B405" r:id="rId1210" display="https://twitter.com/RudiKennes" xr:uid="{6D80D5BB-1B5A-4FC8-8D13-AD7CC4C6F85F}"/>
    <hyperlink ref="E405" r:id="rId1211" display="https://twitter.com/RudiKennes/status/720923741727928320" xr:uid="{1233AD21-BE43-49DC-9133-B4F2AA6330D1}"/>
    <hyperlink ref="O405" r:id="rId1212" display="https://pbs.twimg.com/profile_images/2519056312/image_normal.jpg" xr:uid="{447A1478-DEC6-44FB-89CF-62B7DF3A03A0}"/>
    <hyperlink ref="B406" r:id="rId1213" display="https://twitter.com/FK_Verband" xr:uid="{ACCB37A6-3A28-49AB-B449-B344BE5D1B3C}"/>
    <hyperlink ref="E406" r:id="rId1214" display="https://twitter.com/FK_Verband/status/720924569138241536" xr:uid="{7FB15B0A-7C38-4B5C-AE46-B64D9F48E5B9}"/>
    <hyperlink ref="O406" r:id="rId1215" display="https://pbs.twimg.com/profile_images/459666685952151552/oULR8mG1_normal.png" xr:uid="{E818DC09-C98E-4F0D-8D5B-14D581214F9E}"/>
    <hyperlink ref="B407" r:id="rId1216" display="https://twitter.com/leanbi1" xr:uid="{8E869C30-849A-4A03-9409-18B892E603DD}"/>
    <hyperlink ref="E407" r:id="rId1217" display="https://twitter.com/leanbi1/status/720926637458604032" xr:uid="{B605E3C2-B95B-466C-A399-4959CBDDE243}"/>
    <hyperlink ref="O407" r:id="rId1218" display="https://pbs.twimg.com/profile_images/538362637386403840/A-4Av9_s_normal.jpeg" xr:uid="{12BE87D8-7C9B-46F0-8CEA-CB29554F0E6A}"/>
    <hyperlink ref="B408" r:id="rId1219" display="https://twitter.com/Endress_Hauser" xr:uid="{AD2F21FB-8DD8-4162-84C9-E9CF132DEB73}"/>
    <hyperlink ref="E408" r:id="rId1220" display="https://twitter.com/Endress_Hauser/status/720926817889230848" xr:uid="{81DEB001-DBA3-4692-9ECC-ACA9544A652A}"/>
    <hyperlink ref="O408" r:id="rId1221" display="https://pbs.twimg.com/profile_images/378800000725467177/1b5e4c6430e88c9990d7d87cff4a795c_normal.jpeg" xr:uid="{1F940464-0E9D-4DDE-A6F5-D81554096023}"/>
    <hyperlink ref="B409" r:id="rId1222" display="https://twitter.com/Apandia" xr:uid="{BB9DEAF1-DFF1-4EAF-909C-6E8E3A925CA4}"/>
    <hyperlink ref="E409" r:id="rId1223" display="https://twitter.com/Apandia/status/720928430770900992" xr:uid="{ECAB6988-A506-4666-891F-2CA51B8E5720}"/>
    <hyperlink ref="O409" r:id="rId1224" display="https://pbs.twimg.com/profile_images/685327213/Apandia_normal.gif" xr:uid="{174443B4-CC5A-4F4A-BE8A-28EF1D660284}"/>
    <hyperlink ref="B410" r:id="rId1225" display="https://twitter.com/AllforOneSteeb" xr:uid="{1CE176DF-F265-4A5F-AEBA-F85FF6F1795D}"/>
    <hyperlink ref="E410" r:id="rId1226" display="https://twitter.com/AllforOneSteeb/status/720928936985784320" xr:uid="{E27E2F4D-2BE4-4F98-8907-80657A3421A7}"/>
    <hyperlink ref="O410" r:id="rId1227" display="https://pbs.twimg.com/profile_images/676737558961741824/extU0h2V_normal.jpg" xr:uid="{C06E7943-EFFF-4A90-A30A-164574E86A4A}"/>
    <hyperlink ref="B411" r:id="rId1228" display="https://twitter.com/BeierMichael71" xr:uid="{0A436C49-FF1E-42A3-B9E0-77CD81EC4E80}"/>
    <hyperlink ref="E411" r:id="rId1229" display="https://twitter.com/BeierMichael71/status/720929432685453312" xr:uid="{2B3CF448-F2B3-40A7-B8FA-824B2F2FA6A3}"/>
    <hyperlink ref="O411" r:id="rId1230" display="https://pbs.twimg.com/profile_images/704029343115300866/yUARofpi_normal.jpg" xr:uid="{47930BA2-B768-4F08-A0D6-2503A9D437B7}"/>
    <hyperlink ref="B412" r:id="rId1231" display="https://twitter.com/verlinked" xr:uid="{E1284AC1-EFD3-493A-AD01-6F6A44AAF648}"/>
    <hyperlink ref="E412" r:id="rId1232" display="https://twitter.com/verlinked/status/720929704123871233" xr:uid="{573B0417-BB9F-44FB-88FA-2CBA3D7A1426}"/>
    <hyperlink ref="O412" r:id="rId1233" display="https://pbs.twimg.com/profile_images/722385992343285760/ww8YLZ2q_normal.jpg" xr:uid="{1A15CD70-8C7B-4970-BC50-FA2C36531946}"/>
    <hyperlink ref="B413" r:id="rId1234" display="https://twitter.com/HDSintGroup" xr:uid="{D06E4ACB-89F3-48E9-9615-9B3591223E23}"/>
    <hyperlink ref="E413" r:id="rId1235" display="https://twitter.com/HDSintGroup/status/720930767782678528" xr:uid="{8FDC67E9-D61F-436E-8507-95479559A941}"/>
    <hyperlink ref="O413" r:id="rId1236" display="https://pbs.twimg.com/profile_images/699226610428420096/jjvfJFvl_normal.png" xr:uid="{2021EE75-146B-4F2D-81AD-BDFE3F9F9857}"/>
    <hyperlink ref="B414" r:id="rId1237" display="https://twitter.com/kommoptimierer" xr:uid="{C763EC58-ED16-4CD0-B469-41693BE41982}"/>
    <hyperlink ref="E414" r:id="rId1238" display="https://twitter.com/kommoptimierer/status/720930925857652736" xr:uid="{D8C23726-63D9-49D1-8AED-4962D46394A4}"/>
    <hyperlink ref="O414" r:id="rId1239" display="https://pbs.twimg.com/profile_images/541146126158536704/IYardufS_normal.jpeg" xr:uid="{FC2FF569-598E-4B44-AD11-AEEB57268F1B}"/>
    <hyperlink ref="B415" r:id="rId1240" display="https://twitter.com/MTuchelmann" xr:uid="{8CB68ED1-6BF8-499A-AF52-D5A35BA37B22}"/>
    <hyperlink ref="E415" r:id="rId1241" display="https://twitter.com/MTuchelmann/status/720931298852913153" xr:uid="{6913E32E-675D-4304-8793-ADE5F23373F6}"/>
    <hyperlink ref="O415" r:id="rId1242" display="https://pbs.twimg.com/profile_images/699591789964083200/ZinQaSi0_normal.jpg" xr:uid="{0FB8A7AC-676D-4820-A766-5F31DFDA8CB4}"/>
    <hyperlink ref="B416" r:id="rId1243" display="https://twitter.com/conosco" xr:uid="{1535C08D-C4E3-468B-AFD0-B38F5C21B7FF}"/>
    <hyperlink ref="E416" r:id="rId1244" display="https://twitter.com/conosco/status/720932065106141184" xr:uid="{20A54DE5-F561-4C13-B09B-70F7E84F3AFA}"/>
    <hyperlink ref="O416" r:id="rId1245" display="https://pbs.twimg.com/profile_images/459441279181398016/MmGzaeIu_normal.jpeg" xr:uid="{15921EBC-1AA2-40B4-B866-4F57B0FEDFCA}"/>
    <hyperlink ref="B417" r:id="rId1246" display="https://twitter.com/INDIZbot" xr:uid="{38E9AFBE-EFFA-415A-B39E-8C88D0BB2F81}"/>
    <hyperlink ref="E417" r:id="rId1247" display="https://twitter.com/INDIZbot/status/720932469952901120" xr:uid="{61CCF00C-FAD4-4587-9109-4369C24A01B5}"/>
    <hyperlink ref="O417" r:id="rId1248" display="https://pbs.twimg.com/profile_images/645716711723925506/t5G0qOS6_normal.jpg" xr:uid="{DBC7B53A-5DA0-4A9E-9CB0-676E6A24D77F}"/>
    <hyperlink ref="B418" r:id="rId1249" display="https://twitter.com/INDIZbot" xr:uid="{D45A7ADF-1C69-43E3-AA9F-0A57E74953AD}"/>
    <hyperlink ref="E418" r:id="rId1250" display="https://twitter.com/INDIZbot/status/720932576127492096" xr:uid="{7C4F812C-6221-4BE8-8FFD-58354C6188BB}"/>
    <hyperlink ref="O418" r:id="rId1251" display="https://pbs.twimg.com/profile_images/645716711723925506/t5G0qOS6_normal.jpg" xr:uid="{2D9B9437-3336-409A-B142-B105962E1CBF}"/>
    <hyperlink ref="B419" r:id="rId1252" display="https://twitter.com/INDIZbot" xr:uid="{1F81EE43-7C1B-4BEA-97E5-244BC14C0A9A}"/>
    <hyperlink ref="E419" r:id="rId1253" display="https://twitter.com/INDIZbot/status/720932945121394689" xr:uid="{82BA854D-6E86-4DD2-B7B7-6CB7700F4AEA}"/>
    <hyperlink ref="O419" r:id="rId1254" display="https://pbs.twimg.com/profile_images/645716711723925506/t5G0qOS6_normal.jpg" xr:uid="{22B30D20-0B69-4CFA-A02C-20D7081CBA42}"/>
    <hyperlink ref="B420" r:id="rId1255" display="https://twitter.com/Jo_H123" xr:uid="{CC09138B-0095-4E60-9857-F2333C844758}"/>
    <hyperlink ref="E420" r:id="rId1256" display="https://twitter.com/Jo_H123/status/720934153089335296" xr:uid="{028A8742-E076-46FB-92F8-67C3359CD0BF}"/>
    <hyperlink ref="O420" r:id="rId1257" display="https://pbs.twimg.com/profile_images/532532270788128768/ubrFTMd7_normal.jpeg" xr:uid="{8ACAE87B-8373-41EB-8007-B6D6B2FE44F7}"/>
    <hyperlink ref="B421" r:id="rId1258" display="https://twitter.com/itelligence_de" xr:uid="{4E25337B-40BE-4012-8FEE-BF7EF487767D}"/>
    <hyperlink ref="E421" r:id="rId1259" display="https://twitter.com/itelligence_de/status/720934857103314944" xr:uid="{BBBA24A6-5C31-49BD-8FEF-0F4CAC1FCE14}"/>
    <hyperlink ref="O421" r:id="rId1260" display="https://pbs.twimg.com/profile_images/712650491361157121/__DqibYq_normal.jpg" xr:uid="{7DF1A6E2-0A9C-4D83-AB78-5DD0863FF28C}"/>
    <hyperlink ref="B422" r:id="rId1261" display="https://twitter.com/INDIZbot" xr:uid="{17B0AD59-925B-4510-BFBF-FCCB185129F7}"/>
    <hyperlink ref="E422" r:id="rId1262" display="https://twitter.com/INDIZbot/status/720934985776107520" xr:uid="{C5708F89-0873-47BF-AF1E-ABA378EDCBE3}"/>
    <hyperlink ref="O422" r:id="rId1263" display="https://pbs.twimg.com/profile_images/645716711723925506/t5G0qOS6_normal.jpg" xr:uid="{552C1ACC-FA5D-40A7-9E65-59A8DC292FB1}"/>
    <hyperlink ref="B423" r:id="rId1264" display="https://twitter.com/INDIZbot" xr:uid="{C243F967-BA19-48BF-BB3E-ED23BEB28FF0}"/>
    <hyperlink ref="E423" r:id="rId1265" display="https://twitter.com/INDIZbot/status/720935236863991809" xr:uid="{BB07378C-AACE-4683-9B02-7EC54B75C7EF}"/>
    <hyperlink ref="O423" r:id="rId1266" display="https://pbs.twimg.com/profile_images/645716711723925506/t5G0qOS6_normal.jpg" xr:uid="{1E8B1C19-99C9-47BB-977F-0674552AA129}"/>
    <hyperlink ref="B424" r:id="rId1267" display="https://twitter.com/Apandia" xr:uid="{EC34F51E-19A5-4F47-B6B9-1136C7E3BA22}"/>
    <hyperlink ref="E424" r:id="rId1268" display="https://twitter.com/Apandia/status/720935328928919554" xr:uid="{3499C443-A9F7-4104-BA97-A285A209E917}"/>
    <hyperlink ref="O424" r:id="rId1269" display="https://pbs.twimg.com/profile_images/685327213/Apandia_normal.gif" xr:uid="{712C6802-E618-4220-86E9-81526DF12429}"/>
    <hyperlink ref="B425" r:id="rId1270" display="https://twitter.com/RobelMesfun" xr:uid="{0D3B7E6F-DA3F-4759-A3CD-738D21005F89}"/>
    <hyperlink ref="E425" r:id="rId1271" display="https://twitter.com/RobelMesfun/status/720939753131110401" xr:uid="{C02AA8BA-AA50-42B0-AEBF-DC9776CDEAE6}"/>
    <hyperlink ref="O425" r:id="rId1272" display="https://pbs.twimg.com/profile_images/2587030253/image_normal.jpg" xr:uid="{F5ECBFD8-A12F-4FA5-8BBC-93AD16C2E87D}"/>
    <hyperlink ref="B426" r:id="rId1273" display="https://twitter.com/RobelMesfun" xr:uid="{BEE0D200-C93A-4ED7-A1B6-F27514A90C19}"/>
    <hyperlink ref="E426" r:id="rId1274" display="https://twitter.com/RobelMesfun/status/720940838113714176" xr:uid="{3474E537-1AD1-44DA-B823-D3FB549AA2F3}"/>
    <hyperlink ref="O426" r:id="rId1275" display="https://pbs.twimg.com/profile_images/2587030253/image_normal.jpg" xr:uid="{852F0A13-86BA-433F-B1E9-E61915936A29}"/>
    <hyperlink ref="B427" r:id="rId1276" display="https://twitter.com/H_IT_D" xr:uid="{3B45BAD2-D927-413B-98B8-FF6ACA9EFC5B}"/>
    <hyperlink ref="E427" r:id="rId1277" display="https://twitter.com/H_IT_D/status/720941165827100672" xr:uid="{2F7D521F-0240-42D3-9594-E5105B6674FE}"/>
    <hyperlink ref="O427" r:id="rId1278" display="https://pbs.twimg.com/profile_images/662723326096224256/5V4KH9_O_normal.jpg" xr:uid="{B1954B11-24BA-44E6-A681-0EDD873DCA79}"/>
    <hyperlink ref="B428" r:id="rId1279" display="https://twitter.com/AlexRaiHa" xr:uid="{629C47A1-EEA6-434C-8BC0-DA5B9E702665}"/>
    <hyperlink ref="E428" r:id="rId1280" display="https://twitter.com/AlexRaiHa/status/720942059583102976" xr:uid="{75493B97-3632-49B9-A2C6-2839C98A52D0}"/>
    <hyperlink ref="O428" r:id="rId1281" display="https://pbs.twimg.com/profile_images/570155338691670016/l3TwS87m_normal.jpeg" xr:uid="{32ACAC88-5043-44E2-9607-B0A17502A761}"/>
    <hyperlink ref="B429" r:id="rId1282" display="https://twitter.com/AlexRaiHa" xr:uid="{29C14274-4B22-4F0E-B1DA-D86BE4000600}"/>
    <hyperlink ref="E429" r:id="rId1283" display="https://twitter.com/AlexRaiHa/status/720942063475433472" xr:uid="{C1C59D59-C447-415C-BA6D-50719CBF6E94}"/>
    <hyperlink ref="O429" r:id="rId1284" display="https://pbs.twimg.com/profile_images/570155338691670016/l3TwS87m_normal.jpeg" xr:uid="{1FA8BCA0-F788-49B2-8E62-84E5F788073B}"/>
    <hyperlink ref="B430" r:id="rId1285" display="https://twitter.com/CapgeminiDE" xr:uid="{45D351D0-717E-4F7F-8DD0-F173085C4220}"/>
    <hyperlink ref="E430" r:id="rId1286" display="https://twitter.com/CapgeminiDE/status/720943443070029824" xr:uid="{8008B63D-0FCF-4F49-80C9-AF1A2BFC88D9}"/>
    <hyperlink ref="O430" r:id="rId1287" display="https://pbs.twimg.com/profile_images/666911961599315968/aP7ID_qm_normal.png" xr:uid="{6D74BFE4-EA5D-403D-B055-F6F05F3A7D71}"/>
    <hyperlink ref="B431" r:id="rId1288" display="https://twitter.com/Round_Solutions" xr:uid="{885E959C-DACF-4F48-92B4-C6A0861500C6}"/>
    <hyperlink ref="E431" r:id="rId1289" display="https://twitter.com/Round_Solutions/status/720947183105753089" xr:uid="{0B88E06B-B1FD-48ED-95B2-E2DBC69DDF85}"/>
    <hyperlink ref="O431" r:id="rId1290" display="https://pbs.twimg.com/profile_images/651340877881741316/uYdqY-TL_normal.jpg" xr:uid="{4F8B2D97-D07D-4DDF-B267-C53C5EDAB901}"/>
    <hyperlink ref="B432" r:id="rId1291" display="https://twitter.com/GGS_Heilbronn" xr:uid="{C134EF6A-7990-4F66-AE9B-C2A96BA3DAC8}"/>
    <hyperlink ref="E432" r:id="rId1292" display="https://twitter.com/GGS_Heilbronn/status/720947344376782848" xr:uid="{F56CA92B-EC55-4753-A85D-4DACBF4E0695}"/>
    <hyperlink ref="O432" r:id="rId1293" display="https://pbs.twimg.com/profile_images/458872480497545216/_JCU-9q4_normal.jpeg" xr:uid="{1C56B638-5244-481E-ADF5-19CBE73038EF}"/>
    <hyperlink ref="B433" r:id="rId1294" display="https://twitter.com/INDIZbot" xr:uid="{2F483B9C-55EA-485D-84FF-30609C5561AA}"/>
    <hyperlink ref="E433" r:id="rId1295" display="https://twitter.com/INDIZbot/status/720947570525278208" xr:uid="{8346B4E3-E6CE-41E1-92F0-DE1C7DF5BEB6}"/>
    <hyperlink ref="O433" r:id="rId1296" display="https://pbs.twimg.com/profile_images/645716711723925506/t5G0qOS6_normal.jpg" xr:uid="{74595221-9B95-4361-B022-850AE2E82BF3}"/>
    <hyperlink ref="B434" r:id="rId1297" display="https://twitter.com/INDIZbot" xr:uid="{4E039526-9D54-4DEE-AE22-2415E775B4AE}"/>
    <hyperlink ref="E434" r:id="rId1298" display="https://twitter.com/INDIZbot/status/720947650829422592" xr:uid="{1DE451DF-5938-4FC8-A2CD-77CA9849C1A4}"/>
    <hyperlink ref="O434" r:id="rId1299" display="https://pbs.twimg.com/profile_images/645716711723925506/t5G0qOS6_normal.jpg" xr:uid="{58B4867C-BCAC-4960-8DC1-48BB81F4EC34}"/>
    <hyperlink ref="B435" r:id="rId1300" display="https://twitter.com/DelconRelays" xr:uid="{1CAC0CCC-AB61-4233-9D9F-196ED4D6BDF5}"/>
    <hyperlink ref="E435" r:id="rId1301" display="https://twitter.com/DelconRelays/status/720947786791919616" xr:uid="{22FA94CA-9A24-4E3A-9832-66DD40BE9E18}"/>
    <hyperlink ref="O435" r:id="rId1302" display="https://pbs.twimg.com/profile_images/690510822766944256/8qgmimAA_normal.png" xr:uid="{6F717102-7912-4E16-B696-9F34D2F3E928}"/>
    <hyperlink ref="B436" r:id="rId1303" display="https://twitter.com/ROKAutomationIT" xr:uid="{BE8CB322-C7D9-41B1-9873-1EA3875555D8}"/>
    <hyperlink ref="E436" r:id="rId1304" display="https://twitter.com/ROKAutomationIT/status/720952374446018560" xr:uid="{9E6A5758-EA17-4D38-A7EE-0EC249D05865}"/>
    <hyperlink ref="O436" r:id="rId1305" display="https://pbs.twimg.com/profile_images/497752224643043331/9wtAAp-D_normal.jpeg" xr:uid="{71DCAAD8-C7E0-4009-A1C0-7F459C6339D7}"/>
    <hyperlink ref="B437" r:id="rId1306" display="https://twitter.com/ROKAutoCHIT" xr:uid="{714AFB2F-BDEA-42A1-B9B7-0BE68D602648}"/>
    <hyperlink ref="E437" r:id="rId1307" display="https://twitter.com/ROKAutoCHIT/status/720952375981133824" xr:uid="{1610A5F4-8B8D-4C5D-A826-849EA73DB5A0}"/>
    <hyperlink ref="O437" r:id="rId1308" display="https://pbs.twimg.com/profile_images/496687683813404674/YzNGUapS_normal.jpeg" xr:uid="{CAC426E1-A378-4E7A-8DD9-B919153F3E37}"/>
    <hyperlink ref="B438" r:id="rId1309" display="https://twitter.com/MeinGeldMedien" xr:uid="{BC50C8EA-94F6-46FF-9DCE-F09E515D63B4}"/>
    <hyperlink ref="E438" r:id="rId1310" display="https://twitter.com/MeinGeldMedien/status/720952577366564864" xr:uid="{B8792A08-FC8A-4B32-A86B-43A9DE21CF2C}"/>
    <hyperlink ref="O438" r:id="rId1311" display="https://pbs.twimg.com/profile_images/473759721023758338/3CcJL-Vq_normal.jpeg" xr:uid="{274B7A2B-B98C-4AFE-99DD-8CE89B1548F0}"/>
    <hyperlink ref="B439" r:id="rId1312" display="https://twitter.com/SchneiderElecDE" xr:uid="{C0A50575-F962-42C8-A0D3-28D227DC3C0A}"/>
    <hyperlink ref="E439" r:id="rId1313" display="https://twitter.com/SchneiderElecDE/status/720952625462702081" xr:uid="{59B12D2E-FB8D-4D0F-8816-5378289D3D3C}"/>
    <hyperlink ref="O439" r:id="rId1314" display="https://pbs.twimg.com/profile_images/3112599272/7446ab70cbab1cf15ac54e9b795d2849_normal.jpeg" xr:uid="{F1F01B17-F191-4F46-9BEB-EFB871886D02}"/>
    <hyperlink ref="B440" r:id="rId1315" display="https://twitter.com/Apandia" xr:uid="{7D371952-D902-4BD1-B3C2-60FD35816FE0}"/>
    <hyperlink ref="E440" r:id="rId1316" display="https://twitter.com/Apandia/status/720954966110834688" xr:uid="{7A2F27DD-012F-4429-8103-CE0E76DF1F7B}"/>
    <hyperlink ref="O440" r:id="rId1317" display="https://pbs.twimg.com/profile_images/685327213/Apandia_normal.gif" xr:uid="{09791C5B-212E-4C41-89F8-8F77DD366FE0}"/>
    <hyperlink ref="B441" r:id="rId1318" display="https://twitter.com/ludivineallard2" xr:uid="{9FA5CB53-17DE-41C0-86CF-84C1BB258D24}"/>
    <hyperlink ref="E441" r:id="rId1319" display="https://twitter.com/ludivineallard2/status/720958942227140608" xr:uid="{42C36252-4433-43B6-804C-86542FFBD5B9}"/>
    <hyperlink ref="O441" r:id="rId1320" display="https://pbs.twimg.com/profile_images/670148323769229312/zIas6aBO_normal.jpg" xr:uid="{F4D3E903-31D0-4FD1-855E-D55FCBFA5C92}"/>
    <hyperlink ref="B442" r:id="rId1321" display="https://twitter.com/TellMePlus" xr:uid="{2BFE35C9-1B7B-4B5B-AA15-43A6B527C5B7}"/>
    <hyperlink ref="E442" r:id="rId1322" display="https://twitter.com/TellMePlus/status/720959176026009600" xr:uid="{D81382AE-B9DC-444B-8F96-97F1F3F794FC}"/>
    <hyperlink ref="O442" r:id="rId1323" display="https://pbs.twimg.com/profile_images/575947309583745024/bY7l3tP__normal.jpeg" xr:uid="{5B9120E4-0AFE-4E6F-A8DA-79485E02ACC9}"/>
    <hyperlink ref="B443" r:id="rId1324" display="https://twitter.com/verlinked" xr:uid="{734B4F67-C9C4-4C4D-8867-3AB6E8AF53C4}"/>
    <hyperlink ref="E443" r:id="rId1325" display="https://twitter.com/verlinked/status/720959911790706688" xr:uid="{7AF3729F-2CC1-45A4-BC3A-69F7292EC20F}"/>
    <hyperlink ref="O443" r:id="rId1326" display="https://pbs.twimg.com/profile_images/722385992343285760/ww8YLZ2q_normal.jpg" xr:uid="{E9D517A0-8FDA-4671-9C8E-D3DFC7B03A40}"/>
    <hyperlink ref="B444" r:id="rId1327" display="https://twitter.com/OJaeger" xr:uid="{B590680C-6AC6-46C0-B887-694B92FA36FD}"/>
    <hyperlink ref="E444" r:id="rId1328" display="https://twitter.com/OJaeger/status/720960196462387201" xr:uid="{E3BE2A3E-9E09-42F6-BF0A-31FF2A1B5DD0}"/>
    <hyperlink ref="O444" r:id="rId1329" display="https://pbs.twimg.com/profile_images/510721015945498624/1UpjmZMi_normal.jpeg" xr:uid="{574519DB-0166-40FB-8AD7-5D4A130B4C9F}"/>
    <hyperlink ref="B445" r:id="rId1330" display="https://twitter.com/jmcambot" xr:uid="{9DA2CCA7-B9B5-45B4-849A-7E7C032887AF}"/>
    <hyperlink ref="E445" r:id="rId1331" display="https://twitter.com/jmcambot/status/720961875245187072" xr:uid="{CFB5BBEB-2614-408B-9C15-A4D08F13BBDA}"/>
    <hyperlink ref="O445" r:id="rId1332" display="https://pbs.twimg.com/profile_images/478541586725232640/-v_7l8_E_normal.png" xr:uid="{B4C5FC22-3E92-4BAC-942D-A7B87237CB52}"/>
    <hyperlink ref="B446" r:id="rId1333" display="https://twitter.com/SAPFrance" xr:uid="{B99708B2-AE72-4070-94A0-88083E463107}"/>
    <hyperlink ref="E446" r:id="rId1334" display="https://twitter.com/SAPFrance/status/720963254563041280" xr:uid="{1DFAD58A-0CD2-486D-AC12-076B2256C2FC}"/>
    <hyperlink ref="O446" r:id="rId1335" display="https://pbs.twimg.com/profile_images/713021101106995200/w4EIzjMN_normal.jpg" xr:uid="{B3575E08-7038-4112-A12F-FDE085C2C611}"/>
    <hyperlink ref="B447" r:id="rId1336" display="https://twitter.com/ThibautRey2_0" xr:uid="{CAD09510-6D38-4742-839F-6D464B7A8927}"/>
    <hyperlink ref="E447" r:id="rId1337" display="https://twitter.com/ThibautRey2_0/status/720964535453106176" xr:uid="{2101FAEE-1E38-4619-A68B-5CBA3C3BC98F}"/>
    <hyperlink ref="O447" r:id="rId1338" display="https://pbs.twimg.com/profile_images/584363589126987778/AUl-VGZS_normal.jpg" xr:uid="{DE0FA3EA-8361-4F71-BDD0-60755572E3C3}"/>
    <hyperlink ref="B448" r:id="rId1339" display="https://twitter.com/PSIPENTA" xr:uid="{C04CADB5-5C44-4181-9DB2-F78731342D9A}"/>
    <hyperlink ref="E448" r:id="rId1340" display="https://twitter.com/PSIPENTA/status/720964639786405888" xr:uid="{F1617E64-ABF7-43B9-A459-350D1581CEB3}"/>
    <hyperlink ref="O448" r:id="rId1341" display="https://pbs.twimg.com/profile_images/684325175849037824/2vFq058g_normal.jpg" xr:uid="{779706F9-AE8C-4EB4-B449-24206FD1C9A9}"/>
    <hyperlink ref="B449" r:id="rId1342" display="https://twitter.com/Bitkom_Service" xr:uid="{A317FD7E-8EB9-4DD2-9216-4838503189B6}"/>
    <hyperlink ref="E449" r:id="rId1343" display="https://twitter.com/Bitkom_Service/status/720966140374212608" xr:uid="{047B5B3E-8F40-4732-8D95-3B6C78641D51}"/>
    <hyperlink ref="O449" r:id="rId1344" display="https://pbs.twimg.com/profile_images/616176072204382208/UYYnn7XY_normal.jpg" xr:uid="{CE38D15B-774E-4A78-BBC3-FA9C3EC8FE6C}"/>
    <hyperlink ref="B450" r:id="rId1345" display="https://twitter.com/INDIZbot" xr:uid="{43CDF232-0F43-448F-B564-A1C048EF45A5}"/>
    <hyperlink ref="E450" r:id="rId1346" display="https://twitter.com/INDIZbot/status/720968029690011649" xr:uid="{C1D4009A-7740-44CC-963A-B6E078CFD713}"/>
    <hyperlink ref="O450" r:id="rId1347" display="https://pbs.twimg.com/profile_images/645716711723925506/t5G0qOS6_normal.jpg" xr:uid="{6E1043EE-B57D-43EB-BCE2-B795092CD438}"/>
    <hyperlink ref="B451" r:id="rId1348" display="https://twitter.com/PureChrifu" xr:uid="{899C0930-7883-4E55-B4ED-D1316EBD000E}"/>
    <hyperlink ref="E451" r:id="rId1349" display="https://twitter.com/PureChrifu/status/720971472123129856" xr:uid="{91C17C63-D71C-4F78-B3A9-53B2133E8B22}"/>
    <hyperlink ref="O451" r:id="rId1350" display="https://pbs.twimg.com/profile_images/378800000373511626/dff4caac0dec0dfab35d4c58f5209e18_normal.jpeg" xr:uid="{554619E8-013E-43E2-A746-A134790E0571}"/>
    <hyperlink ref="B452" r:id="rId1351" display="https://twitter.com/i40zentrum" xr:uid="{CC3CC27E-50BB-4D4E-B747-5E0F14010667}"/>
    <hyperlink ref="E452" r:id="rId1352" display="https://twitter.com/i40zentrum/status/720972663401922560" xr:uid="{AAF87254-63AD-4924-A94B-3EA9482E4CEF}"/>
    <hyperlink ref="O452" r:id="rId1353" display="https://pbs.twimg.com/profile_images/574291806998765569/PRBDNJ3u_normal.png" xr:uid="{69B7E0B9-FB70-49E7-9BD9-8BADCADA6342}"/>
    <hyperlink ref="B453" r:id="rId1354" display="https://twitter.com/dumslaff" xr:uid="{21FB0A95-5DF6-433B-8CD3-1B83AF0485CC}"/>
    <hyperlink ref="E453" r:id="rId1355" display="https://twitter.com/dumslaff/status/720973200117669888" xr:uid="{901063E0-C847-4908-A0F1-8143BF23E774}"/>
    <hyperlink ref="O453" r:id="rId1356" display="https://pbs.twimg.com/profile_images/598047133485400064/sz5k5LB4_normal.jpg" xr:uid="{EE2A4A3E-9FFC-4871-A801-CE75F44D20F5}"/>
    <hyperlink ref="B454" r:id="rId1357" display="https://twitter.com/Thomas_Heimann" xr:uid="{A94DA9F0-D795-4244-94BB-E7B9DFAD3765}"/>
    <hyperlink ref="E454" r:id="rId1358" display="https://twitter.com/Thomas_Heimann/status/720974639451795456" xr:uid="{18C31226-8C2C-45D2-ABEA-2C3D964C6A19}"/>
    <hyperlink ref="O454" r:id="rId1359" display="https://pbs.twimg.com/profile_images/591547637381337088/1EbOGut1_normal.jpg" xr:uid="{1F5AD4D8-DCF8-4DCD-81DD-80BE0E6F971C}"/>
    <hyperlink ref="B455" r:id="rId1360" display="https://twitter.com/CapgeminiDE" xr:uid="{4A16D8FE-D38E-4E20-9F9B-790C078E7413}"/>
    <hyperlink ref="E455" r:id="rId1361" display="https://twitter.com/CapgeminiDE/status/720975177107038209" xr:uid="{989F0E09-3A1B-48AB-9707-486563AE9540}"/>
    <hyperlink ref="O455" r:id="rId1362" display="https://pbs.twimg.com/profile_images/666911961599315968/aP7ID_qm_normal.png" xr:uid="{657A898E-9373-4930-91D3-A20F79696AF3}"/>
    <hyperlink ref="B456" r:id="rId1363" display="https://twitter.com/heidelbergmobil" xr:uid="{367B8634-A301-44E7-A011-C43DFF4383EC}"/>
    <hyperlink ref="E456" r:id="rId1364" display="https://twitter.com/heidelbergmobil/status/720975630603587585" xr:uid="{CC8A2578-AB5D-472C-8952-5A735CD7957E}"/>
    <hyperlink ref="O456" r:id="rId1365" display="https://pbs.twimg.com/profile_images/456341504751964160/Cdptz2iN_normal.jpeg" xr:uid="{582156D7-91B5-467C-AE3D-B906C6407A48}"/>
    <hyperlink ref="B457" r:id="rId1366" display="https://twitter.com/kommoptimierer" xr:uid="{43D433ED-D55C-42DA-97C6-2A8B0DDA2120}"/>
    <hyperlink ref="E457" r:id="rId1367" display="https://twitter.com/kommoptimierer/status/720976223942414336" xr:uid="{075F9F03-66B2-487A-BFF2-7267F68E0F4C}"/>
    <hyperlink ref="O457" r:id="rId1368" display="https://pbs.twimg.com/profile_images/541146126158536704/IYardufS_normal.jpeg" xr:uid="{5AA5E473-4407-42B4-A5A5-C33BA58FC0DB}"/>
    <hyperlink ref="B458" r:id="rId1369" display="https://twitter.com/IT2Industry" xr:uid="{FB1882BA-5406-46FC-827F-FC01128E19CB}"/>
    <hyperlink ref="E458" r:id="rId1370" display="https://twitter.com/IT2Industry/status/720976466939408384" xr:uid="{EC76E65D-FAD6-4D2E-8B67-6BA26D8CBC14}"/>
    <hyperlink ref="F458" r:id="rId1371" xr:uid="{1711FCD5-02B3-41F8-95F4-A1FE12D5F4BE}"/>
    <hyperlink ref="O458" r:id="rId1372" display="https://pbs.twimg.com/profile_images/489403559394304001/8SQlWWA1_normal.jpeg" xr:uid="{B55FBAA2-B053-49C4-9A4C-35EBE2E653EF}"/>
    <hyperlink ref="B459" r:id="rId1373" display="https://twitter.com/EEIPEnMg" xr:uid="{77D49CFB-106D-4D63-BE3B-6CABFD7D93FD}"/>
    <hyperlink ref="E459" r:id="rId1374" display="https://twitter.com/EEIPEnMg/status/720979047757520896" xr:uid="{A50AEE5B-B889-425B-8024-0ABF29DF3EA6}"/>
    <hyperlink ref="O459" r:id="rId1375" display="https://pbs.twimg.com/profile_images/572354999586267136/ICM-pVdp_normal.png" xr:uid="{832EE1E4-3F6E-48A6-B97C-2D264A85381D}"/>
    <hyperlink ref="B460" r:id="rId1376" display="https://twitter.com/H_IT_D" xr:uid="{B5E77D03-6435-449F-8201-7B75699FF832}"/>
    <hyperlink ref="E460" r:id="rId1377" display="https://twitter.com/H_IT_D/status/720980111248400386" xr:uid="{D5040BCA-8588-40FC-88A8-6890D5CB96F5}"/>
    <hyperlink ref="O460" r:id="rId1378" display="https://pbs.twimg.com/profile_images/662723326096224256/5V4KH9_O_normal.jpg" xr:uid="{C70BA082-4489-4239-8B4D-B6C296DBBD8D}"/>
    <hyperlink ref="B461" r:id="rId1379" display="https://twitter.com/QuickFindsIn" xr:uid="{B3007BF4-6FE6-425E-BB9F-BC64BD09A2BB}"/>
    <hyperlink ref="E461" r:id="rId1380" display="https://twitter.com/QuickFindsIn/status/720984025175691265" xr:uid="{814EF0E4-6EEF-4F3D-93C5-50DA00C85AFC}"/>
    <hyperlink ref="O461" r:id="rId1381" display="https://pbs.twimg.com/profile_images/591951396217327616/HbcCX2zX_normal.png" xr:uid="{F1E8CF62-8B85-4149-881C-E58423EB5453}"/>
    <hyperlink ref="B462" r:id="rId1382" display="https://twitter.com/SaREUSS" xr:uid="{0A5722A3-0E59-46CB-89CA-ACFAB94446AB}"/>
    <hyperlink ref="E462" r:id="rId1383" display="https://twitter.com/SaREUSS/status/720984116796198913" xr:uid="{6B1CB879-B302-42E5-B903-B6327F4EB8B8}"/>
    <hyperlink ref="O462" r:id="rId1384" display="https://pbs.twimg.com/profile_images/1640917480/SAbineJuni2011_normal.JPG" xr:uid="{421C8CC6-FE61-4BFC-AC59-0D6E48C923C5}"/>
    <hyperlink ref="B463" r:id="rId1385" display="https://twitter.com/INDIZbot" xr:uid="{EECF9E61-3D46-4046-BCF4-7366222C270A}"/>
    <hyperlink ref="E463" r:id="rId1386" display="https://twitter.com/INDIZbot/status/720985763660304384" xr:uid="{356E71AC-0EA8-4620-A596-605803171833}"/>
    <hyperlink ref="O463" r:id="rId1387" display="https://pbs.twimg.com/profile_images/645716711723925506/t5G0qOS6_normal.jpg" xr:uid="{FBC03AE4-D41F-4F6E-B18A-1D1DC8305973}"/>
    <hyperlink ref="B464" r:id="rId1388" display="https://twitter.com/wilfriedhoge" xr:uid="{91064FDA-F39B-4E5E-B375-41E119B9D186}"/>
    <hyperlink ref="E464" r:id="rId1389" display="https://twitter.com/wilfriedhoge/status/720986033542795264" xr:uid="{89DDF2E4-30EC-49DB-B480-B8B3124F9F9A}"/>
    <hyperlink ref="O464" r:id="rId1390" display="https://pbs.twimg.com/profile_images/594881927875792896/eBXa7re-_normal.jpg" xr:uid="{2072EF98-F3BF-4D9E-912C-20AFE242BB5E}"/>
    <hyperlink ref="B465" r:id="rId1391" display="https://twitter.com/Allabout_IoT" xr:uid="{8C9BD7D2-4DED-449F-9B5D-6ABB54EABBC5}"/>
    <hyperlink ref="E465" r:id="rId1392" display="https://twitter.com/Allabout_IoT/status/720986105848471553" xr:uid="{068B5E02-5407-4898-A700-54E364DDDB2F}"/>
    <hyperlink ref="O465" r:id="rId1393" display="https://pbs.twimg.com/profile_images/720567006307753984/nmZd1Tyt_normal.jpg" xr:uid="{9731BF8F-D600-48EB-9F07-E3C62050F77B}"/>
    <hyperlink ref="B466" r:id="rId1394" display="https://twitter.com/Arno_muc" xr:uid="{46C8044D-2602-48CE-B48C-89FEC9EFDA62}"/>
    <hyperlink ref="E466" r:id="rId1395" display="https://twitter.com/Arno_muc/status/720986806901174272" xr:uid="{7EB5A272-99A9-461E-8A90-FCBBD1239E1E}"/>
    <hyperlink ref="O466" r:id="rId1396" display="https://pbs.twimg.com/profile_images/303181441/f_r_die_website_normal.jpg" xr:uid="{6C0B2515-39D4-494F-8379-A92AC0C55B6B}"/>
    <hyperlink ref="B467" r:id="rId1397" display="https://twitter.com/IT_Connection" xr:uid="{17EC9786-959E-4071-8C59-48C9ABA2511C}"/>
    <hyperlink ref="E467" r:id="rId1398" display="https://twitter.com/IT_Connection/status/720987648601497601" xr:uid="{D0FEAD66-0C6B-4ABF-9220-A683F53502DC}"/>
    <hyperlink ref="O467" r:id="rId1399" display="https://pbs.twimg.com/profile_images/566986293888835584/_uYTcau__normal.png" xr:uid="{4A87FC12-CFC3-40E6-8269-23DC620FADD8}"/>
    <hyperlink ref="B468" r:id="rId1400" display="https://twitter.com/INDIZbot" xr:uid="{FF63A130-CCCE-4535-8025-09FD04A40C23}"/>
    <hyperlink ref="E468" r:id="rId1401" display="https://twitter.com/INDIZbot/status/720987837915656192" xr:uid="{199E5BA9-2040-4D68-908C-04DBBDAAD4E2}"/>
    <hyperlink ref="O468" r:id="rId1402" display="https://pbs.twimg.com/profile_images/645716711723925506/t5G0qOS6_normal.jpg" xr:uid="{EAF49826-E566-4536-A1E4-73FEBD4133E9}"/>
    <hyperlink ref="B469" r:id="rId1403" display="https://twitter.com/SixP4ck3r" xr:uid="{9303BE6C-5434-41A9-BCED-406A49D8A5E2}"/>
    <hyperlink ref="E469" r:id="rId1404" display="https://twitter.com/SixP4ck3r/status/720988135677698049" xr:uid="{B9FFAD6F-8F13-4336-BC56-FCED827C77E0}"/>
    <hyperlink ref="O469" r:id="rId1405" display="https://pbs.twimg.com/profile_images/672618777247244288/v5Iuptf9_normal.jpg" xr:uid="{A72381EE-9410-4C3A-A1A0-6D0DF8DE7A44}"/>
    <hyperlink ref="B470" r:id="rId1406" display="https://twitter.com/jkreienbrink" xr:uid="{7ABA32EB-75AD-4CD2-BEE5-0EDA363287C8}"/>
    <hyperlink ref="E470" r:id="rId1407" display="https://twitter.com/jkreienbrink/status/720988523025866753" xr:uid="{A6FEF38C-22BE-466C-B1E8-CEEAB5B9ACD7}"/>
    <hyperlink ref="O470" r:id="rId1408" display="https://pbs.twimg.com/profile_images/692024942196563968/kvuTJRyx_normal.jpg" xr:uid="{155FC52D-0AE0-48BC-BA15-20FEE4FC65FB}"/>
    <hyperlink ref="B471" r:id="rId1409" display="https://twitter.com/hannover_messe" xr:uid="{4CF3D060-7E8E-485D-AC10-1520F0EE0FDB}"/>
    <hyperlink ref="E471" r:id="rId1410" display="https://twitter.com/hannover_messe/status/720990531116011520" xr:uid="{9F1F1A26-AAC2-42AA-9BC8-DEA452350C22}"/>
    <hyperlink ref="O471" r:id="rId1411" display="https://pbs.twimg.com/profile_images/685255985/Bild_2_normal.png" xr:uid="{5676981D-07B5-401F-8675-00BE7C304D2E}"/>
    <hyperlink ref="B472" r:id="rId1412" display="https://twitter.com/INDIZbot" xr:uid="{7DDEF37E-0DD9-4513-95AC-CE5AB293BB78}"/>
    <hyperlink ref="E472" r:id="rId1413" display="https://twitter.com/INDIZbot/status/720993000667619328" xr:uid="{9F867328-2B05-4CC2-AE23-449E555C5A69}"/>
    <hyperlink ref="O472" r:id="rId1414" display="https://pbs.twimg.com/profile_images/645716711723925506/t5G0qOS6_normal.jpg" xr:uid="{5A0BECD7-E9BE-4927-A4B3-DD6A3DA654BB}"/>
    <hyperlink ref="B473" r:id="rId1415" display="https://twitter.com/INDIZbot" xr:uid="{F4E8FC6A-4F84-4612-AD1C-138CB6C3B034}"/>
    <hyperlink ref="E473" r:id="rId1416" display="https://twitter.com/INDIZbot/status/720993135292194816" xr:uid="{A77D6734-D68E-40A8-B28C-38B02DFE4157}"/>
    <hyperlink ref="O473" r:id="rId1417" display="https://pbs.twimg.com/profile_images/645716711723925506/t5G0qOS6_normal.jpg" xr:uid="{7FD36D53-9EAB-40EA-860D-A60EAA17381B}"/>
    <hyperlink ref="B474" r:id="rId1418" display="https://twitter.com/INDIZbot" xr:uid="{7F40E0AF-53DF-4FD8-8F22-2AEBB23BE1D5}"/>
    <hyperlink ref="E474" r:id="rId1419" display="https://twitter.com/INDIZbot/status/720993307858493440" xr:uid="{23C1AD97-B1F8-446D-9820-FC472A79A127}"/>
    <hyperlink ref="O474" r:id="rId1420" display="https://pbs.twimg.com/profile_images/645716711723925506/t5G0qOS6_normal.jpg" xr:uid="{9622F32E-2663-442F-AFE0-CE58740005F8}"/>
    <hyperlink ref="B475" r:id="rId1421" display="https://twitter.com/JuVid" xr:uid="{4C63AF69-BD20-466A-A45B-B4F4D8522CEE}"/>
    <hyperlink ref="E475" r:id="rId1422" display="https://twitter.com/JuVid/status/720993403710869507" xr:uid="{610D678E-5761-4834-88B5-50776D4AA2D9}"/>
    <hyperlink ref="O475" r:id="rId1423" display="https://pbs.twimg.com/profile_images/1654309791/P1090797_normal.JPG" xr:uid="{FA57C20C-CC9B-49BC-8CAC-42EEF4CB4463}"/>
    <hyperlink ref="B476" r:id="rId1424" display="https://twitter.com/AMETRAInge" xr:uid="{7612FABA-B19E-40A0-BD2F-9A7F20D25750}"/>
    <hyperlink ref="E476" r:id="rId1425" display="https://twitter.com/AMETRAInge/status/720994020512673793" xr:uid="{96B59635-3AC5-4A0D-9A6A-4825D03C53E4}"/>
    <hyperlink ref="O476" r:id="rId1426" display="https://pbs.twimg.com/profile_images/677781149037514752/TcTK8Bpv_normal.png" xr:uid="{97269BA9-D885-460A-B7CB-3CFBC692107C}"/>
    <hyperlink ref="B477" r:id="rId1427" display="https://twitter.com/YonicohenYoni" xr:uid="{EE907B1D-B5A2-403B-805A-8CFE87F42F66}"/>
    <hyperlink ref="E477" r:id="rId1428" display="https://twitter.com/YonicohenYoni/status/720995689807917056" xr:uid="{1E9DE36F-B76B-4A82-A1C4-8CA002DC7703}"/>
    <hyperlink ref="O477" r:id="rId1429" display="https://pbs.twimg.com/profile_images/720994279854776320/s_bilVaH_normal.jpg" xr:uid="{DADB53D6-ECB8-4AFD-8318-5BACE7503B9D}"/>
    <hyperlink ref="B478" r:id="rId1430" display="https://twitter.com/innovationbawue" xr:uid="{F8B00FD5-2D7B-4EF2-8312-6E832847F914}"/>
    <hyperlink ref="C478" r:id="rId1431" xr:uid="{CEA19F47-9AB2-459C-8EC0-C575FD6863CC}"/>
    <hyperlink ref="E478" r:id="rId1432" display="https://twitter.com/innovationbawue/status/720996336108232704" xr:uid="{F1AB62B0-44D1-48C5-A6D6-9E8C987BD1A6}"/>
    <hyperlink ref="O478" r:id="rId1433" display="https://pbs.twimg.com/profile_images/719538951988592641/7lKnB2dG_normal.jpg" xr:uid="{06139433-C8F9-45E9-9536-EB70291C906B}"/>
    <hyperlink ref="B479" r:id="rId1434" display="https://twitter.com/INDIZbot" xr:uid="{48B66895-5E4D-448F-94CA-D34D2B5C48D4}"/>
    <hyperlink ref="E479" r:id="rId1435" display="https://twitter.com/INDIZbot/status/720997898276757504" xr:uid="{61BA2E47-70B9-4E07-8554-3E2078B9FF5A}"/>
    <hyperlink ref="O479" r:id="rId1436" display="https://pbs.twimg.com/profile_images/645716711723925506/t5G0qOS6_normal.jpg" xr:uid="{9A394E45-2044-4567-B378-F4E452B39D45}"/>
    <hyperlink ref="B480" r:id="rId1437" display="https://twitter.com/HTxA" xr:uid="{45D8A9D5-18A9-4788-A6D8-C66003307900}"/>
    <hyperlink ref="E480" r:id="rId1438" display="https://twitter.com/HTxA/status/720998306520940544" xr:uid="{046F8290-A6A4-4856-AFC3-43C0EEA8F630}"/>
    <hyperlink ref="O480" r:id="rId1439" display="https://pbs.twimg.com/profile_images/438597769180094464/3KS08yHc_normal.jpeg" xr:uid="{1A67CA86-3997-426B-AF65-DF000CEB4107}"/>
    <hyperlink ref="P480" r:id="rId1440" location="51.3443709,12.3798134" display="http://ctrlq.org/maps/address/ - 51.3443709,12.3798134" xr:uid="{6C569057-0881-4D49-AAC2-5D8EDAB8306E}"/>
    <hyperlink ref="B481" r:id="rId1441" display="https://twitter.com/Databanque" xr:uid="{F4EE9B86-F7AE-41DC-8697-2BDB259333F7}"/>
    <hyperlink ref="E481" r:id="rId1442" display="https://twitter.com/Databanque/status/720999467910967297" xr:uid="{743990CB-DB6E-43B8-8B96-A9B2D01BE901}"/>
    <hyperlink ref="O481" r:id="rId1443" display="https://pbs.twimg.com/profile_images/552211771360940032/CmEYO0l3_normal.png" xr:uid="{366AA860-EBE6-459A-AE9D-26682666BDA9}"/>
    <hyperlink ref="B482" r:id="rId1444" display="https://twitter.com/TUV_IT" xr:uid="{BED6638D-E3E8-4706-9B9D-EF5292B35938}"/>
    <hyperlink ref="E482" r:id="rId1445" display="https://twitter.com/TUV_IT/status/721005513358643202" xr:uid="{949A937E-B35F-45EB-8EE6-698B9CF5823F}"/>
    <hyperlink ref="O482" r:id="rId1446" display="https://pbs.twimg.com/profile_images/706784163433680896/xE8ttuE2_normal.jpg" xr:uid="{D58ADE52-6D6F-4B4E-8A4C-4FA0E4CD02EA}"/>
    <hyperlink ref="B483" r:id="rId1447" display="https://twitter.com/KathaWeber" xr:uid="{57E632C0-874E-46ED-8BB4-810B4029D13D}"/>
    <hyperlink ref="E483" r:id="rId1448" display="https://twitter.com/KathaWeber/status/721005845623021568" xr:uid="{2F9BF3F0-665D-4062-91C0-3612165CF424}"/>
    <hyperlink ref="O483" r:id="rId1449" display="https://pbs.twimg.com/profile_images/2525022138/iumrhhryywqyaheirg1t_normal.jpeg" xr:uid="{15DC665F-1C70-47A9-B3D9-77EBE197F063}"/>
    <hyperlink ref="B484" r:id="rId1450" display="https://twitter.com/MichaelleSalmon" xr:uid="{53E65C37-5121-46BB-85CC-4E98D1C7452B}"/>
    <hyperlink ref="E484" r:id="rId1451" display="https://twitter.com/MichaelleSalmon/status/721008066750234624" xr:uid="{FB8A867F-9F42-47F7-A90A-CA22A7428D16}"/>
    <hyperlink ref="O484" r:id="rId1452" display="https://pbs.twimg.com/profile_images/565783312728215552/VwNqFg6U_normal.jpeg" xr:uid="{9115AA83-1F5B-496C-8120-D579B35A4BC2}"/>
    <hyperlink ref="B485" r:id="rId1453" display="https://twitter.com/H_IT_D" xr:uid="{F06B78A0-AC32-477C-A329-B9248D096A3E}"/>
    <hyperlink ref="E485" r:id="rId1454" display="https://twitter.com/H_IT_D/status/721013007149432833" xr:uid="{9F2AFB01-B1A7-4DD0-98AC-FC61CB092177}"/>
    <hyperlink ref="O485" r:id="rId1455" display="https://pbs.twimg.com/profile_images/662723326096224256/5V4KH9_O_normal.jpg" xr:uid="{CD0044F5-60E3-4059-8069-0A57B153B21C}"/>
    <hyperlink ref="B486" r:id="rId1456" display="https://twitter.com/deviceWISEM2M" xr:uid="{35F5FE76-920D-440E-B03F-EF4393D8ADED}"/>
    <hyperlink ref="E486" r:id="rId1457" display="https://twitter.com/deviceWISEM2M/status/721016108514484224" xr:uid="{059D44F1-F81C-44BC-BC7F-770F4743DE02}"/>
    <hyperlink ref="O486" r:id="rId1458" display="https://pbs.twimg.com/profile_images/638707523160272896/YonVe2-H_normal.jpg" xr:uid="{1F771939-CF31-49FC-A1C2-239406364A38}"/>
    <hyperlink ref="B487" r:id="rId1459" display="https://twitter.com/IT_Evaluator" xr:uid="{AABCCF9D-067A-4D74-9F11-9BB07DE6F24D}"/>
    <hyperlink ref="E487" r:id="rId1460" display="https://twitter.com/IT_Evaluator/status/721017708423311360" xr:uid="{BED896BF-A8AD-40F6-AE2C-A5EBC35BE5DD}"/>
    <hyperlink ref="O487" r:id="rId1461" display="https://pbs.twimg.com/profile_images/455995985139736576/WOdlo17m_normal.jpeg" xr:uid="{A6E76CAE-2575-4A43-82C6-E4A0C6C5BDA8}"/>
    <hyperlink ref="B488" r:id="rId1462" display="https://twitter.com/gpodagrosi" xr:uid="{F01734AE-2F8A-4455-8504-DD3B3EE1B60F}"/>
    <hyperlink ref="E488" r:id="rId1463" display="https://twitter.com/gpodagrosi/status/721019444198293508" xr:uid="{30680791-C790-4E93-9DE0-A957E946A58E}"/>
    <hyperlink ref="O488" r:id="rId1464" display="https://pbs.twimg.com/profile_images/588981131996966912/55KBnYR7_normal.jpg" xr:uid="{A54973AD-F2CF-466B-9EE5-F829C3247298}"/>
    <hyperlink ref="B489" r:id="rId1465" display="https://twitter.com/ThomasSchulzGE" xr:uid="{F6904327-3B69-429C-88B0-DD7C1119B521}"/>
    <hyperlink ref="E489" r:id="rId1466" display="https://twitter.com/ThomasSchulzGE/status/721019486380367873" xr:uid="{F2C62D85-8A2C-429E-BBAA-AF8B28008D46}"/>
    <hyperlink ref="O489" r:id="rId1467" display="https://pbs.twimg.com/profile_images/631516878830178304/X8gApwdt_normal.jpg" xr:uid="{C72A6204-0B66-4139-903E-AC4A00487B31}"/>
    <hyperlink ref="B490" r:id="rId1468" display="https://twitter.com/INDIZbot" xr:uid="{528024C4-AA64-4FCA-AD4B-8015B33B5A07}"/>
    <hyperlink ref="E490" r:id="rId1469" display="https://twitter.com/INDIZbot/status/721020615629647873" xr:uid="{0BE404DF-C941-4B0A-B6FB-26EFDFA70BB3}"/>
    <hyperlink ref="O490" r:id="rId1470" display="https://pbs.twimg.com/profile_images/645716711723925506/t5G0qOS6_normal.jpg" xr:uid="{816C4BC5-1175-4AC6-9DE5-0C04ACCC510E}"/>
    <hyperlink ref="B491" r:id="rId1471" display="https://twitter.com/ThomasSchulzGE" xr:uid="{D09049FE-4764-4A52-BABD-71197A089D92}"/>
    <hyperlink ref="E491" r:id="rId1472" display="https://twitter.com/ThomasSchulzGE/status/721021926320304128" xr:uid="{C66469C4-8E87-490D-AC4D-41A9AD41F518}"/>
    <hyperlink ref="O491" r:id="rId1473" display="https://pbs.twimg.com/profile_images/631516878830178304/X8gApwdt_normal.jpg" xr:uid="{C8D75E6F-ED88-4887-A0BC-84C0D3081A40}"/>
    <hyperlink ref="B492" r:id="rId1474" display="https://twitter.com/ThomasSchulzGE" xr:uid="{84587B4C-4793-49B2-98CF-B7690C580633}"/>
    <hyperlink ref="E492" r:id="rId1475" display="https://twitter.com/ThomasSchulzGE/status/721022524742639617" xr:uid="{1CC993FE-F03D-4A45-B4CC-F74B7247DF48}"/>
    <hyperlink ref="O492" r:id="rId1476" display="https://pbs.twimg.com/profile_images/631516878830178304/X8gApwdt_normal.jpg" xr:uid="{C386B970-42F4-4B22-9960-3B60815D4C19}"/>
    <hyperlink ref="B493" r:id="rId1477" display="https://twitter.com/wiesel2008" xr:uid="{C05D878A-E4BD-4B2A-B6AA-FF811059242C}"/>
    <hyperlink ref="E493" r:id="rId1478" display="https://twitter.com/wiesel2008/status/721023181159534592" xr:uid="{3DA46103-1389-4520-B0E7-9E9A9E60C0D8}"/>
    <hyperlink ref="O493" r:id="rId1479" display="https://pbs.twimg.com/profile_images/3505233280/d60e61af592f4573e8fb2025b1428b06_normal.jpeg" xr:uid="{BF0B7798-17C1-46C5-A331-92E528B57DE6}"/>
    <hyperlink ref="B494" r:id="rId1480" display="https://twitter.com/Dr_RobertFreund" xr:uid="{AA208D3E-A36C-42FE-8434-0C7548CB6E58}"/>
    <hyperlink ref="E494" r:id="rId1481" display="https://twitter.com/Dr_RobertFreund/status/721024167785664512" xr:uid="{EC09EC9C-514A-4308-8F2F-7F3C39388795}"/>
    <hyperlink ref="O494" r:id="rId1482" display="https://pbs.twimg.com/profile_images/524497009311354882/cGr5KIAg_normal.jpeg" xr:uid="{FD654568-441F-4B37-8BDB-EE9056CEFFBF}"/>
    <hyperlink ref="B495" r:id="rId1483" display="https://twitter.com/H_IT_D" xr:uid="{2BF5CE15-42D4-433B-9E3C-5385BA8B4DC6}"/>
    <hyperlink ref="E495" r:id="rId1484" display="https://twitter.com/H_IT_D/status/721028968225222656" xr:uid="{F43CE2A5-6C1F-481F-9116-DF30DC0BBF03}"/>
    <hyperlink ref="O495" r:id="rId1485" display="https://pbs.twimg.com/profile_images/662723326096224256/5V4KH9_O_normal.jpg" xr:uid="{54A3302E-A3A4-46BB-9047-EB8F81FE184A}"/>
    <hyperlink ref="B496" r:id="rId1486" display="https://twitter.com/INDIZbot" xr:uid="{67CA9668-E4D6-4C45-BEEB-71CB128E6517}"/>
    <hyperlink ref="E496" r:id="rId1487" display="https://twitter.com/INDIZbot/status/721030816172810240" xr:uid="{609AB904-5E1E-4F71-9F7B-470E1ADBD31F}"/>
    <hyperlink ref="O496" r:id="rId1488" display="https://pbs.twimg.com/profile_images/645716711723925506/t5G0qOS6_normal.jpg" xr:uid="{AA9E9F1D-7FC2-4A20-8C4F-A91A20861F71}"/>
    <hyperlink ref="B497" r:id="rId1489" display="https://twitter.com/batix" xr:uid="{2708C487-DBF2-4B98-AE68-A8C737228DF2}"/>
    <hyperlink ref="E497" r:id="rId1490" display="https://twitter.com/batix/status/721034156600397824" xr:uid="{76F4827E-24A8-4813-AFCC-ACC9F19F49D2}"/>
    <hyperlink ref="O497" r:id="rId1491" display="https://pbs.twimg.com/profile_images/710178864778121216/Eq8vGVB9_normal.jpg" xr:uid="{88707BD0-8DCB-4673-BD3C-CE93031130D8}"/>
    <hyperlink ref="B498" r:id="rId1492" display="https://twitter.com/ITnet_TH" xr:uid="{C77CCC7D-47EC-435A-87FB-DE67D196B729}"/>
    <hyperlink ref="E498" r:id="rId1493" display="https://twitter.com/ITnet_TH/status/721034260266754048" xr:uid="{4317F43C-54A4-4E43-ADC5-D674A07D8AFD}"/>
    <hyperlink ref="O498" r:id="rId1494" display="https://pbs.twimg.com/profile_images/677512659554672640/2jnhRYHY_normal.jpg" xr:uid="{D195A262-E235-472F-807B-D952CE652D15}"/>
    <hyperlink ref="B499" r:id="rId1495" display="https://twitter.com/INDIZbot" xr:uid="{11CEC9E7-6CDD-4493-965D-DBF589BAFDC0}"/>
    <hyperlink ref="E499" r:id="rId1496" display="https://twitter.com/INDIZbot/status/721035701064769536" xr:uid="{57750D2A-31DD-4657-B5A8-8FBFC36817BF}"/>
    <hyperlink ref="O499" r:id="rId1497" display="https://pbs.twimg.com/profile_images/645716711723925506/t5G0qOS6_normal.jpg" xr:uid="{6B9FD211-7C97-4451-9805-3CC73D37F861}"/>
    <hyperlink ref="B500" r:id="rId1498" display="https://twitter.com/tomov_eu" xr:uid="{9DFD7501-D0E8-4D3D-A2A9-E3ED6CADE2AA}"/>
    <hyperlink ref="E500" r:id="rId1499" display="https://twitter.com/tomov_eu/status/721036941471412224" xr:uid="{FDFAA599-847A-46AE-8B44-244E991B1B0A}"/>
    <hyperlink ref="O500" r:id="rId1500" display="https://pbs.twimg.com/profile_images/557949283861663744/XRnqLo9K_normal.jpeg" xr:uid="{DC961138-2304-4A87-A8AA-990C94A1438F}"/>
    <hyperlink ref="B501" r:id="rId1501" display="https://twitter.com/Cathy_Brennan" xr:uid="{EC127021-8DA7-4604-8686-5E5633669234}"/>
    <hyperlink ref="E501" r:id="rId1502" display="https://twitter.com/Cathy_Brennan/status/721037664112128001" xr:uid="{C825E5F7-B58C-43FC-BEF0-75B9E03D65B1}"/>
    <hyperlink ref="O501" r:id="rId1503" display="https://pbs.twimg.com/profile_images/530100288472903680/89b39upH_normal.jpeg" xr:uid="{1F54E904-0A7C-4DB8-B5A9-3843F31E5DCF}"/>
    <hyperlink ref="B502" r:id="rId1504" display="https://twitter.com/JulienGre38" xr:uid="{A30D7017-C87F-4987-912A-41D41E1448BE}"/>
    <hyperlink ref="E502" r:id="rId1505" display="https://twitter.com/JulienGre38/status/721049401037361152" xr:uid="{DAAFD549-332A-4A2B-9E51-DF0AEF8F8F14}"/>
    <hyperlink ref="O502" r:id="rId1506" display="https://pbs.twimg.com/profile_images/618126359622221824/GH4y7y_J_normal.jpg" xr:uid="{24AF4867-5AF2-4EB7-B8DB-DB855B4321D5}"/>
    <hyperlink ref="B503" r:id="rId1507" display="https://twitter.com/tomweisz" xr:uid="{15A6608D-C888-408C-92C7-9E15117B960E}"/>
    <hyperlink ref="E503" r:id="rId1508" display="https://twitter.com/tomweisz/status/721051674421379072" xr:uid="{10C2207B-8A6A-488D-B2EE-FE73F45CE10E}"/>
    <hyperlink ref="O503" r:id="rId1509" display="https://pbs.twimg.com/profile_images/720669524786327552/lJEA-nOB_normal.jpg" xr:uid="{BB0901FE-453A-4AB1-B7FE-74E417E141F8}"/>
    <hyperlink ref="B504" r:id="rId1510" display="https://twitter.com/JCGeorghiou" xr:uid="{DBC871F7-2239-4BBB-BA88-8C4C2D648BEE}"/>
    <hyperlink ref="E504" r:id="rId1511" display="https://twitter.com/JCGeorghiou/status/721054826143080449" xr:uid="{D77E0076-331F-4222-B7A2-87754223E6A8}"/>
    <hyperlink ref="O504" r:id="rId1512" display="https://pbs.twimg.com/profile_images/692728796336754690/RKiqJiFN_normal.jpg" xr:uid="{92C797AF-AC5B-4240-80CF-CD50D092464B}"/>
    <hyperlink ref="B505" r:id="rId1513" display="https://twitter.com/QuickFindsIn" xr:uid="{A40ABA3B-6A6C-4919-AF82-5A5179DED8B3}"/>
    <hyperlink ref="E505" r:id="rId1514" display="https://twitter.com/QuickFindsIn/status/721056504875393024" xr:uid="{9FD51AE0-9C34-48DB-B7F2-CCA4F973B3A9}"/>
    <hyperlink ref="O505" r:id="rId1515" display="https://pbs.twimg.com/profile_images/591951396217327616/HbcCX2zX_normal.png" xr:uid="{250797E9-E75B-435C-80E6-1FF41369FD8F}"/>
    <hyperlink ref="B506" r:id="rId1516" display="https://twitter.com/maspes76" xr:uid="{B8BE10CD-AA68-440A-9DAF-9363A4DFEC96}"/>
    <hyperlink ref="E506" r:id="rId1517" display="https://twitter.com/maspes76/status/721056675776569344" xr:uid="{72D0B3B2-FE94-47BA-B3A1-4904D3A46A36}"/>
    <hyperlink ref="O506" r:id="rId1518" display="https://pbs.twimg.com/profile_images/504383621315051520/PUzFL5u3_normal.jpeg" xr:uid="{F6015B3F-770C-44BB-97B4-1D3EC73A3469}"/>
    <hyperlink ref="B507" r:id="rId1519" display="https://twitter.com/Databanque" xr:uid="{0D29A9D2-B025-4167-8A24-AD0408DAB7F9}"/>
    <hyperlink ref="E507" r:id="rId1520" display="https://twitter.com/Databanque/status/721057045823160321" xr:uid="{96E8D633-BD18-40C0-8565-61B0C6C1B0BE}"/>
    <hyperlink ref="O507" r:id="rId1521" display="https://pbs.twimg.com/profile_images/552211771360940032/CmEYO0l3_normal.png" xr:uid="{F6E2ECFD-798C-4792-8C2A-D0CD03865BC3}"/>
    <hyperlink ref="B508" r:id="rId1522" display="https://twitter.com/PMiekautsch" xr:uid="{1114E78E-8054-4A21-8E00-EDDE8A9D429C}"/>
    <hyperlink ref="E508" r:id="rId1523" display="https://twitter.com/PMiekautsch/status/721057234113929216" xr:uid="{C7DABAEB-7638-4347-82E4-41D613DF1ABB}"/>
    <hyperlink ref="O508" r:id="rId1524" display="https://pbs.twimg.com/profile_images/686414815301074945/Xe5edP1v_normal.jpg" xr:uid="{0FF4520A-BEDF-4906-B3D4-7461E07B089E}"/>
    <hyperlink ref="B509" r:id="rId1525" display="https://twitter.com/kommoptimierer" xr:uid="{A92BB1FA-E38C-4D23-8C7E-CA375D0107C2}"/>
    <hyperlink ref="E509" r:id="rId1526" display="https://twitter.com/kommoptimierer/status/721058012962664448" xr:uid="{DFF6FB5B-62B8-4387-ACFE-D7D1F1F272F0}"/>
    <hyperlink ref="O509" r:id="rId1527" display="https://pbs.twimg.com/profile_images/541146126158536704/IYardufS_normal.jpeg" xr:uid="{E81E24A1-DE03-43A9-9780-3B336690FB00}"/>
    <hyperlink ref="B510" r:id="rId1528" display="https://twitter.com/MauMatt" xr:uid="{82AF72ED-631E-4B3C-A11E-B679A42415B5}"/>
    <hyperlink ref="E510" r:id="rId1529" display="https://twitter.com/MauMatt/status/721058053337051136" xr:uid="{A9514DC5-DC97-43A6-87D3-552CB8D668E3}"/>
    <hyperlink ref="O510" r:id="rId1530" display="https://pbs.twimg.com/profile_images/694582636447141888/UbS5f6D9_normal.jpg" xr:uid="{5FDCBEE5-2352-4134-A196-119C8F7D5136}"/>
    <hyperlink ref="B511" r:id="rId1531" display="https://twitter.com/MindCommerce" xr:uid="{18888EF3-CF8C-49DF-8D4F-7B83D71F7A1E}"/>
    <hyperlink ref="E511" r:id="rId1532" display="https://twitter.com/MindCommerce/status/721058260967624704" xr:uid="{CD6934D3-8A22-462B-90F0-B037B6775B68}"/>
    <hyperlink ref="O511" r:id="rId1533" display="https://pbs.twimg.com/profile_images/548030384030507008/utABqhj9_normal.png" xr:uid="{BE8F33E3-98B2-4BBF-BB23-F12621031831}"/>
    <hyperlink ref="B512" r:id="rId1534" display="https://twitter.com/_damoca" xr:uid="{66DEE039-F400-4304-ABFE-AD9209368315}"/>
    <hyperlink ref="E512" r:id="rId1535" display="https://twitter.com/_damoca/status/721066483925835776" xr:uid="{61188A75-18BD-4C04-B03E-F4471A176F8F}"/>
    <hyperlink ref="O512" r:id="rId1536" display="https://pbs.twimg.com/profile_images/701539571977289728/ulvjpEZ4_normal.jpg" xr:uid="{805026E1-ED61-4BD2-8FE5-C140D1A9BF96}"/>
    <hyperlink ref="B513" r:id="rId1537" display="https://twitter.com/kommoptimierer" xr:uid="{A569EE9B-B65F-4E68-B224-E1DDF43ED3CC}"/>
    <hyperlink ref="E513" r:id="rId1538" display="https://twitter.com/kommoptimierer/status/721066821495996417" xr:uid="{4302E7D3-9075-48D2-8090-B4E615628576}"/>
    <hyperlink ref="O513" r:id="rId1539" display="https://pbs.twimg.com/profile_images/541146126158536704/IYardufS_normal.jpeg" xr:uid="{71197E28-0285-4736-8ADF-DEDDD1F6283A}"/>
    <hyperlink ref="B514" r:id="rId1540" display="https://twitter.com/IndieGameDevBot" xr:uid="{3CA3E64A-D2A8-4BBF-A47D-28DA762FD128}"/>
    <hyperlink ref="E514" r:id="rId1541" display="https://twitter.com/IndieGameDevBot/status/721067746407092228" xr:uid="{09814DE5-944B-4373-B99A-4B36D3BB06B0}"/>
    <hyperlink ref="O514" r:id="rId1542" display="https://pbs.twimg.com/profile_images/522536769502195712/cG1yitHo_normal.jpeg" xr:uid="{F52EA791-854B-451E-9483-7BC4603D3289}"/>
    <hyperlink ref="B515" r:id="rId1543" display="https://twitter.com/H_IT_D" xr:uid="{F7D3727E-408A-4A2A-B70D-30CAE3BD3573}"/>
    <hyperlink ref="E515" r:id="rId1544" display="https://twitter.com/H_IT_D/status/721076386350280704" xr:uid="{CC33270B-DC3E-42EA-8B34-D0221224A517}"/>
    <hyperlink ref="O515" r:id="rId1545" display="https://pbs.twimg.com/profile_images/662723326096224256/5V4KH9_O_normal.jpg" xr:uid="{564B6ACD-794F-4B3A-8778-4CCEA5D8644C}"/>
    <hyperlink ref="B516" r:id="rId1546" display="https://twitter.com/RolandThaler" xr:uid="{25932583-0BB8-4800-B55A-59651153946F}"/>
    <hyperlink ref="E516" r:id="rId1547" display="https://twitter.com/RolandThaler/status/721078862008991744" xr:uid="{0FDF75B2-E5F9-4734-9824-E45966046EC1}"/>
    <hyperlink ref="O516" r:id="rId1548" display="https://pbs.twimg.com/profile_images/509745088696578048/tElL2_Ef_normal.jpeg" xr:uid="{62111B15-730B-4F32-B898-DEEE1AC4B636}"/>
    <hyperlink ref="B517" r:id="rId1549" display="https://twitter.com/INDIZbot" xr:uid="{6E5750D2-51A5-4D1A-B45E-FDF1B0830EBC}"/>
    <hyperlink ref="E517" r:id="rId1550" display="https://twitter.com/INDIZbot/status/721080949216264192" xr:uid="{0485C34C-2572-4D3C-A29F-36422C7347A5}"/>
    <hyperlink ref="O517" r:id="rId1551" display="https://pbs.twimg.com/profile_images/645716711723925506/t5G0qOS6_normal.jpg" xr:uid="{BE8F7E33-5ECD-4DB1-8EF8-8A7197900EAD}"/>
    <hyperlink ref="B518" r:id="rId1552" display="https://twitter.com/INDIZbot" xr:uid="{D1AC90FA-34CF-41A4-9276-0820103AD134}"/>
    <hyperlink ref="E518" r:id="rId1553" display="https://twitter.com/INDIZbot/status/721081205408587776" xr:uid="{E3048117-2FB8-464D-85B9-B92D40834112}"/>
    <hyperlink ref="O518" r:id="rId1554" display="https://pbs.twimg.com/profile_images/645716711723925506/t5G0qOS6_normal.jpg" xr:uid="{F312A84E-8240-493B-99CE-738956762C81}"/>
    <hyperlink ref="B519" r:id="rId1555" display="https://twitter.com/IIConsortium" xr:uid="{9719CC2C-70CE-4BBC-A9C4-1ACEED8BE1D7}"/>
    <hyperlink ref="E519" r:id="rId1556" display="https://twitter.com/IIConsortium/status/721089549183672320" xr:uid="{6567AAF2-EB26-4597-99A3-DD07301B02C2}"/>
    <hyperlink ref="O519" r:id="rId1557" display="https://pbs.twimg.com/profile_images/417735376585773057/t4NCtA5o_normal.jpeg" xr:uid="{DB94CE3F-A5A1-44AB-84DC-B0D56DCDBB9C}"/>
    <hyperlink ref="B520" r:id="rId1558" display="https://twitter.com/MatteoSeghezzi" xr:uid="{3800DA61-A7E5-4F8C-8E25-033537F383FB}"/>
    <hyperlink ref="E520" r:id="rId1559" display="https://twitter.com/MatteoSeghezzi/status/721090547813847040" xr:uid="{6E0F094E-10AC-48FC-A303-3C5B4C74A1D8}"/>
    <hyperlink ref="O520" r:id="rId1560" display="https://pbs.twimg.com/profile_images/3086977440/0297f37e105e3c645b069ec8a3214d4e_normal.jpeg" xr:uid="{42E04E66-D50D-4AB0-92B8-AA397B6B942F}"/>
    <hyperlink ref="B521" r:id="rId1561" display="https://twitter.com/alexicondor" xr:uid="{DFD3F840-195F-4916-AFAD-13B261F15F84}"/>
    <hyperlink ref="E521" r:id="rId1562" display="https://twitter.com/alexicondor/status/721094999652360192" xr:uid="{036A1868-7CB1-4045-8F90-901D5C1A9FC8}"/>
    <hyperlink ref="O521" r:id="rId1563" display="https://pbs.twimg.com/profile_images/540930689705582592/R77AXoET_normal.jpeg" xr:uid="{010448BA-9857-40C5-A222-48AE658150E3}"/>
    <hyperlink ref="B522" r:id="rId1564" display="https://twitter.com/carolin_schroer" xr:uid="{55DEC5AC-8E5D-4443-8627-158EA48D25AB}"/>
    <hyperlink ref="E522" r:id="rId1565" display="https://twitter.com/carolin_schroer/status/721095189075505152" xr:uid="{2F01BFE9-DBD3-4B17-926E-BB99C1B677F9}"/>
    <hyperlink ref="O522" r:id="rId1566" display="https://pbs.twimg.com/profile_images/692817171999801344/sjvX94s4_normal.jpg" xr:uid="{1C8AF50D-3FFF-4F58-A72E-4F4D74CBDDA7}"/>
    <hyperlink ref="B523" r:id="rId1567" display="https://twitter.com/RolandBent" xr:uid="{9184A8DE-D2CF-4013-A24D-FB4A6CC1D4A6}"/>
    <hyperlink ref="E523" r:id="rId1568" display="https://twitter.com/RolandBent/status/721125452123922432" xr:uid="{6AA18E38-EBD8-4BB8-B4D3-1D73E6260549}"/>
    <hyperlink ref="O523" r:id="rId1569" display="https://pbs.twimg.com/profile_images/451994816889360385/SYPpc3iI_normal.jpeg" xr:uid="{BC6F2899-8CB0-49A7-B470-118FFABEB141}"/>
    <hyperlink ref="B524" r:id="rId1570" display="https://twitter.com/messeworldwide" xr:uid="{C6051F2B-2F80-402B-981A-1898375C99C1}"/>
    <hyperlink ref="E524" r:id="rId1571" display="https://twitter.com/messeworldwide/status/721127784924336128" xr:uid="{53B6FD73-5FB5-4D47-B524-14E16A33AF8C}"/>
    <hyperlink ref="O524" r:id="rId1572" display="https://pbs.twimg.com/profile_images/651964313322721281/-f8yI6Ku_normal.jpg" xr:uid="{022350FE-9168-4379-B4D7-3B2ADA7840FC}"/>
    <hyperlink ref="B525" r:id="rId1573" display="https://twitter.com/QuickFindsIn" xr:uid="{80127353-4566-46E9-99DB-E2AA9906B885}"/>
    <hyperlink ref="E525" r:id="rId1574" display="https://twitter.com/QuickFindsIn/status/721141065718173696" xr:uid="{A89F4CCD-C786-4BCC-8ED8-78F650575F24}"/>
    <hyperlink ref="O525" r:id="rId1575" display="https://pbs.twimg.com/profile_images/591951396217327616/HbcCX2zX_normal.png" xr:uid="{BDCCB833-28A9-49B4-88EB-5C386D4EB0C5}"/>
    <hyperlink ref="B526" r:id="rId1576" display="https://twitter.com/dsloly" xr:uid="{F5DFF037-FBB3-42D6-A166-D2D12AA6FDBC}"/>
    <hyperlink ref="E526" r:id="rId1577" display="https://twitter.com/dsloly/status/721142120757739520" xr:uid="{7E661D43-A581-4BD5-9247-392BD1E39DDE}"/>
    <hyperlink ref="O526" r:id="rId1578" display="https://pbs.twimg.com/profile_images/717446712089042944/8ce3nV2G_normal.jpg" xr:uid="{F76EE654-3755-45A0-952B-152324EAEC4A}"/>
    <hyperlink ref="B527" r:id="rId1579" display="https://twitter.com/BGarciaSchmidt" xr:uid="{7462DB59-9FC9-4751-835A-AA1AA97008C1}"/>
    <hyperlink ref="E527" r:id="rId1580" display="https://twitter.com/BGarciaSchmidt/status/721204575273947136" xr:uid="{52CFC840-A114-4EC6-8BEB-B3F8BEE1F878}"/>
    <hyperlink ref="O527" r:id="rId1581" display="https://pbs.twimg.com/profile_images/690172121973145601/pudiMkyd_normal.jpg" xr:uid="{A12B59A2-D033-4643-886C-0438EC10072A}"/>
    <hyperlink ref="B528" r:id="rId1582" display="https://twitter.com/CapgeminiDE" xr:uid="{EAEA06ED-0D0A-4F80-B24C-4AECFB34D86E}"/>
    <hyperlink ref="E528" r:id="rId1583" display="https://twitter.com/CapgeminiDE/status/721232952747810817" xr:uid="{467E3B29-9C8B-4D40-A466-4D8826989B83}"/>
    <hyperlink ref="O528" r:id="rId1584" display="https://pbs.twimg.com/profile_images/666911961599315968/aP7ID_qm_normal.png" xr:uid="{6D52EF98-CD70-426D-B09D-32BF1A9B3E74}"/>
    <hyperlink ref="B529" r:id="rId1585" display="https://twitter.com/CapgeminiDE" xr:uid="{CAC2EB50-051A-465B-8154-DB91A5F7946E}"/>
    <hyperlink ref="E529" r:id="rId1586" display="https://twitter.com/CapgeminiDE/status/721232964617637890" xr:uid="{FCE7FBAC-2CAE-4E6B-B1E4-67CFA8ABCDBF}"/>
    <hyperlink ref="O529" r:id="rId1587" display="https://pbs.twimg.com/profile_images/666911961599315968/aP7ID_qm_normal.png" xr:uid="{8A89E688-8FD1-4E4F-A108-F24106D73548}"/>
    <hyperlink ref="B530" r:id="rId1588" display="https://twitter.com/Adam_Ripley" xr:uid="{4D8746DA-2891-41F4-82CC-99D89549AF50}"/>
    <hyperlink ref="E530" r:id="rId1589" display="https://twitter.com/Adam_Ripley/status/721233365458935808" xr:uid="{1885C9AD-4F7B-4816-A694-F1409D36AAFB}"/>
    <hyperlink ref="O530" r:id="rId1590" display="https://pbs.twimg.com/profile_images/3470756653/9f9c3629840fad27aafed3265b77c062_normal.png" xr:uid="{DBA79DBA-E3A2-447E-8179-7B75C6374881}"/>
    <hyperlink ref="B531" r:id="rId1591" display="https://twitter.com/INDIZbot" xr:uid="{171B88D7-33AC-48B3-A4C0-A2834072E79D}"/>
    <hyperlink ref="E531" r:id="rId1592" display="https://twitter.com/INDIZbot/status/721234668180389888" xr:uid="{3B0A5F35-4AAA-47CB-9707-7C2D67259CB8}"/>
    <hyperlink ref="O531" r:id="rId1593" display="https://pbs.twimg.com/profile_images/645716711723925506/t5G0qOS6_normal.jpg" xr:uid="{0B7E5728-9B19-44BD-8C14-F6E8F3E14A16}"/>
    <hyperlink ref="B532" r:id="rId1594" display="https://twitter.com/INDIZbot" xr:uid="{FABAED5D-9280-4FF0-B175-BAE2F2DB283F}"/>
    <hyperlink ref="E532" r:id="rId1595" display="https://twitter.com/INDIZbot/status/721234738967678976" xr:uid="{857259AE-9A32-4C77-B15C-89FEB47CD895}"/>
    <hyperlink ref="O532" r:id="rId1596" display="https://pbs.twimg.com/profile_images/645716711723925506/t5G0qOS6_normal.jpg" xr:uid="{78BFC4A3-9F8E-4A35-AC25-DE0B29538964}"/>
    <hyperlink ref="B533" r:id="rId1597" display="https://twitter.com/DKEAktuell" xr:uid="{9959F27F-4D90-4306-87D2-C85A03DC54FD}"/>
    <hyperlink ref="E533" r:id="rId1598" display="https://twitter.com/DKEAktuell/status/721238015121743872" xr:uid="{19C63A08-7EFD-457B-8F48-40BEA51293CF}"/>
    <hyperlink ref="O533" r:id="rId1599" display="https://pbs.twimg.com/profile_images/465817969902092288/sEIgw9Gb_normal.jpeg" xr:uid="{5315FBCF-E41D-4071-8EB7-A6DDA38290FD}"/>
    <hyperlink ref="B534" r:id="rId1600" display="https://twitter.com/tcerisier_johan" xr:uid="{34684A67-2208-40FA-BC77-A3F7B952FF43}"/>
    <hyperlink ref="E534" r:id="rId1601" display="https://twitter.com/tcerisier_johan/status/721239343743033345" xr:uid="{BCEB1646-89DE-4029-8B34-271D301831C5}"/>
    <hyperlink ref="O534" r:id="rId1602" display="https://pbs.twimg.com/profile_images/710982607606038528/t8IYX_cK_normal.jpg" xr:uid="{743FD70C-92EC-4B85-B428-62AF0ED106C4}"/>
    <hyperlink ref="B535" r:id="rId1603" display="https://twitter.com/sytaylor" xr:uid="{8B3C3065-1804-4976-A3F2-5DE0811D63A1}"/>
    <hyperlink ref="E535" r:id="rId1604" display="https://twitter.com/sytaylor/status/721244292283514880" xr:uid="{112CACCF-4671-41C7-810D-E58D657E3C26}"/>
    <hyperlink ref="O535" r:id="rId1605" display="https://pbs.twimg.com/profile_images/624287552569241600/lHDImNou_normal.jpg" xr:uid="{4A3C3A22-216A-4995-82A8-318B935F6532}"/>
    <hyperlink ref="B536" r:id="rId1606" display="https://twitter.com/Aurelien_T_K" xr:uid="{CCF8E706-9736-48C0-9DCA-97A543B6B20F}"/>
    <hyperlink ref="E536" r:id="rId1607" display="https://twitter.com/Aurelien_T_K/status/721244305478823936" xr:uid="{1F7C3394-D1A7-4273-9B55-15C3CBA78C25}"/>
    <hyperlink ref="O536" r:id="rId1608" display="https://pbs.twimg.com/profile_images/711460495795097600/GjVvY72S_normal.jpg" xr:uid="{F3F17E15-8D66-4C64-B31E-8F4B4468B1FC}"/>
    <hyperlink ref="B537" r:id="rId1609" display="https://twitter.com/Aurelien_T_K" xr:uid="{F2F5CA21-C7FB-4F1C-870A-21A70D5B35B4}"/>
    <hyperlink ref="E537" r:id="rId1610" display="https://twitter.com/Aurelien_T_K/status/721244373564919808" xr:uid="{0E76DC91-2969-41D0-812D-7C6E64659799}"/>
    <hyperlink ref="O537" r:id="rId1611" display="https://pbs.twimg.com/profile_images/711460495795097600/GjVvY72S_normal.jpg" xr:uid="{299396BA-0A4A-410E-9009-DC55C3700EC6}"/>
    <hyperlink ref="B538" r:id="rId1612" display="https://twitter.com/MartinGaedt" xr:uid="{0D967796-7610-415F-A90C-D02283699F02}"/>
    <hyperlink ref="E538" r:id="rId1613" display="https://twitter.com/MartinGaedt/status/721244471640383488" xr:uid="{8F7E12FA-8E45-4AC7-BBDA-F94D38B6F338}"/>
    <hyperlink ref="O538" r:id="rId1614" display="https://pbs.twimg.com/profile_images/709444980553740288/Xds-Aan6_normal.jpg" xr:uid="{ABBDECB6-1B23-4185-9BB5-1E1AC138D488}"/>
    <hyperlink ref="B539" r:id="rId1615" display="https://twitter.com/Fran_tandem" xr:uid="{E61B07BE-6635-40EA-8CD3-D3B2981DB759}"/>
    <hyperlink ref="E539" r:id="rId1616" display="https://twitter.com/Fran_tandem/status/721244972993875968" xr:uid="{41BB7F6A-5C48-4073-B7D4-44BDF65832A8}"/>
    <hyperlink ref="O539" r:id="rId1617" display="https://pbs.twimg.com/profile_images/662237330028240896/0SuYDCo1_normal.jpg" xr:uid="{15064171-62C8-4AFB-A005-1FC7E213DCFC}"/>
    <hyperlink ref="B540" r:id="rId1618" display="https://twitter.com/VDI_News" xr:uid="{4D8C5023-F182-4E96-B254-16D0AFF5FD05}"/>
    <hyperlink ref="E540" r:id="rId1619" display="https://twitter.com/VDI_News/status/721249037538705409" xr:uid="{921F43B5-9164-46FF-B5FE-2AD60A3A3237}"/>
    <hyperlink ref="O540" r:id="rId1620" display="https://pbs.twimg.com/profile_images/469070945483628546/iD8AeJP6_normal.png" xr:uid="{1C5E0F19-E2C0-462F-ABE9-38734709998F}"/>
    <hyperlink ref="B541" r:id="rId1621" display="https://twitter.com/INDIZbot" xr:uid="{43CE3240-6569-4583-A7B6-188254FEF087}"/>
    <hyperlink ref="E541" r:id="rId1622" display="https://twitter.com/INDIZbot/status/721249556864897024" xr:uid="{36E74989-D05B-4138-A755-C35B3364CD6A}"/>
    <hyperlink ref="O541" r:id="rId1623" display="https://pbs.twimg.com/profile_images/645716711723925506/t5G0qOS6_normal.jpg" xr:uid="{C4C34F94-D0AA-4C61-AD44-DAA0B02B8460}"/>
    <hyperlink ref="B542" r:id="rId1624" display="https://twitter.com/virtualgarry" xr:uid="{3B46654F-DCDC-4234-B383-1DE1B2C1B289}"/>
    <hyperlink ref="E542" r:id="rId1625" display="https://twitter.com/virtualgarry/status/721249707994058752" xr:uid="{B5384998-03B1-41EF-A641-949C28418533}"/>
    <hyperlink ref="O542" r:id="rId1626" display="https://pbs.twimg.com/profile_images/617950867170263040/s8vgGLPr_normal.jpg" xr:uid="{C75F5552-363B-415E-B456-FD18390933E1}"/>
    <hyperlink ref="B543" r:id="rId1627" display="https://twitter.com/Planer4U" xr:uid="{FDF57D04-4C90-4559-9707-159443D81C2A}"/>
    <hyperlink ref="E543" r:id="rId1628" display="https://twitter.com/Planer4U/status/721249768710791168" xr:uid="{FECDB0CE-2B04-4A02-BCAB-A59ACE300BB0}"/>
    <hyperlink ref="O543" r:id="rId1629" display="https://pbs.twimg.com/profile_images/708736000923738112/lLNoYXyG_normal.jpg" xr:uid="{D7B49C8B-E3AA-4F35-B186-D19D00C9820F}"/>
    <hyperlink ref="B544" r:id="rId1630" display="https://twitter.com/Evolutivist" xr:uid="{B757A7C5-9125-4B49-B8C5-2FDF1D9D3011}"/>
    <hyperlink ref="E544" r:id="rId1631" display="https://twitter.com/Evolutivist/status/721250241463390208" xr:uid="{45C957C8-E62A-4618-B60E-7C7E680E1BAB}"/>
    <hyperlink ref="O544" r:id="rId1632" display="https://pbs.twimg.com/profile_images/2162445220/wagnertwitter_normal.jpg" xr:uid="{77EE1496-4D9F-4982-96EB-47043A31A7E3}"/>
    <hyperlink ref="B545" r:id="rId1633" display="https://twitter.com/weiterdenker" xr:uid="{7B85D5E5-74C2-45CC-B4C9-CB4772835801}"/>
    <hyperlink ref="E545" r:id="rId1634" display="https://twitter.com/weiterdenker/status/721250594153963521" xr:uid="{A6343766-F89E-4686-BE04-AEA6CE1A658C}"/>
    <hyperlink ref="O545" r:id="rId1635" display="https://pbs.twimg.com/profile_images/666232413823995904/mV0Q6td3_normal.png" xr:uid="{CA613E36-000C-43C5-9869-B4294401584B}"/>
    <hyperlink ref="B546" r:id="rId1636" display="https://twitter.com/vielioertle" xr:uid="{A295B5D0-E727-4589-80AD-7C7661C56F6A}"/>
    <hyperlink ref="E546" r:id="rId1637" display="https://twitter.com/vielioertle/status/721251342770139136" xr:uid="{DD99994F-2472-4ED1-ABD6-DBFDD04B557B}"/>
    <hyperlink ref="O546" r:id="rId1638" display="https://pbs.twimg.com/profile_images/661326923038093312/ZK89SxJW_normal.jpg" xr:uid="{D655BE70-AD69-4977-A9E1-8896FAD88678}"/>
    <hyperlink ref="B547" r:id="rId1639" display="https://twitter.com/INDIZbot" xr:uid="{2D0E6CC3-C80D-4F46-AFB9-96FD372F1B88}"/>
    <hyperlink ref="E547" r:id="rId1640" display="https://twitter.com/INDIZbot/status/721252078899884032" xr:uid="{AC1581F4-B7E1-47E3-B674-915C91D3F7D5}"/>
    <hyperlink ref="O547" r:id="rId1641" display="https://pbs.twimg.com/profile_images/645716711723925506/t5G0qOS6_normal.jpg" xr:uid="{5C286CC7-3828-4873-BD7D-B10141D813E6}"/>
    <hyperlink ref="B548" r:id="rId1642" display="https://twitter.com/kommoptimierer" xr:uid="{70F7F567-C25A-4D21-86B8-F74E4C63B8EC}"/>
    <hyperlink ref="E548" r:id="rId1643" display="https://twitter.com/kommoptimierer/status/721256824289292289" xr:uid="{75C91ACD-4E9B-4821-9438-601EA43BCE40}"/>
    <hyperlink ref="O548" r:id="rId1644" display="https://pbs.twimg.com/profile_images/541146126158536704/IYardufS_normal.jpeg" xr:uid="{6155DD18-C719-47C2-BD4D-63CDA3AD7745}"/>
    <hyperlink ref="B549" r:id="rId1645" display="https://twitter.com/Subauftrag" xr:uid="{380F602F-4496-47C2-BC5F-809F5D765241}"/>
    <hyperlink ref="E549" r:id="rId1646" display="https://twitter.com/Subauftrag/status/721261854044123136" xr:uid="{98A29CB8-40C9-4657-8009-9708FC0E375C}"/>
    <hyperlink ref="O549" r:id="rId1647" display="https://pbs.twimg.com/profile_images/582801374833831937/3R6t0v4q_normal.jpg" xr:uid="{66448A21-DB03-4ED3-9F63-8DD09FEE0DE2}"/>
    <hyperlink ref="B550" r:id="rId1648" display="https://twitter.com/InternetofBiz" xr:uid="{A62A7BB6-2C80-472C-94B1-A1D56FAD4DB6}"/>
    <hyperlink ref="E550" r:id="rId1649" display="https://twitter.com/InternetofBiz/status/721262016208453632" xr:uid="{FCCFD719-CD8A-4965-AEF3-D1B802C9FE6B}"/>
    <hyperlink ref="O550" r:id="rId1650" display="https://pbs.twimg.com/profile_images/673206992492736513/aYsJLftM_normal.png" xr:uid="{2F250027-7794-457F-8301-D16B19C9F6DD}"/>
    <hyperlink ref="B551" r:id="rId1651" display="https://twitter.com/INDIZbot" xr:uid="{CD161FD5-7F2A-4C50-8E01-71C918DAD873}"/>
    <hyperlink ref="E551" r:id="rId1652" display="https://twitter.com/INDIZbot/status/721262145015570432" xr:uid="{A9AB712E-3C28-4D1B-B870-D786D67711B2}"/>
    <hyperlink ref="O551" r:id="rId1653" display="https://pbs.twimg.com/profile_images/645716711723925506/t5G0qOS6_normal.jpg" xr:uid="{0DBD5AED-8970-402D-9B69-28A5D6198031}"/>
    <hyperlink ref="B552" r:id="rId1654" display="https://twitter.com/IoTMinded" xr:uid="{065DD7F0-5181-4CF0-927F-305EECC4C385}"/>
    <hyperlink ref="E552" r:id="rId1655" display="https://twitter.com/IoTMinded/status/721264492068343808" xr:uid="{682B3BD1-30D7-4D72-93CD-D386FF7FC6DC}"/>
    <hyperlink ref="O552" r:id="rId1656" display="https://pbs.twimg.com/profile_images/603699032804859904/lb5IMG5x_normal.jpg" xr:uid="{A82ABB2D-DAFA-44F1-A6BC-4D2FBC10C663}"/>
    <hyperlink ref="B553" r:id="rId1657" display="https://twitter.com/LeasingVerband" xr:uid="{33FC306B-8F6B-4466-83A2-528CB2EB6EE7}"/>
    <hyperlink ref="E553" r:id="rId1658" display="https://twitter.com/LeasingVerband/status/721265945025650688" xr:uid="{1AD0D19A-8C0C-4B0A-893B-19D292BD6528}"/>
    <hyperlink ref="O553" r:id="rId1659" display="https://pbs.twimg.com/profile_images/657444681853198336/u2cJqzo7_normal.jpg" xr:uid="{0F688135-59B3-4ECF-934B-EB287EAD29FE}"/>
    <hyperlink ref="B554" r:id="rId1660" display="https://twitter.com/MindCommerce" xr:uid="{4E610481-F438-4415-AB2F-6FEA5F9E59B8}"/>
    <hyperlink ref="E554" r:id="rId1661" display="https://twitter.com/MindCommerce/status/721267682406961153" xr:uid="{56AF45FC-8F82-4C90-9B53-3022D7746C6F}"/>
    <hyperlink ref="O554" r:id="rId1662" display="https://pbs.twimg.com/profile_images/548030384030507008/utABqhj9_normal.png" xr:uid="{C3D892A4-9B59-4A67-B587-693E18881048}"/>
    <hyperlink ref="B555" r:id="rId1663" display="https://twitter.com/WinfriedFelser" xr:uid="{8413686A-8A86-48CA-8A85-0AF8F5059247}"/>
    <hyperlink ref="E555" r:id="rId1664" display="https://twitter.com/WinfriedFelser/status/721268025937301504" xr:uid="{45121551-7216-4B62-B926-DCB16E47E5AF}"/>
    <hyperlink ref="O555" r:id="rId1665" display="https://pbs.twimg.com/profile_images/562193841587896321/nfd18Y4g_normal.jpeg" xr:uid="{77F2F256-CECF-4EF8-BECE-0F20B524A7AB}"/>
    <hyperlink ref="B556" r:id="rId1666" display="https://twitter.com/TheDavidCairns" xr:uid="{7827353F-D300-43C5-BBA8-391902543C22}"/>
    <hyperlink ref="E556" r:id="rId1667" display="https://twitter.com/TheDavidCairns/status/721269406437871617" xr:uid="{2F7CDED1-AB86-4A58-96E6-8B091AE50832}"/>
    <hyperlink ref="O556" r:id="rId1668" display="https://pbs.twimg.com/profile_images/500306918762496002/qi9wHBbp_normal.jpeg" xr:uid="{A1FF4B0E-192F-46C6-B057-6165E02C40F7}"/>
    <hyperlink ref="B557" r:id="rId1669" display="https://twitter.com/IV_JHG" xr:uid="{5DBBBD62-3920-4607-86AD-45C5C1A50AF6}"/>
    <hyperlink ref="E557" r:id="rId1670" display="https://twitter.com/IV_JHG/status/721269841240395776" xr:uid="{147637DB-351F-42C0-BC0F-7DD4945FED3D}"/>
    <hyperlink ref="O557" r:id="rId1671" display="https://pbs.twimg.com/profile_images/432881440683196416/TyWZhEV0_normal.jpeg" xr:uid="{91D6ABD4-49A9-4326-8F81-6FBEB92C3E0C}"/>
    <hyperlink ref="B558" r:id="rId1672" display="https://twitter.com/Eloy_Herrero" xr:uid="{723E640D-E0C0-450C-872B-4D4FAEB28581}"/>
    <hyperlink ref="E558" r:id="rId1673" display="https://twitter.com/Eloy_Herrero/status/721271766073655296" xr:uid="{6DEACFBE-E963-4BF2-BCC5-DBA9C63FF765}"/>
    <hyperlink ref="O558" r:id="rId1674" display="https://pbs.twimg.com/profile_images/705178939954745344/RYlYwOfN_normal.jpg" xr:uid="{FD2D806F-8377-492D-84D8-D1BF59139BBF}"/>
    <hyperlink ref="B559" r:id="rId1675" display="https://twitter.com/INDIZbot" xr:uid="{810FA499-BC93-49C6-82B4-9E994CC506E2}"/>
    <hyperlink ref="E559" r:id="rId1676" display="https://twitter.com/INDIZbot/status/721272451355787264" xr:uid="{0B74C5E0-6EC5-4F41-821C-1866B69433CE}"/>
    <hyperlink ref="O559" r:id="rId1677" display="https://pbs.twimg.com/profile_images/645716711723925506/t5G0qOS6_normal.jpg" xr:uid="{742E6A51-FF27-4CD1-A730-211E36E6B50D}"/>
    <hyperlink ref="B560" r:id="rId1678" display="https://twitter.com/CapgeminiDE" xr:uid="{87606617-B7F6-4FC7-8012-B0E6EF8D22CE}"/>
    <hyperlink ref="E560" r:id="rId1679" display="https://twitter.com/CapgeminiDE/status/721275745960652800" xr:uid="{67ED56EF-8D8B-476A-BB70-268E45F3A620}"/>
    <hyperlink ref="O560" r:id="rId1680" display="https://pbs.twimg.com/profile_images/666911961599315968/aP7ID_qm_normal.png" xr:uid="{B837F12F-0769-432A-A1DE-44EB21DD9FDE}"/>
    <hyperlink ref="B561" r:id="rId1681" display="https://twitter.com/EconTypes" xr:uid="{7091958F-3CA2-4518-B2E0-7C21CE9BC273}"/>
    <hyperlink ref="E561" r:id="rId1682" display="https://twitter.com/EconTypes/status/721277483098636288" xr:uid="{2BEB8DF0-EF16-4C7F-90D2-6ED20D2168B0}"/>
    <hyperlink ref="O561" r:id="rId1683" display="https://pbs.twimg.com/profile_images/711615435905441793/OmwlvWZY_normal.jpg" xr:uid="{A69800DF-E48D-4251-8231-960C85ADF009}"/>
    <hyperlink ref="B562" r:id="rId1684" display="https://twitter.com/skills_austria" xr:uid="{30A48D6E-A9A5-4D90-BD5B-B9323682947B}"/>
    <hyperlink ref="E562" r:id="rId1685" display="https://twitter.com/skills_austria/status/721278465765425152" xr:uid="{C2BC1153-2E57-41C7-91E1-6C5565E07ED7}"/>
    <hyperlink ref="O562" r:id="rId1686" display="https://pbs.twimg.com/profile_images/708290247164108800/1Uu1Nj4Y_normal.jpg" xr:uid="{225D4004-E59C-4424-A072-F1058D54CF2F}"/>
    <hyperlink ref="B563" r:id="rId1687" display="https://twitter.com/JulienGre38" xr:uid="{A50AEB71-C012-4A24-89F1-5D1D46808B48}"/>
    <hyperlink ref="E563" r:id="rId1688" display="https://twitter.com/JulienGre38/status/721279585556553728" xr:uid="{FF5865C3-3CC4-4EC1-95FB-EA87DBFACE4B}"/>
    <hyperlink ref="O563" r:id="rId1689" display="https://pbs.twimg.com/profile_images/618126359622221824/GH4y7y_J_normal.jpg" xr:uid="{33FC4BA2-5FF4-4578-A49E-1FD575EFFA59}"/>
    <hyperlink ref="B564" r:id="rId1690" display="https://twitter.com/QuickFindsIn" xr:uid="{63882330-504E-4972-8BB0-FFD604756583}"/>
    <hyperlink ref="E564" r:id="rId1691" display="https://twitter.com/QuickFindsIn/status/721279978067734529" xr:uid="{A05A3DD0-01E0-47FB-B50A-D99BECE11097}"/>
    <hyperlink ref="O564" r:id="rId1692" display="https://pbs.twimg.com/profile_images/591951396217327616/HbcCX2zX_normal.png" xr:uid="{4831156F-B5B0-4579-8B34-58256B924D9F}"/>
    <hyperlink ref="B565" r:id="rId1693" display="https://twitter.com/josebaghdad" xr:uid="{3EF6701D-14EE-4D0E-8135-4BEA1A83AA4C}"/>
    <hyperlink ref="E565" r:id="rId1694" display="https://twitter.com/josebaghdad/status/721285630291013633" xr:uid="{85704468-586F-48F4-AA8B-0417D10D082D}"/>
    <hyperlink ref="O565" r:id="rId1695" display="https://pbs.twimg.com/profile_images/697158646841610240/jndBu0u2_normal.jpg" xr:uid="{E7D3343A-B511-4CD4-A670-36EFF5453075}"/>
    <hyperlink ref="B566" r:id="rId1696" display="https://twitter.com/JETZT_PRde" xr:uid="{3551F916-FBD6-4FD9-BED5-E02F938AD292}"/>
    <hyperlink ref="E566" r:id="rId1697" display="https://twitter.com/JETZT_PRde/status/721285670929567744" xr:uid="{30CC94BD-740C-4AE5-ABE3-6E9D742AE5EB}"/>
    <hyperlink ref="O566" r:id="rId1698" display="https://pbs.twimg.com/profile_images/593011135428882432/BGMPkrwp_normal.jpg" xr:uid="{367D6F81-A884-4027-84ED-30F1339DFA1E}"/>
    <hyperlink ref="B567" r:id="rId1699" display="https://twitter.com/INDIZbot" xr:uid="{2BE3CC4B-30AD-4AE9-87EB-E4C6ED48EBDC}"/>
    <hyperlink ref="E567" r:id="rId1700" display="https://twitter.com/INDIZbot/status/721290165294100480" xr:uid="{279ABFF0-26F4-4778-8717-0BC1DB4E6381}"/>
    <hyperlink ref="O567" r:id="rId1701" display="https://pbs.twimg.com/profile_images/645716711723925506/t5G0qOS6_normal.jpg" xr:uid="{13482A18-986C-4564-836E-3D3A89D6AE14}"/>
    <hyperlink ref="B568" r:id="rId1702" display="https://twitter.com/QuickFindsIn" xr:uid="{589E87AF-FE28-4A26-B44C-85F2B8C137D0}"/>
    <hyperlink ref="E568" r:id="rId1703" display="https://twitter.com/QuickFindsIn/status/721292060683153408" xr:uid="{17552DB8-F817-4A5F-81C5-FA0AC91E3806}"/>
    <hyperlink ref="O568" r:id="rId1704" display="https://pbs.twimg.com/profile_images/591951396217327616/HbcCX2zX_normal.png" xr:uid="{20C7D5D8-9AE4-46FA-AA9B-08408CC3F0B8}"/>
    <hyperlink ref="B569" r:id="rId1705" display="https://twitter.com/M_van_Dalen" xr:uid="{F40AFF82-0B12-4E30-A661-55CACF0F23DA}"/>
    <hyperlink ref="E569" r:id="rId1706" display="https://twitter.com/M_van_Dalen/status/721309725539876864" xr:uid="{DC13CA6D-5C0C-4BE9-A439-2915E95D3F8C}"/>
    <hyperlink ref="O569" r:id="rId1707" display="https://pbs.twimg.com/profile_images/2310782535/image_normal.jpg" xr:uid="{75CE6F47-38D7-441F-9D7A-5908943C8262}"/>
    <hyperlink ref="B570" r:id="rId1708" display="https://twitter.com/CompTIA_DACH" xr:uid="{C61193E8-0B21-4B14-9ACE-17CD97998C66}"/>
    <hyperlink ref="E570" r:id="rId1709" display="https://twitter.com/CompTIA_DACH/status/721319495739039744" xr:uid="{A3DBF607-B134-4DBA-B023-EBF73217EA3C}"/>
    <hyperlink ref="O570" r:id="rId1710" display="https://pbs.twimg.com/profile_images/704719602014679040/mJ2zg355_normal.jpg" xr:uid="{9F39695D-E50B-4AD9-B5DA-21B420475F3C}"/>
    <hyperlink ref="B571" r:id="rId1711" display="https://twitter.com/verlinked" xr:uid="{24DF6F19-DCA5-4929-B742-C0428E3CD8CF}"/>
    <hyperlink ref="E571" r:id="rId1712" display="https://twitter.com/verlinked/status/721322275304124418" xr:uid="{A189A7EE-9FDB-4B2B-A118-7275E9CA9D90}"/>
    <hyperlink ref="O571" r:id="rId1713" display="https://pbs.twimg.com/profile_images/722385992343285760/ww8YLZ2q_normal.jpg" xr:uid="{19460F74-D28F-45D4-AD19-AD28899381E6}"/>
    <hyperlink ref="B572" r:id="rId1714" display="https://twitter.com/INDIZbot" xr:uid="{7F65902D-B038-4AB2-B8FE-0C7A3AFC62A3}"/>
    <hyperlink ref="E572" r:id="rId1715" display="https://twitter.com/INDIZbot/status/721325057239347200" xr:uid="{9D68AF4A-80BA-4429-9AB6-D728DD3F7437}"/>
    <hyperlink ref="O572" r:id="rId1716" display="https://pbs.twimg.com/profile_images/645716711723925506/t5G0qOS6_normal.jpg" xr:uid="{2E038296-E626-433D-90AB-1AFE2209C9C8}"/>
    <hyperlink ref="B573" r:id="rId1717" display="https://twitter.com/FuturICT" xr:uid="{C99ECB45-96BD-4BFB-A0BA-61147739F2BB}"/>
    <hyperlink ref="E573" r:id="rId1718" display="https://twitter.com/FuturICT/status/721325836276731904" xr:uid="{CDF8C36F-84DE-49B4-A001-038062426B34}"/>
    <hyperlink ref="O573" r:id="rId1719" display="https://pbs.twimg.com/profile_images/593417639764041729/w8rJJRQd_normal.jpg" xr:uid="{9F2AE528-2750-4E16-9275-17F9C7807A01}"/>
    <hyperlink ref="B574" r:id="rId1720" display="https://twitter.com/INDIZbot" xr:uid="{05B5ECE4-0FAC-4884-8B93-5814A6B2ACA1}"/>
    <hyperlink ref="E574" r:id="rId1721" display="https://twitter.com/INDIZbot/status/721327710312742913" xr:uid="{57B23571-7DBC-4CC4-B743-13E4507DED0D}"/>
    <hyperlink ref="O574" r:id="rId1722" display="https://pbs.twimg.com/profile_images/645716711723925506/t5G0qOS6_normal.jpg" xr:uid="{1251FFC3-14AA-4C0B-B3AC-F01820B116C3}"/>
    <hyperlink ref="B575" r:id="rId1723" display="https://twitter.com/GSonnengott" xr:uid="{962BEDAD-15C1-4F36-B1AF-91FF72F6F672}"/>
    <hyperlink ref="E575" r:id="rId1724" display="https://twitter.com/GSonnengott/status/721331697158090752" xr:uid="{30C5C809-B634-449A-9137-1BF089E100FF}"/>
    <hyperlink ref="O575" r:id="rId1725" display="https://pbs.twimg.com/profile_images/599585844563959808/bYyhHArl_normal.jpg" xr:uid="{2A88F7E1-5CA8-40F6-9CD7-BED6D3BF5045}"/>
    <hyperlink ref="B576" r:id="rId1726" display="https://twitter.com/INDIZbot" xr:uid="{AD7810D3-A5CD-4C93-9FD0-15D3A67942EE}"/>
    <hyperlink ref="E576" r:id="rId1727" display="https://twitter.com/INDIZbot/status/721337948793368576" xr:uid="{8FA89D1D-F37B-47C9-8E52-CFEFA3ED6DDB}"/>
    <hyperlink ref="O576" r:id="rId1728" display="https://pbs.twimg.com/profile_images/645716711723925506/t5G0qOS6_normal.jpg" xr:uid="{0EF47AB7-D3DA-4B49-80A5-7F62655851A5}"/>
    <hyperlink ref="B577" r:id="rId1729" display="https://twitter.com/catkinEU" xr:uid="{4050851D-82A7-4F30-B7F1-316BDAEAD51D}"/>
    <hyperlink ref="E577" r:id="rId1730" display="https://twitter.com/catkinEU/status/721338928494702592" xr:uid="{DFC9A2EE-DBF0-4D42-ADF4-A6B02B5DC12C}"/>
    <hyperlink ref="O577" r:id="rId1731" display="https://pbs.twimg.com/profile_images/604338428227010560/6jzSa8us_normal.png" xr:uid="{D6BB3CB0-5DC7-429C-B720-BBDFD1D5F542}"/>
    <hyperlink ref="B578" r:id="rId1732" display="https://twitter.com/Nicolas__Maury" xr:uid="{CAAA257E-6D9A-47F8-A7B0-820B91CD4DF6}"/>
    <hyperlink ref="E578" r:id="rId1733" display="https://twitter.com/Nicolas__Maury/status/721341568683286528" xr:uid="{DD138C35-FCBA-4E0C-8E8E-9BE9AC90F08E}"/>
    <hyperlink ref="O578" r:id="rId1734" display="https://pbs.twimg.com/profile_images/579069422062686209/ZOtLRysD_normal.jpeg" xr:uid="{5F6E4A7F-901D-40E0-B890-F987655FD5E8}"/>
    <hyperlink ref="B579" r:id="rId1735" display="https://twitter.com/Tiba_Schweiz" xr:uid="{F5CF1CB9-141B-4F72-AD01-D90E2F42B58B}"/>
    <hyperlink ref="E579" r:id="rId1736" display="https://twitter.com/Tiba_Schweiz/status/721344963016044545" xr:uid="{D39F4469-794C-464F-9E81-4268FA61D8A7}"/>
    <hyperlink ref="O579" r:id="rId1737" display="https://pbs.twimg.com/profile_images/705270537073852416/CZoAp0su_normal.jpg" xr:uid="{2AEB1741-F530-4D9C-8EE6-EF3DC365F56C}"/>
    <hyperlink ref="B580" r:id="rId1738" display="https://twitter.com/Tiba_Schweiz" xr:uid="{49FE6723-03D0-4D9D-B79C-DD15DF1945E0}"/>
    <hyperlink ref="E580" r:id="rId1739" display="https://twitter.com/Tiba_Schweiz/status/721346138658467840" xr:uid="{B59B368D-08E9-4073-AC84-7491F8CAD962}"/>
    <hyperlink ref="O580" r:id="rId1740" display="https://pbs.twimg.com/profile_images/705270537073852416/CZoAp0su_normal.jpg" xr:uid="{6844657B-5841-409D-A9B6-64A2F1998D6E}"/>
    <hyperlink ref="B581" r:id="rId1741" display="https://twitter.com/Tiba_Schweiz" xr:uid="{B1FE6E38-0B98-49EB-880B-3186BBBC8D58}"/>
    <hyperlink ref="E581" r:id="rId1742" display="https://twitter.com/Tiba_Schweiz/status/721346187190792192" xr:uid="{5B2BCF59-6445-46E1-9B50-700C88AF952A}"/>
    <hyperlink ref="O581" r:id="rId1743" display="https://pbs.twimg.com/profile_images/705270537073852416/CZoAp0su_normal.jpg" xr:uid="{AD0F26F8-8C1D-4FB3-9FE3-46F94AAC65FE}"/>
    <hyperlink ref="B582" r:id="rId1744" display="https://twitter.com/Tiba_Schweiz" xr:uid="{B97AC0D7-7951-4943-BAED-0EC1F03A12AE}"/>
    <hyperlink ref="E582" r:id="rId1745" display="https://twitter.com/Tiba_Schweiz/status/721346326332641280" xr:uid="{C585A338-B22B-4B16-A8E5-61BC6790BC24}"/>
    <hyperlink ref="O582" r:id="rId1746" display="https://pbs.twimg.com/profile_images/705270537073852416/CZoAp0su_normal.jpg" xr:uid="{323339EE-CCA1-4983-BEAC-A0A46BAE3E4D}"/>
    <hyperlink ref="B583" r:id="rId1747" display="https://twitter.com/Tiba_Schweiz" xr:uid="{8DBF18BE-569F-453F-9911-27BCFC05DA21}"/>
    <hyperlink ref="E583" r:id="rId1748" display="https://twitter.com/Tiba_Schweiz/status/721346359819898880" xr:uid="{BFCFAFE5-89F1-4491-AE44-19FBBD238AB1}"/>
    <hyperlink ref="O583" r:id="rId1749" display="https://pbs.twimg.com/profile_images/705270537073852416/CZoAp0su_normal.jpg" xr:uid="{393A3812-9648-474C-84E8-38AFD5D45BCB}"/>
    <hyperlink ref="B584" r:id="rId1750" display="https://twitter.com/Tiba_Schweiz" xr:uid="{D8996C27-6CF4-41A3-8C50-DD2DB188F8F0}"/>
    <hyperlink ref="E584" r:id="rId1751" display="https://twitter.com/Tiba_Schweiz/status/721346402702508032" xr:uid="{85A5A054-13CB-4935-B18B-86D1B025A8A7}"/>
    <hyperlink ref="O584" r:id="rId1752" display="https://pbs.twimg.com/profile_images/705270537073852416/CZoAp0su_normal.jpg" xr:uid="{5100C442-9086-4673-8401-FA160507301E}"/>
    <hyperlink ref="B585" r:id="rId1753" display="https://twitter.com/SALIM__S" xr:uid="{44FDB9AA-27CF-47B1-B96A-A76C2F331E9C}"/>
    <hyperlink ref="E585" r:id="rId1754" display="https://twitter.com/SALIM__S/status/721352411617562629" xr:uid="{B454B589-0148-4E0C-A95F-BDF2D1FB0F55}"/>
    <hyperlink ref="O585" r:id="rId1755" display="https://pbs.twimg.com/profile_images/707651451284287488/OJug5o2o_normal.jpg" xr:uid="{5D783C40-5866-4CDE-8F4F-16B5F9918234}"/>
    <hyperlink ref="B586" r:id="rId1756" display="https://twitter.com/SALIM__S" xr:uid="{98A291F0-DF4B-4D16-8FE3-E74BE70C6CC7}"/>
    <hyperlink ref="E586" r:id="rId1757" display="https://twitter.com/SALIM__S/status/721352453459951616" xr:uid="{C48B12B2-0EBF-4307-89A3-FBF04B4992DA}"/>
    <hyperlink ref="O586" r:id="rId1758" display="https://pbs.twimg.com/profile_images/707651451284287488/OJug5o2o_normal.jpg" xr:uid="{93EC14CD-8AF9-47DE-B949-71C7D4969203}"/>
    <hyperlink ref="B587" r:id="rId1759" display="https://twitter.com/openHPI" xr:uid="{BB507F3B-0C25-488A-985E-B25D91AA13BE}"/>
    <hyperlink ref="E587" r:id="rId1760" display="https://twitter.com/openHPI/status/721357569525170176" xr:uid="{291FBC9E-314C-4297-8A2A-C32941F1EA7A}"/>
    <hyperlink ref="O587" r:id="rId1761" display="https://pbs.twimg.com/profile_images/378800000827898552/669f90369b095789252ae6f0649bc39a_normal.png" xr:uid="{C0D4904E-143B-452C-A6B6-8FB0C7E255F4}"/>
    <hyperlink ref="B588" r:id="rId1762" display="https://twitter.com/INDIZbot" xr:uid="{085AD696-81DA-43EB-A913-96AE2EEC4EB8}"/>
    <hyperlink ref="E588" r:id="rId1763" display="https://twitter.com/INDIZbot/status/721357779315855361" xr:uid="{6C1104CB-CD32-4CF7-A468-CDB7926DBB70}"/>
    <hyperlink ref="O588" r:id="rId1764" display="https://pbs.twimg.com/profile_images/645716711723925506/t5G0qOS6_normal.jpg" xr:uid="{D172D98C-612C-481E-9891-1256EF56FFBC}"/>
    <hyperlink ref="B589" r:id="rId1765" display="https://twitter.com/BIGJTHEO" xr:uid="{34DB796A-8CFE-422C-B30D-D14429FF31D4}"/>
    <hyperlink ref="E589" r:id="rId1766" display="https://twitter.com/BIGJTHEO/status/721360566120542209" xr:uid="{202F6D23-C32A-4811-ABB0-78785D7C7D1D}"/>
    <hyperlink ref="O589" r:id="rId1767" display="https://pbs.twimg.com/profile_images/699587498058588160/bU3XuBo9_normal.jpg" xr:uid="{D4E38DA8-3D43-47EA-9498-AA6440F85459}"/>
    <hyperlink ref="B590" r:id="rId1768" display="https://twitter.com/bamitav" xr:uid="{D7CBCE2D-CF2C-41F4-AF50-7240DB0CE5C4}"/>
    <hyperlink ref="E590" r:id="rId1769" display="https://twitter.com/bamitav/status/721378198315859968" xr:uid="{7596E08E-EB3B-41B7-B475-FE3CD35A5E5F}"/>
    <hyperlink ref="O590" r:id="rId1770" display="https://pbs.twimg.com/profile_images/672794348442877952/m6Is-Nrc_normal.jpg" xr:uid="{FC849BDA-8183-4C55-900E-459E0419598E}"/>
    <hyperlink ref="B591" r:id="rId1771" display="https://twitter.com/iotsecurity2" xr:uid="{84ACBD8C-5EBB-425D-9B41-521B40EE3E63}"/>
    <hyperlink ref="E591" r:id="rId1772" display="https://twitter.com/iotsecurity2/status/721378528881717248" xr:uid="{B15FD8A3-3CD6-43E9-B69D-C410A3F9D3AB}"/>
    <hyperlink ref="O591" r:id="rId1773" display="https://abs.twimg.com/sticky/default_profile_images/default_profile_3_normal.png" xr:uid="{62A302FD-E23A-4B65-BC1D-379C1329F827}"/>
    <hyperlink ref="B592" r:id="rId1774" display="https://twitter.com/tobias_goers" xr:uid="{7096E605-140F-4743-B366-CD950C6FA4D7}"/>
    <hyperlink ref="E592" r:id="rId1775" display="https://twitter.com/tobias_goers/status/721388102632239104" xr:uid="{95E59FCA-28F2-47AD-86EC-031E98040876}"/>
    <hyperlink ref="O592" r:id="rId1776" display="https://pbs.twimg.com/profile_images/619429467434434560/ywWYiH5V_normal.jpg" xr:uid="{45A6A1BB-A35C-4A53-A42B-D8E8EF2BF883}"/>
    <hyperlink ref="B593" r:id="rId1777" display="https://twitter.com/QuickFindsIn" xr:uid="{B6F5F9A4-FDE5-433B-8B5E-8CB60BCA4634}"/>
    <hyperlink ref="E593" r:id="rId1778" display="https://twitter.com/QuickFindsIn/status/721391713957183488" xr:uid="{4602343B-081A-4A08-8805-CFEF9BAB8D9F}"/>
    <hyperlink ref="O593" r:id="rId1779" display="https://pbs.twimg.com/profile_images/591951396217327616/HbcCX2zX_normal.png" xr:uid="{F2A9C8B2-089E-4995-B3A7-75C18410A986}"/>
    <hyperlink ref="B594" r:id="rId1780" display="https://twitter.com/hydrogeniousTEC" xr:uid="{8FD8CC16-CC39-47D7-8CF4-B375E6DC5570}"/>
    <hyperlink ref="E594" r:id="rId1781" display="https://twitter.com/hydrogeniousTEC/status/721395246085599233" xr:uid="{7C98254B-196E-441B-B9E5-7ADDFDEF2ACC}"/>
    <hyperlink ref="O594" r:id="rId1782" display="https://pbs.twimg.com/profile_images/652277358229979136/ZjpUNUgc_normal.png" xr:uid="{4FB79B98-95F8-4711-8CAF-5F0E96C1D1E7}"/>
    <hyperlink ref="B595" r:id="rId1783" display="https://twitter.com/INDIZbot" xr:uid="{BB962AB5-A2C4-4EF5-B742-5B2E2D092240}"/>
    <hyperlink ref="E595" r:id="rId1784" display="https://twitter.com/INDIZbot/status/721398144219684868" xr:uid="{4F122213-AFD7-4D5B-945F-98B1AE64D3E4}"/>
    <hyperlink ref="O595" r:id="rId1785" display="https://pbs.twimg.com/profile_images/645716711723925506/t5G0qOS6_normal.jpg" xr:uid="{DBDA334D-FC47-474A-B7BA-5EC54EECB19B}"/>
    <hyperlink ref="B596" r:id="rId1786" display="https://twitter.com/Dr_RobertFreund" xr:uid="{23D5228B-CC6E-4749-98FD-44B3B469661C}"/>
    <hyperlink ref="E596" r:id="rId1787" display="https://twitter.com/Dr_RobertFreund/status/721401852013711360" xr:uid="{5F5D22B4-C6A8-4C53-A4C9-67B4A274D8CB}"/>
    <hyperlink ref="O596" r:id="rId1788" display="https://pbs.twimg.com/profile_images/524497009311354882/cGr5KIAg_normal.jpeg" xr:uid="{CF24D377-0983-4C22-B07D-937B0F5FD4AD}"/>
    <hyperlink ref="B597" r:id="rId1789" display="https://twitter.com/AnnaWypior" xr:uid="{6F497CA9-A5E4-4F52-9C27-F31134CBFB34}"/>
    <hyperlink ref="E597" r:id="rId1790" display="https://twitter.com/AnnaWypior/status/721402747912892416" xr:uid="{0E8FBE9B-7A0E-49B1-A28F-5A4FBF4D777B}"/>
    <hyperlink ref="O597" r:id="rId1791" display="https://pbs.twimg.com/profile_images/648137141999017989/QfJy2m6F_normal.png" xr:uid="{8E9B5DA4-8E61-456D-97D9-DC81A426C594}"/>
    <hyperlink ref="B598" r:id="rId1792" display="https://twitter.com/changetokaizen" xr:uid="{06FD1BEF-7FAE-49B8-8DF3-7B3DBF07C8B5}"/>
    <hyperlink ref="E598" r:id="rId1793" display="https://twitter.com/changetokaizen/status/721403665840517121" xr:uid="{AABA2073-2478-4313-91E2-BBC2B2B52D3B}"/>
    <hyperlink ref="O598" r:id="rId1794" display="https://pbs.twimg.com/profile_images/463005839918247936/Ui2bf9cw_normal.jpeg" xr:uid="{4B6E72A4-DF0B-4EF3-A13B-679A0912E850}"/>
    <hyperlink ref="B599" r:id="rId1795" display="https://twitter.com/EmrahEker_" xr:uid="{F7022AF6-8BFD-4626-AC8C-04AD3D61DB22}"/>
    <hyperlink ref="E599" r:id="rId1796" display="https://twitter.com/EmrahEker_/status/721403700363792384" xr:uid="{28BFCE55-13C6-440C-857A-14B9FDE6707B}"/>
    <hyperlink ref="O599" r:id="rId1797" display="https://pbs.twimg.com/profile_images/427727716406673408/d6pNhVM6_normal.jpeg" xr:uid="{4A2BC264-CAE7-4C0E-95D7-245D3861A016}"/>
    <hyperlink ref="B600" r:id="rId1798" display="https://twitter.com/LeanKnowledge" xr:uid="{2DB8FE31-CC90-4FF1-AEDD-FEF437D1B82D}"/>
    <hyperlink ref="E600" r:id="rId1799" display="https://twitter.com/LeanKnowledge/status/721403834669641728" xr:uid="{E0DF2A04-228C-4040-854D-63C02DD21EEA}"/>
    <hyperlink ref="O600" r:id="rId1800" display="https://pbs.twimg.com/profile_images/667622351345950720/HAHOiaMn_normal.jpg" xr:uid="{AB12EACC-EE2C-4DAC-BCF0-EB3E130B1A2B}"/>
    <hyperlink ref="B601" r:id="rId1801" display="https://twitter.com/ralf_zwitschert" xr:uid="{61E9F0AE-24A9-40B9-840C-77042411C32F}"/>
    <hyperlink ref="E601" r:id="rId1802" display="https://twitter.com/ralf_zwitschert/status/721403859260829696" xr:uid="{859F90AB-4BDA-433A-AE49-D2EE0890B7F6}"/>
    <hyperlink ref="O601" r:id="rId1803" display="https://pbs.twimg.com/profile_images/2393699938/kc3cv5tzu6hjyuj9oqes_normal.jpeg" xr:uid="{6846DB19-2C2C-4663-B054-2A27B29E0F2E}"/>
    <hyperlink ref="B602" r:id="rId1804" display="https://twitter.com/_lfactory" xr:uid="{37938E3F-0167-4F61-BC29-0141105B20A1}"/>
    <hyperlink ref="E602" r:id="rId1805" display="https://twitter.com/_lfactory/status/721403907126259712" xr:uid="{011F6619-DC54-4D11-8DF4-1D02DB248254}"/>
    <hyperlink ref="O602" r:id="rId1806" display="https://pbs.twimg.com/profile_images/3427840995/be9743841a82fcc743ed45c59638edb6_normal.png" xr:uid="{319B2F5C-2A1A-49F0-ABBB-00A79D10EE36}"/>
    <hyperlink ref="B603" r:id="rId1807" display="https://twitter.com/Lean_john" xr:uid="{D673AB64-3127-4B82-BD42-3E6481E79B8E}"/>
    <hyperlink ref="E603" r:id="rId1808" display="https://twitter.com/Lean_john/status/721404248446124033" xr:uid="{F9099606-60C8-4708-89CE-AD8602530B47}"/>
    <hyperlink ref="O603" r:id="rId1809" display="https://pbs.twimg.com/profile_images/2181612837/Johann_normal.jpg" xr:uid="{3C0EDBAE-3467-41DA-8803-38C9EEE45E20}"/>
    <hyperlink ref="B604" r:id="rId1810" display="https://twitter.com/josebaghdad" xr:uid="{AFCAA900-C157-42E9-A13B-1FC8AE8C732E}"/>
    <hyperlink ref="E604" r:id="rId1811" display="https://twitter.com/josebaghdad/status/721410671544573952" xr:uid="{089A28FE-791E-40E4-9610-EC53B722E7F3}"/>
    <hyperlink ref="O604" r:id="rId1812" display="https://pbs.twimg.com/profile_images/697158646841610240/jndBu0u2_normal.jpg" xr:uid="{6202F9C0-29DA-4110-AE72-EE61D4451E4A}"/>
    <hyperlink ref="B605" r:id="rId1813" display="https://twitter.com/kommoptimierer" xr:uid="{4569DE50-92EA-40EA-B9AC-DF2C217477D8}"/>
    <hyperlink ref="E605" r:id="rId1814" display="https://twitter.com/kommoptimierer/status/721412856575574016" xr:uid="{10461FF8-BF17-4769-8D85-3B5BA3A92D5A}"/>
    <hyperlink ref="O605" r:id="rId1815" display="https://pbs.twimg.com/profile_images/541146126158536704/IYardufS_normal.jpeg" xr:uid="{4E507F17-0102-485D-90B7-981419BC71B4}"/>
    <hyperlink ref="B606" r:id="rId1816" display="https://twitter.com/julienramauge" xr:uid="{61FB842E-544A-4192-A656-0888E7F0F9C1}"/>
    <hyperlink ref="E606" r:id="rId1817" display="https://twitter.com/julienramauge/status/721417713600634880" xr:uid="{E7D3E89E-2323-4072-998D-F2DF16C2255E}"/>
    <hyperlink ref="O606" r:id="rId1818" display="https://pbs.twimg.com/profile_images/665959206017761280/ppTc9DLM_normal.png" xr:uid="{9C3FE8AE-7F13-4E2A-965B-102D08F91E4C}"/>
    <hyperlink ref="B607" r:id="rId1819" display="https://twitter.com/karinsebelin" xr:uid="{647CA4F8-DE26-4639-94F2-81C09452EDEA}"/>
    <hyperlink ref="E607" r:id="rId1820" display="https://twitter.com/karinsebelin/status/721420270964187136" xr:uid="{87D5C228-5D9F-4D97-B82B-29B22FEE630B}"/>
    <hyperlink ref="O607" r:id="rId1821" display="https://pbs.twimg.com/profile_images/693172519147290625/F7qDneND_normal.jpg" xr:uid="{0BD49835-3C5C-461E-88E8-95CFE46B2A32}"/>
    <hyperlink ref="B608" r:id="rId1822" display="https://twitter.com/OJaeger" xr:uid="{FD5926AA-F524-4F62-88A2-7B3089BDEB6D}"/>
    <hyperlink ref="E608" r:id="rId1823" display="https://twitter.com/OJaeger/status/721420561340088321" xr:uid="{53824F4B-7876-4447-9DD8-F5B65C367AD2}"/>
    <hyperlink ref="O608" r:id="rId1824" display="https://pbs.twimg.com/profile_images/510721015945498624/1UpjmZMi_normal.jpeg" xr:uid="{46ADF144-5782-485A-89A8-6AAC978DBA2D}"/>
    <hyperlink ref="B609" r:id="rId1825" display="https://twitter.com/INDIZbot" xr:uid="{913A58BB-45BC-4293-B399-A26E312FC012}"/>
    <hyperlink ref="E609" r:id="rId1826" display="https://twitter.com/INDIZbot/status/721425719830704128" xr:uid="{9AC557D6-37D1-45BD-B036-4E5E5ED01A67}"/>
    <hyperlink ref="O609" r:id="rId1827" display="https://pbs.twimg.com/profile_images/645716711723925506/t5G0qOS6_normal.jpg" xr:uid="{741BDDF1-D6BC-4F26-BBC7-3C7C3CF27291}"/>
    <hyperlink ref="B610" r:id="rId1828" display="https://twitter.com/hydrogeniousTEC" xr:uid="{C9560136-39B7-4F7E-AEE7-B7AD0882A56C}"/>
    <hyperlink ref="E610" r:id="rId1829" display="https://twitter.com/hydrogeniousTEC/status/721426760525606913" xr:uid="{3523B7FC-7272-43D2-816D-52C808AAD8DB}"/>
    <hyperlink ref="O610" r:id="rId1830" display="https://pbs.twimg.com/profile_images/652277358229979136/ZjpUNUgc_normal.png" xr:uid="{88F4F884-EB0A-46FD-A4DF-F0FA333B999C}"/>
    <hyperlink ref="B611" r:id="rId1831" display="https://twitter.com/INDIZbot" xr:uid="{584D99F7-32C0-4CBE-AE50-7B0714D355C8}"/>
    <hyperlink ref="E611" r:id="rId1832" display="https://twitter.com/INDIZbot/status/721428235830079488" xr:uid="{05E6099C-3934-427E-A117-11C62C871084}"/>
    <hyperlink ref="O611" r:id="rId1833" display="https://pbs.twimg.com/profile_images/645716711723925506/t5G0qOS6_normal.jpg" xr:uid="{13F89E35-DC7B-431B-91A4-9DA23E983D1C}"/>
    <hyperlink ref="B612" r:id="rId1834" display="https://twitter.com/kommoptimierer" xr:uid="{2DD08C70-CD9D-463F-8C9E-9214A50FC209}"/>
    <hyperlink ref="E612" r:id="rId1835" display="https://twitter.com/kommoptimierer/status/721429209776852993" xr:uid="{4B87B6BB-DAFB-495C-9116-EC4D1E22C995}"/>
    <hyperlink ref="O612" r:id="rId1836" display="https://pbs.twimg.com/profile_images/541146126158536704/IYardufS_normal.jpeg" xr:uid="{C37047A3-8C78-4365-A961-BE0BC94338E7}"/>
    <hyperlink ref="B613" r:id="rId1837" display="https://twitter.com/IT_Connection" xr:uid="{3BB1D6D7-EAF1-4222-8492-C3201649694C}"/>
    <hyperlink ref="E613" r:id="rId1838" display="https://twitter.com/IT_Connection/status/721429266127306752" xr:uid="{A03F47D5-4926-409D-8FD2-CB9177322ED8}"/>
    <hyperlink ref="O613" r:id="rId1839" display="https://pbs.twimg.com/profile_images/566986293888835584/_uYTcau__normal.png" xr:uid="{DF0A1A0A-D676-4B42-9D94-823D88E69BEC}"/>
    <hyperlink ref="B614" r:id="rId1840" display="https://twitter.com/ClemensLink" xr:uid="{D648161A-FB69-4C98-B759-35B229C75991}"/>
    <hyperlink ref="E614" r:id="rId1841" display="https://twitter.com/ClemensLink/status/721449160206065665" xr:uid="{599F4CF0-78AF-4542-A526-FDEF2C554140}"/>
    <hyperlink ref="O614" r:id="rId1842" display="https://pbs.twimg.com/profile_images/378800000781608397/4a4bb3f82b4ae2545c4ed5f705d0ac94_normal.jpeg" xr:uid="{A5639522-CC94-421F-A6B4-2D5EDB8E28B0}"/>
    <hyperlink ref="B615" r:id="rId1843" display="https://twitter.com/AndreasLenzDe" xr:uid="{C6CB4125-F663-4D1B-BC49-5C66032815F6}"/>
    <hyperlink ref="E615" r:id="rId1844" display="https://twitter.com/AndreasLenzDe/status/721573900027621376" xr:uid="{043AE9A2-8B81-44A0-8C28-2DB4D6948D08}"/>
    <hyperlink ref="O615" r:id="rId1845" display="https://pbs.twimg.com/profile_images/719888219328933889/X_V4faXr_normal.jpg" xr:uid="{067D42CE-3BEC-404D-836E-58FBC5F5EECA}"/>
    <hyperlink ref="B616" r:id="rId1846" display="https://twitter.com/IPI_SUP" xr:uid="{3873017A-62E6-4230-8F3C-F27F756EADCE}"/>
    <hyperlink ref="E616" r:id="rId1847" display="https://twitter.com/IPI_SUP/status/721579703551700992" xr:uid="{215BA6DC-2647-48E9-8937-2D219AF06E46}"/>
    <hyperlink ref="O616" r:id="rId1848" display="https://pbs.twimg.com/profile_images/378800000580030680/47e07943db95739a7f7ab30d80563801_normal.jpeg" xr:uid="{353F0B0D-A40A-4C32-ADF3-9078030F5536}"/>
    <hyperlink ref="B617" r:id="rId1849" display="https://twitter.com/changetokaizen" xr:uid="{892F3CF2-F4C5-4C4E-B382-827CCDF6C15D}"/>
    <hyperlink ref="E617" r:id="rId1850" display="https://twitter.com/changetokaizen/status/721587045966155777" xr:uid="{BC575E85-8578-49F5-8253-B116AD06104D}"/>
    <hyperlink ref="O617" r:id="rId1851" display="https://pbs.twimg.com/profile_images/463005839918247936/Ui2bf9cw_normal.jpeg" xr:uid="{30E38CCB-7324-4A01-B18E-391A548E24B6}"/>
    <hyperlink ref="B618" r:id="rId1852" display="https://twitter.com/LeanKnowledge" xr:uid="{12E7822F-A059-4B74-B42D-744CF974DAB1}"/>
    <hyperlink ref="E618" r:id="rId1853" display="https://twitter.com/LeanKnowledge/status/721587046297505792" xr:uid="{935AA698-CF14-46F2-8489-279E707003BB}"/>
    <hyperlink ref="O618" r:id="rId1854" display="https://pbs.twimg.com/profile_images/667622351345950720/HAHOiaMn_normal.jpg" xr:uid="{4F70717B-FCB0-453B-BF70-432818577AC4}"/>
    <hyperlink ref="B619" r:id="rId1855" display="https://twitter.com/_lfactory" xr:uid="{C00BE064-3779-4245-A182-C2C5A2450E39}"/>
    <hyperlink ref="E619" r:id="rId1856" display="https://twitter.com/_lfactory/status/721587048235343872" xr:uid="{40692375-B606-4B85-BFB7-FE3A7155878A}"/>
    <hyperlink ref="F619" r:id="rId1857" xr:uid="{732597A9-A8B0-4BA9-8704-649F24CE94AD}"/>
    <hyperlink ref="O619" r:id="rId1858" display="https://pbs.twimg.com/profile_images/3427840995/be9743841a82fcc743ed45c59638edb6_normal.png" xr:uid="{913F4449-8914-4099-85C2-6AE1B7FC885B}"/>
    <hyperlink ref="B620" r:id="rId1859" display="https://twitter.com/Lean_john" xr:uid="{17EE99E6-8B6E-4AAC-84E9-42E450FD42B8}"/>
    <hyperlink ref="E620" r:id="rId1860" display="https://twitter.com/Lean_john/status/721589184775995392" xr:uid="{48E932FD-8778-48F3-B876-8C4675039DB4}"/>
    <hyperlink ref="O620" r:id="rId1861" display="https://pbs.twimg.com/profile_images/2181612837/Johann_normal.jpg" xr:uid="{A24A061C-FD1A-49B4-87D7-F8066402D3B3}"/>
    <hyperlink ref="B621" r:id="rId1862" display="https://twitter.com/INDIZbot" xr:uid="{409D3560-2C46-49F3-8BB5-7EA0228BF4E4}"/>
    <hyperlink ref="E621" r:id="rId1863" display="https://twitter.com/INDIZbot/status/721589294087958528" xr:uid="{9C29B106-A21B-4AE6-B246-C0D7FC9D986C}"/>
    <hyperlink ref="O621" r:id="rId1864" display="https://pbs.twimg.com/profile_images/645716711723925506/t5G0qOS6_normal.jpg" xr:uid="{2365733E-4A66-42C6-A77E-1BC95585FF0C}"/>
    <hyperlink ref="B622" r:id="rId1865" display="https://twitter.com/INDIZbot" xr:uid="{07DC786D-B10F-4190-9256-449DF3451088}"/>
    <hyperlink ref="E622" r:id="rId1866" display="https://twitter.com/INDIZbot/status/721589601941512192" xr:uid="{39A882E5-9F6D-4367-B8C7-6B27F98D99D7}"/>
    <hyperlink ref="O622" r:id="rId1867" display="https://pbs.twimg.com/profile_images/645716711723925506/t5G0qOS6_normal.jpg" xr:uid="{E4C05D34-3328-4FF1-905D-9252121CCCB7}"/>
    <hyperlink ref="B623" r:id="rId1868" display="https://twitter.com/INDIZbot" xr:uid="{6DD2A647-E01F-4CFD-A7F2-3849FDA268BD}"/>
    <hyperlink ref="E623" r:id="rId1869" display="https://twitter.com/INDIZbot/status/721589669843116032" xr:uid="{A78AC05D-C14F-4AE8-B4CB-8A5221D539C4}"/>
    <hyperlink ref="O623" r:id="rId1870" display="https://pbs.twimg.com/profile_images/645716711723925506/t5G0qOS6_normal.jpg" xr:uid="{39076DE2-FE1F-4D39-BDF8-C30C4B9710AE}"/>
    <hyperlink ref="B624" r:id="rId1871" display="https://twitter.com/condet020274" xr:uid="{847BC9A0-BA24-46AF-9F30-271C0F983000}"/>
    <hyperlink ref="E624" r:id="rId1872" display="https://twitter.com/condet020274/status/721597991312887808" xr:uid="{C3D34D75-74A3-42AA-8086-BA31A399B1F6}"/>
    <hyperlink ref="O624" r:id="rId1873" display="https://pbs.twimg.com/profile_images/507399803509026816/KdF-WSKm_normal.jpeg" xr:uid="{104D9FAA-9D8C-412C-9808-AEA204C7A230}"/>
    <hyperlink ref="B625" r:id="rId1874" display="https://twitter.com/Thomas_Michl" xr:uid="{D46E3402-26F6-4494-8674-0C6234FEC750}"/>
    <hyperlink ref="E625" r:id="rId1875" display="https://twitter.com/Thomas_Michl/status/721600155149926400" xr:uid="{6890AA77-26C7-4DD8-9C37-23BF7ACD222F}"/>
    <hyperlink ref="O625" r:id="rId1876" display="https://pbs.twimg.com/profile_images/670627985410625536/8zMkHCVp_normal.jpg" xr:uid="{CEE28746-4B33-4CA4-A65B-93FE4C7BD964}"/>
    <hyperlink ref="B626" r:id="rId1877" display="https://twitter.com/condet020274" xr:uid="{98612857-4082-4FCA-A178-FE8D6600A7FA}"/>
    <hyperlink ref="E626" r:id="rId1878" display="https://twitter.com/condet020274/status/721602793182785536" xr:uid="{3A9654EB-D5B0-4FCF-BBF0-4A398B3E12FA}"/>
    <hyperlink ref="O626" r:id="rId1879" display="https://pbs.twimg.com/profile_images/507399803509026816/KdF-WSKm_normal.jpeg" xr:uid="{775B484C-E7D4-4C61-8E1E-B431F3AFFABA}"/>
    <hyperlink ref="B627" r:id="rId1880" display="https://twitter.com/MDBlanchfield" xr:uid="{AF696A69-8A3D-4F0A-A4BC-35485A60CC4B}"/>
    <hyperlink ref="E627" r:id="rId1881" display="https://twitter.com/MDBlanchfield/status/721604898131824641" xr:uid="{928C4B6A-1698-40F2-B366-B1B502839BC1}"/>
    <hyperlink ref="O627" r:id="rId1882" display="https://pbs.twimg.com/profile_images/717361645454905344/eSYXksup_normal.jpg" xr:uid="{9F0855A7-AA53-43BC-8752-7DB85921B87F}"/>
    <hyperlink ref="B628" r:id="rId1883" display="https://twitter.com/QuickFindsIn" xr:uid="{6E2E848B-92E4-41F7-83A6-47056C0B9EAA}"/>
    <hyperlink ref="E628" r:id="rId1884" display="https://twitter.com/QuickFindsIn/status/721606123984277504" xr:uid="{9B7389AC-3AF3-4DE4-83D6-CE8531DD9D00}"/>
    <hyperlink ref="O628" r:id="rId1885" display="https://pbs.twimg.com/profile_images/591951396217327616/HbcCX2zX_normal.png" xr:uid="{887273CD-2740-4790-9B59-57B3C615262A}"/>
    <hyperlink ref="B629" r:id="rId1886" display="https://twitter.com/Tiba_Schweiz" xr:uid="{AF30E19C-81E3-4113-A671-065D53D58C0C}"/>
    <hyperlink ref="E629" r:id="rId1887" display="https://twitter.com/Tiba_Schweiz/status/721607008361832448" xr:uid="{4D8034CD-5ECD-4347-B237-D7163118410E}"/>
    <hyperlink ref="O629" r:id="rId1888" display="https://pbs.twimg.com/profile_images/705270537073852416/CZoAp0su_normal.jpg" xr:uid="{C54172CB-FCE7-4835-9FA0-F1F5E240BDFD}"/>
    <hyperlink ref="B630" r:id="rId1889" display="https://twitter.com/INDIZbot" xr:uid="{D22B3349-49FF-4262-9A81-C9A407639269}"/>
    <hyperlink ref="E630" r:id="rId1890" display="https://twitter.com/INDIZbot/status/721609612177367040" xr:uid="{6E15D3A9-4251-4991-904B-1243EA9E3B72}"/>
    <hyperlink ref="O630" r:id="rId1891" display="https://pbs.twimg.com/profile_images/645716711723925506/t5G0qOS6_normal.jpg" xr:uid="{F8F86F38-723F-4C6F-AC64-B7799F9BEE55}"/>
    <hyperlink ref="B631" r:id="rId1892" display="https://twitter.com/Geschnattere" xr:uid="{D442CE8D-0F31-449B-9FD7-B9A1A548356C}"/>
    <hyperlink ref="E631" r:id="rId1893" display="https://twitter.com/Geschnattere/status/721610168501460993" xr:uid="{A93CDDAD-7C4C-414F-A5C8-4A03B81A814B}"/>
    <hyperlink ref="O631" r:id="rId1894" display="https://pbs.twimg.com/profile_images/690957065490161664/Nat2upS4_normal.jpg" xr:uid="{FBCABC8D-25BF-470A-A90F-8B9874CF1BDF}"/>
    <hyperlink ref="B632" r:id="rId1895" display="https://twitter.com/samuel_vuadens" xr:uid="{1909A558-4C48-4DBD-92AA-14145F1E3F95}"/>
    <hyperlink ref="E632" r:id="rId1896" display="https://twitter.com/samuel_vuadens/status/721614416970690561" xr:uid="{D40D2C9D-6DF0-438C-BE36-214816A93E74}"/>
    <hyperlink ref="O632" r:id="rId1897" display="https://pbs.twimg.com/profile_images/645921258018725888/K6K3dJyf_normal.jpg" xr:uid="{F87E7928-F683-475E-A396-B4CB37070677}"/>
    <hyperlink ref="B633" r:id="rId1898" display="https://twitter.com/kommoptimierer" xr:uid="{72A2122A-532D-472A-A5B5-2886E59D9016}"/>
    <hyperlink ref="E633" r:id="rId1899" display="https://twitter.com/kommoptimierer/status/721619211580260352" xr:uid="{7C006549-1AA5-479B-95CA-AB2B08D28082}"/>
    <hyperlink ref="O633" r:id="rId1900" display="https://pbs.twimg.com/profile_images/541146126158536704/IYardufS_normal.jpeg" xr:uid="{F3B31FEB-10ED-4C69-9351-F80C6EBA7CB2}"/>
    <hyperlink ref="B634" r:id="rId1901" display="https://twitter.com/INDIZbot" xr:uid="{8E078B56-EDE3-40FB-9755-EFBF5D68ECE6}"/>
    <hyperlink ref="E634" r:id="rId1902" display="https://twitter.com/INDIZbot/status/721619493877858304" xr:uid="{436A774F-3602-4A05-B6A8-A1D6E0AD36E5}"/>
    <hyperlink ref="O634" r:id="rId1903" display="https://pbs.twimg.com/profile_images/645716711723925506/t5G0qOS6_normal.jpg" xr:uid="{21A7056D-E635-4955-8777-A37A1C0E446E}"/>
    <hyperlink ref="B635" r:id="rId1904" display="https://twitter.com/ITnet_TH" xr:uid="{6F32D7BB-6455-4A0C-8234-F4C4C7B9D23B}"/>
    <hyperlink ref="E635" r:id="rId1905" display="https://twitter.com/ITnet_TH/status/721625233573195776" xr:uid="{8EC0A027-DBFA-413F-896E-A345DFDDE866}"/>
    <hyperlink ref="O635" r:id="rId1906" display="https://pbs.twimg.com/profile_images/677512659554672640/2jnhRYHY_normal.jpg" xr:uid="{51CB9151-E603-4EE5-943D-1CD15E107D28}"/>
    <hyperlink ref="B636" r:id="rId1907" display="https://twitter.com/LeanKnowledge" xr:uid="{58FF1578-4C7F-491C-9270-1EB735AA2982}"/>
    <hyperlink ref="E636" r:id="rId1908" display="https://twitter.com/LeanKnowledge/status/721626154084515840" xr:uid="{94E4597F-0A86-4ED2-B764-D006BC8FB805}"/>
    <hyperlink ref="O636" r:id="rId1909" display="https://pbs.twimg.com/profile_images/667622351345950720/HAHOiaMn_normal.jpg" xr:uid="{03C58F5E-B112-4315-9208-BAEF9EF19CCB}"/>
    <hyperlink ref="B637" r:id="rId1910" display="https://twitter.com/_leangame" xr:uid="{24D5A8B7-D5CF-485B-9654-67FF56D688EC}"/>
    <hyperlink ref="E637" r:id="rId1911" display="https://twitter.com/_leangame/status/721626245293817856" xr:uid="{84F290CB-FFBF-476D-84E3-EBB6CBDE7AF1}"/>
    <hyperlink ref="O637" r:id="rId1912" display="https://pbs.twimg.com/profile_images/637227259481468928/NfIt-fjl_normal.jpg" xr:uid="{B6B5DC5B-DDDB-4CD5-B073-4644BD0BAC55}"/>
    <hyperlink ref="B638" r:id="rId1913" display="https://twitter.com/Lean_john" xr:uid="{7F676A45-5B9E-4895-BBF2-C0EB50DB2BFD}"/>
    <hyperlink ref="E638" r:id="rId1914" display="https://twitter.com/Lean_john/status/721626941695127552" xr:uid="{0F8B374F-E637-4669-A2D8-64FDA35D82EE}"/>
    <hyperlink ref="O638" r:id="rId1915" display="https://pbs.twimg.com/profile_images/2181612837/Johann_normal.jpg" xr:uid="{750D2FC0-0B8B-4A31-8F90-5A8DF18903CC}"/>
    <hyperlink ref="B639" r:id="rId1916" display="https://twitter.com/INDIZbot" xr:uid="{F641AF6C-F2D7-4E70-9232-D48759F7A004}"/>
    <hyperlink ref="E639" r:id="rId1917" display="https://twitter.com/INDIZbot/status/721627043776110592" xr:uid="{1E012059-B9B8-4578-98B6-63A599411AB3}"/>
    <hyperlink ref="O639" r:id="rId1918" display="https://pbs.twimg.com/profile_images/645716711723925506/t5G0qOS6_normal.jpg" xr:uid="{376AE448-9AD4-4CCE-96CB-A3E5274B7967}"/>
    <hyperlink ref="B640" r:id="rId1919" display="https://twitter.com/INDIZbot" xr:uid="{039D68F3-84C8-4DC2-A7BE-A8BE5D285DF5}"/>
    <hyperlink ref="E640" r:id="rId1920" display="https://twitter.com/INDIZbot/status/721627285242134528" xr:uid="{6C0D667D-0641-407B-AD72-2E317769D446}"/>
    <hyperlink ref="O640" r:id="rId1921" display="https://pbs.twimg.com/profile_images/645716711723925506/t5G0qOS6_normal.jpg" xr:uid="{944AB7A5-B6B7-4961-828D-062D76B5F106}"/>
    <hyperlink ref="B641" r:id="rId1922" display="https://twitter.com/Rhartschmidt" xr:uid="{BBDF2063-95FD-4F01-A0F7-B862472F9EE0}"/>
    <hyperlink ref="E641" r:id="rId1923" display="https://twitter.com/Rhartschmidt/status/721627709101719552" xr:uid="{370FABDC-1267-4D41-9709-484B7CB0F2DE}"/>
    <hyperlink ref="O641" r:id="rId1924" display="https://pbs.twimg.com/profile_images/534683632380571648/y2Euoxmm_normal.png" xr:uid="{052F00EB-1013-4DE1-8FB1-CE267D03DAA1}"/>
    <hyperlink ref="B642" r:id="rId1925" display="https://twitter.com/batix" xr:uid="{0B4AC545-8040-4C12-8B06-794CA8D0CF2F}"/>
    <hyperlink ref="E642" r:id="rId1926" display="https://twitter.com/batix/status/721628134651609088" xr:uid="{76936491-E807-44D3-B4A6-E1C85F62B821}"/>
    <hyperlink ref="O642" r:id="rId1927" display="https://pbs.twimg.com/profile_images/710178864778121216/Eq8vGVB9_normal.jpg" xr:uid="{E9066563-41DC-43F9-B384-6B3AA411291F}"/>
    <hyperlink ref="B643" r:id="rId1928" display="https://twitter.com/JeffRConnolly" xr:uid="{5F1AA087-6DAD-48AF-9DA3-9607304DE3FD}"/>
    <hyperlink ref="E643" r:id="rId1929" display="https://twitter.com/JeffRConnolly/status/721634471116537857" xr:uid="{366428CB-635C-48DB-9B4F-E5DF6EF54FBA}"/>
    <hyperlink ref="O643" r:id="rId1930" display="https://pbs.twimg.com/profile_images/444069537869094912/Oh8ZB7sl_normal.jpeg" xr:uid="{36A8C05E-9E6D-4BF6-B1E0-4B28B59A33C8}"/>
    <hyperlink ref="B644" r:id="rId1931" display="https://twitter.com/QuickFindsIn" xr:uid="{3426354C-0851-4200-B092-8A552004208B}"/>
    <hyperlink ref="E644" r:id="rId1932" display="https://twitter.com/QuickFindsIn/status/721642364989628416" xr:uid="{B5DD23A1-46B3-4186-B52C-5840A15A7C44}"/>
    <hyperlink ref="O644" r:id="rId1933" display="https://pbs.twimg.com/profile_images/591951396217327616/HbcCX2zX_normal.png" xr:uid="{5F76120C-B55E-43E3-A416-4E15DA4A713F}"/>
    <hyperlink ref="B645" r:id="rId1934" display="https://twitter.com/PiotrDrago" xr:uid="{1BF0AFED-DF00-4325-9044-A51928785450}"/>
    <hyperlink ref="E645" r:id="rId1935" display="https://twitter.com/PiotrDrago/status/721652827085533184" xr:uid="{889A43D4-C7C8-41B6-ACB4-1E9AF7F896F1}"/>
    <hyperlink ref="O645" r:id="rId1936" display="https://pbs.twimg.com/profile_images/623143712797892608/KJ6dYp6z_normal.jpg" xr:uid="{0CBA90A7-C621-4116-90A2-9170167A1C13}"/>
    <hyperlink ref="B646" r:id="rId1937" display="https://twitter.com/verlinked" xr:uid="{0C6B3519-0E27-4146-9F85-106853FEEC15}"/>
    <hyperlink ref="E646" r:id="rId1938" display="https://twitter.com/verlinked/status/721654448011935745" xr:uid="{69B7A7C9-95A9-4EDB-89A5-8E784F1160E9}"/>
    <hyperlink ref="O646" r:id="rId1939" display="https://pbs.twimg.com/profile_images/722385992343285760/ww8YLZ2q_normal.jpg" xr:uid="{D07C6CED-A9B6-4980-8101-D9416D1EB4CC}"/>
    <hyperlink ref="B647" r:id="rId1940" display="https://twitter.com/induux_de" xr:uid="{3DA911AF-6758-4369-9DDF-604C5BB90A98}"/>
    <hyperlink ref="E647" r:id="rId1941" display="https://twitter.com/induux_de/status/721654687292895232" xr:uid="{104F9A6B-F9E5-4BDD-A124-D6B9271A9132}"/>
    <hyperlink ref="O647" r:id="rId1942" display="https://pbs.twimg.com/profile_images/455629070454116352/ujZ3h7Ww_normal.png" xr:uid="{97CE6B4C-0B61-4B05-880A-99AED2FB7AD8}"/>
    <hyperlink ref="B648" r:id="rId1943" display="https://twitter.com/INDIZbot" xr:uid="{6286B27C-CB59-4D5D-848E-F6412CDEC3AB}"/>
    <hyperlink ref="E648" r:id="rId1944" display="https://twitter.com/INDIZbot/status/721654726593495040" xr:uid="{0D9DE531-D2B9-4D10-ADE4-77776B987A0A}"/>
    <hyperlink ref="O648" r:id="rId1945" display="https://pbs.twimg.com/profile_images/645716711723925506/t5G0qOS6_normal.jpg" xr:uid="{2AFD0717-0A81-44FC-9577-43F8986D696A}"/>
    <hyperlink ref="B649" r:id="rId1946" display="https://twitter.com/HonMovies" xr:uid="{064BDC7D-50DB-4B33-932E-5263264D203F}"/>
    <hyperlink ref="E649" r:id="rId1947" display="https://twitter.com/HonMovies/status/721657285596946432" xr:uid="{009FDB7E-F34B-416B-8C56-1EED53297C5A}"/>
    <hyperlink ref="F649" r:id="rId1948" xr:uid="{B41DAB22-C392-476D-A9C2-607B05A85A9A}"/>
    <hyperlink ref="O649" r:id="rId1949" display="https://pbs.twimg.com/profile_images/703250496518098944/5SnwZ41l_normal.jpg" xr:uid="{43E4A3D6-64D3-4361-A5C3-53B45B0BE763}"/>
    <hyperlink ref="B650" r:id="rId1950" display="https://twitter.com/INDIZbot" xr:uid="{5A6EF4F6-227C-4EA8-AF0A-7F48D1D08955}"/>
    <hyperlink ref="E650" r:id="rId1951" display="https://twitter.com/INDIZbot/status/721657424806068224" xr:uid="{D7F72C47-4997-434D-9041-E38FB70C0830}"/>
    <hyperlink ref="O650" r:id="rId1952" display="https://pbs.twimg.com/profile_images/645716711723925506/t5G0qOS6_normal.jpg" xr:uid="{FC95E0AE-2BA0-4C29-8361-12CF43F597EF}"/>
    <hyperlink ref="B651" r:id="rId1953" display="https://twitter.com/VDI_News" xr:uid="{E916F09D-641D-4358-ACCF-A64272FC18DF}"/>
    <hyperlink ref="E651" r:id="rId1954" display="https://twitter.com/VDI_News/status/721660103917748224" xr:uid="{260B6284-7172-4C1D-8111-8F85D6126DAA}"/>
    <hyperlink ref="O651" r:id="rId1955" display="https://pbs.twimg.com/profile_images/469070945483628546/iD8AeJP6_normal.png" xr:uid="{B41C07FF-2118-486D-8455-D3417600728A}"/>
    <hyperlink ref="B652" r:id="rId1956" display="https://twitter.com/H_IT_D" xr:uid="{9B40A9FB-0F61-4AB8-9A0C-3CAF12E02325}"/>
    <hyperlink ref="E652" r:id="rId1957" display="https://twitter.com/H_IT_D/status/721670519263666176" xr:uid="{03FD9874-FD8A-45B6-8BBF-D7415DED5943}"/>
    <hyperlink ref="O652" r:id="rId1958" display="https://pbs.twimg.com/profile_images/662723326096224256/5V4KH9_O_normal.jpg" xr:uid="{93991EB1-96C7-4B56-82A3-4C40F3D1BCEE}"/>
    <hyperlink ref="B653" r:id="rId1959" display="https://twitter.com/Apandia" xr:uid="{2A151D3F-6469-4F1F-8647-140783A0A17A}"/>
    <hyperlink ref="E653" r:id="rId1960" display="https://twitter.com/Apandia/status/721670549601185792" xr:uid="{3B7B7A65-4A63-42D7-8948-ABFCBC5B66E0}"/>
    <hyperlink ref="O653" r:id="rId1961" display="https://pbs.twimg.com/profile_images/685327213/Apandia_normal.gif" xr:uid="{5EEA99DF-BC07-4431-B805-2122DCEA0153}"/>
    <hyperlink ref="B654" r:id="rId1962" display="https://twitter.com/INDIZbot" xr:uid="{2AE6118D-5334-49A5-94D0-64395A36FF63}"/>
    <hyperlink ref="E654" r:id="rId1963" display="https://twitter.com/INDIZbot/status/721672573684215808" xr:uid="{9383D203-8335-4943-B7F7-A5B826115AC6}"/>
    <hyperlink ref="O654" r:id="rId1964" display="https://pbs.twimg.com/profile_images/645716711723925506/t5G0qOS6_normal.jpg" xr:uid="{C88125D5-4B86-4350-8E06-C56EF2BB8C27}"/>
    <hyperlink ref="B655" r:id="rId1965" display="https://twitter.com/INDIZbot" xr:uid="{BCDB6137-DF3D-4865-AE96-E5377635F408}"/>
    <hyperlink ref="E655" r:id="rId1966" display="https://twitter.com/INDIZbot/status/721672685206519809" xr:uid="{8D0AA975-6B9D-44B1-9193-19FB96E5D47C}"/>
    <hyperlink ref="O655" r:id="rId1967" display="https://pbs.twimg.com/profile_images/645716711723925506/t5G0qOS6_normal.jpg" xr:uid="{6B9EF0AF-4418-4A75-A531-D5B4C95D4523}"/>
    <hyperlink ref="B656" r:id="rId1968" display="https://twitter.com/MartaBalan" xr:uid="{350B966C-F932-4432-BF7F-882795FACE9C}"/>
    <hyperlink ref="E656" r:id="rId1969" display="https://twitter.com/MartaBalan/status/721676222418145281" xr:uid="{206D4C01-832F-45C3-B9C9-89588F1526DE}"/>
    <hyperlink ref="O656" r:id="rId1970" display="https://pbs.twimg.com/profile_images/618300868606062592/rBEB_H0O_normal.png" xr:uid="{BFDA17B2-35DE-403E-A88D-58F11722C8CB}"/>
    <hyperlink ref="B657" r:id="rId1971" display="https://twitter.com/verlinked" xr:uid="{992D06BC-A7EC-4923-B9BC-ADC8154299AF}"/>
    <hyperlink ref="E657" r:id="rId1972" display="https://twitter.com/verlinked/status/721684663001939971" xr:uid="{A2382687-5315-45E7-A07C-A40127CE35BE}"/>
    <hyperlink ref="O657" r:id="rId1973" display="https://pbs.twimg.com/profile_images/722385992343285760/ww8YLZ2q_normal.jpg" xr:uid="{EC27349E-6B20-4F09-BF20-D5724D09586C}"/>
    <hyperlink ref="B658" r:id="rId1974" display="https://twitter.com/H_IT_D" xr:uid="{29B8EF76-AEBF-4DE3-8502-7DC3E615B1A5}"/>
    <hyperlink ref="E658" r:id="rId1975" display="https://twitter.com/H_IT_D/status/721686949140897794" xr:uid="{FCCFDA96-148E-4C8D-B850-9631297FA8B2}"/>
    <hyperlink ref="O658" r:id="rId1976" display="https://pbs.twimg.com/profile_images/662723326096224256/5V4KH9_O_normal.jpg" xr:uid="{7800A911-0FE6-4049-9B8E-88C97FB24966}"/>
    <hyperlink ref="B659" r:id="rId1977" display="https://twitter.com/CmartinCg" xr:uid="{23CFD13D-5A57-48B6-956A-1AEE5B1DE917}"/>
    <hyperlink ref="E659" r:id="rId1978" display="https://twitter.com/CmartinCg/status/721688736233365504" xr:uid="{8924BC1F-460C-49B3-A9D4-AC3CDA2A2F0D}"/>
    <hyperlink ref="O659" r:id="rId1979" display="https://pbs.twimg.com/profile_images/628639886103445504/x3eziL0C_normal.jpg" xr:uid="{31A85A2F-10F6-45D5-9E6B-32C0C544154F}"/>
    <hyperlink ref="B660" r:id="rId1980" display="https://twitter.com/INDIZbot" xr:uid="{0F999311-1485-4A8F-8729-DDA97AF0D99B}"/>
    <hyperlink ref="E660" r:id="rId1981" display="https://twitter.com/INDIZbot/status/721692624046985216" xr:uid="{D89D7B9A-EE5F-4533-8493-068BEE20C55F}"/>
    <hyperlink ref="O660" r:id="rId1982" display="https://pbs.twimg.com/profile_images/645716711723925506/t5G0qOS6_normal.jpg" xr:uid="{FA3F7E76-1B29-490E-B0EE-0073A86CA6E6}"/>
    <hyperlink ref="B661" r:id="rId1983" display="https://twitter.com/INDIZbot" xr:uid="{4C8CBAD0-96D7-48D4-8D80-8F023CE0D0F2}"/>
    <hyperlink ref="E661" r:id="rId1984" display="https://twitter.com/INDIZbot/status/721692904704634880" xr:uid="{10C873C6-D852-4599-9293-05E57522A930}"/>
    <hyperlink ref="O661" r:id="rId1985" display="https://pbs.twimg.com/profile_images/645716711723925506/t5G0qOS6_normal.jpg" xr:uid="{A4F2636C-2055-4685-BF32-02951AD58DA8}"/>
    <hyperlink ref="B662" r:id="rId1986" display="https://twitter.com/JUMO_net" xr:uid="{E6B45487-8E64-457E-9E16-221003FE52E7}"/>
    <hyperlink ref="E662" r:id="rId1987" display="https://twitter.com/JUMO_net/status/721694587081912321" xr:uid="{7C9DB87C-4DD9-4523-9655-39BFD681022E}"/>
    <hyperlink ref="O662" r:id="rId1988" display="https://pbs.twimg.com/profile_images/378800000369621923/8d32a81bad5abda3a93519fc049253f3_normal.jpeg" xr:uid="{9891FBE6-0944-43AB-AC49-088A8943543C}"/>
    <hyperlink ref="B663" r:id="rId1989" display="https://twitter.com/Mario_Trapp" xr:uid="{1F6AC5A2-1ADD-4259-8F92-046BD0993525}"/>
    <hyperlink ref="E663" r:id="rId1990" display="https://twitter.com/Mario_Trapp/status/721704513904721921" xr:uid="{1F961D6E-8E87-469E-B93B-7A2A8709C824}"/>
    <hyperlink ref="O663" r:id="rId1991" display="https://pbs.twimg.com/profile_images/611280074017538048/w7tmii0Y_normal.jpg" xr:uid="{2F390CBE-6352-4205-B7BE-9ECE218D5D58}"/>
    <hyperlink ref="B664" r:id="rId1992" display="https://twitter.com/b_spokeB" xr:uid="{28E4426F-C030-4459-8B33-13DE5C91689E}"/>
    <hyperlink ref="E664" r:id="rId1993" display="https://twitter.com/b_spokeB/status/721706431393701888" xr:uid="{D953C094-5AE9-432B-9EBB-128400D028DF}"/>
    <hyperlink ref="O664" r:id="rId1994" display="https://pbs.twimg.com/profile_images/684134634179923968/2dsDVRvp_normal.jpg" xr:uid="{51842052-1CEA-4C9D-BFB1-E30467A3607A}"/>
    <hyperlink ref="B665" r:id="rId1995" display="https://twitter.com/CWRoehl" xr:uid="{19F4A23F-A234-4A81-B15E-B6E96587902F}"/>
    <hyperlink ref="E665" r:id="rId1996" display="https://twitter.com/CWRoehl/status/721709487594323968" xr:uid="{64688AC0-0985-4AA2-9059-A750082D6428}"/>
    <hyperlink ref="O665" r:id="rId1997" display="https://pbs.twimg.com/profile_images/702492224047730688/vof8rTo__normal.jpg" xr:uid="{B90CC317-65EB-4892-AA76-03EA12472BDF}"/>
    <hyperlink ref="B666" r:id="rId1998" display="https://twitter.com/INDIZbot" xr:uid="{70EEEA6B-8313-4AF0-94AC-C9E625356820}"/>
    <hyperlink ref="E666" r:id="rId1999" display="https://twitter.com/INDIZbot/status/721712845960953856" xr:uid="{23A009F3-4BA4-47DB-8874-7F7CF0655AF5}"/>
    <hyperlink ref="O666" r:id="rId2000" display="https://pbs.twimg.com/profile_images/645716711723925506/t5G0qOS6_normal.jpg" xr:uid="{530B39CC-DD58-4799-8758-0E64D143CBBD}"/>
    <hyperlink ref="B667" r:id="rId2001" display="https://twitter.com/conosco" xr:uid="{4F27D001-B4B5-4BD2-8223-AEF7B1635A73}"/>
    <hyperlink ref="E667" r:id="rId2002" display="https://twitter.com/conosco/status/721713011501703168" xr:uid="{38414E71-B13F-4315-9CD1-95AA38A9AD69}"/>
    <hyperlink ref="O667" r:id="rId2003" display="https://pbs.twimg.com/profile_images/459441279181398016/MmGzaeIu_normal.jpeg" xr:uid="{A0C81618-CC8F-4C72-9917-F078CDE6069D}"/>
    <hyperlink ref="B668" r:id="rId2004" display="https://twitter.com/INDIZbot" xr:uid="{B06F36D4-8A7A-4FA7-BEDB-B0581E84A862}"/>
    <hyperlink ref="E668" r:id="rId2005" display="https://twitter.com/INDIZbot/status/721713032737501184" xr:uid="{0C3EA5E2-DCF2-4A6C-B048-7CAB9374D8CF}"/>
    <hyperlink ref="O668" r:id="rId2006" display="https://pbs.twimg.com/profile_images/645716711723925506/t5G0qOS6_normal.jpg" xr:uid="{E1A8DDC7-6A7F-4F5D-BB03-6BA865B2F500}"/>
    <hyperlink ref="B669" r:id="rId2007" display="https://twitter.com/INDIZbot" xr:uid="{8B123CBC-35A8-4992-AB6F-47A051BF79B0}"/>
    <hyperlink ref="E669" r:id="rId2008" display="https://twitter.com/INDIZbot/status/721720498091081728" xr:uid="{E849F785-7F95-434E-9580-B900D35F4202}"/>
    <hyperlink ref="O669" r:id="rId2009" display="https://pbs.twimg.com/profile_images/645716711723925506/t5G0qOS6_normal.jpg" xr:uid="{E6F39310-F804-4555-8CAE-4CB1E026B442}"/>
    <hyperlink ref="B670" r:id="rId2010" display="https://twitter.com/openHPI" xr:uid="{88CD5BCA-E7F5-4B33-8751-A548B4798ED2}"/>
    <hyperlink ref="E670" r:id="rId2011" display="https://twitter.com/openHPI/status/721721192558764033" xr:uid="{8031F255-510B-45DE-888E-8471E25D8AA3}"/>
    <hyperlink ref="O670" r:id="rId2012" display="https://pbs.twimg.com/profile_images/378800000827898552/669f90369b095789252ae6f0649bc39a_normal.png" xr:uid="{5070BC90-67C8-4E2A-8C26-F4AC218F46B0}"/>
    <hyperlink ref="B671" r:id="rId2013" display="https://twitter.com/Lenze_FR" xr:uid="{F55BE658-33BE-4D07-9AC2-5452ADACD57F}"/>
    <hyperlink ref="E671" r:id="rId2014" display="https://twitter.com/Lenze_FR/status/721723546033106944" xr:uid="{A6EC18BF-58F4-46AE-A32C-A1FEC7A023BD}"/>
    <hyperlink ref="O671" r:id="rId2015" display="https://pbs.twimg.com/profile_images/659103527302746112/SHt7cxmw_normal.png" xr:uid="{973364EC-6586-4B2D-BDAC-2B05A4CA4BA4}"/>
    <hyperlink ref="B672" r:id="rId2016" display="https://twitter.com/bamitav" xr:uid="{C523212A-71F9-493A-82AA-D17A1575B920}"/>
    <hyperlink ref="E672" r:id="rId2017" display="https://twitter.com/bamitav/status/721734553501499394" xr:uid="{82753F87-3339-44E4-A2C0-2F065132E582}"/>
    <hyperlink ref="O672" r:id="rId2018" display="https://pbs.twimg.com/profile_images/672794348442877952/m6Is-Nrc_normal.jpg" xr:uid="{44CCC87A-93BB-4B46-B5BC-97A9F46E7703}"/>
    <hyperlink ref="B673" r:id="rId2019" display="https://twitter.com/H_IT_D" xr:uid="{C83CC6F0-B13C-4F86-A486-1E566CBD2061}"/>
    <hyperlink ref="E673" r:id="rId2020" display="https://twitter.com/H_IT_D/status/721735113776586759" xr:uid="{9AFACE1C-3CC6-43C1-B269-2C6EA04DFF6B}"/>
    <hyperlink ref="O673" r:id="rId2021" display="https://pbs.twimg.com/profile_images/662723326096224256/5V4KH9_O_normal.jpg" xr:uid="{50E190E6-5E09-4FB3-95D3-AC9F9544B610}"/>
    <hyperlink ref="B674" r:id="rId2022" display="https://twitter.com/digitalperiod" xr:uid="{8BD8C430-B967-48BD-B996-13536CEAC7CC}"/>
    <hyperlink ref="E674" r:id="rId2023" display="https://twitter.com/digitalperiod/status/721735222337880064" xr:uid="{73A51F15-5D2C-4477-A6D2-9A0E98C01EBC}"/>
    <hyperlink ref="O674" r:id="rId2024" display="https://pbs.twimg.com/profile_images/625362695651364864/Z8Tt0Fon_normal.png" xr:uid="{99ED6E58-B7C2-4055-8844-9CA69B17E91D}"/>
    <hyperlink ref="B675" r:id="rId2025" display="https://twitter.com/GeraldSwarat" xr:uid="{2071F034-2C2C-477D-81CC-8055CB641DD4}"/>
    <hyperlink ref="E675" r:id="rId2026" display="https://twitter.com/GeraldSwarat/status/721739042279309314" xr:uid="{B4002EC4-E809-493D-8AC0-AA8545C4246F}"/>
    <hyperlink ref="O675" r:id="rId2027" display="https://pbs.twimg.com/profile_images/705485928823955460/6bOzIJq9_normal.jpg" xr:uid="{450283F7-6109-484E-806E-9F082098216D}"/>
    <hyperlink ref="B676" r:id="rId2028" display="https://twitter.com/SmartRuralAreas" xr:uid="{FF2227F8-8079-4FF3-8563-547B2557FA0C}"/>
    <hyperlink ref="E676" r:id="rId2029" display="https://twitter.com/SmartRuralAreas/status/721747156755955712" xr:uid="{D7E8E853-EC26-4BBA-BD1C-E7556CAC12F8}"/>
    <hyperlink ref="O676" r:id="rId2030" display="https://pbs.twimg.com/profile_images/580833677128699905/neFmKz39_normal.png" xr:uid="{94D3D62F-ADFF-434E-97FB-35E2D73BD0A0}"/>
    <hyperlink ref="B677" r:id="rId2031" display="https://twitter.com/TUV_IT" xr:uid="{5619CF46-3580-46D3-8903-1F294EFA1207}"/>
    <hyperlink ref="E677" r:id="rId2032" display="https://twitter.com/TUV_IT/status/721749330546278400" xr:uid="{BFB1C79D-846E-4844-9670-84BE1C249232}"/>
    <hyperlink ref="O677" r:id="rId2033" display="https://pbs.twimg.com/profile_images/706784163433680896/xE8ttuE2_normal.jpg" xr:uid="{FE1E1510-C589-406E-B0BB-91351934009B}"/>
    <hyperlink ref="B678" r:id="rId2034" display="https://twitter.com/culturbureau" xr:uid="{CE6803DC-66D6-4948-B6F3-39554B10236E}"/>
    <hyperlink ref="E678" r:id="rId2035" display="https://twitter.com/culturbureau/status/721755111471587328" xr:uid="{9AC37A7B-5675-4DC5-A209-635AA13D1243}"/>
    <hyperlink ref="O678" r:id="rId2036" display="https://pbs.twimg.com/profile_images/720635590639796224/PWzZDSKB_normal.jpg" xr:uid="{A6A6E645-5518-4EA4-ABEC-6C96AE6784AA}"/>
    <hyperlink ref="B679" r:id="rId2037" display="https://twitter.com/_MBauer_" xr:uid="{E29A526D-7A3C-4AE9-8154-9A2DACE5FE1F}"/>
    <hyperlink ref="E679" r:id="rId2038" display="https://twitter.com/_MBauer_/status/721758455741169664" xr:uid="{ACEC66C4-C4D2-4579-B7B5-412FD2474040}"/>
    <hyperlink ref="O679" r:id="rId2039" display="https://pbs.twimg.com/profile_images/378800000322896667/d1c60784e60aac20428623b3195d2ca8_normal.jpeg" xr:uid="{4C03BF9E-3041-4EB3-AA95-8A8AE9D85E5D}"/>
    <hyperlink ref="B680" r:id="rId2040" display="https://twitter.com/INDIZbot" xr:uid="{D21E1176-C8A3-4C8A-B336-2E271E8AE05F}"/>
    <hyperlink ref="E680" r:id="rId2041" display="https://twitter.com/INDIZbot/status/721760424077733888" xr:uid="{17577264-B37C-498E-BA94-F7A50CEACCC1}"/>
    <hyperlink ref="O680" r:id="rId2042" display="https://pbs.twimg.com/profile_images/645716711723925506/t5G0qOS6_normal.jpg" xr:uid="{8833E934-A5A0-4414-8448-E4E564B43A95}"/>
    <hyperlink ref="B681" r:id="rId2043" display="https://twitter.com/INDIZbot" xr:uid="{73C3EFBA-5A42-479B-848F-D3D618D51FDA}"/>
    <hyperlink ref="E681" r:id="rId2044" display="https://twitter.com/INDIZbot/status/721760563353804800" xr:uid="{092D3F7C-83F7-4A1D-AF8A-8C1C2382C060}"/>
    <hyperlink ref="O681" r:id="rId2045" display="https://pbs.twimg.com/profile_images/645716711723925506/t5G0qOS6_normal.jpg" xr:uid="{C0051F04-C4BC-4F72-8139-7F609444D477}"/>
    <hyperlink ref="B682" r:id="rId2046" display="https://twitter.com/kommoptimierer" xr:uid="{A6EF22C1-DC2B-4197-BA2C-367F06462B0C}"/>
    <hyperlink ref="E682" r:id="rId2047" display="https://twitter.com/kommoptimierer/status/721775243988234246" xr:uid="{87C2D193-8BDA-488E-BE35-DAA43FE83AAA}"/>
    <hyperlink ref="O682" r:id="rId2048" display="https://pbs.twimg.com/profile_images/541146126158536704/IYardufS_normal.jpeg" xr:uid="{A50424D3-C118-4EB9-9310-B8DDD436098D}"/>
    <hyperlink ref="B683" r:id="rId2049" display="https://twitter.com/INDIZbot" xr:uid="{5ADE1618-DD3F-4173-952D-CD9B4D5DC52A}"/>
    <hyperlink ref="E683" r:id="rId2050" display="https://twitter.com/INDIZbot/status/721785680834215937" xr:uid="{D74746DD-BFFB-4E02-9946-E1D94FCFF82A}"/>
    <hyperlink ref="O683" r:id="rId2051" display="https://pbs.twimg.com/profile_images/645716711723925506/t5G0qOS6_normal.jpg" xr:uid="{A5564BC5-E5E7-4786-9872-4A7FC173A619}"/>
    <hyperlink ref="B684" r:id="rId2052" display="https://twitter.com/SAPlearn" xr:uid="{E9A799FE-4BE7-4E63-822A-877FB1EE4121}"/>
    <hyperlink ref="E684" r:id="rId2053" display="https://twitter.com/SAPlearn/status/721787155811405824" xr:uid="{88B291C3-E57E-4585-9A5D-1D338A4C9222}"/>
    <hyperlink ref="O684" r:id="rId2054" display="https://pbs.twimg.com/profile_images/609353055839064064/G4xcQR7r_normal.jpg" xr:uid="{462F9F00-7E42-4A3E-AA9E-C66A989A3A73}"/>
    <hyperlink ref="B685" r:id="rId2055" display="https://twitter.com/_DanielB" xr:uid="{1C1680F7-8E19-4380-B2BE-B909033EEBB1}"/>
    <hyperlink ref="E685" r:id="rId2056" display="https://twitter.com/_DanielB/status/721788439516024833" xr:uid="{8C73DAF0-F2F0-4371-8734-88A9BB39F688}"/>
    <hyperlink ref="O685" r:id="rId2057" display="https://pbs.twimg.com/profile_images/442767343555321856/p7B-wXOm_normal.jpeg" xr:uid="{3EFB70CE-8A9D-40FC-B2CA-246262ABB97B}"/>
    <hyperlink ref="B686" r:id="rId2058" display="https://twitter.com/SpielbergHolger" xr:uid="{9648C0D4-1F90-468C-8D41-1EBE98F90AE9}"/>
    <hyperlink ref="E686" r:id="rId2059" display="https://twitter.com/SpielbergHolger/status/721789694447632384" xr:uid="{0581CF7F-91FC-4C80-94D9-4D3FFD0F527E}"/>
    <hyperlink ref="O686" r:id="rId2060" display="https://pbs.twimg.com/profile_images/718861442347311105/ot-bEQgV_normal.jpg" xr:uid="{FD1660BF-BE67-4F9D-BFFF-1376E9DDAFCD}"/>
    <hyperlink ref="B687" r:id="rId2061" display="https://twitter.com/INDIZbot" xr:uid="{4AC2A958-7794-4D47-A35A-863F89A20087}"/>
    <hyperlink ref="E687" r:id="rId2062" display="https://twitter.com/INDIZbot/status/721790621690802177" xr:uid="{4E56A023-9F1B-4908-9EB1-DEACBA4A4811}"/>
    <hyperlink ref="O687" r:id="rId2063" display="https://pbs.twimg.com/profile_images/645716711723925506/t5G0qOS6_normal.jpg" xr:uid="{49DA1615-E020-4300-990A-96D7099D7A4A}"/>
    <hyperlink ref="B688" r:id="rId2064" display="https://twitter.com/INDIZbot" xr:uid="{456AEADF-0D25-4454-9CF6-E4817239DD7C}"/>
    <hyperlink ref="E688" r:id="rId2065" display="https://twitter.com/INDIZbot/status/721790723813675008" xr:uid="{09C9C256-DEE5-484B-8C45-6BB647ACC8B2}"/>
    <hyperlink ref="O688" r:id="rId2066" display="https://pbs.twimg.com/profile_images/645716711723925506/t5G0qOS6_normal.jpg" xr:uid="{D8CA424B-AE3A-4BEB-9CEC-F97417C13DC5}"/>
    <hyperlink ref="B689" r:id="rId2067" display="https://twitter.com/kommoptimierer" xr:uid="{8E4093AC-50D4-418D-842C-380618EBC4E8}"/>
    <hyperlink ref="E689" r:id="rId2068" display="https://twitter.com/kommoptimierer/status/721791596912578560" xr:uid="{71511ABF-7E22-44ED-9371-09F3D7D5D197}"/>
    <hyperlink ref="O689" r:id="rId2069" display="https://pbs.twimg.com/profile_images/541146126158536704/IYardufS_normal.jpeg" xr:uid="{282791A3-1BA6-4C2B-A5AD-77CFCB3FA49F}"/>
    <hyperlink ref="B690" r:id="rId2070" display="https://twitter.com/APPI37510" xr:uid="{394FFF38-0A22-4600-A65F-D73BD5C3B125}"/>
    <hyperlink ref="E690" r:id="rId2071" display="https://twitter.com/APPI37510/status/721802781510746112" xr:uid="{96FA17E5-5380-4D44-B046-36A4EEE6403B}"/>
    <hyperlink ref="O690" r:id="rId2072" display="https://pbs.twimg.com/profile_images/592943995879297024/UjTKpVKt_normal.png" xr:uid="{0517AAA2-A648-469E-B42B-6633123C478F}"/>
    <hyperlink ref="B691" r:id="rId2073" display="https://twitter.com/pkoerner81929" xr:uid="{A5C1B640-CAEC-422B-BEBB-802FF083098C}"/>
    <hyperlink ref="E691" r:id="rId2074" display="https://twitter.com/pkoerner81929/status/721817490339328001" xr:uid="{C866601C-B63E-49F3-A9F4-595F38904BFF}"/>
    <hyperlink ref="O691" r:id="rId2075" display="https://pbs.twimg.com/profile_images/3629676660/36f6e8f9de85dccd7d197d4bdafad372_normal.jpeg" xr:uid="{76F38849-A642-4804-AD3C-B657156EB83F}"/>
    <hyperlink ref="B692" r:id="rId2076" display="https://twitter.com/APGuha" xr:uid="{81CC455D-B9F3-4B7F-A38C-0E1DBDC74969}"/>
    <hyperlink ref="E692" r:id="rId2077" display="https://twitter.com/APGuha/status/721827698595667968" xr:uid="{79E6D73A-54FA-4799-9272-73E4C766F853}"/>
    <hyperlink ref="O692" r:id="rId2078" display="https://pbs.twimg.com/profile_images/480533400743182336/w7vvPFUY_normal.png" xr:uid="{68DC7BC8-37D2-4BEF-9737-422C71F93CDB}"/>
    <hyperlink ref="B693" r:id="rId2079" display="https://twitter.com/acfredenucci" xr:uid="{30A2DCF2-D490-42FC-AFFB-0584330215D6}"/>
    <hyperlink ref="E693" r:id="rId2080" display="https://twitter.com/acfredenucci/status/721830508649390080" xr:uid="{B0335B91-BC28-4C8F-91EB-49EF4B881CAF}"/>
    <hyperlink ref="O693" r:id="rId2081" display="https://pbs.twimg.com/profile_images/2577573295/IMG_0896_normal.JPG" xr:uid="{8FC013E9-4C49-499B-A90A-6FEF07953C67}"/>
    <hyperlink ref="B694" r:id="rId2082" display="https://twitter.com/H_IT_D" xr:uid="{8A3BDA9F-7A6C-4F95-94C4-EA398F3CFD61}"/>
    <hyperlink ref="E694" r:id="rId2083" display="https://twitter.com/H_IT_D/status/721847699742400513" xr:uid="{8D669D80-03CF-43A4-BD3B-6823FF83EAD6}"/>
    <hyperlink ref="O694" r:id="rId2084" display="https://pbs.twimg.com/profile_images/662723326096224256/5V4KH9_O_normal.jpg" xr:uid="{B0B32985-58AB-45C0-9A12-FA22530B078F}"/>
    <hyperlink ref="B695" r:id="rId2085" display="https://twitter.com/INDIZbot" xr:uid="{28B8DD0C-5CEA-4905-B0F4-B62D4DF27908}"/>
    <hyperlink ref="E695" r:id="rId2086" display="https://twitter.com/INDIZbot/status/721848505325772800" xr:uid="{5B119F40-4C28-4465-ADC6-FCF583EC1DF9}"/>
    <hyperlink ref="O695" r:id="rId2087" display="https://pbs.twimg.com/profile_images/645716711723925506/t5G0qOS6_normal.jpg" xr:uid="{E6B4AFE4-0EE3-49AF-9E47-7459271188B3}"/>
    <hyperlink ref="B696" r:id="rId2088" display="https://twitter.com/QuickFindsIn" xr:uid="{11A31672-2C65-4215-AC0A-2653CF35E6E1}"/>
    <hyperlink ref="E696" r:id="rId2089" display="https://twitter.com/QuickFindsIn/status/721926237849911297" xr:uid="{8968FEC4-31A1-4236-AD73-170835AAE521}"/>
    <hyperlink ref="O696" r:id="rId2090" display="https://pbs.twimg.com/profile_images/591951396217327616/HbcCX2zX_normal.png" xr:uid="{D0C56FA0-7D89-49F3-9045-380D05C950A6}"/>
    <hyperlink ref="B697" r:id="rId2091" display="https://twitter.com/kommoptimierer" xr:uid="{E6ECD414-E471-48B8-B1B2-EA309CDC2DB9}"/>
    <hyperlink ref="E697" r:id="rId2092" display="https://twitter.com/kommoptimierer/status/721926758023438336" xr:uid="{83BD29DE-A07F-41DE-BC08-4C9876A4A7ED}"/>
    <hyperlink ref="O697" r:id="rId2093" display="https://pbs.twimg.com/profile_images/541146126158536704/IYardufS_normal.jpeg" xr:uid="{D1F1424D-CAEA-4A19-BF31-92A8385AB36B}"/>
    <hyperlink ref="B698" r:id="rId2094" display="https://twitter.com/kommoptimierer" xr:uid="{124992FE-BE73-4387-940A-CF48C4A91229}"/>
    <hyperlink ref="E698" r:id="rId2095" display="https://twitter.com/kommoptimierer/status/721927179991392256" xr:uid="{7B2373AF-4A35-4B0C-9608-5668A4AA84D6}"/>
    <hyperlink ref="O698" r:id="rId2096" display="https://pbs.twimg.com/profile_images/541146126158536704/IYardufS_normal.jpeg" xr:uid="{9024326C-F890-4455-ADC3-D35D37708900}"/>
    <hyperlink ref="B699" r:id="rId2097" display="https://twitter.com/kommoptimierer" xr:uid="{F9A3CFAA-D8B4-4929-87E1-54CA3B95D7E6}"/>
    <hyperlink ref="E699" r:id="rId2098" display="https://twitter.com/kommoptimierer/status/721927614248693760" xr:uid="{96DA8892-4330-434E-A602-3C49212595E4}"/>
    <hyperlink ref="O699" r:id="rId2099" display="https://pbs.twimg.com/profile_images/541146126158536704/IYardufS_normal.jpeg" xr:uid="{3DAFA09E-9C6D-4FEE-A006-88225AF2D72C}"/>
    <hyperlink ref="B700" r:id="rId2100" display="https://twitter.com/ScopeOnline" xr:uid="{3BE4FF85-47DE-4CB0-9360-B2FD3FD0CE68}"/>
    <hyperlink ref="E700" r:id="rId2101" display="https://twitter.com/ScopeOnline/status/721928967285010432" xr:uid="{DA73D19F-F4D3-40DB-9B1F-9CA19ACBFBA8}"/>
    <hyperlink ref="O700" r:id="rId2102" display="https://pbs.twimg.com/profile_images/542205461139705857/rG0aBulP_normal.png" xr:uid="{367A1595-3C8E-4877-802E-00C76DFA6F52}"/>
    <hyperlink ref="B701" r:id="rId2103" display="https://twitter.com/INDIZbot" xr:uid="{CFEE7DA0-B2A1-42D6-9F66-42403EE7C69A}"/>
    <hyperlink ref="E701" r:id="rId2104" display="https://twitter.com/INDIZbot/status/721929137129177088" xr:uid="{BCA777C2-6894-4A62-B6C1-64FE26D48822}"/>
    <hyperlink ref="O701" r:id="rId2105" display="https://pbs.twimg.com/profile_images/645716711723925506/t5G0qOS6_normal.jpg" xr:uid="{74669A6A-E132-48A5-9A45-804B31F303DA}"/>
    <hyperlink ref="B702" r:id="rId2106" display="https://twitter.com/ScopeOnline" xr:uid="{33441389-AB05-47A7-83C2-3A31283242AB}"/>
    <hyperlink ref="E702" r:id="rId2107" display="https://twitter.com/ScopeOnline/status/721930148614946816" xr:uid="{DB3D7B2A-6B80-4B23-8E3D-CD1B687C2A76}"/>
    <hyperlink ref="O702" r:id="rId2108" display="https://pbs.twimg.com/profile_images/542205461139705857/rG0aBulP_normal.png" xr:uid="{5C5D2F75-3573-4700-BB06-CF91BAF94F3F}"/>
    <hyperlink ref="B703" r:id="rId2109" display="https://twitter.com/ScopeOnline" xr:uid="{6AC26D3A-6615-4E21-AA82-44B13E86EB7C}"/>
    <hyperlink ref="E703" r:id="rId2110" display="https://twitter.com/ScopeOnline/status/721930674077364224" xr:uid="{3AB5ACC3-47AF-46E5-89F1-9FF19A1108A6}"/>
    <hyperlink ref="O703" r:id="rId2111" display="https://pbs.twimg.com/profile_images/542205461139705857/rG0aBulP_normal.png" xr:uid="{CF3B1C27-BFE9-4871-A71C-A2E253E2A781}"/>
    <hyperlink ref="B704" r:id="rId2112" display="https://twitter.com/INDIZbot" xr:uid="{7F22606A-301A-4CF8-87EC-3409AB70FA17}"/>
    <hyperlink ref="E704" r:id="rId2113" display="https://twitter.com/INDIZbot/status/721931600951250944" xr:uid="{4090E779-1403-4159-BB92-F4402BB35A4E}"/>
    <hyperlink ref="O704" r:id="rId2114" display="https://pbs.twimg.com/profile_images/645716711723925506/t5G0qOS6_normal.jpg" xr:uid="{3D4476EB-FE8A-4B25-A61D-244BFB77832B}"/>
    <hyperlink ref="B705" r:id="rId2115" display="https://twitter.com/INDIZbot" xr:uid="{E7E5B5B5-BFA4-437F-B120-B872FE38E90A}"/>
    <hyperlink ref="E705" r:id="rId2116" display="https://twitter.com/INDIZbot/status/721931838663618560" xr:uid="{B3A0170F-F2BF-4E59-9CC9-20BC13C6134E}"/>
    <hyperlink ref="O705" r:id="rId2117" display="https://pbs.twimg.com/profile_images/645716711723925506/t5G0qOS6_normal.jpg" xr:uid="{64FBBB16-AECF-44F4-8C4A-9C604FD65EA9}"/>
    <hyperlink ref="B706" r:id="rId2118" display="https://twitter.com/ScopeOnline" xr:uid="{83A4963E-AF3C-416D-842A-209D88F3929E}"/>
    <hyperlink ref="E706" r:id="rId2119" display="https://twitter.com/ScopeOnline/status/721932275550707712" xr:uid="{E8F58A2E-39E1-4E99-9816-3215C310B008}"/>
    <hyperlink ref="O706" r:id="rId2120" display="https://pbs.twimg.com/profile_images/542205461139705857/rG0aBulP_normal.png" xr:uid="{176FA1E9-9A6A-4227-ACFC-5F79C9354241}"/>
    <hyperlink ref="B707" r:id="rId2121" display="https://twitter.com/MartinGaedt" xr:uid="{4A05CF7B-EEC0-41D4-9FEC-94E466866610}"/>
    <hyperlink ref="E707" r:id="rId2122" display="https://twitter.com/MartinGaedt/status/721933030504443905" xr:uid="{F5AD2A9C-9DC9-4BF3-AE66-634094958944}"/>
    <hyperlink ref="O707" r:id="rId2123" display="https://pbs.twimg.com/profile_images/709444980553740288/Xds-Aan6_normal.jpg" xr:uid="{023107BD-F206-4C29-BEC2-FA8A514F6CAB}"/>
    <hyperlink ref="B708" r:id="rId2124" display="https://twitter.com/innovationbawue" xr:uid="{4CD732FF-B989-42BD-BFAA-6DC07D99DEFA}"/>
    <hyperlink ref="C708" r:id="rId2125" xr:uid="{6CD53214-F2CC-442D-8688-85D2278D2EA8}"/>
    <hyperlink ref="E708" r:id="rId2126" display="https://twitter.com/innovationbawue/status/721937575284449280" xr:uid="{582C95D4-17C4-470D-92C5-FBF358B96703}"/>
    <hyperlink ref="O708" r:id="rId2127" display="https://pbs.twimg.com/profile_images/719538951988592641/7lKnB2dG_normal.jpg" xr:uid="{908B5B38-CF50-4190-8692-D73E4CEDC789}"/>
    <hyperlink ref="B709" r:id="rId2128" display="https://twitter.com/3DSGermany" xr:uid="{CAFAA22D-5A9B-4AEF-BC03-DD0B7BCE349C}"/>
    <hyperlink ref="E709" r:id="rId2129" display="https://twitter.com/3DSGermany/status/721939404110110720" xr:uid="{E5FB08AD-B1F7-4965-99FF-4DFB7EB74632}"/>
    <hyperlink ref="O709" r:id="rId2130" display="https://pbs.twimg.com/profile_images/501687273964851200/p2aEL2iP_normal.png" xr:uid="{DAB5A5ED-5A79-4BF8-A43F-F417FC3065AE}"/>
    <hyperlink ref="B710" r:id="rId2131" display="https://twitter.com/UL_Commercial" xr:uid="{4BDFA1D8-6FDD-4C9F-900E-353893177107}"/>
    <hyperlink ref="E710" r:id="rId2132" display="https://twitter.com/UL_Commercial/status/721943347351330816" xr:uid="{33124291-95E0-440F-9619-E77D54354E28}"/>
    <hyperlink ref="O710" r:id="rId2133" display="https://pbs.twimg.com/profile_images/661569725550469124/-Uzw8rQt_normal.jpg" xr:uid="{1AD03AB7-217E-4B2C-ABAF-96F996C7ED28}"/>
    <hyperlink ref="B711" r:id="rId2134" display="https://twitter.com/ULdialogue" xr:uid="{33528C7B-5E35-4181-ADBB-3055F0E8F5FB}"/>
    <hyperlink ref="E711" r:id="rId2135" display="https://twitter.com/ULdialogue/status/721943347963662336" xr:uid="{81DD4129-6345-41F4-87EF-2C64A84062DE}"/>
    <hyperlink ref="O711" r:id="rId2136" display="https://pbs.twimg.com/profile_images/458696399211606016/rUZELqAc_normal.jpeg" xr:uid="{4A94C90D-FB95-4F73-A99B-B4C4C13E6E55}"/>
    <hyperlink ref="B712" r:id="rId2137" display="https://twitter.com/INDIZbot" xr:uid="{D3E4633A-F1C8-4141-804B-014D215205D3}"/>
    <hyperlink ref="E712" r:id="rId2138" display="https://twitter.com/INDIZbot/status/721944281158696960" xr:uid="{16C5B180-78E2-4C9D-A9DF-2F3893B494B7}"/>
    <hyperlink ref="O712" r:id="rId2139" display="https://pbs.twimg.com/profile_images/645716711723925506/t5G0qOS6_normal.jpg" xr:uid="{7B7B18D4-990D-44DC-AC87-4943CDC716D8}"/>
    <hyperlink ref="B713" r:id="rId2140" display="https://twitter.com/INDIZbot" xr:uid="{EC6F2A6B-BF8A-4352-92D9-01D48BF40860}"/>
    <hyperlink ref="E713" r:id="rId2141" display="https://twitter.com/INDIZbot/status/721944366277926912" xr:uid="{C62AB526-16A7-4320-91FA-749F07D03C87}"/>
    <hyperlink ref="O713" r:id="rId2142" display="https://pbs.twimg.com/profile_images/645716711723925506/t5G0qOS6_normal.jpg" xr:uid="{741CD616-B567-4AB7-8B11-12DFC473F238}"/>
    <hyperlink ref="B714" r:id="rId2143" display="https://twitter.com/handling" xr:uid="{AF337310-4A94-4535-B60F-26DC5D4FA48C}"/>
    <hyperlink ref="E714" r:id="rId2144" display="https://twitter.com/handling/status/721945597599621121" xr:uid="{1A916E29-6F6E-431C-81A7-3EFE42FF36D9}"/>
    <hyperlink ref="O714" r:id="rId2145" display="https://pbs.twimg.com/profile_images/648776467464212480/zcXaLLGc_normal.png" xr:uid="{5FF5B107-9AAA-4AA3-BF54-F32210A007B1}"/>
    <hyperlink ref="B715" r:id="rId2146" display="https://twitter.com/AnnaWypior" xr:uid="{34C9195B-F932-4335-AFF3-BBE641E66189}"/>
    <hyperlink ref="E715" r:id="rId2147" display="https://twitter.com/AnnaWypior/status/721946821325647872" xr:uid="{0E342E2C-DDE8-408C-843E-264F8F1E6BBF}"/>
    <hyperlink ref="O715" r:id="rId2148" display="https://pbs.twimg.com/profile_images/648137141999017989/QfJy2m6F_normal.png" xr:uid="{BBDBA120-5C2C-4547-B516-1260B811AE06}"/>
    <hyperlink ref="B716" r:id="rId2149" display="https://twitter.com/3Dsignals" xr:uid="{C5ECDF39-DA12-4544-91FA-76594A583B76}"/>
    <hyperlink ref="E716" r:id="rId2150" display="https://twitter.com/3Dsignals/status/721949475070152705" xr:uid="{46957AAE-56B9-44D3-BE83-6B3BBCB99BD1}"/>
    <hyperlink ref="O716" r:id="rId2151" display="https://pbs.twimg.com/profile_images/714066105875238913/_zCsdrvR_normal.jpg" xr:uid="{36C2F3C6-1C53-4B1D-AE34-F13C1BBA2363}"/>
    <hyperlink ref="B717" r:id="rId2152" display="https://twitter.com/BISGeV" xr:uid="{89C5AEC7-B857-403A-B66D-BFAAA2F0E0F7}"/>
    <hyperlink ref="E717" r:id="rId2153" display="https://twitter.com/BISGeV/status/721950685630218240" xr:uid="{696DC826-7AC5-46BD-BA40-0A611EFE75F1}"/>
    <hyperlink ref="O717" r:id="rId2154" display="https://pbs.twimg.com/profile_images/500565080807723009/yP0sT_1k_normal.png" xr:uid="{71C97582-9D51-401C-A2A2-0B4CB6E34C7F}"/>
    <hyperlink ref="B718" r:id="rId2155" display="https://twitter.com/kommoptimierer" xr:uid="{376AB655-0A41-4B75-ACF9-C79B50921DA6}"/>
    <hyperlink ref="E718" r:id="rId2156" display="https://twitter.com/kommoptimierer/status/721951442978893824" xr:uid="{6C4BEA55-DFAB-4832-8DE9-3EA3276EB55E}"/>
    <hyperlink ref="O718" r:id="rId2157" display="https://pbs.twimg.com/profile_images/541146126158536704/IYardufS_normal.jpeg" xr:uid="{1188335B-79C1-4305-B361-B0DB69964A2A}"/>
    <hyperlink ref="B719" r:id="rId2158" display="https://twitter.com/FreudenbergITde" xr:uid="{D1C0128B-CA1C-4100-AB8B-6CA75B6BB208}"/>
    <hyperlink ref="E719" r:id="rId2159" display="https://twitter.com/FreudenbergITde/status/721954000980078592" xr:uid="{EAB59880-8C04-4CAE-B165-FD4E8748FCE0}"/>
    <hyperlink ref="O719" r:id="rId2160" display="https://pbs.twimg.com/profile_images/378800000732095310/37ab974996c9a200327301623007a55d_normal.png" xr:uid="{FA122153-3463-4B24-B731-7BADB508B1D9}"/>
    <hyperlink ref="B720" r:id="rId2161" display="https://twitter.com/LIMITEDMETHWEED" xr:uid="{10AFEB14-B67F-42F9-81CF-B0957AD157D5}"/>
    <hyperlink ref="E720" r:id="rId2162" display="https://twitter.com/LIMITEDMETHWEED/status/721954119657865216" xr:uid="{6EC41A4A-76B8-4EBE-A889-BFA2D3DB3C6D}"/>
    <hyperlink ref="O720" r:id="rId2163" display="https://pbs.twimg.com/profile_images/535925502330941440/eWFvAEji_normal.jpeg" xr:uid="{83E74BC4-A1F6-426A-8587-65066E9E2780}"/>
    <hyperlink ref="B721" r:id="rId2164" display="https://twitter.com/tuevnord" xr:uid="{DBBEDB5D-EFAC-427D-825A-D7405180D35F}"/>
    <hyperlink ref="E721" r:id="rId2165" display="https://twitter.com/tuevnord/status/721954198158471168" xr:uid="{3069F64A-3458-44A4-9040-CE6B0608F674}"/>
    <hyperlink ref="O721" r:id="rId2166" display="https://pbs.twimg.com/profile_images/378800000104294821/5a742075b9441c9de8a86c75a712b0c7_normal.png" xr:uid="{797F5FAC-221D-4266-A389-C700E4D64294}"/>
    <hyperlink ref="B722" r:id="rId2167" display="https://twitter.com/MarioReinsch" xr:uid="{D97BB857-008D-4523-B76C-1D36C07C73A5}"/>
    <hyperlink ref="E722" r:id="rId2168" display="https://twitter.com/MarioReinsch/status/721954302265307136" xr:uid="{3575ED30-2E80-4350-A3B5-F266BA66814D}"/>
    <hyperlink ref="O722" r:id="rId2169" display="https://pbs.twimg.com/profile_images/560799766007664640/lsjqv0TW_normal.jpeg" xr:uid="{B6B25EB3-206F-4A37-9648-DB76559FE38A}"/>
    <hyperlink ref="B723" r:id="rId2170" display="https://twitter.com/HDSintGroup" xr:uid="{BC30CDCA-4489-465D-AE6A-C01345A47E86}"/>
    <hyperlink ref="E723" r:id="rId2171" display="https://twitter.com/HDSintGroup/status/721955799203979265" xr:uid="{887D87D6-953E-4C53-8BD1-2438404A8312}"/>
    <hyperlink ref="O723" r:id="rId2172" display="https://pbs.twimg.com/profile_images/699226610428420096/jjvfJFvl_normal.png" xr:uid="{37BC63D1-1620-486C-AC8F-038AAF933BE5}"/>
    <hyperlink ref="B724" r:id="rId2173" display="https://twitter.com/VDMAonline" xr:uid="{FB7859B2-DB20-47D9-88D4-4F1E77C9D9E4}"/>
    <hyperlink ref="E724" r:id="rId2174" display="https://twitter.com/VDMAonline/status/721956535149002752" xr:uid="{4FEBC851-1435-415E-B43A-21163BE23E86}"/>
    <hyperlink ref="O724" r:id="rId2175" display="https://pbs.twimg.com/profile_images/609375510158774272/P5glOk4b_normal.jpg" xr:uid="{79299C33-722D-4912-BD6B-963B2851A5DF}"/>
    <hyperlink ref="B725" r:id="rId2176" display="https://twitter.com/mbesch" xr:uid="{7A4BC511-DCA7-48B8-8A11-95E76C63F587}"/>
    <hyperlink ref="E725" r:id="rId2177" display="https://twitter.com/mbesch/status/721956585216598016" xr:uid="{595B0E9C-39E8-4177-B2D6-038B94018805}"/>
    <hyperlink ref="O725" r:id="rId2178" display="https://pbs.twimg.com/profile_images/378800000095428642/8ef0ce9ca980b41ef8db86c5e546114f_normal.jpeg" xr:uid="{6C38D270-90AD-414E-A00B-6D745329C23E}"/>
    <hyperlink ref="B726" r:id="rId2179" display="https://twitter.com/INDIZbot" xr:uid="{398CCF98-B5E7-4FE2-A096-9879FAE5AE79}"/>
    <hyperlink ref="E726" r:id="rId2180" display="https://twitter.com/INDIZbot/status/721956715562971136" xr:uid="{8976463D-0CDA-427F-8240-B28E9922A87F}"/>
    <hyperlink ref="O726" r:id="rId2181" display="https://pbs.twimg.com/profile_images/645716711723925506/t5G0qOS6_normal.jpg" xr:uid="{9B506714-4540-4DEB-A376-418F765E0097}"/>
    <hyperlink ref="B727" r:id="rId2182" display="https://twitter.com/INDIZbot" xr:uid="{F6F6D963-A4E8-4E44-A966-47BF24478E7C}"/>
    <hyperlink ref="E727" r:id="rId2183" display="https://twitter.com/INDIZbot/status/721956780214001664" xr:uid="{25FF735C-9E65-41D0-A4FC-4B18B0F248B5}"/>
    <hyperlink ref="O727" r:id="rId2184" display="https://pbs.twimg.com/profile_images/645716711723925506/t5G0qOS6_normal.jpg" xr:uid="{24158BA9-5740-4258-A567-DAE153E21259}"/>
    <hyperlink ref="B728" r:id="rId2185" display="https://twitter.com/INDIZbot" xr:uid="{D17E9B54-A0DB-4DA7-A084-F2A288351A36}"/>
    <hyperlink ref="E728" r:id="rId2186" display="https://twitter.com/INDIZbot/status/721957032673341440" xr:uid="{E057B604-BFB0-403A-BD0F-C0E66213B25C}"/>
    <hyperlink ref="O728" r:id="rId2187" display="https://pbs.twimg.com/profile_images/645716711723925506/t5G0qOS6_normal.jpg" xr:uid="{982F18FE-ED9C-4860-B44D-E0F9C2A55AB8}"/>
    <hyperlink ref="B729" r:id="rId2188" display="https://twitter.com/SICK_Karriere" xr:uid="{2BEE824C-EBF1-486F-9330-F5B18DDE0F04}"/>
    <hyperlink ref="E729" r:id="rId2189" display="https://twitter.com/SICK_Karriere/status/721957427881631744" xr:uid="{72DDE56D-6650-4DBA-982D-60ADACC12C91}"/>
    <hyperlink ref="O729" r:id="rId2190" display="https://pbs.twimg.com/profile_images/616135945973317632/te85BV7p_normal.jpg" xr:uid="{50860B38-5A63-47FD-A0F4-1F9217B272E2}"/>
    <hyperlink ref="B730" r:id="rId2191" display="https://twitter.com/OXID_eSales" xr:uid="{2BBEF553-1476-48E3-9B27-7D1C3FF12AAD}"/>
    <hyperlink ref="E730" r:id="rId2192" display="https://twitter.com/OXID_eSales/status/721957434122760192" xr:uid="{6860CB4B-2EB1-4F63-BFBB-69980D044377}"/>
    <hyperlink ref="O730" r:id="rId2193" display="https://pbs.twimg.com/profile_images/2911298396/59dee8fe447db9ec9a5009910199cbaf_normal.png" xr:uid="{C4D35F43-7BA0-4960-AD8E-A0EA5C32EDA6}"/>
    <hyperlink ref="B731" r:id="rId2194" display="https://twitter.com/Balluff" xr:uid="{A27075F7-7804-43C3-B242-FEB944F2C3EC}"/>
    <hyperlink ref="E731" r:id="rId2195" display="https://twitter.com/Balluff/status/721957919256887297" xr:uid="{A4EA4130-D0F0-432A-B10B-79C32EF1861B}"/>
    <hyperlink ref="O731" r:id="rId2196" display="https://pbs.twimg.com/profile_images/663668561366245376/2ovYiiJf_normal.jpg" xr:uid="{896E7A21-C6D5-4814-A26A-1F228350687E}"/>
    <hyperlink ref="B732" r:id="rId2197" display="https://twitter.com/nextDBI" xr:uid="{90DA0904-F58C-45F0-B145-23525207E2AD}"/>
    <hyperlink ref="E732" r:id="rId2198" display="https://twitter.com/nextDBI/status/721959003727773696" xr:uid="{089B3A17-30A2-4372-AD3C-CCAFD6B3B9B5}"/>
    <hyperlink ref="O732" r:id="rId2199" display="https://pbs.twimg.com/profile_images/544485391860916225/UGg0IhKT_normal.png" xr:uid="{E1092DBD-D6F3-426F-909B-42CEAD1380E9}"/>
    <hyperlink ref="B733" r:id="rId2200" display="https://twitter.com/H_IT_D" xr:uid="{631FF525-3C39-4C92-8BBD-A8458127B720}"/>
    <hyperlink ref="E733" r:id="rId2201" display="https://twitter.com/H_IT_D/status/721961438479134720" xr:uid="{DC960C9C-1563-47EC-8812-4FA91AE5D33D}"/>
    <hyperlink ref="O733" r:id="rId2202" display="https://pbs.twimg.com/profile_images/662723326096224256/5V4KH9_O_normal.jpg" xr:uid="{F66D6D1C-51B2-42C1-ABF2-3A1B2AF1CFAD}"/>
    <hyperlink ref="B734" r:id="rId2203" display="https://twitter.com/SHC_GmbH" xr:uid="{BE418DCC-E4C8-4600-99A6-05015F40E125}"/>
    <hyperlink ref="E734" r:id="rId2204" display="https://twitter.com/SHC_GmbH/status/721961551855493120" xr:uid="{64B88105-1C57-4B23-A9C3-43C6ED817821}"/>
    <hyperlink ref="O734" r:id="rId2205" display="https://pbs.twimg.com/profile_images/3726440228/9ba49ccb938cf571b195e3e83a4e1327_normal.jpeg" xr:uid="{7176571F-E46C-4971-BE30-CC9C799E7417}"/>
    <hyperlink ref="B735" r:id="rId2206" display="https://twitter.com/catkinEU" xr:uid="{8D54BD1B-21BD-4AFE-87EB-E9F18DF23A1E}"/>
    <hyperlink ref="E735" r:id="rId2207" display="https://twitter.com/catkinEU/status/721961923043016704" xr:uid="{7ABAA332-CE8C-4C82-A153-E6FAE8BC97EB}"/>
    <hyperlink ref="O735" r:id="rId2208" display="https://pbs.twimg.com/profile_images/604338428227010560/6jzSa8us_normal.png" xr:uid="{9F9D2EF4-6EF5-4E01-B489-3197BD0C8576}"/>
    <hyperlink ref="B736" r:id="rId2209" display="https://twitter.com/MeinGeldMedien" xr:uid="{E51D39EE-1A51-41E5-B620-E2CCC76449B3}"/>
    <hyperlink ref="E736" r:id="rId2210" display="https://twitter.com/MeinGeldMedien/status/721962047077031936" xr:uid="{4CDA4545-DA86-4F91-930F-2CD8E0402F54}"/>
    <hyperlink ref="O736" r:id="rId2211" display="https://pbs.twimg.com/profile_images/473759721023758338/3CcJL-Vq_normal.jpeg" xr:uid="{881E034A-F760-451D-96D9-B87D83788F72}"/>
    <hyperlink ref="B737" r:id="rId2212" display="https://twitter.com/bluebait" xr:uid="{64FEFC1F-FC0B-4988-9E53-0DACDDC53541}"/>
    <hyperlink ref="E737" r:id="rId2213" display="https://twitter.com/bluebait/status/721962167986163712" xr:uid="{4812F1C8-30EB-4F1C-A94B-97EB9F91083B}"/>
    <hyperlink ref="O737" r:id="rId2214" display="https://pbs.twimg.com/profile_images/2747377011/98d4136fa24a3cef4d4a650c705edd5d_normal.jpeg" xr:uid="{1B396E1D-72D0-4C5C-A3FE-06F3B5261465}"/>
    <hyperlink ref="B738" r:id="rId2215" display="https://twitter.com/Angela_Josephs" xr:uid="{B8BE8F47-EE56-42FA-A004-8BAAE2B8BD23}"/>
    <hyperlink ref="E738" r:id="rId2216" display="https://twitter.com/Angela_Josephs/status/721963893644521472" xr:uid="{DF01BEC2-AFE3-4DB4-A0B0-295999518261}"/>
    <hyperlink ref="O738" r:id="rId2217" display="https://pbs.twimg.com/profile_images/649572788148285440/Sxl5vTa3_normal.jpg" xr:uid="{3D35A109-D780-4CF4-A50F-7279A713E004}"/>
    <hyperlink ref="B739" r:id="rId2218" display="https://twitter.com/INDIZbot" xr:uid="{E74618D7-D609-4FB8-9267-152851641008}"/>
    <hyperlink ref="E739" r:id="rId2219" display="https://twitter.com/INDIZbot/status/721964486924615680" xr:uid="{58F79EBB-B613-443E-9C7A-781F7F476287}"/>
    <hyperlink ref="O739" r:id="rId2220" display="https://pbs.twimg.com/profile_images/645716711723925506/t5G0qOS6_normal.jpg" xr:uid="{5BBC4BE6-9B36-47A1-8921-19C7AB89FC81}"/>
    <hyperlink ref="B740" r:id="rId2221" display="https://twitter.com/OJaeger" xr:uid="{E110BEC4-76C8-45C2-905F-B2B019EA8D75}"/>
    <hyperlink ref="E740" r:id="rId2222" display="https://twitter.com/OJaeger/status/721965146051125248" xr:uid="{DE01E96B-85B9-4DD0-BCEC-3E889ECB72DB}"/>
    <hyperlink ref="O740" r:id="rId2223" display="https://pbs.twimg.com/profile_images/510721015945498624/1UpjmZMi_normal.jpeg" xr:uid="{25516854-A603-4A69-8E48-8BBA31D8E58D}"/>
    <hyperlink ref="B741" r:id="rId2224" display="https://twitter.com/RolandBent" xr:uid="{3474B3F2-02A5-4E55-9FF0-D83F41236F14}"/>
    <hyperlink ref="E741" r:id="rId2225" display="https://twitter.com/RolandBent/status/721966861781495808" xr:uid="{1185F7F1-B3AD-47D2-8E88-FB5D86B2F2E2}"/>
    <hyperlink ref="O741" r:id="rId2226" display="https://pbs.twimg.com/profile_images/451994816889360385/SYPpc3iI_normal.jpeg" xr:uid="{91F998B7-2610-429A-A6F3-E7B943780DDD}"/>
    <hyperlink ref="B742" r:id="rId2227" display="https://twitter.com/business_ruhr" xr:uid="{A8AF73ED-B931-4171-B940-B2EB5F95934C}"/>
    <hyperlink ref="E742" r:id="rId2228" display="https://twitter.com/business_ruhr/status/721967589166084096" xr:uid="{6C1FADEA-23DF-429A-83CB-371D98B00330}"/>
    <hyperlink ref="O742" r:id="rId2229" display="https://pbs.twimg.com/profile_images/705363323911606277/4I5Qik5n_normal.jpg" xr:uid="{A735235E-4774-46B9-AAC8-51E46F46109C}"/>
    <hyperlink ref="B743" r:id="rId2230" display="https://twitter.com/sensorplustest" xr:uid="{88ECF22D-97F2-4858-AD24-72B458D3E7AA}"/>
    <hyperlink ref="E743" r:id="rId2231" display="https://twitter.com/sensorplustest/status/721967629628522496" xr:uid="{A1C642EF-1AD5-434E-9E48-BD652FA94D6F}"/>
    <hyperlink ref="O743" r:id="rId2232" display="https://pbs.twimg.com/profile_images/378800000664327316/6a5c3a2d43525a9b5044906960528925_normal.jpeg" xr:uid="{983E7B13-D11B-4563-9DE9-524AFF6D1832}"/>
    <hyperlink ref="B744" r:id="rId2233" display="https://twitter.com/NicolasChulot" xr:uid="{9257BD79-EAE3-4A12-8A4D-B39DE185AA83}"/>
    <hyperlink ref="E744" r:id="rId2234" display="https://twitter.com/NicolasChulot/status/721968187391217664" xr:uid="{DA84DC90-4DAD-4354-8543-EED795306E46}"/>
    <hyperlink ref="O744" r:id="rId2235" display="https://pbs.twimg.com/profile_images/712259533599580160/jLEP38YT_normal.jpg" xr:uid="{02434F4C-4F49-40D6-82BA-6782A5C3B574}"/>
    <hyperlink ref="B745" r:id="rId2236" display="https://twitter.com/BGarciaSchmidt" xr:uid="{EE7A2172-BBF1-44AD-AD86-CAF02D6BA9D7}"/>
    <hyperlink ref="E745" r:id="rId2237" display="https://twitter.com/BGarciaSchmidt/status/721968224527589377" xr:uid="{9C199FF5-FBB8-48AF-A506-4C7AB8DD7B9C}"/>
    <hyperlink ref="O745" r:id="rId2238" display="https://pbs.twimg.com/profile_images/690172121973145601/pudiMkyd_normal.jpg" xr:uid="{B9013683-4DD1-46FD-AF13-2686F706482B}"/>
    <hyperlink ref="B746" r:id="rId2239" display="https://twitter.com/Frank_Reinelt" xr:uid="{4EFD5333-8EA1-4121-A1EB-79769F3E135A}"/>
    <hyperlink ref="E746" r:id="rId2240" display="https://twitter.com/Frank_Reinelt/status/721968405335699456" xr:uid="{CD298717-77DC-4273-9210-CAF61454FD04}"/>
    <hyperlink ref="O746" r:id="rId2241" display="https://pbs.twimg.com/profile_images/669853588152283137/mqKB9aP__normal.jpg" xr:uid="{C72F6DBD-EBD2-412A-89D4-C71432615C4F}"/>
    <hyperlink ref="B747" r:id="rId2242" display="https://twitter.com/IoTClan" xr:uid="{64551BF8-C99A-4C5E-998E-65265D5B9FE3}"/>
    <hyperlink ref="E747" r:id="rId2243" display="https://twitter.com/IoTClan/status/721969097894924289" xr:uid="{1EE78B4B-FFE9-49EE-9684-47D36E647494}"/>
    <hyperlink ref="O747" r:id="rId2244" display="https://pbs.twimg.com/profile_images/525238384826916865/_iZAE1sU_normal.jpeg" xr:uid="{FB85C17D-A6A8-4496-82E4-C0B62FF35C90}"/>
    <hyperlink ref="B748" r:id="rId2245" display="https://twitter.com/INDIZbot" xr:uid="{E753A523-4439-4495-A219-DB16DCA95052}"/>
    <hyperlink ref="E748" r:id="rId2246" display="https://twitter.com/INDIZbot/status/721969570374946817" xr:uid="{D83F000D-D791-40B2-9D32-77D34336B971}"/>
    <hyperlink ref="O748" r:id="rId2247" display="https://pbs.twimg.com/profile_images/645716711723925506/t5G0qOS6_normal.jpg" xr:uid="{329F66B3-2066-44AA-A146-8D80A41CDFF0}"/>
    <hyperlink ref="B749" r:id="rId2248" display="https://twitter.com/reanvent" xr:uid="{2EE4AD5D-AFBE-4C8C-8B3D-F169387AC20C}"/>
    <hyperlink ref="E749" r:id="rId2249" display="https://twitter.com/reanvent/status/721970856923148288" xr:uid="{18CDC615-E5D5-48DC-9DD7-5A538976DB39}"/>
    <hyperlink ref="O749" r:id="rId2250" display="https://pbs.twimg.com/profile_images/698748740811821056/qse_j83N_normal.jpg" xr:uid="{E0C91282-8C2E-474D-BA2F-4603A8C841C5}"/>
    <hyperlink ref="B750" r:id="rId2251" display="https://twitter.com/FranBlanSAP" xr:uid="{44AF21BC-F73D-4268-8674-4472276AA8DC}"/>
    <hyperlink ref="E750" r:id="rId2252" display="https://twitter.com/FranBlanSAP/status/721970936271020032" xr:uid="{DE958971-B674-43A5-85A2-F406CCEC5474}"/>
    <hyperlink ref="O750" r:id="rId2253" display="https://pbs.twimg.com/profile_images/526839119175880705/0Z9Mlwc5_normal.jpeg" xr:uid="{576C6607-6BD4-44DC-912A-BAF6210F5775}"/>
    <hyperlink ref="B751" r:id="rId2254" display="https://twitter.com/innovationbawue" xr:uid="{B86F2766-EEF0-4CFA-BF9F-56F523A6FA80}"/>
    <hyperlink ref="C751" r:id="rId2255" xr:uid="{16DF62F8-9803-4358-A0B6-971A8AB97BD8}"/>
    <hyperlink ref="E751" r:id="rId2256" display="https://twitter.com/innovationbawue/status/721971902101762048" xr:uid="{B948C4B3-894A-4B79-8B7C-7790656BDF41}"/>
    <hyperlink ref="O751" r:id="rId2257" display="https://pbs.twimg.com/profile_images/719538951988592641/7lKnB2dG_normal.jpg" xr:uid="{0DA343BE-D776-4DE5-98C7-883AF9099141}"/>
    <hyperlink ref="B752" r:id="rId2258" display="https://twitter.com/innovationbawue" xr:uid="{33E62EB3-39DB-4C93-BD7E-055039A0FFA1}"/>
    <hyperlink ref="C752" r:id="rId2259" xr:uid="{E0A83458-16FF-4234-9411-69A9044FC3EE}"/>
    <hyperlink ref="E752" r:id="rId2260" display="https://twitter.com/innovationbawue/status/721972135867101184" xr:uid="{9E0D9EBB-5798-4963-9B86-70510DEA8875}"/>
    <hyperlink ref="O752" r:id="rId2261" display="https://pbs.twimg.com/profile_images/719538951988592641/7lKnB2dG_normal.jpg" xr:uid="{BB2D3554-9EE7-4B12-A057-E7AD27ABECD7}"/>
    <hyperlink ref="B753" r:id="rId2262" display="https://twitter.com/ironsharkgmbh" xr:uid="{7DC73193-918C-4B98-A796-BE54D3FD0169}"/>
    <hyperlink ref="E753" r:id="rId2263" display="https://twitter.com/ironsharkgmbh/status/721973691689644032" xr:uid="{E1A5D36B-19B3-434B-947C-0F8865117705}"/>
    <hyperlink ref="O753" r:id="rId2264" display="https://pbs.twimg.com/profile_images/438259348062494720/vqPgBxrb_normal.jpeg" xr:uid="{1D0A1CC6-D1D0-463F-A952-3B4222E44805}"/>
    <hyperlink ref="B754" r:id="rId2265" display="https://twitter.com/Leader_LR" xr:uid="{26842E42-3235-4D6A-95EB-C24E28CFB7FD}"/>
    <hyperlink ref="E754" r:id="rId2266" display="https://twitter.com/Leader_LR/status/721974113330454528" xr:uid="{585841A6-410F-43A9-81DB-218450899336}"/>
    <hyperlink ref="O754" r:id="rId2267" display="https://pbs.twimg.com/profile_images/708593414833623041/je9d1EJc_normal.jpg" xr:uid="{C1B8BA53-DD6E-4977-8E11-847FB65EB681}"/>
    <hyperlink ref="B755" r:id="rId2268" display="https://twitter.com/SEWEURODRIVE" xr:uid="{669D8D3E-3E77-424D-AF13-81652F29E633}"/>
    <hyperlink ref="E755" r:id="rId2269" display="https://twitter.com/SEWEURODRIVE/status/721975024425570304" xr:uid="{C223EBBF-5F9B-4225-9EC1-A8669E22CF3E}"/>
    <hyperlink ref="O755" r:id="rId2270" display="https://pbs.twimg.com/profile_images/490060130231132160/qLmnir1s_normal.jpeg" xr:uid="{E5CB2569-3A76-43E4-99DD-C6CA7B6A5CA9}"/>
    <hyperlink ref="B756" r:id="rId2271" display="https://twitter.com/Alex_Sattler" xr:uid="{5BF7B3FB-C763-4D9A-90B0-210C8C5AD180}"/>
    <hyperlink ref="E756" r:id="rId2272" display="https://twitter.com/Alex_Sattler/status/721976465395421184" xr:uid="{F5EC55C7-0E5C-4A79-974D-72C183AA8B63}"/>
    <hyperlink ref="O756" r:id="rId2273" display="https://pbs.twimg.com/profile_images/543856389802561537/ir0-Sw0y_normal.png" xr:uid="{A357CED7-27CD-425B-9D49-06DB3332160E}"/>
    <hyperlink ref="B757" r:id="rId2274" display="https://twitter.com/H_IT_D" xr:uid="{C926FE54-C144-40FA-AEC8-62E9A4BBF38E}"/>
    <hyperlink ref="E757" r:id="rId2275" display="https://twitter.com/H_IT_D/status/721977958190022656" xr:uid="{380511D0-05B6-46B7-ADA4-4B8DDD91FA34}"/>
    <hyperlink ref="O757" r:id="rId2276" display="https://pbs.twimg.com/profile_images/662723326096224256/5V4KH9_O_normal.jpg" xr:uid="{231D5100-6F33-4322-B4F9-949D6BFE35CE}"/>
    <hyperlink ref="B758" r:id="rId2277" display="https://twitter.com/SASdmexco" xr:uid="{C9FF63E9-EAB6-46D4-8F90-8A3E4786FF89}"/>
    <hyperlink ref="E758" r:id="rId2278" display="https://twitter.com/SASdmexco/status/721978246808604672" xr:uid="{330F18E4-AEC4-4D11-8C0D-A041E3747A0E}"/>
    <hyperlink ref="O758" r:id="rId2279" display="https://pbs.twimg.com/profile_images/643434595703238656/-Q4sNYcu_normal.png" xr:uid="{95D41D8A-41D9-4687-8A3A-DD6F89260257}"/>
    <hyperlink ref="B759" r:id="rId2280" display="https://twitter.com/UweKubach" xr:uid="{217B6DDA-5495-4B43-8F5F-45CC080E4629}"/>
    <hyperlink ref="E759" r:id="rId2281" display="https://twitter.com/UweKubach/status/721978252756193280" xr:uid="{E8334B8E-7002-4883-AED5-6E835CF204EA}"/>
    <hyperlink ref="O759" r:id="rId2282" display="https://pbs.twimg.com/profile_images/710750672581484545/n4dPcodC_normal.jpg" xr:uid="{4CF9E428-8F3A-4FEE-B57C-8D12EC5B7B89}"/>
    <hyperlink ref="B760" r:id="rId2283" display="https://twitter.com/cpcEU" xr:uid="{CD10D389-E4AA-4C2B-8B2C-D95118CD1231}"/>
    <hyperlink ref="E760" r:id="rId2284" display="https://twitter.com/cpcEU/status/721978410906558464" xr:uid="{9BF92CC6-2930-4A29-A921-01F14F1FB2BC}"/>
    <hyperlink ref="O760" r:id="rId2285" display="https://pbs.twimg.com/profile_images/667271327137587200/CLOinVH2_normal.png" xr:uid="{24B60C29-54DE-4CF6-9CE4-BC9AE934F6BC}"/>
    <hyperlink ref="B761" r:id="rId2286" display="https://twitter.com/UweKubach" xr:uid="{B703E7B9-DDC8-4595-8A51-ECCC8E3D3B40}"/>
    <hyperlink ref="E761" r:id="rId2287" display="https://twitter.com/UweKubach/status/721978675831431168" xr:uid="{FA79A229-5FD0-4685-AABE-4CB38E39FB4C}"/>
    <hyperlink ref="O761" r:id="rId2288" display="https://pbs.twimg.com/profile_images/710750672581484545/n4dPcodC_normal.jpg" xr:uid="{FBE424C3-613E-47A0-8D04-E5422CE6E1E6}"/>
    <hyperlink ref="B762" r:id="rId2289" display="https://twitter.com/markherten" xr:uid="{7F5E5A38-CBE6-44FA-AD7B-E763BAF6BC1B}"/>
    <hyperlink ref="E762" r:id="rId2290" display="https://twitter.com/markherten/status/721978960188469248" xr:uid="{DF4332D4-9BE3-47B4-810F-AD469D336371}"/>
    <hyperlink ref="O762" r:id="rId2291" display="https://pbs.twimg.com/profile_images/718175389890310145/GX8DLe_h_normal.jpg" xr:uid="{2D8BC7BD-06D8-46B2-A388-2379015DFF26}"/>
    <hyperlink ref="B763" r:id="rId2292" display="https://twitter.com/AdrianWeiler" xr:uid="{B15055D0-36C2-4714-B46D-6213D91CCAC1}"/>
    <hyperlink ref="E763" r:id="rId2293" display="https://twitter.com/AdrianWeiler/status/721979226665140225" xr:uid="{D855BCA9-B926-4644-85BA-D36B930AC049}"/>
    <hyperlink ref="O763" r:id="rId2294" display="https://pbs.twimg.com/profile_images/656084414661840897/KVbUEpYC_normal.jpg" xr:uid="{C9F4EF32-E712-4362-A295-A6602B377FAD}"/>
    <hyperlink ref="B764" r:id="rId2295" display="https://twitter.com/BigDataTweetBot" xr:uid="{484A0DD8-1BE7-48AF-80C1-AFA807CE35A7}"/>
    <hyperlink ref="E764" r:id="rId2296" display="https://twitter.com/BigDataTweetBot/status/721979376489906176" xr:uid="{5C6BC72D-5A6A-40F2-B012-C41FD5F5BE5D}"/>
    <hyperlink ref="O764" r:id="rId2297" display="https://pbs.twimg.com/profile_images/616793252524650496/bQbxJqmz_normal.jpg" xr:uid="{D47C5EF7-76F2-43C0-BD29-E265396754CD}"/>
    <hyperlink ref="B765" r:id="rId2298" display="https://twitter.com/INDIZbot" xr:uid="{DFDEFF48-B86B-4982-A3E1-25FB8E683CE9}"/>
    <hyperlink ref="E765" r:id="rId2299" display="https://twitter.com/INDIZbot/status/721979502407118848" xr:uid="{6817217F-52F0-4BCE-8017-06464DF5B598}"/>
    <hyperlink ref="O765" r:id="rId2300" display="https://pbs.twimg.com/profile_images/645716711723925506/t5G0qOS6_normal.jpg" xr:uid="{1A42A3A7-63AF-4A34-A6D1-64F103172959}"/>
    <hyperlink ref="B766" r:id="rId2301" display="https://twitter.com/UweKubach" xr:uid="{6142F5CF-C325-459C-8403-587F2FA13159}"/>
    <hyperlink ref="E766" r:id="rId2302" display="https://twitter.com/UweKubach/status/721979528512409600" xr:uid="{CD2B519C-EDD9-46C7-BAD2-4A8CDE41A714}"/>
    <hyperlink ref="O766" r:id="rId2303" display="https://pbs.twimg.com/profile_images/710750672581484545/n4dPcodC_normal.jpg" xr:uid="{6DC0DC5F-886A-4E4C-95EA-CFFAEC1210C8}"/>
    <hyperlink ref="B767" r:id="rId2304" display="https://twitter.com/INDIZbot" xr:uid="{17E74562-133E-4E13-AE7C-F9C47C3F5690}"/>
    <hyperlink ref="E767" r:id="rId2305" display="https://twitter.com/INDIZbot/status/721979654861627392" xr:uid="{F6771D70-F193-4074-995B-DCC23A7624CB}"/>
    <hyperlink ref="O767" r:id="rId2306" display="https://pbs.twimg.com/profile_images/645716711723925506/t5G0qOS6_normal.jpg" xr:uid="{57DA507A-787D-45B6-9F7B-3CA56E7DF850}"/>
    <hyperlink ref="B768" r:id="rId2307" display="https://twitter.com/acatech_de" xr:uid="{DE6CF753-1A79-4AFD-BCAC-A9EFFA3D14EF}"/>
    <hyperlink ref="E768" r:id="rId2308" display="https://twitter.com/acatech_de/status/721980449887776768" xr:uid="{2587FBD9-36BF-4F09-8351-7E2E031076C4}"/>
    <hyperlink ref="O768" r:id="rId2309" display="https://pbs.twimg.com/profile_images/600969802908356609/3JqGMg38_normal.png" xr:uid="{44C4640A-1572-4EAA-9B6F-62AC503BAE60}"/>
    <hyperlink ref="B769" r:id="rId2310" display="https://twitter.com/ingenieur_de" xr:uid="{25A15D1A-C1B0-45CE-91B7-BFD1A3E3EF79}"/>
    <hyperlink ref="C769" r:id="rId2311" xr:uid="{A045F4C2-86BD-4BBE-B7CA-FF2CF52E1700}"/>
    <hyperlink ref="E769" r:id="rId2312" display="https://twitter.com/ingenieur_de/status/721981874411827200" xr:uid="{9120BCB3-5391-497A-89D3-270A94F10035}"/>
    <hyperlink ref="O769" r:id="rId2313" display="https://pbs.twimg.com/profile_images/464294575624839168/2yUa4yUA_normal.png" xr:uid="{49276D0F-91E4-4CDC-9D3A-9DB1A6631825}"/>
    <hyperlink ref="B770" r:id="rId2314" display="https://twitter.com/HoganVerfahren" xr:uid="{C743CA07-7414-406B-833B-834A42C46928}"/>
    <hyperlink ref="E770" r:id="rId2315" display="https://twitter.com/HoganVerfahren/status/721982359780913152" xr:uid="{64AB2079-2A59-4B4C-ADEA-A56F6B61300E}"/>
    <hyperlink ref="O770" r:id="rId2316" display="https://pbs.twimg.com/profile_images/378800000546242905/6e86c892970e3fb7318e814d5a45b4f7_normal.png" xr:uid="{FA285C3B-B676-40CA-8C95-1C138B593474}"/>
    <hyperlink ref="B771" r:id="rId2317" display="https://twitter.com/conosco" xr:uid="{4989FF3F-E10B-417E-B49D-020357620A98}"/>
    <hyperlink ref="E771" r:id="rId2318" display="https://twitter.com/conosco/status/721982604551987201" xr:uid="{84AB2692-8D73-4443-8921-350DBDD9B622}"/>
    <hyperlink ref="O771" r:id="rId2319" display="https://pbs.twimg.com/profile_images/459441279181398016/MmGzaeIu_normal.jpeg" xr:uid="{3B4A74D6-6816-4E4E-9732-3D5ACE779632}"/>
    <hyperlink ref="B772" r:id="rId2320" display="https://twitter.com/openHPI" xr:uid="{16460CE3-EC49-4F20-AB4B-A737E99C4A18}"/>
    <hyperlink ref="E772" r:id="rId2321" display="https://twitter.com/openHPI/status/721982938775228417" xr:uid="{D040B3BF-49CA-4DB1-9A30-4237E2DD869B}"/>
    <hyperlink ref="O772" r:id="rId2322" display="https://pbs.twimg.com/profile_images/378800000827898552/669f90369b095789252ae6f0649bc39a_normal.png" xr:uid="{D78F966D-EBB1-4BB9-8B1D-06E17836F51C}"/>
    <hyperlink ref="B773" r:id="rId2323" display="https://twitter.com/AndreasKaemmer" xr:uid="{4D48D995-FBE8-4D35-848D-54E1D6CD5FD8}"/>
    <hyperlink ref="E773" r:id="rId2324" display="https://twitter.com/AndreasKaemmer/status/721984366038093824" xr:uid="{570ED5DF-4B78-4E6B-A673-B4A29A24A705}"/>
    <hyperlink ref="O773" r:id="rId2325" display="https://pbs.twimg.com/profile_images/677028324829433856/xBJk1jpV_normal.jpg" xr:uid="{206FEF5F-8EE7-4D34-BCF9-11D7BFDBFC92}"/>
    <hyperlink ref="B774" r:id="rId2326" display="https://twitter.com/Slyleg" xr:uid="{2402ADB4-FFC8-4374-8320-1A3F7FC0E7C7}"/>
    <hyperlink ref="E774" r:id="rId2327" display="https://twitter.com/Slyleg/status/721986407322009600" xr:uid="{A0D0F030-0261-4F4A-B947-16BA76BD50B6}"/>
    <hyperlink ref="O774" r:id="rId2328" display="https://pbs.twimg.com/profile_images/378800000478827263/78f0a3858615937bdc908680bc7b4955_normal.jpeg" xr:uid="{6D2CEFE5-DDC1-43AA-A88E-090FE721BAD1}"/>
    <hyperlink ref="B775" r:id="rId2329" display="https://twitter.com/kommoptimierer" xr:uid="{26A488B7-F7B0-4542-A617-5227C95F52F3}"/>
    <hyperlink ref="E775" r:id="rId2330" display="https://twitter.com/kommoptimierer/status/721986718560161792" xr:uid="{FC400AFC-7EE1-419B-BC61-87556F508A2A}"/>
    <hyperlink ref="O775" r:id="rId2331" display="https://pbs.twimg.com/profile_images/541146126158536704/IYardufS_normal.jpeg" xr:uid="{074D99BA-3D33-4B24-B6C8-B4F7C3C36EA2}"/>
    <hyperlink ref="B776" r:id="rId2332" display="https://twitter.com/verlinked" xr:uid="{0B3A51C8-2F1A-4E01-A13E-7F2A834CE4D4}"/>
    <hyperlink ref="E776" r:id="rId2333" display="https://twitter.com/verlinked/status/721986775527202816" xr:uid="{731BEE7F-2080-48D3-B051-B5CCFDF57681}"/>
    <hyperlink ref="O776" r:id="rId2334" display="https://pbs.twimg.com/profile_images/722385992343285760/ww8YLZ2q_normal.jpg" xr:uid="{402A3EDF-3EA9-429C-A624-F6FB72D864D9}"/>
    <hyperlink ref="B777" r:id="rId2335" display="https://twitter.com/INDIZbot" xr:uid="{4B256778-F309-4B2F-8336-2E5956207B67}"/>
    <hyperlink ref="E777" r:id="rId2336" display="https://twitter.com/INDIZbot/status/721986916980236288" xr:uid="{40D82FA2-2BEA-45FE-878E-E3D423ADEC72}"/>
    <hyperlink ref="O777" r:id="rId2337" display="https://pbs.twimg.com/profile_images/645716711723925506/t5G0qOS6_normal.jpg" xr:uid="{289BCCEF-CBFB-4820-A7D7-5B3C85ED38D8}"/>
    <hyperlink ref="B778" r:id="rId2338" display="https://twitter.com/WibuSystems" xr:uid="{444F076F-785B-455D-AF9B-01B2E7DCEE15}"/>
    <hyperlink ref="E778" r:id="rId2339" display="https://twitter.com/WibuSystems/status/721986929135325185" xr:uid="{51798470-2D87-4F14-9644-BF21C2890A46}"/>
    <hyperlink ref="O778" r:id="rId2340" display="https://pbs.twimg.com/profile_images/458888137326882816/oGjpHLOK_normal.png" xr:uid="{11B90DE0-A389-440E-BBA5-CD50FF280E51}"/>
    <hyperlink ref="B779" r:id="rId2341" display="https://twitter.com/INDIZbot" xr:uid="{244184B4-AA62-43A7-A1FF-3E5427946E42}"/>
    <hyperlink ref="E779" r:id="rId2342" display="https://twitter.com/INDIZbot/status/721986986500878336" xr:uid="{0FA70689-5C78-4972-AB15-8366595A2AFD}"/>
    <hyperlink ref="O779" r:id="rId2343" display="https://pbs.twimg.com/profile_images/645716711723925506/t5G0qOS6_normal.jpg" xr:uid="{23334722-8EB3-48D2-A47C-236F49E4C8F9}"/>
    <hyperlink ref="B780" r:id="rId2344" display="https://twitter.com/AndreHD20" xr:uid="{56CAA72D-A188-4814-B15B-831CA3B1ADB8}"/>
    <hyperlink ref="E780" r:id="rId2345" display="https://twitter.com/AndreHD20/status/721987001285746688" xr:uid="{DEC44DEB-BC62-4A3C-B08B-F148689781FF}"/>
    <hyperlink ref="O780" r:id="rId2346" display="https://pbs.twimg.com/profile_images/701346285345972224/o2eiYGY__normal.jpg" xr:uid="{DDBD09CF-DC05-4960-AF00-1F0E9732E864}"/>
    <hyperlink ref="B781" r:id="rId2347" display="https://twitter.com/HTxA" xr:uid="{189B1675-8399-4697-B9DF-A22C372AB565}"/>
    <hyperlink ref="E781" r:id="rId2348" display="https://twitter.com/HTxA/status/721989455893131264" xr:uid="{A4AD5830-0D9C-49CB-8590-41FEE32C08D9}"/>
    <hyperlink ref="O781" r:id="rId2349" display="https://pbs.twimg.com/profile_images/438597769180094464/3KS08yHc_normal.jpeg" xr:uid="{676F8D33-4304-480F-B6E9-19CB39945929}"/>
    <hyperlink ref="B782" r:id="rId2350" display="https://twitter.com/INDIZbot" xr:uid="{B46F9B13-B477-4E01-9E30-511E8143B901}"/>
    <hyperlink ref="E782" r:id="rId2351" display="https://twitter.com/INDIZbot/status/721992247626084352" xr:uid="{DFF75F8E-0D49-46BC-8894-754851D58D8D}"/>
    <hyperlink ref="O782" r:id="rId2352" display="https://pbs.twimg.com/profile_images/645716711723925506/t5G0qOS6_normal.jpg" xr:uid="{D5F5CC27-1227-4E83-AC4C-F1CFB31C8606}"/>
    <hyperlink ref="B783" r:id="rId2353" display="https://twitter.com/Jo_H123" xr:uid="{C99351B3-7C5F-4F8D-AF30-CE8CDDBB4FA1}"/>
    <hyperlink ref="E783" r:id="rId2354" display="https://twitter.com/Jo_H123/status/721995327214129152" xr:uid="{BFC05CCF-6832-4AC6-A06D-A34C5AD3360E}"/>
    <hyperlink ref="O783" r:id="rId2355" display="https://pbs.twimg.com/profile_images/532532270788128768/ubrFTMd7_normal.jpeg" xr:uid="{245890C5-27B8-4EA2-A14F-634D0B121C25}"/>
    <hyperlink ref="B784" r:id="rId2356" display="https://twitter.com/hannover_messe" xr:uid="{379E7A01-9A05-448D-9092-17DD0A83C8E5}"/>
    <hyperlink ref="E784" r:id="rId2357" display="https://twitter.com/hannover_messe/status/721997985438109697" xr:uid="{71112D8A-85E1-4AE7-BD29-BDD848E354B9}"/>
    <hyperlink ref="O784" r:id="rId2358" display="https://pbs.twimg.com/profile_images/685255985/Bild_2_normal.png" xr:uid="{54FCB06F-3822-4673-AB35-5675DE75070A}"/>
    <hyperlink ref="B785" r:id="rId2359" display="https://twitter.com/Jo_H123" xr:uid="{5F657259-D005-4F4E-9241-C915AF8ECFDC}"/>
    <hyperlink ref="E785" r:id="rId2360" display="https://twitter.com/Jo_H123/status/721998091885408256" xr:uid="{6D1F8174-9133-4885-A2A3-360BD3320548}"/>
    <hyperlink ref="O785" r:id="rId2361" display="https://pbs.twimg.com/profile_images/532532270788128768/ubrFTMd7_normal.jpeg" xr:uid="{535CDE23-D0C6-434A-935E-235671135350}"/>
    <hyperlink ref="B786" r:id="rId2362" display="https://twitter.com/WIKON_GmbH" xr:uid="{EAF2214D-6CF0-4F9F-827F-72E1C34511CE}"/>
    <hyperlink ref="E786" r:id="rId2363" display="https://twitter.com/WIKON_GmbH/status/721998139998212096" xr:uid="{308AA9F2-E9C3-4F19-BCE1-10E937B2EB11}"/>
    <hyperlink ref="O786" r:id="rId2364" display="https://pbs.twimg.com/profile_images/539742807791902723/3lL_4fo2_normal.png" xr:uid="{D8B0B6EA-72B4-456A-8660-599A96744347}"/>
    <hyperlink ref="B787" r:id="rId2365" display="https://twitter.com/mediamorfo" xr:uid="{DC05B9BB-85C7-46C9-8F7D-89470D09C337}"/>
    <hyperlink ref="E787" r:id="rId2366" display="https://twitter.com/mediamorfo/status/721998324002385920" xr:uid="{257B539C-5F29-43BE-ABF2-EC0E21F50F9B}"/>
    <hyperlink ref="O787" r:id="rId2367" display="https://pbs.twimg.com/profile_images/685769503016366080/O5hxeJeS_normal.png" xr:uid="{0A862330-7157-4CCA-A812-2C6684742DC6}"/>
    <hyperlink ref="B788" r:id="rId2368" display="https://twitter.com/matthiaslechner" xr:uid="{5959C9BD-7627-49B4-8EA8-2DD534B33A3F}"/>
    <hyperlink ref="E788" r:id="rId2369" display="https://twitter.com/matthiaslechner/status/721999829359009792" xr:uid="{555A5CB4-3ABB-45C9-83F8-10C567BD8E0F}"/>
    <hyperlink ref="O788" r:id="rId2370" display="https://pbs.twimg.com/profile_images/1433733321/35984_458684286354_752236354_6842403_4519162_n-1_normal.jpg" xr:uid="{37EC5887-59C7-4ACD-9A76-36BF64ABF8CC}"/>
    <hyperlink ref="B789" r:id="rId2371" display="https://twitter.com/raum21gmbh" xr:uid="{685699B1-8E86-41C4-BE36-8B47E950040A}"/>
    <hyperlink ref="E789" r:id="rId2372" display="https://twitter.com/raum21gmbh/status/721999830143381504" xr:uid="{3387B801-3944-438C-96B7-72D72F57A237}"/>
    <hyperlink ref="O789" r:id="rId2373" display="https://pbs.twimg.com/profile_images/615886082417274881/1pKhEKhT_normal.png" xr:uid="{6AA9DE60-FDC8-46F6-86C4-1E6AABA1622B}"/>
    <hyperlink ref="B790" r:id="rId2374" display="https://twitter.com/OpenMarketingTV" xr:uid="{03A00533-868E-4BBB-9DCA-CB4A00969900}"/>
    <hyperlink ref="E790" r:id="rId2375" display="https://twitter.com/OpenMarketingTV/status/722000014298492928" xr:uid="{0E68E999-938E-469A-BEAB-C8F749A54ABE}"/>
    <hyperlink ref="O790" r:id="rId2376" display="https://pbs.twimg.com/profile_images/2416217270/6vmtlo7m644v6jwaux83_normal.jpeg" xr:uid="{5DBDAFCD-74E5-456B-BBE8-F0503DD8294B}"/>
    <hyperlink ref="B791" r:id="rId2377" display="https://twitter.com/Tiba_Schweiz" xr:uid="{CA23180C-22F0-4AF3-B113-15BF7FE3AB06}"/>
    <hyperlink ref="E791" r:id="rId2378" display="https://twitter.com/Tiba_Schweiz/status/722002042781310976" xr:uid="{E8C7EEC5-2A8D-4B39-942A-562A74D17874}"/>
    <hyperlink ref="O791" r:id="rId2379" display="https://pbs.twimg.com/profile_images/705270537073852416/CZoAp0su_normal.jpg" xr:uid="{0D556583-7018-49D0-9665-10CBDFF10731}"/>
    <hyperlink ref="B792" r:id="rId2380" display="https://twitter.com/Pamsav1" xr:uid="{8050F963-061E-43F1-B990-E05CAD003F6B}"/>
    <hyperlink ref="E792" r:id="rId2381" display="https://twitter.com/Pamsav1/status/722002497456484352" xr:uid="{F62CFBEF-4F8B-476B-AE3C-2EE8ECFB94E0}"/>
    <hyperlink ref="O792" r:id="rId2382" display="https://pbs.twimg.com/profile_images/706811232695750657/fVFQauFe_normal.jpg" xr:uid="{5FEAA866-FEF9-4217-B658-4BD7BBF3B440}"/>
    <hyperlink ref="B793" r:id="rId2383" display="https://twitter.com/IoTMinded" xr:uid="{C1700014-CFA7-492F-A20E-203DC4AF6ADD}"/>
    <hyperlink ref="E793" r:id="rId2384" display="https://twitter.com/IoTMinded/status/722003994109952000" xr:uid="{81A486DD-4974-4DCC-AE2D-8F72933DC5A0}"/>
    <hyperlink ref="O793" r:id="rId2385" display="https://pbs.twimg.com/profile_images/603699032804859904/lb5IMG5x_normal.jpg" xr:uid="{2B8D7491-AABE-4C8C-8DA7-A5BBFC111948}"/>
    <hyperlink ref="B794" r:id="rId2386" display="https://twitter.com/rene_ziegler" xr:uid="{3F695639-FD70-4BF7-8DF5-57BCF6F975A0}"/>
    <hyperlink ref="E794" r:id="rId2387" display="https://twitter.com/rene_ziegler/status/722008709061353472" xr:uid="{D8712461-FF3C-43A6-BAE0-25DC11B92496}"/>
    <hyperlink ref="O794" r:id="rId2388" display="https://pbs.twimg.com/profile_images/643892666695073792/IDQzvziq_normal.jpg" xr:uid="{AC3FB257-C9F2-4CE2-B09B-344179AE2C7E}"/>
    <hyperlink ref="B795" r:id="rId2389" display="https://twitter.com/akquinet" xr:uid="{DAF5F41F-B60F-453F-92B6-77E75C0F6A13}"/>
    <hyperlink ref="E795" r:id="rId2390" display="https://twitter.com/akquinet/status/722009788931026944" xr:uid="{9D3B269B-9B8D-4B87-99FC-C42B886364EE}"/>
    <hyperlink ref="O795" r:id="rId2391" display="https://pbs.twimg.com/profile_images/509252372774653952/cl1TCi-g_normal.png" xr:uid="{2A0579A6-7EB5-4815-A1FD-810FFD9B5E74}"/>
    <hyperlink ref="B796" r:id="rId2392" display="https://twitter.com/BetzOliver" xr:uid="{699FD0B3-108B-4B6D-9010-44B81D392017}"/>
    <hyperlink ref="E796" r:id="rId2393" display="https://twitter.com/BetzOliver/status/722010486636720128" xr:uid="{9D0790A5-6958-45C2-9433-D74980A6C2D5}"/>
    <hyperlink ref="O796" r:id="rId2394" display="https://pbs.twimg.com/profile_images/1835944962/Oliver_Betz_-_klein_normal.JPG" xr:uid="{4DFCE470-2357-40C6-BA51-3A4A1F9717CB}"/>
    <hyperlink ref="B797" r:id="rId2395" display="https://twitter.com/birgit_buck" xr:uid="{768EF212-C187-4711-B7C8-E54C7796E896}"/>
    <hyperlink ref="E797" r:id="rId2396" display="https://twitter.com/birgit_buck/status/722010589212602369" xr:uid="{01CCC8F9-C5CE-49D7-B5FA-23D70FA81AA0}"/>
    <hyperlink ref="O797" r:id="rId2397" display="https://pbs.twimg.com/profile_images/615483475265765376/ntQ1BSUI_normal.jpg" xr:uid="{F209B2D0-4155-428F-9AF1-7ACA1DEAA9F8}"/>
    <hyperlink ref="B798" r:id="rId2398" display="https://twitter.com/H_IT_D" xr:uid="{3F67964A-AEC1-4216-8AE3-B8A81BF906F2}"/>
    <hyperlink ref="E798" r:id="rId2399" display="https://twitter.com/H_IT_D/status/722010642048155648" xr:uid="{E3A5FE74-5711-4C20-A5E4-1D604724DC1B}"/>
    <hyperlink ref="O798" r:id="rId2400" display="https://pbs.twimg.com/profile_images/662723326096224256/5V4KH9_O_normal.jpg" xr:uid="{7026FDF9-B7B3-4436-8540-DDAF2D62BE08}"/>
    <hyperlink ref="B799" r:id="rId2401" display="https://twitter.com/foresight_lab" xr:uid="{B0CB1281-8432-445E-A499-1E7E5E78D46E}"/>
    <hyperlink ref="E799" r:id="rId2402" display="https://twitter.com/foresight_lab/status/722016667971272704" xr:uid="{55E506E6-CE28-41EB-A0B8-D24E211CB1CF}"/>
    <hyperlink ref="O799" r:id="rId2403" display="https://pbs.twimg.com/profile_images/665798535779065856/sbUN3m6Q_normal.jpg" xr:uid="{457AA1D3-1C54-4DF1-BACA-A38603B2424E}"/>
    <hyperlink ref="B800" r:id="rId2404" display="https://twitter.com/verlinked" xr:uid="{B32F4705-5EB2-492B-AE27-DF0ACEE635B2}"/>
    <hyperlink ref="E800" r:id="rId2405" display="https://twitter.com/verlinked/status/722016939611004929" xr:uid="{EFD07BFF-523D-4414-9BCF-D80CBC14A60C}"/>
    <hyperlink ref="O800" r:id="rId2406" display="https://pbs.twimg.com/profile_images/722385992343285760/ww8YLZ2q_normal.jpg" xr:uid="{2B4DCFE1-86B5-4651-B951-78B88FC737EC}"/>
    <hyperlink ref="B801" r:id="rId2407" display="https://twitter.com/MeinGeldMedien" xr:uid="{C72D0425-6D25-4676-A201-E002565489E0}"/>
    <hyperlink ref="E801" r:id="rId2408" display="https://twitter.com/MeinGeldMedien/status/722017013909057536" xr:uid="{ED5BA7C7-A5DA-426B-8ADF-73FAAD83E149}"/>
    <hyperlink ref="O801" r:id="rId2409" display="https://pbs.twimg.com/profile_images/473759721023758338/3CcJL-Vq_normal.jpeg" xr:uid="{E9E1B1EB-B5C4-4279-AE1C-2D4CF2955393}"/>
    <hyperlink ref="B802" r:id="rId2410" display="https://twitter.com/INDIZbot" xr:uid="{62910E76-C147-45DB-984B-7D6389CF77A5}"/>
    <hyperlink ref="E802" r:id="rId2411" display="https://twitter.com/INDIZbot/status/722017116560498688" xr:uid="{B951F421-994C-4477-9A5C-3AC988B373B4}"/>
    <hyperlink ref="O802" r:id="rId2412" display="https://pbs.twimg.com/profile_images/645716711723925506/t5G0qOS6_normal.jpg" xr:uid="{8C2C4CC9-CD4B-4B32-921F-F2B08A5BF044}"/>
    <hyperlink ref="B803" r:id="rId2413" display="https://twitter.com/INDIZbot" xr:uid="{09529180-4811-4F17-98A2-0E7AD58B5D45}"/>
    <hyperlink ref="E803" r:id="rId2414" display="https://twitter.com/INDIZbot/status/722017237654237185" xr:uid="{0ABDE747-A909-47BB-9E34-36395513C03B}"/>
    <hyperlink ref="O803" r:id="rId2415" display="https://pbs.twimg.com/profile_images/645716711723925506/t5G0qOS6_normal.jpg" xr:uid="{5DE01A54-58ED-481A-AB66-38E71E3F5B7E}"/>
    <hyperlink ref="B804" r:id="rId2416" display="https://twitter.com/HELLRIEGEL" xr:uid="{A2EFEDEA-8962-4C6D-B1F6-65A05CFA7E7E}"/>
    <hyperlink ref="E804" r:id="rId2417" display="https://twitter.com/HELLRIEGEL/status/722017418235756544" xr:uid="{2D2D9A67-C524-482B-B6B4-468F81E9B254}"/>
    <hyperlink ref="O804" r:id="rId2418" display="https://pbs.twimg.com/profile_images/661207402629505024/Iay_TXwA_normal.jpg" xr:uid="{80B7CAB3-2E7C-4DCD-9D1C-56BC49CE0A39}"/>
    <hyperlink ref="B805" r:id="rId2419" display="https://twitter.com/kommoptimierer" xr:uid="{4A1C12E9-1790-49B5-A452-E5F1362E0517}"/>
    <hyperlink ref="E805" r:id="rId2420" display="https://twitter.com/kommoptimierer/status/722018091618598912" xr:uid="{DC11C80B-E467-4330-940F-58BD820D3CA4}"/>
    <hyperlink ref="O805" r:id="rId2421" display="https://pbs.twimg.com/profile_images/541146126158536704/IYardufS_normal.jpeg" xr:uid="{181C72FC-2E93-4767-B75F-AE4AA85B7A3C}"/>
    <hyperlink ref="B806" r:id="rId2422" display="https://twitter.com/PW_InCub" xr:uid="{C6D41C06-ACB1-4922-B19E-09C49790E89F}"/>
    <hyperlink ref="E806" r:id="rId2423" display="https://twitter.com/PW_InCub/status/722018131233935362" xr:uid="{57F32EE1-36BB-4881-9932-F0DFACD585A7}"/>
    <hyperlink ref="O806" r:id="rId2424" display="https://pbs.twimg.com/profile_images/714369025355202560/vNKUaCLA_normal.jpg" xr:uid="{4EBB04BB-68BB-4719-8C7C-6A63FE9B704E}"/>
    <hyperlink ref="B807" r:id="rId2425" display="https://twitter.com/MTuchelmann" xr:uid="{6A553604-9B65-4D47-BCAF-805B775C4C57}"/>
    <hyperlink ref="E807" r:id="rId2426" display="https://twitter.com/MTuchelmann/status/722022606111686656" xr:uid="{2A727753-7A4E-4EB5-94CB-18E7AB41B424}"/>
    <hyperlink ref="O807" r:id="rId2427" display="https://pbs.twimg.com/profile_images/699591789964083200/ZinQaSi0_normal.jpg" xr:uid="{B5CA210F-4DD3-44CE-A111-D3013FC9E93C}"/>
    <hyperlink ref="B808" r:id="rId2428" display="https://twitter.com/KubitzTassilo" xr:uid="{F19F720F-98F0-4644-9DDC-B0A442F79AE2}"/>
    <hyperlink ref="E808" r:id="rId2429" display="https://twitter.com/KubitzTassilo/status/722024002756210690" xr:uid="{932BF6C5-736F-4CA4-B332-FB3E0B88057D}"/>
    <hyperlink ref="O808" r:id="rId2430" display="https://pbs.twimg.com/profile_images/552551275527938050/oM0Hdpyd_normal.jpeg" xr:uid="{865CE87D-9D1C-4D32-A5E6-93EB80D94AB8}"/>
    <hyperlink ref="B809" r:id="rId2431" display="https://twitter.com/MarioReinsch" xr:uid="{B713FB3D-9723-4A18-B1B0-137179117F14}"/>
    <hyperlink ref="E809" r:id="rId2432" display="https://twitter.com/MarioReinsch/status/722024152241217537" xr:uid="{FDED56F8-96BA-4CDF-962E-343F5A81CB39}"/>
    <hyperlink ref="O809" r:id="rId2433" display="https://pbs.twimg.com/profile_images/560799766007664640/lsjqv0TW_normal.jpeg" xr:uid="{E2C3E4BF-AB2B-4CE1-8F15-0DB2E86FB51A}"/>
    <hyperlink ref="B810" r:id="rId2434" display="https://twitter.com/gpodagrosi" xr:uid="{8B411A0A-B253-4707-9524-25B2E5D514BE}"/>
    <hyperlink ref="E810" r:id="rId2435" display="https://twitter.com/gpodagrosi/status/722024417027600384" xr:uid="{E939ACB2-5C49-433E-A815-8A7B990BEB7C}"/>
    <hyperlink ref="O810" r:id="rId2436" display="https://pbs.twimg.com/profile_images/588981131996966912/55KBnYR7_normal.jpg" xr:uid="{146E49CD-FBC5-4885-90AD-077CC48F3294}"/>
    <hyperlink ref="B811" r:id="rId2437" display="https://twitter.com/prxagentur" xr:uid="{877E2243-D59E-4777-9011-8E3BEDEDE1D1}"/>
    <hyperlink ref="E811" r:id="rId2438" display="https://twitter.com/prxagentur/status/722025718155190272" xr:uid="{54FFC7EC-EB16-46AA-AF42-28654E0E53BA}"/>
    <hyperlink ref="O811" r:id="rId2439" display="https://pbs.twimg.com/profile_images/594934750122536960/nG4kmfDF_normal.jpg" xr:uid="{E4863164-9E06-4338-8C35-6A62A6BADFA4}"/>
    <hyperlink ref="B812" r:id="rId2440" display="https://twitter.com/twassmann" xr:uid="{8E62A511-7516-40D7-976B-5F3C2807CEC9}"/>
    <hyperlink ref="E812" r:id="rId2441" display="https://twitter.com/twassmann/status/722027032444608513" xr:uid="{AEF95A71-A272-404C-A20F-335DDDCD8F35}"/>
    <hyperlink ref="O812" r:id="rId2442" display="https://pbs.twimg.com/profile_images/603542931752951808/8YqngE7j_normal.jpg" xr:uid="{6186E1B7-0471-48D2-B13A-DEB4D9C00E98}"/>
    <hyperlink ref="B813" r:id="rId2443" display="https://twitter.com/INDIZbot" xr:uid="{1C89A720-B0F7-418F-ABE7-D322914897FD}"/>
    <hyperlink ref="E813" r:id="rId2444" display="https://twitter.com/INDIZbot/status/722027257494179840" xr:uid="{73EA4938-C770-44C8-BCA5-BBCF33EE5E99}"/>
    <hyperlink ref="O813" r:id="rId2445" display="https://pbs.twimg.com/profile_images/645716711723925506/t5G0qOS6_normal.jpg" xr:uid="{2A8C48DE-163E-43E1-9955-51CDC755C3F7}"/>
    <hyperlink ref="B814" r:id="rId2446" display="https://twitter.com/INDIZbot" xr:uid="{F6386C54-42D6-48D7-8B16-ECCDCB4E7A2B}"/>
    <hyperlink ref="E814" r:id="rId2447" display="https://twitter.com/INDIZbot/status/722027570636656641" xr:uid="{DEBF33B3-5FA4-4E16-9A30-CC84E3EA46BD}"/>
    <hyperlink ref="O814" r:id="rId2448" display="https://pbs.twimg.com/profile_images/645716711723925506/t5G0qOS6_normal.jpg" xr:uid="{B6E0F7E6-1A16-4AB7-85CF-9383F5D12A85}"/>
    <hyperlink ref="B815" r:id="rId2449" display="https://twitter.com/knauf_philipp" xr:uid="{E70A7975-EC59-45BA-9AB9-5139B22DB489}"/>
    <hyperlink ref="E815" r:id="rId2450" display="https://twitter.com/knauf_philipp/status/722029849892798464" xr:uid="{02A77367-5B93-4C20-9943-E6248648F430}"/>
    <hyperlink ref="O815" r:id="rId2451" display="https://pbs.twimg.com/profile_images/709647002586497024/8PZ2WUY3_normal.jpg" xr:uid="{472D4EBE-085B-4254-AB49-B06F4D5A890B}"/>
    <hyperlink ref="B816" r:id="rId2452" display="https://twitter.com/ZVEIorg" xr:uid="{B29C41CB-07EA-44A6-A267-171020CCA090}"/>
    <hyperlink ref="E816" r:id="rId2453" display="https://twitter.com/ZVEIorg/status/722030181993553920" xr:uid="{32A8585C-6424-4B46-B45A-2F717A93BA9A}"/>
    <hyperlink ref="O816" r:id="rId2454" display="https://pbs.twimg.com/profile_images/479147477975588864/z94n3mRF_normal.jpeg" xr:uid="{401B72EC-A134-42DD-89F5-AA904FAEE45F}"/>
    <hyperlink ref="B817" r:id="rId2455" display="https://twitter.com/WiegandsWarte" xr:uid="{AF0B6003-790A-442B-97AE-74CCC23B6122}"/>
    <hyperlink ref="E817" r:id="rId2456" display="https://twitter.com/WiegandsWarte/status/722031575467212800" xr:uid="{6F34F0BA-AFB5-455D-85AE-1D6BDDA7591E}"/>
    <hyperlink ref="O817" r:id="rId2457" display="https://pbs.twimg.com/profile_images/722407231854141441/rQJmQtW__normal.jpg" xr:uid="{C739C030-9663-4182-94BC-04598E28C487}"/>
    <hyperlink ref="B818" r:id="rId2458" display="https://twitter.com/turenne1611" xr:uid="{9A414C44-8C62-46DB-AB5F-00A8D3837458}"/>
    <hyperlink ref="E818" r:id="rId2459" display="https://twitter.com/turenne1611/status/722031733374337024" xr:uid="{2F28D607-93FC-49D8-AB57-4EE96F18CB8D}"/>
    <hyperlink ref="O818" r:id="rId2460" display="https://pbs.twimg.com/profile_images/3272942436/c3c4e0a9a2b4666270086c4edabb99d2_normal.jpeg" xr:uid="{70FD55C7-36D4-43DF-A71F-4A88B0F9A94F}"/>
    <hyperlink ref="B819" r:id="rId2461" display="https://twitter.com/JulieJouvencel" xr:uid="{E74A509A-7DC2-43A5-9E7C-B43D781E6BBD}"/>
    <hyperlink ref="E819" r:id="rId2462" display="https://twitter.com/JulieJouvencel/status/722033084896583680" xr:uid="{F84968C9-6055-4623-ABC3-1A6F1DF1DE5F}"/>
    <hyperlink ref="O819" r:id="rId2463" display="https://pbs.twimg.com/profile_images/520123844770557952/fqnQCNeT_normal.jpeg" xr:uid="{072ACFC4-5535-45F0-9AA1-490E874B1B9D}"/>
    <hyperlink ref="B820" r:id="rId2464" display="https://twitter.com/Apandia" xr:uid="{2EE356F4-9445-4F8A-8554-DBACD1B5AC37}"/>
    <hyperlink ref="E820" r:id="rId2465" display="https://twitter.com/Apandia/status/722036762885910529" xr:uid="{6480F590-0566-4A92-8096-CF6A2E3746C1}"/>
    <hyperlink ref="O820" r:id="rId2466" display="https://pbs.twimg.com/profile_images/685327213/Apandia_normal.gif" xr:uid="{CD349C1C-71E3-4946-947D-EE415E39F6C2}"/>
    <hyperlink ref="B821" r:id="rId2467" display="https://twitter.com/prxpragma" xr:uid="{FA7ED020-CA9E-4937-B707-30B35FD2232F}"/>
    <hyperlink ref="E821" r:id="rId2468" display="https://twitter.com/prxpragma/status/722037830399053826" xr:uid="{61D5C991-A159-4D9A-9870-44932437546A}"/>
    <hyperlink ref="O821" r:id="rId2469" display="https://pbs.twimg.com/profile_images/595629691249233920/PnZxF5UO_normal.jpg" xr:uid="{F4F18170-56F4-4FD6-8525-D0A2BFD31C77}"/>
    <hyperlink ref="B822" r:id="rId2470" display="https://twitter.com/MenoldBezler" xr:uid="{CC6D8755-8236-4513-9F46-13801833286D}"/>
    <hyperlink ref="E822" r:id="rId2471" display="https://twitter.com/MenoldBezler/status/722040778634223617" xr:uid="{8F98FD3F-1428-4E65-B5BB-9E73DD3E7BA8}"/>
    <hyperlink ref="O822" r:id="rId2472" display="https://pbs.twimg.com/profile_images/504606990081863680/i2J4aVBb_normal.jpeg" xr:uid="{A5ADC9FC-0405-4EF3-9E80-82C7ED9DDCA8}"/>
    <hyperlink ref="B823" r:id="rId2473" display="https://twitter.com/mediengerecht" xr:uid="{E1728AAA-0D4E-46F5-857C-2F314046CDA5}"/>
    <hyperlink ref="E823" r:id="rId2474" display="https://twitter.com/mediengerecht/status/722041387710066688" xr:uid="{7E60B16B-F91B-4E11-B484-E7A32BB7A812}"/>
    <hyperlink ref="O823" r:id="rId2475" display="https://pbs.twimg.com/profile_images/706494867204120576/F1LJZI55_normal.jpg" xr:uid="{F2D1911D-A65A-4D56-A598-C6DCAE86AFCE}"/>
    <hyperlink ref="B824" r:id="rId2476" display="https://twitter.com/H_IT_D" xr:uid="{752EB4B7-0DDC-43EB-A402-01D450BFAE83}"/>
    <hyperlink ref="E824" r:id="rId2477" display="https://twitter.com/H_IT_D/status/722043076550590468" xr:uid="{9B06AEA5-663F-4F4E-891E-B2A0F6BFA004}"/>
    <hyperlink ref="O824" r:id="rId2478" display="https://pbs.twimg.com/profile_images/662723326096224256/5V4KH9_O_normal.jpg" xr:uid="{20BC623C-B154-4524-BEFD-71865A428D16}"/>
    <hyperlink ref="B825" r:id="rId2479" display="https://twitter.com/JETZT_PRde" xr:uid="{CA939618-A4DF-4448-991F-44CB2FCE9BBD}"/>
    <hyperlink ref="E825" r:id="rId2480" display="https://twitter.com/JETZT_PRde/status/722043197451608064" xr:uid="{06EB5DDD-5C0A-42CE-9515-0061D066C7A3}"/>
    <hyperlink ref="O825" r:id="rId2481" display="https://pbs.twimg.com/profile_images/593011135428882432/BGMPkrwp_normal.jpg" xr:uid="{0DFC00BD-E8A7-4D1D-9EA4-156BEFA7BB6C}"/>
    <hyperlink ref="B826" r:id="rId2482" display="https://twitter.com/BoschPresse" xr:uid="{CAFA6A18-69F2-4385-876B-5594ECA37EB8}"/>
    <hyperlink ref="E826" r:id="rId2483" display="https://twitter.com/BoschPresse/status/722043282709213184" xr:uid="{256B8893-B3B1-4361-B9A8-761DEFBFB578}"/>
    <hyperlink ref="O826" r:id="rId2484" display="https://pbs.twimg.com/profile_images/2619086509/ld3z97zhhdbs2essw7s9_normal.jpeg" xr:uid="{44E3AD16-DA46-476C-8F77-C442C6D5A72F}"/>
    <hyperlink ref="B827" r:id="rId2485" display="https://twitter.com/sapcustdev" xr:uid="{54AF59D4-4D41-46E8-976B-CD5979EAB391}"/>
    <hyperlink ref="E827" r:id="rId2486" display="https://twitter.com/sapcustdev/status/722045062801174528" xr:uid="{CB3AA05C-B4ED-47BA-814C-0376EB2E3697}"/>
    <hyperlink ref="O827" r:id="rId2487" display="https://pbs.twimg.com/profile_images/1908899611/SAP_TW_StandardLogo_022311_normal.jpg" xr:uid="{3A2AE35A-595C-4D8A-8175-C2068E0795BE}"/>
    <hyperlink ref="B828" r:id="rId2488" display="https://twitter.com/kion_group" xr:uid="{84F1EE0C-5AEE-4257-9B02-0D704AD103FA}"/>
    <hyperlink ref="E828" r:id="rId2489" display="https://twitter.com/kion_group/status/722045453458665472" xr:uid="{2442B023-2335-49A0-BF53-18E9614FA3EC}"/>
    <hyperlink ref="O828" r:id="rId2490" display="https://pbs.twimg.com/profile_images/502066779590385665/YElxw-eg_normal.jpeg" xr:uid="{D7E0BBD4-0923-4592-A0D1-A183F5204E58}"/>
    <hyperlink ref="B829" r:id="rId2491" display="https://twitter.com/MarianKoeller" xr:uid="{B1105EDB-136A-4F7D-B720-1A6FD937DD9C}"/>
    <hyperlink ref="E829" r:id="rId2492" display="https://twitter.com/MarianKoeller/status/722046070029750272" xr:uid="{F0A7B1A3-1881-4FDB-84B6-2745D69A6B9C}"/>
    <hyperlink ref="O829" r:id="rId2493" display="https://pbs.twimg.com/profile_images/701004613206433792/o4DJfA8-_normal.jpg" xr:uid="{6212DF92-F489-4E35-BF87-09D5B7EECA52}"/>
    <hyperlink ref="B830" r:id="rId2494" display="https://twitter.com/verlinked" xr:uid="{C938D9B3-423D-426F-8A0E-0F2507362427}"/>
    <hyperlink ref="E830" r:id="rId2495" display="https://twitter.com/verlinked/status/722047122720165888" xr:uid="{58E6F65D-2EF8-4E38-A108-69A3AD1D5C02}"/>
    <hyperlink ref="O830" r:id="rId2496" display="https://pbs.twimg.com/profile_images/722385992343285760/ww8YLZ2q_normal.jpg" xr:uid="{5471012B-A3C1-4F6A-BDD7-6694500E2E4D}"/>
    <hyperlink ref="B831" r:id="rId2497" display="https://twitter.com/swiertz" xr:uid="{6E978DAA-5F28-43A8-93F8-73CB7E2E8AFC}"/>
    <hyperlink ref="E831" r:id="rId2498" display="https://twitter.com/swiertz/status/722048714500673536" xr:uid="{72C97343-1972-446B-9A54-BDA6D7A04F89}"/>
    <hyperlink ref="O831" r:id="rId2499" display="https://pbs.twimg.com/profile_images/590220438992658432/PXX1Ovxe_normal.jpg" xr:uid="{3B804AA1-B2F6-4123-BF4C-9B41551A624A}"/>
    <hyperlink ref="B832" r:id="rId2500" display="https://twitter.com/Fraunhofer_IPA" xr:uid="{9835948C-DC63-46BA-A695-63474F6389B0}"/>
    <hyperlink ref="E832" r:id="rId2501" display="https://twitter.com/Fraunhofer_IPA/status/722049171038019585" xr:uid="{EBDDEDBC-6AE1-45AE-855C-B9576C38BA5E}"/>
    <hyperlink ref="O832" r:id="rId2502" display="https://pbs.twimg.com/profile_images/423438208873922560/3cq2Jpt-_normal.jpeg" xr:uid="{2AA78B9E-1A8B-471D-8672-ACF580BA1769}"/>
    <hyperlink ref="B833" r:id="rId2503" display="https://twitter.com/MTaege" xr:uid="{19182AF4-1C93-40A9-BBAF-1204F66644DB}"/>
    <hyperlink ref="E833" r:id="rId2504" display="https://twitter.com/MTaege/status/722049376680570880" xr:uid="{747146E4-B4D0-4A96-92F7-88315E0EF2BE}"/>
    <hyperlink ref="O833" r:id="rId2505" display="https://pbs.twimg.com/profile_images/3521856347/8c75ce2126a506515c396c10a62175a6_normal.jpeg" xr:uid="{82E47BFF-79F7-4695-8AB8-42B918A33818}"/>
    <hyperlink ref="B834" r:id="rId2506" display="https://twitter.com/cccsoftwaregmbh" xr:uid="{353B4DCE-465C-4DCA-8138-E134981FFDBE}"/>
    <hyperlink ref="E834" r:id="rId2507" display="https://twitter.com/cccsoftwaregmbh/status/722049801190252544" xr:uid="{2A7FCDB3-C120-4FC1-9761-C5A2AE946281}"/>
    <hyperlink ref="F834" r:id="rId2508" xr:uid="{E11E0C11-9740-45B9-9896-E6682A96368F}"/>
    <hyperlink ref="O834" r:id="rId2509" display="https://pbs.twimg.com/profile_images/664044971788509188/KRTH7qBq_normal.jpg" xr:uid="{7BCC2E7A-4274-45E9-B43B-28DCBE183C65}"/>
    <hyperlink ref="B835" r:id="rId2510" display="https://twitter.com/Red_Schmidt" xr:uid="{B6A16DE9-AC5D-46B1-BC30-7836EBBC09EE}"/>
    <hyperlink ref="E835" r:id="rId2511" display="https://twitter.com/Red_Schmidt/status/722050454503428096" xr:uid="{F620E505-9CAA-4DC8-8D33-BC0EB9F966E2}"/>
    <hyperlink ref="O835" r:id="rId2512" display="https://pbs.twimg.com/profile_images/719496030753058818/CmYAO08k_normal.jpg" xr:uid="{6D1C0729-ACC7-4FD6-8189-00F85D67C962}"/>
    <hyperlink ref="B836" r:id="rId2513" display="https://twitter.com/matthiaslechner" xr:uid="{5D38D28C-AACC-47C1-B0C7-5F9E97E5853A}"/>
    <hyperlink ref="E836" r:id="rId2514" display="https://twitter.com/matthiaslechner/status/722050731893661698" xr:uid="{1A4B3058-70B7-468F-B1A6-60295DBB4E5D}"/>
    <hyperlink ref="O836" r:id="rId2515" display="https://pbs.twimg.com/profile_images/1433733321/35984_458684286354_752236354_6842403_4519162_n-1_normal.jpg" xr:uid="{6AF45B93-CE72-4670-B7EF-09F4BB59E27C}"/>
    <hyperlink ref="B837" r:id="rId2516" display="https://twitter.com/matthiaslechner" xr:uid="{35810125-40BA-48F0-807D-EC2B9BC91D91}"/>
    <hyperlink ref="E837" r:id="rId2517" display="https://twitter.com/matthiaslechner/status/722050878295793664" xr:uid="{92ED3C97-6943-4111-9FC2-B9FD2A959596}"/>
    <hyperlink ref="O837" r:id="rId2518" display="https://pbs.twimg.com/profile_images/1433733321/35984_458684286354_752236354_6842403_4519162_n-1_normal.jpg" xr:uid="{C479C096-CD8B-4F13-B496-E9A3515FF2A2}"/>
    <hyperlink ref="B838" r:id="rId2519" display="https://twitter.com/TechnoMarketOV" xr:uid="{3DDA33EA-97ED-4861-9557-5C523D303254}"/>
    <hyperlink ref="E838" r:id="rId2520" display="https://twitter.com/TechnoMarketOV/status/722051091379200000" xr:uid="{AC171381-DF87-445B-B541-C79E6D4FB3E5}"/>
    <hyperlink ref="F838" r:id="rId2521" xr:uid="{98880B01-E399-4D4C-BF1B-819F510B35CA}"/>
    <hyperlink ref="O838" r:id="rId2522" display="https://pbs.twimg.com/profile_images/693000161459617792/4CZXbOGo_normal.jpg" xr:uid="{E6E47E62-5D54-4C1A-BDC8-E8D465136D7D}"/>
    <hyperlink ref="B839" r:id="rId2523" display="https://twitter.com/PapaVise" xr:uid="{2B0388CF-DDC1-438A-91B8-BD1E55A723EA}"/>
    <hyperlink ref="E839" r:id="rId2524" display="https://twitter.com/PapaVise/status/722052782593859584" xr:uid="{15602D26-B02C-4C05-BEA4-4845605D2328}"/>
    <hyperlink ref="O839" r:id="rId2525" display="https://pbs.twimg.com/profile_images/561137710287425536/htHMwCBr_normal.png" xr:uid="{C9859EF0-6D5F-435F-847D-6DAFD3FB9169}"/>
    <hyperlink ref="B840" r:id="rId2526" display="https://twitter.com/NetClubj1" xr:uid="{F9ADED81-01FF-4DBF-9963-F2C5E895ED35}"/>
    <hyperlink ref="E840" r:id="rId2527" display="https://twitter.com/NetClubj1/status/722053075930845184" xr:uid="{75AEC559-7313-432A-9AFA-78C7BF574A04}"/>
    <hyperlink ref="O840" r:id="rId2528" display="https://pbs.twimg.com/profile_images/651849467046588418/Vn4rwmih_normal.png" xr:uid="{10C74465-AAF6-4354-914A-6331E5730C0D}"/>
    <hyperlink ref="B841" r:id="rId2529" display="https://twitter.com/Konecranes_DE" xr:uid="{348880BE-5A8A-4EE9-9743-42EF1DF033F2}"/>
    <hyperlink ref="E841" r:id="rId2530" display="https://twitter.com/Konecranes_DE/status/722053318810431488" xr:uid="{2A515504-F8B1-447E-BA35-C2715E962C07}"/>
    <hyperlink ref="O841" r:id="rId2531" display="https://pbs.twimg.com/profile_images/438307550828560384/ayCoNB0D_normal.jpeg" xr:uid="{FF4CADBA-9FB5-4BC6-BB8F-5858DFADBB77}"/>
    <hyperlink ref="B842" r:id="rId2532" display="https://twitter.com/derPaddy" xr:uid="{3155E8E2-6D9D-48D2-9703-2B19EEA8245E}"/>
    <hyperlink ref="E842" r:id="rId2533" display="https://twitter.com/derPaddy/status/722054093938810880" xr:uid="{9D600343-F4D7-4970-9CCF-34536F84A147}"/>
    <hyperlink ref="O842" r:id="rId2534" display="https://pbs.twimg.com/profile_images/692460254941024256/pFx1D2YZ_normal.png" xr:uid="{32AAA29F-3F87-4EF5-AE3E-4E228246BE30}"/>
    <hyperlink ref="B843" r:id="rId2535" display="https://twitter.com/Yannick_IoT" xr:uid="{A1981B63-BF7E-41FC-80C7-CA550D54F564}"/>
    <hyperlink ref="E843" r:id="rId2536" display="https://twitter.com/Yannick_IoT/status/722054259928408064" xr:uid="{8C13C673-D7C6-4F9C-913C-41EC4C411631}"/>
    <hyperlink ref="O843" r:id="rId2537" display="https://pbs.twimg.com/profile_images/717344671668772864/nFw9mplH_normal.jpg" xr:uid="{E5263EBF-0A11-4936-959A-CD4E28A31D4E}"/>
    <hyperlink ref="B844" r:id="rId2538" display="https://twitter.com/pinetco" xr:uid="{85FABDE6-63BD-4F6B-AC4F-919247A3408B}"/>
    <hyperlink ref="E844" r:id="rId2539" display="https://twitter.com/pinetco/status/722056059423211520" xr:uid="{4F480ADB-B745-4D6C-8379-32A82C65CB4B}"/>
    <hyperlink ref="O844" r:id="rId2540" display="https://pbs.twimg.com/profile_images/711927354118041601/TcQdN_kN_normal.jpg" xr:uid="{9F88B546-6E0D-492D-B334-85E4F766AF9F}"/>
    <hyperlink ref="B845" r:id="rId2541" display="https://twitter.com/KaiKeppner" xr:uid="{7688B671-F878-4C80-99EF-3FE7678E2FD0}"/>
    <hyperlink ref="E845" r:id="rId2542" display="https://twitter.com/KaiKeppner/status/722056200645439488" xr:uid="{AADC3136-5B5A-49BC-B501-393B0F5D1BD7}"/>
    <hyperlink ref="O845" r:id="rId2543" display="https://pbs.twimg.com/profile_images/378800000730169702/55f82a9488f9b8b9ad44de17e41286d4_normal.jpeg" xr:uid="{B93204D3-993D-4AE8-9DAD-5AEA273DE1A1}"/>
    <hyperlink ref="B846" r:id="rId2544" display="https://twitter.com/genuanews" xr:uid="{030A1DCD-196B-4C7B-82AA-79C9D3049E5D}"/>
    <hyperlink ref="E846" r:id="rId2545" display="https://twitter.com/genuanews/status/722058005211181056" xr:uid="{F991789C-CCD1-495D-BE0E-BB5841DF4B47}"/>
    <hyperlink ref="O846" r:id="rId2546" display="https://pbs.twimg.com/profile_images/2576159086/x3og0hhz2d60d9embrsg_normal.jpeg" xr:uid="{B2682F6D-9E33-4F00-850A-E9650D816B02}"/>
    <hyperlink ref="B847" r:id="rId2547" display="https://twitter.com/BoschPresse" xr:uid="{5490EF7E-6FFA-4E0B-9A6A-D0C8AE13D799}"/>
    <hyperlink ref="E847" r:id="rId2548" display="https://twitter.com/BoschPresse/status/722058413061115905" xr:uid="{690140A4-CE9A-4A17-A9A3-263399BFF364}"/>
    <hyperlink ref="O847" r:id="rId2549" display="https://pbs.twimg.com/profile_images/2619086509/ld3z97zhhdbs2essw7s9_normal.jpeg" xr:uid="{F640174B-6D9C-4403-9EF5-8C47B0BFB853}"/>
    <hyperlink ref="B848" r:id="rId2550" display="https://twitter.com/BoschPresse" xr:uid="{EB4A51F6-DDFA-46DF-B1FE-9FEA3BA6E6DB}"/>
    <hyperlink ref="E848" r:id="rId2551" display="https://twitter.com/BoschPresse/status/722058544158261249" xr:uid="{F7D6E668-EECB-48A6-8610-9D833CF7243A}"/>
    <hyperlink ref="O848" r:id="rId2552" display="https://pbs.twimg.com/profile_images/2619086509/ld3z97zhhdbs2essw7s9_normal.jpeg" xr:uid="{5D74B1C7-E4EC-4D52-8F0A-6C59B076F3CD}"/>
    <hyperlink ref="B849" r:id="rId2553" display="https://twitter.com/WAGOKontakttech" xr:uid="{758D27E7-5E02-4411-BB93-637569A3BC0B}"/>
    <hyperlink ref="E849" r:id="rId2554" display="https://twitter.com/WAGOKontakttech/status/722058789663465472" xr:uid="{C638CCC5-D2E7-4AEB-9BA0-61412000830C}"/>
    <hyperlink ref="O849" r:id="rId2555" display="https://pbs.twimg.com/profile_images/378800000820549188/4ecc5b6e4790c96e6b9fb3f0f0146f38_normal.jpeg" xr:uid="{B1FC95CD-EDDA-41C1-BA72-C0408CE0A6D7}"/>
    <hyperlink ref="B850" r:id="rId2556" display="https://twitter.com/prxagentur" xr:uid="{E7183BD7-628D-4598-B3D1-02225F27D3A7}"/>
    <hyperlink ref="E850" r:id="rId2557" display="https://twitter.com/prxagentur/status/722059058694524928" xr:uid="{511D874A-12D1-4DCB-AC44-7B251E7F1BE7}"/>
    <hyperlink ref="O850" r:id="rId2558" display="https://pbs.twimg.com/profile_images/594934750122536960/nG4kmfDF_normal.jpg" xr:uid="{FD3FEE59-F50B-4434-BAA5-DFA962F61C3B}"/>
    <hyperlink ref="B851" r:id="rId2559" display="https://twitter.com/BoschPresse" xr:uid="{1FF973F7-BE16-4991-9603-EFCC039AF4EE}"/>
    <hyperlink ref="E851" r:id="rId2560" display="https://twitter.com/BoschPresse/status/722060034260213760" xr:uid="{EEE5A344-6BFD-4503-849B-41C033318F67}"/>
    <hyperlink ref="O851" r:id="rId2561" display="https://pbs.twimg.com/profile_images/2619086509/ld3z97zhhdbs2essw7s9_normal.jpeg" xr:uid="{8A32F9C4-B0A3-457C-908C-97B106F884A4}"/>
    <hyperlink ref="B852" r:id="rId2562" display="https://twitter.com/INDIZbot" xr:uid="{D1AA07C2-E57F-4C66-9A11-C675D7C54842}"/>
    <hyperlink ref="E852" r:id="rId2563" display="https://twitter.com/INDIZbot/status/722060183170584576" xr:uid="{3E8C6C48-6B20-48DA-89C9-D64A6016C13C}"/>
    <hyperlink ref="O852" r:id="rId2564" display="https://pbs.twimg.com/profile_images/645716711723925506/t5G0qOS6_normal.jpg" xr:uid="{4621A249-EE29-4611-A5DD-D36E109369F7}"/>
    <hyperlink ref="B853" r:id="rId2565" display="https://twitter.com/Apandia" xr:uid="{E273BEEC-DC6A-4153-A38D-85CB58248A35}"/>
    <hyperlink ref="E853" r:id="rId2566" display="https://twitter.com/Apandia/status/722061144609857536" xr:uid="{29DD8D77-F0E4-4B84-AEB5-3E0C0EE143CC}"/>
    <hyperlink ref="O853" r:id="rId2567" display="https://pbs.twimg.com/profile_images/685327213/Apandia_normal.gif" xr:uid="{816C90F5-AD02-4073-8235-94E621A25016}"/>
    <hyperlink ref="B854" r:id="rId2568" display="https://twitter.com/prxagentur" xr:uid="{12FEA0A9-E209-4830-AFC2-F8908FBA579B}"/>
    <hyperlink ref="E854" r:id="rId2569" display="https://twitter.com/prxagentur/status/722061665135640576" xr:uid="{6E122C56-DE2C-45A2-874C-58C8F6A7C8B2}"/>
    <hyperlink ref="O854" r:id="rId2570" display="https://pbs.twimg.com/profile_images/594934750122536960/nG4kmfDF_normal.jpg" xr:uid="{BA71C667-DEC4-42D9-BF68-B0FD58EC379D}"/>
    <hyperlink ref="B855" r:id="rId2571" display="https://twitter.com/innovationbawue" xr:uid="{76DA37FA-C16B-43EA-A039-658DE17F13C3}"/>
    <hyperlink ref="C855" r:id="rId2572" xr:uid="{41ADEC21-57FD-43FE-BD2A-9534AB83E40F}"/>
    <hyperlink ref="E855" r:id="rId2573" display="https://twitter.com/innovationbawue/status/722061938184863745" xr:uid="{ED02F046-DD3B-4D25-9198-E4A9995826A7}"/>
    <hyperlink ref="O855" r:id="rId2574" display="https://pbs.twimg.com/profile_images/719538951988592641/7lKnB2dG_normal.jpg" xr:uid="{B2DCD558-E990-4717-90A9-CD74C4362F39}"/>
    <hyperlink ref="B856" r:id="rId2575" display="https://twitter.com/INDIZbot" xr:uid="{D459767C-8DD9-4FF8-B002-CE9ADD051D9D}"/>
    <hyperlink ref="E856" r:id="rId2576" display="https://twitter.com/INDIZbot/status/722062740714614784" xr:uid="{D5371A8F-23A6-48F0-A3BD-5F6676A9EF5F}"/>
    <hyperlink ref="O856" r:id="rId2577" display="https://pbs.twimg.com/profile_images/645716711723925506/t5G0qOS6_normal.jpg" xr:uid="{9E92EE7E-717E-4E1D-84D0-25C8AF4E4F56}"/>
    <hyperlink ref="B857" r:id="rId2578" display="https://twitter.com/INDIZbot" xr:uid="{03A0BE49-A672-4950-9551-784EB554E145}"/>
    <hyperlink ref="E857" r:id="rId2579" display="https://twitter.com/INDIZbot/status/722062859438579713" xr:uid="{92921E37-4F32-4B5A-ABA9-5FCFC7C767E6}"/>
    <hyperlink ref="O857" r:id="rId2580" display="https://pbs.twimg.com/profile_images/645716711723925506/t5G0qOS6_normal.jpg" xr:uid="{6D26B930-DE7A-46B7-A742-77CBB9D6A7F7}"/>
    <hyperlink ref="B858" r:id="rId2581" display="https://twitter.com/Bitkom_I40" xr:uid="{863268B9-10DB-427B-B9AD-2DB69CEA6E22}"/>
    <hyperlink ref="E858" r:id="rId2582" display="https://twitter.com/Bitkom_I40/status/722063109314228224" xr:uid="{A780483C-3CA0-45E1-A0F4-F5DE31A4FA06}"/>
    <hyperlink ref="O858" r:id="rId2583" display="https://pbs.twimg.com/profile_images/723407487395713024/0hZv7R8S_normal.jpg" xr:uid="{B1D2ED56-E67E-448E-BDFE-E947AC4E29D7}"/>
    <hyperlink ref="B859" r:id="rId2584" display="https://twitter.com/kommoptimierer" xr:uid="{2ECC0A64-6930-4E50-81BF-9AA4C0AC8266}"/>
    <hyperlink ref="E859" r:id="rId2585" display="https://twitter.com/kommoptimierer/status/722063559560138752" xr:uid="{E63D3BB5-80D5-47F8-A1DE-C872409B680E}"/>
    <hyperlink ref="O859" r:id="rId2586" display="https://pbs.twimg.com/profile_images/541146126158536704/IYardufS_normal.jpeg" xr:uid="{1D7A98F3-AA85-49CF-BEB5-91D5D753C7DE}"/>
    <hyperlink ref="B860" r:id="rId2587" display="https://twitter.com/BoschPresse" xr:uid="{D586C7A2-D276-4CA4-94A4-9D4AA367E2F5}"/>
    <hyperlink ref="E860" r:id="rId2588" display="https://twitter.com/BoschPresse/status/722064683268718592" xr:uid="{D4B73689-55BB-4D6D-B65D-F2F399DF6F59}"/>
    <hyperlink ref="O860" r:id="rId2589" display="https://pbs.twimg.com/profile_images/2619086509/ld3z97zhhdbs2essw7s9_normal.jpeg" xr:uid="{5363A1BC-D1B1-42D6-8694-4AA3E0121692}"/>
    <hyperlink ref="B861" r:id="rId2590" display="https://twitter.com/JETZT_PRde" xr:uid="{CB616198-B8D6-49B8-BD59-0ACBC677A9F3}"/>
    <hyperlink ref="E861" r:id="rId2591" display="https://twitter.com/JETZT_PRde/status/722065658226339840" xr:uid="{C553DCFF-64C5-4FD3-92A0-1F6DD7B8B242}"/>
    <hyperlink ref="O861" r:id="rId2592" display="https://pbs.twimg.com/profile_images/593011135428882432/BGMPkrwp_normal.jpg" xr:uid="{7521DDE6-F28D-4714-81EA-7AEEBF2178E0}"/>
    <hyperlink ref="B862" r:id="rId2593" display="https://twitter.com/JETZT_PRde" xr:uid="{F67C5602-23FC-443A-87C7-124F351C172D}"/>
    <hyperlink ref="E862" r:id="rId2594" display="https://twitter.com/JETZT_PRde/status/722066685654654977" xr:uid="{89E664C9-ED56-417C-B5CA-45CA700D30C4}"/>
    <hyperlink ref="O862" r:id="rId2595" display="https://pbs.twimg.com/profile_images/593011135428882432/BGMPkrwp_normal.jpg" xr:uid="{9AC2FFA0-00AC-42EF-AD71-3E4120D8219F}"/>
    <hyperlink ref="B863" r:id="rId2596" display="https://twitter.com/JETZT_PRde" xr:uid="{2E44EFAD-ACAA-4C0B-AC94-2707E05F40E8}"/>
    <hyperlink ref="E863" r:id="rId2597" display="https://twitter.com/JETZT_PRde/status/722066993873055745" xr:uid="{8DDB784C-5678-4EF7-B47C-413E72B0A61D}"/>
    <hyperlink ref="O863" r:id="rId2598" display="https://pbs.twimg.com/profile_images/593011135428882432/BGMPkrwp_normal.jpg" xr:uid="{9625F2D3-3C55-4269-A1D2-BBE0489ABDD5}"/>
    <hyperlink ref="B864" r:id="rId2599" display="https://twitter.com/INDIZbot" xr:uid="{13E783AF-7600-4B7E-82CF-CF0C7501D8BF}"/>
    <hyperlink ref="E864" r:id="rId2600" display="https://twitter.com/INDIZbot/status/722067579532091392" xr:uid="{B24CC43E-1F9A-4C72-9FD5-05D11546CD17}"/>
    <hyperlink ref="O864" r:id="rId2601" display="https://pbs.twimg.com/profile_images/645716711723925506/t5G0qOS6_normal.jpg" xr:uid="{5F8338F3-DA9D-42B3-B884-434FAC1A2888}"/>
    <hyperlink ref="B865" r:id="rId2602" display="https://twitter.com/INDIZbot" xr:uid="{A74175EF-FAD4-405B-9439-62E672CC99EB}"/>
    <hyperlink ref="E865" r:id="rId2603" display="https://twitter.com/INDIZbot/status/722067640060141568" xr:uid="{B8615BF8-D150-49C6-80E9-230EB8ADA41A}"/>
    <hyperlink ref="O865" r:id="rId2604" display="https://pbs.twimg.com/profile_images/645716711723925506/t5G0qOS6_normal.jpg" xr:uid="{D007080F-5EED-4471-AB5D-11798E554797}"/>
    <hyperlink ref="B866" r:id="rId2605" display="https://twitter.com/JETZT_PRde" xr:uid="{992D4A86-39F3-448D-AFD5-B8FC26268F7C}"/>
    <hyperlink ref="E866" r:id="rId2606" display="https://twitter.com/JETZT_PRde/status/722067711157780480" xr:uid="{1992B94A-CACE-4AF7-BD26-E0B53622B3C1}"/>
    <hyperlink ref="O866" r:id="rId2607" display="https://pbs.twimg.com/profile_images/593011135428882432/BGMPkrwp_normal.jpg" xr:uid="{C2CC743A-1E38-42CA-924A-A7A5B2BBA70D}"/>
    <hyperlink ref="B867" r:id="rId2608" display="https://twitter.com/INDIZbot" xr:uid="{842301E2-81ED-4606-BDCA-EFB0C58D5350}"/>
    <hyperlink ref="E867" r:id="rId2609" display="https://twitter.com/INDIZbot/status/722067761304834049" xr:uid="{FF98C37C-F718-4C24-A72C-3D23F791B76A}"/>
    <hyperlink ref="O867" r:id="rId2610" display="https://pbs.twimg.com/profile_images/645716711723925506/t5G0qOS6_normal.jpg" xr:uid="{C6E4EFCB-49E9-43ED-AE1B-7F906DF1D670}"/>
    <hyperlink ref="B868" r:id="rId2611" display="https://twitter.com/JETZT_PRde" xr:uid="{913B3329-2137-4EDD-85CE-C3A34837779B}"/>
    <hyperlink ref="E868" r:id="rId2612" display="https://twitter.com/JETZT_PRde/status/722067963520684032" xr:uid="{309E2762-93AF-4DC0-982D-713CE9F02F60}"/>
    <hyperlink ref="O868" r:id="rId2613" display="https://pbs.twimg.com/profile_images/593011135428882432/BGMPkrwp_normal.jpg" xr:uid="{6F2C4D6A-A85E-44EF-96D1-ECA1241D7688}"/>
    <hyperlink ref="B869" r:id="rId2614" display="https://twitter.com/BerHerg" xr:uid="{D5C31314-6202-463F-B614-E7B2268D4E83}"/>
    <hyperlink ref="E869" r:id="rId2615" display="https://twitter.com/BerHerg/status/722069109706514432" xr:uid="{94B3799F-D7C5-4AD0-90F6-0DDD5F624EDF}"/>
    <hyperlink ref="O869" r:id="rId2616" display="https://pbs.twimg.com/profile_images/1648827386/image_normal.jpg" xr:uid="{5835A810-5378-4328-AD78-42036E61EB69}"/>
    <hyperlink ref="B870" r:id="rId2617" display="https://twitter.com/Bitkom" xr:uid="{8F87E6FC-A240-4B5D-B86F-372D350838E7}"/>
    <hyperlink ref="E870" r:id="rId2618" display="https://twitter.com/Bitkom/status/722069195173859328" xr:uid="{3D58D738-833A-4EBF-A1FB-4BD78D0F0FCC}"/>
    <hyperlink ref="O870" r:id="rId2619" display="https://pbs.twimg.com/profile_images/615797525040136192/CKF9-v_o_normal.jpg" xr:uid="{9CABBAFA-6683-4337-AFE1-7F99C7E0387E}"/>
    <hyperlink ref="B871" r:id="rId2620" display="https://twitter.com/startupradioDE" xr:uid="{558F7608-A910-4045-A965-DCEAF7601FC4}"/>
    <hyperlink ref="C871" r:id="rId2621" xr:uid="{5E89DE18-85C7-4DBC-B532-B49BAB765B06}"/>
    <hyperlink ref="E871" r:id="rId2622" display="https://twitter.com/startupradioDE/status/722070002380247040" xr:uid="{3743E184-EEA6-4BB2-9C08-55DAD5CF16B2}"/>
    <hyperlink ref="O871" r:id="rId2623" display="https://pbs.twimg.com/profile_images/686519244415176705/LBgib3O7_normal.png" xr:uid="{37E726FD-5F84-4011-9DC6-CEAC983FE022}"/>
    <hyperlink ref="B872" r:id="rId2624" display="https://twitter.com/DBPitch" xr:uid="{BA85AF46-6556-490F-90A6-F1946A0B2110}"/>
    <hyperlink ref="E872" r:id="rId2625" display="https://twitter.com/DBPitch/status/722070193086820352" xr:uid="{5340B3F4-329E-4676-B776-4FD2BB99FC62}"/>
    <hyperlink ref="O872" r:id="rId2626" display="https://pbs.twimg.com/profile_images/610423333008576512/7Zk5ZYOd_normal.jpg" xr:uid="{A9A19D29-E8CE-449D-A81D-C76C2FC25FDE}"/>
    <hyperlink ref="B873" r:id="rId2627" display="https://twitter.com/MarianKoeller" xr:uid="{071DCB06-096D-4B49-9428-8A6A521FB0C8}"/>
    <hyperlink ref="E873" r:id="rId2628" display="https://twitter.com/MarianKoeller/status/722071203226238976" xr:uid="{E1FF5946-F733-4855-B5D6-CEA6A425A8E9}"/>
    <hyperlink ref="O873" r:id="rId2629" display="https://pbs.twimg.com/profile_images/701004613206433792/o4DJfA8-_normal.jpg" xr:uid="{56CCE01D-7D6B-4FAD-8A0F-60E6AA9678E8}"/>
    <hyperlink ref="B874" r:id="rId2630" display="https://twitter.com/BMBF_Bund" xr:uid="{E0D94470-A153-4020-A7FB-C1125B251E66}"/>
    <hyperlink ref="E874" r:id="rId2631" display="https://twitter.com/BMBF_Bund/status/722072759015247872" xr:uid="{23F0E6EC-EE56-4A2A-A17F-62CAEF06343D}"/>
    <hyperlink ref="O874" r:id="rId2632" display="https://pbs.twimg.com/profile_images/553544845340311554/4WJwvjGd_normal.png" xr:uid="{0CEE9F88-B3BA-4F36-B2FE-B5B785DDF5BA}"/>
    <hyperlink ref="B875" r:id="rId2633" display="https://twitter.com/INDIZbot" xr:uid="{F1F65CED-32CA-4DE6-B60E-C62C772B353D}"/>
    <hyperlink ref="E875" r:id="rId2634" display="https://twitter.com/INDIZbot/status/722072828288331776" xr:uid="{CF45183E-EC23-4852-AB88-313EBD3C202F}"/>
    <hyperlink ref="O875" r:id="rId2635" display="https://pbs.twimg.com/profile_images/645716711723925506/t5G0qOS6_normal.jpg" xr:uid="{788536E0-C208-43C5-92D1-367B8F527F9F}"/>
    <hyperlink ref="B876" r:id="rId2636" display="https://twitter.com/inform_software" xr:uid="{2EBB4355-DC85-4925-B8F5-5F1D74D73175}"/>
    <hyperlink ref="E876" r:id="rId2637" display="https://twitter.com/inform_software/status/722073199551344640" xr:uid="{DA88C193-C132-4153-B3E0-0C96553BFC6C}"/>
    <hyperlink ref="O876" r:id="rId2638" display="https://pbs.twimg.com/profile_images/458898668217585664/llSPBSxP_normal.jpeg" xr:uid="{8A747514-7564-482E-8140-60CE75BD1B76}"/>
    <hyperlink ref="B877" r:id="rId2639" display="https://twitter.com/LNI40" xr:uid="{2499BC36-E192-4114-B6D0-12941B1A2929}"/>
    <hyperlink ref="E877" r:id="rId2640" display="https://twitter.com/LNI40/status/722073521229283328" xr:uid="{02C35F7C-094C-4EE6-9E49-0AEA4196D5EA}"/>
    <hyperlink ref="O877" r:id="rId2641" display="https://pbs.twimg.com/profile_images/722098538604281856/CcBxk1_M_normal.jpg" xr:uid="{9D1DFD38-92A7-4426-A10A-E6CEE2D4A31B}"/>
    <hyperlink ref="B878" r:id="rId2642" display="https://twitter.com/Michaelhams" xr:uid="{42C00848-0E98-4EF7-8AD6-DBF3E7D81A2B}"/>
    <hyperlink ref="E878" r:id="rId2643" display="https://twitter.com/Michaelhams/status/722073546126659584" xr:uid="{56A02A49-8B48-4FFB-9D2A-08A7E755859A}"/>
    <hyperlink ref="O878" r:id="rId2644" display="https://pbs.twimg.com/profile_images/529282600972451840/sDHsXvMh_normal.jpeg" xr:uid="{909FA419-B722-48C5-8C09-B244E72D6EEB}"/>
    <hyperlink ref="B879" r:id="rId2645" display="https://twitter.com/innovationbawue" xr:uid="{00338A9D-66A5-4395-9B41-0182A4974298}"/>
    <hyperlink ref="C879" r:id="rId2646" xr:uid="{02AD7C66-1850-4D5E-B9E9-5078B5010E4F}"/>
    <hyperlink ref="E879" r:id="rId2647" display="https://twitter.com/innovationbawue/status/722077640656580609" xr:uid="{EA4EA6F1-4B1F-44AD-87D2-9909F966C266}"/>
    <hyperlink ref="O879" r:id="rId2648" display="https://pbs.twimg.com/profile_images/719538951988592641/7lKnB2dG_normal.jpg" xr:uid="{84A69F82-4400-4F0B-90BF-6EFD8407295F}"/>
    <hyperlink ref="B880" r:id="rId2649" display="https://twitter.com/bengolder" xr:uid="{1CA8C01C-B25C-4D97-B79E-BB86F46A98E7}"/>
    <hyperlink ref="E880" r:id="rId2650" display="https://twitter.com/bengolder/status/722078094232809473" xr:uid="{564028B5-B9F1-407B-98CF-E9E5C8A3393D}"/>
    <hyperlink ref="O880" r:id="rId2651" display="https://pbs.twimg.com/profile_images/719524881973571584/Qe9-Bm8r_normal.jpg" xr:uid="{7A85C2C3-8A29-4BC1-A3C5-F3D99D1851DA}"/>
    <hyperlink ref="B881" r:id="rId2652" display="https://twitter.com/GeRosenthal" xr:uid="{770EC05C-EBB4-4AF7-AF8F-019E2817A9EA}"/>
    <hyperlink ref="E881" r:id="rId2653" display="https://twitter.com/GeRosenthal/status/722080914684166144" xr:uid="{9869E874-FFAE-432A-AF42-544B2455740E}"/>
    <hyperlink ref="O881" r:id="rId2654" display="https://pbs.twimg.com/profile_images/698101534865940480/LqPcDlzV_normal.jpg" xr:uid="{DD561ACB-7B62-4C1D-91EF-D526EB7E6588}"/>
    <hyperlink ref="B882" r:id="rId2655" display="https://twitter.com/Gruendercoaches" xr:uid="{038B6DBD-992B-4B57-BE74-16B90DAF2FC3}"/>
    <hyperlink ref="E882" r:id="rId2656" display="https://twitter.com/Gruendercoaches/status/722081443007045633" xr:uid="{2174B720-8C7C-4D54-B5D4-1BADEF59BEC8}"/>
    <hyperlink ref="O882" r:id="rId2657" display="https://pbs.twimg.com/profile_images/561208179355185153/11KDu7Gt_normal.png" xr:uid="{326D852B-F352-4EC9-802D-CABB2E7580F9}"/>
    <hyperlink ref="B883" r:id="rId2658" display="https://twitter.com/BoschGlobal" xr:uid="{CD514FF4-09B1-44E3-A28A-80049E9FFBEE}"/>
    <hyperlink ref="E883" r:id="rId2659" display="https://twitter.com/BoschGlobal/status/722081764303310848" xr:uid="{C0B2BCB5-FD34-489A-B7E7-AC94BF68C61C}"/>
    <hyperlink ref="O883" r:id="rId2660" display="https://pbs.twimg.com/profile_images/1521890851/logo_normal.jpg" xr:uid="{462C352C-5427-48D9-9601-F7AEAD8A3E32}"/>
    <hyperlink ref="B884" r:id="rId2661" display="https://twitter.com/haiyendang" xr:uid="{DD95B521-C502-4BF8-A52C-E9124F61CE5A}"/>
    <hyperlink ref="E884" r:id="rId2662" display="https://twitter.com/haiyendang/status/722081877134348289" xr:uid="{1727372A-87C5-46D6-BC56-706F41D02990}"/>
    <hyperlink ref="O884" r:id="rId2663" display="https://pbs.twimg.com/profile_images/645957961496399872/prwDlMPS_normal.jpg" xr:uid="{3A9DEB64-022D-4FFF-8D37-72A4D75D5B8C}"/>
    <hyperlink ref="B885" r:id="rId2664" display="https://twitter.com/SmartAutomati0n" xr:uid="{38A11E73-76AD-4347-A97C-21DAF33E5C4F}"/>
    <hyperlink ref="E885" r:id="rId2665" display="https://twitter.com/SmartAutomati0n/status/722082051554279424" xr:uid="{C8394BC5-C195-4F0F-A668-2E3D46305738}"/>
    <hyperlink ref="O885" r:id="rId2666" display="https://pbs.twimg.com/profile_images/562236665897291777/ArzSiANk_normal.png" xr:uid="{CE46D17C-7DB4-4092-A638-4A13F6407F6C}"/>
    <hyperlink ref="B886" r:id="rId2667" display="https://twitter.com/lutzrach" xr:uid="{5892C4C1-C754-489F-B2F7-DDA4CC9F3DAC}"/>
    <hyperlink ref="E886" r:id="rId2668" display="https://twitter.com/lutzrach/status/722082052938559492" xr:uid="{71BA87DB-6A96-4D12-99D9-64D35B1AA4FA}"/>
    <hyperlink ref="O886" r:id="rId2669" display="https://pbs.twimg.com/profile_images/720402539955560448/s_pUNvlD_normal.jpg" xr:uid="{329E65E1-E950-489B-A138-EAD77755DF9B}"/>
    <hyperlink ref="B887" r:id="rId2670" display="https://twitter.com/INDIZbot" xr:uid="{A9AEF65E-952E-4A05-95C2-C0B094910542}"/>
    <hyperlink ref="E887" r:id="rId2671" display="https://twitter.com/INDIZbot/status/722082545425326081" xr:uid="{A7482984-887B-42ED-8963-EDEC5CE2ACDE}"/>
    <hyperlink ref="O887" r:id="rId2672" display="https://pbs.twimg.com/profile_images/645716711723925506/t5G0qOS6_normal.jpg" xr:uid="{848A1CF7-B163-4B81-9E82-9EC413B169C1}"/>
    <hyperlink ref="B888" r:id="rId2673" display="https://twitter.com/INDIZbot" xr:uid="{54A22F0F-9F32-4ED8-AF62-794353282CA3}"/>
    <hyperlink ref="E888" r:id="rId2674" display="https://twitter.com/INDIZbot/status/722082758886060034" xr:uid="{BAA22E30-CE24-4E48-9BE3-96654BA607A0}"/>
    <hyperlink ref="O888" r:id="rId2675" display="https://pbs.twimg.com/profile_images/645716711723925506/t5G0qOS6_normal.jpg" xr:uid="{F2BC9DF7-2CAE-4136-9127-AC380EE46EBB}"/>
    <hyperlink ref="B889" r:id="rId2676" display="https://twitter.com/INDIZbot" xr:uid="{BC4E40B4-4B2A-4D1D-B6FA-A09D3906F743}"/>
    <hyperlink ref="E889" r:id="rId2677" display="https://twitter.com/INDIZbot/status/722082990885584896" xr:uid="{56561A45-6DCE-40AB-A57C-43EABC233786}"/>
    <hyperlink ref="O889" r:id="rId2678" display="https://pbs.twimg.com/profile_images/645716711723925506/t5G0qOS6_normal.jpg" xr:uid="{A2E5232A-17E4-4666-AF90-FEBB31ED5852}"/>
    <hyperlink ref="B890" r:id="rId2679" display="https://twitter.com/LNI40" xr:uid="{1CFF8966-2B4C-4330-B00E-F99CE7145BBD}"/>
    <hyperlink ref="E890" r:id="rId2680" display="https://twitter.com/LNI40/status/722084576521281536" xr:uid="{A4FB1A47-AA83-4AD5-B385-62BF92FD3FD4}"/>
    <hyperlink ref="O890" r:id="rId2681" display="https://pbs.twimg.com/profile_images/722098538604281856/CcBxk1_M_normal.jpg" xr:uid="{E918A10D-CFFA-4F9A-A4A0-669514A8F29E}"/>
    <hyperlink ref="B891" r:id="rId2682" display="https://twitter.com/VDMAonline" xr:uid="{12826D86-AE22-4CB0-84AA-B22FB5C9751A}"/>
    <hyperlink ref="E891" r:id="rId2683" display="https://twitter.com/VDMAonline/status/722085232388751360" xr:uid="{E0009D82-EBBA-4D4E-AF4B-AA71472ED97E}"/>
    <hyperlink ref="O891" r:id="rId2684" display="https://pbs.twimg.com/profile_images/609375510158774272/P5glOk4b_normal.jpg" xr:uid="{2A78A697-D8A5-447D-AB4A-1D5C43624717}"/>
    <hyperlink ref="B892" r:id="rId2685" display="https://twitter.com/INDIZbot" xr:uid="{EB996E67-D25D-446D-A61E-06A649B10669}"/>
    <hyperlink ref="E892" r:id="rId2686" display="https://twitter.com/INDIZbot/status/722085272893136896" xr:uid="{C57E6DC2-332B-4706-A0BA-C2641A4F0BA1}"/>
    <hyperlink ref="O892" r:id="rId2687" display="https://pbs.twimg.com/profile_images/645716711723925506/t5G0qOS6_normal.jpg" xr:uid="{A69B3BF6-3503-4DED-9AFD-FAA324CB514F}"/>
    <hyperlink ref="B893" r:id="rId2688" display="https://twitter.com/H_IT_D" xr:uid="{6607E8BA-83EC-473D-857F-C546533C55CC}"/>
    <hyperlink ref="E893" r:id="rId2689" display="https://twitter.com/H_IT_D/status/722086673090158592" xr:uid="{C1B1DA54-347C-4F00-9D2D-9592A5E301FB}"/>
    <hyperlink ref="O893" r:id="rId2690" display="https://pbs.twimg.com/profile_images/662723326096224256/5V4KH9_O_normal.jpg" xr:uid="{90A76B00-3CDA-4ECF-A9B3-DBD138C5CE77}"/>
    <hyperlink ref="B894" r:id="rId2691" display="https://twitter.com/INDIZbot" xr:uid="{0DA683D6-1116-4BA1-8EDE-E8272E2F4AFC}"/>
    <hyperlink ref="E894" r:id="rId2692" display="https://twitter.com/INDIZbot/status/722087656604246016" xr:uid="{7AE84068-B18A-4180-B06E-CE228F460261}"/>
    <hyperlink ref="O894" r:id="rId2693" display="https://pbs.twimg.com/profile_images/645716711723925506/t5G0qOS6_normal.jpg" xr:uid="{8181CC4A-E60C-491D-9A20-163DF28D8573}"/>
    <hyperlink ref="B895" r:id="rId2694" display="https://twitter.com/Jautomatise" xr:uid="{95DA0E0C-EA16-402C-B9DE-F24B3B5FE234}"/>
    <hyperlink ref="E895" r:id="rId2695" display="https://twitter.com/Jautomatise/status/722091510121029632" xr:uid="{8A2B2436-8218-4E0A-9915-3C6E6A095CF7}"/>
    <hyperlink ref="O895" r:id="rId2696" display="https://pbs.twimg.com/profile_images/2206886263/jautomatise_logo_normal.png" xr:uid="{FBD01FEB-7A51-4705-836F-7564B6166644}"/>
    <hyperlink ref="B896" r:id="rId2697" display="https://twitter.com/Siemens_SFS" xr:uid="{82A50B2E-89A2-4C78-B12D-AD11A757B4AB}"/>
    <hyperlink ref="E896" r:id="rId2698" display="https://twitter.com/Siemens_SFS/status/722093558010888192" xr:uid="{464FA31D-26E5-482E-83C9-5BACB4219C12}"/>
    <hyperlink ref="O896" r:id="rId2699" display="https://pbs.twimg.com/profile_images/464414275256070145/jE8OVTXo_normal.png" xr:uid="{757AE0F5-D6F9-49AE-BB2B-7A24588A61CE}"/>
    <hyperlink ref="B897" r:id="rId2700" display="https://twitter.com/Industry40" xr:uid="{DB15FF72-DAA9-43F1-B53B-C883780C6435}"/>
    <hyperlink ref="E897" r:id="rId2701" display="https://twitter.com/Industry40/status/722093707386843136" xr:uid="{4F253B9A-E1FE-4284-BD75-9785F564B8F9}"/>
    <hyperlink ref="O897" r:id="rId2702" display="https://pbs.twimg.com/profile_images/613472305570824192/BKw639DG_normal.png" xr:uid="{5CF720A0-11D3-4E9E-B923-5A59EE779486}"/>
    <hyperlink ref="B898" r:id="rId2703" display="https://twitter.com/DanielDomigall" xr:uid="{87A1CC5F-B3AF-4414-BF50-FD39CDE0A28F}"/>
    <hyperlink ref="E898" r:id="rId2704" display="https://twitter.com/DanielDomigall/status/722095865318502400" xr:uid="{98C4827E-713C-4DE8-A035-F03C629F6B74}"/>
    <hyperlink ref="O898" r:id="rId2705" display="https://pbs.twimg.com/profile_images/686153219328872448/sWdOqu2g_normal.jpg" xr:uid="{7AE4A5EB-C67C-4F44-AC62-37C21245657F}"/>
    <hyperlink ref="B899" r:id="rId2706" display="https://twitter.com/mbesch" xr:uid="{A237C202-01EF-42C7-8984-409075BCDE45}"/>
    <hyperlink ref="E899" r:id="rId2707" display="https://twitter.com/mbesch/status/722096001012645889" xr:uid="{3C6A2E75-A6D5-466E-9CB1-C427957C37E8}"/>
    <hyperlink ref="O899" r:id="rId2708" display="https://pbs.twimg.com/profile_images/378800000095428642/8ef0ce9ca980b41ef8db86c5e546114f_normal.jpeg" xr:uid="{DAD5D15C-C557-425F-91D7-E985FCC0F70D}"/>
    <hyperlink ref="B900" r:id="rId2709" display="https://twitter.com/LNI40" xr:uid="{B9285C73-FCD0-4390-98A7-1FD47153D27E}"/>
    <hyperlink ref="E900" r:id="rId2710" display="https://twitter.com/LNI40/status/722097410168762368" xr:uid="{F912DC8D-955F-491A-A2B1-FF89AE2A8EED}"/>
    <hyperlink ref="O900" r:id="rId2711" display="https://pbs.twimg.com/profile_images/722098538604281856/CcBxk1_M_normal.jpg" xr:uid="{B0D3EA53-CE05-4DC3-81A6-733D8BD45D1E}"/>
    <hyperlink ref="B901" r:id="rId2712" display="https://twitter.com/INDIZbot" xr:uid="{C9C82455-E590-40D7-B3E5-A8AFF381097E}"/>
    <hyperlink ref="E901" r:id="rId2713" display="https://twitter.com/INDIZbot/status/722097651022458880" xr:uid="{B9633772-BDA0-4DDB-95B3-E3F1A716522D}"/>
    <hyperlink ref="O901" r:id="rId2714" display="https://pbs.twimg.com/profile_images/645716711723925506/t5G0qOS6_normal.jpg" xr:uid="{38F09DC3-8223-468C-A0C7-7C96101A92E5}"/>
    <hyperlink ref="B902" r:id="rId2715" display="https://twitter.com/VR_Nachrichten" xr:uid="{C5DFAD30-D608-4968-95AA-AC02D191A73A}"/>
    <hyperlink ref="E902" r:id="rId2716" display="https://twitter.com/VR_Nachrichten/status/722097744907792384" xr:uid="{8CE94D7E-A207-4A19-BB2F-C79E342C6329}"/>
    <hyperlink ref="O902" r:id="rId2717" display="https://pbs.twimg.com/profile_images/647332458573099008/HN8uONVI_normal.jpg" xr:uid="{6B514895-07E2-4E8C-A315-EE8CD1D0BDFA}"/>
    <hyperlink ref="B903" r:id="rId2718" display="https://twitter.com/iamGuruprasadS" xr:uid="{64508AEB-8661-4203-9720-E5B6C5B5E5F3}"/>
    <hyperlink ref="E903" r:id="rId2719" display="https://twitter.com/iamGuruprasadS/status/722098201889804290" xr:uid="{706BE843-1707-40E5-8ACC-453D31DA1327}"/>
    <hyperlink ref="O903" r:id="rId2720" display="https://pbs.twimg.com/profile_images/633603281168695296/UhK5NdQY_normal.jpg" xr:uid="{D480BAFC-C911-4072-8382-224E66C19C55}"/>
    <hyperlink ref="B904" r:id="rId2721" display="https://twitter.com/openHPI" xr:uid="{1FFCD061-3FE0-4AD9-B3EE-CCDC747E9978}"/>
    <hyperlink ref="E904" r:id="rId2722" display="https://twitter.com/openHPI/status/722098576109801472" xr:uid="{87EEFA2E-AAFC-4FA7-B07E-8FED8542D0E3}"/>
    <hyperlink ref="O904" r:id="rId2723" display="https://pbs.twimg.com/profile_images/378800000827898552/669f90369b095789252ae6f0649bc39a_normal.png" xr:uid="{E95254AC-4234-4085-9099-BA2BF605F5D5}"/>
    <hyperlink ref="B905" r:id="rId2724" display="https://twitter.com/Bitkom_aero" xr:uid="{CAC29B6C-C539-4729-AA1F-3DAD1C2D0A43}"/>
    <hyperlink ref="E905" r:id="rId2725" display="https://twitter.com/Bitkom_aero/status/722101588349886464" xr:uid="{65F98DBA-4036-42D9-8DDD-85934B7010ED}"/>
    <hyperlink ref="O905" r:id="rId2726" display="https://pbs.twimg.com/profile_images/700593402220392448/latFpFg9_normal.jpg" xr:uid="{DA0D000D-17FB-4D2B-BD29-635E8CC21A66}"/>
    <hyperlink ref="B906" r:id="rId2727" display="https://twitter.com/M_Sauermann" xr:uid="{F5433AF4-612C-4134-91BB-85957AC1D3C2}"/>
    <hyperlink ref="E906" r:id="rId2728" display="https://twitter.com/M_Sauermann/status/722102896943370241" xr:uid="{22988DFC-FEA2-45EE-AFAD-B9994716C4A4}"/>
    <hyperlink ref="O906" r:id="rId2729" display="https://pbs.twimg.com/profile_images/713325797600280577/RkFuAs4X_normal.jpg" xr:uid="{EE9418D3-4767-444A-9C89-4AD9F947DF31}"/>
    <hyperlink ref="B907" r:id="rId2730" display="https://twitter.com/QuickFindsIn" xr:uid="{EF74A2F7-BC95-4E9E-AE87-75FB704A3360}"/>
    <hyperlink ref="E907" r:id="rId2731" display="https://twitter.com/QuickFindsIn/status/722104410017370116" xr:uid="{F85D6946-EF36-4E96-8CB1-03F37F381B78}"/>
    <hyperlink ref="O907" r:id="rId2732" display="https://pbs.twimg.com/profile_images/591951396217327616/HbcCX2zX_normal.png" xr:uid="{BCB2CCB4-8324-49B1-8E7B-4338F6173F22}"/>
    <hyperlink ref="B908" r:id="rId2733" display="https://twitter.com/jcb_tweet" xr:uid="{8194D44C-CD88-4804-990F-0DB4CAD34BE8}"/>
    <hyperlink ref="E908" r:id="rId2734" display="https://twitter.com/jcb_tweet/status/722107459268161537" xr:uid="{76754E5D-5A6E-483A-BCA5-10DC3F93AC7A}"/>
    <hyperlink ref="O908" r:id="rId2735" display="https://abs.twimg.com/sticky/default_profile_images/default_profile_1_normal.png" xr:uid="{2466B9FA-D34C-4CA2-A1A3-F9F645066841}"/>
    <hyperlink ref="B909" r:id="rId2736" display="https://twitter.com/H_IT_D" xr:uid="{6CB90B11-5FEA-43E1-B79E-AAD2F0CDE188}"/>
    <hyperlink ref="E909" r:id="rId2737" display="https://twitter.com/H_IT_D/status/722107493178957824" xr:uid="{BE474E32-937F-4759-ABD8-E73DE61BBCB4}"/>
    <hyperlink ref="O909" r:id="rId2738" display="https://pbs.twimg.com/profile_images/662723326096224256/5V4KH9_O_normal.jpg" xr:uid="{FD33091A-5C3F-4EB4-A22A-04F3AE834D92}"/>
    <hyperlink ref="B910" r:id="rId2739" display="https://twitter.com/RahmanNow" xr:uid="{1B0CE40D-9383-4A77-B513-6831B0E1E0C3}"/>
    <hyperlink ref="E910" r:id="rId2740" display="https://twitter.com/RahmanNow/status/722108104490491905" xr:uid="{8E6DB703-B622-40F3-9443-D2A936C57C9D}"/>
    <hyperlink ref="O910" r:id="rId2741" display="https://pbs.twimg.com/profile_images/706237713700298754/yOEMWn0A_normal.jpg" xr:uid="{96DEC0C1-22FE-49EF-95B4-6AE0238FCB06}"/>
    <hyperlink ref="B911" r:id="rId2742" display="https://twitter.com/bamitav" xr:uid="{41B99844-3449-498A-AFE0-5AABEB7EE598}"/>
    <hyperlink ref="E911" r:id="rId2743" display="https://twitter.com/bamitav/status/722112573085093888" xr:uid="{EBB3F3D6-2461-4C5D-8781-8D34F35A5E27}"/>
    <hyperlink ref="O911" r:id="rId2744" display="https://pbs.twimg.com/profile_images/672794348442877952/m6Is-Nrc_normal.jpg" xr:uid="{36DA24E4-5F50-4547-811E-71FC282D40A0}"/>
    <hyperlink ref="B912" r:id="rId2745" display="https://twitter.com/ThingsExpo" xr:uid="{B6335BCE-6F15-461C-8440-1042DF3236BD}"/>
    <hyperlink ref="E912" r:id="rId2746" display="https://twitter.com/ThingsExpo/status/722112891416158208" xr:uid="{F87D333C-95A9-436A-9D9B-2609D28666CE}"/>
    <hyperlink ref="O912" r:id="rId2747" display="https://pbs.twimg.com/profile_images/436501577856483328/tKBq2i9m_normal.jpeg" xr:uid="{B391E303-17B4-4C4D-9D29-8007F7AB573A}"/>
    <hyperlink ref="B913" r:id="rId2748" display="https://twitter.com/observaitress" xr:uid="{7788D54D-83D6-4454-B6CA-14D3DCB57DCE}"/>
    <hyperlink ref="E913" r:id="rId2749" display="https://twitter.com/observaitress/status/722113014342754305" xr:uid="{1461E98B-A46C-4A37-88D0-721E4D6FEC53}"/>
    <hyperlink ref="O913" r:id="rId2750" display="https://pbs.twimg.com/profile_images/1173146264/Portrait-Vera-dkl-201010_DSC0132-Webklein_normal.jpg" xr:uid="{2ED3B7FD-C02F-4B38-B52D-F4AD9B5C0C11}"/>
    <hyperlink ref="B914" r:id="rId2751" display="https://twitter.com/IoTJournal" xr:uid="{A8133D0F-C7D2-4D50-875B-0FBDD197FFD6}"/>
    <hyperlink ref="E914" r:id="rId2752" display="https://twitter.com/IoTJournal/status/722113260988841985" xr:uid="{4A40A0DD-8FF3-4BB1-8A8B-EA0B2EFC3147}"/>
    <hyperlink ref="O914" r:id="rId2753" display="https://pbs.twimg.com/profile_images/436501817481256960/-oSbocC2_normal.jpeg" xr:uid="{5D7020EE-3F4C-4CE5-B7E9-7DDE01AC9358}"/>
    <hyperlink ref="B915" r:id="rId2754" display="https://twitter.com/katekor11" xr:uid="{455B2783-0653-442C-8936-7385CD08944F}"/>
    <hyperlink ref="E915" r:id="rId2755" display="https://twitter.com/katekor11/status/722113484373286913" xr:uid="{E1D59D81-5963-4FFD-A6DE-F13612BE8F45}"/>
    <hyperlink ref="O915" r:id="rId2756" display="https://pbs.twimg.com/profile_images/683802334359613440/wmMcoXJ-_normal.png" xr:uid="{7A298BC7-FC15-4DB5-B21B-E280F3BE722A}"/>
    <hyperlink ref="B916" r:id="rId2757" display="https://twitter.com/WebRTCSummit" xr:uid="{2C0D75A7-5257-4EDA-848B-1E770F7EC7B2}"/>
    <hyperlink ref="E916" r:id="rId2758" display="https://twitter.com/WebRTCSummit/status/722113617836032000" xr:uid="{CEFEAFB6-DF41-4431-8C8A-2D0140142A5D}"/>
    <hyperlink ref="O916" r:id="rId2759" display="https://pbs.twimg.com/profile_images/378800000435727167/4cf1a69d735b7ed9d39ef2b6f42f5f07_normal.jpeg" xr:uid="{70DACEAC-FDBF-4D52-957F-CD5AC9BEB665}"/>
    <hyperlink ref="B917" r:id="rId2760" display="https://twitter.com/mbesch" xr:uid="{09BB5AF8-AA72-45BD-9E37-34F7781B1D15}"/>
    <hyperlink ref="E917" r:id="rId2761" display="https://twitter.com/mbesch/status/722113692062642180" xr:uid="{E2B16139-6AA6-4910-98F3-6D23CD15DF5B}"/>
    <hyperlink ref="O917" r:id="rId2762" display="https://pbs.twimg.com/profile_images/378800000095428642/8ef0ce9ca980b41ef8db86c5e546114f_normal.jpeg" xr:uid="{C958A913-72A3-4DE3-B5F1-7EDEB6A5EF32}"/>
    <hyperlink ref="B918" r:id="rId2763" display="https://twitter.com/nextDBI" xr:uid="{BA1365E1-DC8D-485A-9D33-A35BCE2A4B6E}"/>
    <hyperlink ref="E918" r:id="rId2764" display="https://twitter.com/nextDBI/status/722113692159066112" xr:uid="{AB636F07-3418-454D-8252-EE53E833F1AA}"/>
    <hyperlink ref="O918" r:id="rId2765" display="https://pbs.twimg.com/profile_images/544485391860916225/UGg0IhKT_normal.png" xr:uid="{589548E0-A881-4250-A93A-569BB565587D}"/>
    <hyperlink ref="B919" r:id="rId2766" display="https://twitter.com/_DigitalNinja" xr:uid="{A11175C7-B65C-4FF9-BD84-A5968F18441D}"/>
    <hyperlink ref="E919" r:id="rId2767" display="https://twitter.com/_DigitalNinja/status/722114369463537664" xr:uid="{4794FC1F-3303-40D0-8A67-C2755097C1A4}"/>
    <hyperlink ref="O919" r:id="rId2768" display="https://pbs.twimg.com/profile_images/706163879768776704/s2JFtdJh_normal.jpg" xr:uid="{372A6515-FEFA-450C-B6B1-3B735D296422}"/>
    <hyperlink ref="B920" r:id="rId2769" display="https://twitter.com/CloudExpo" xr:uid="{3C52EF8D-7CCF-47FE-ADF5-D3FB783AEC81}"/>
    <hyperlink ref="E920" r:id="rId2770" display="https://twitter.com/CloudExpo/status/722115638261596160" xr:uid="{E950C2BA-B43C-4C21-9BC8-6856C24EF7C9}"/>
    <hyperlink ref="O920" r:id="rId2771" display="https://pbs.twimg.com/profile_images/660956110220734464/oR5zDedC_normal.jpg" xr:uid="{417152B2-53DC-46BE-A23F-5FD044C978FB}"/>
    <hyperlink ref="B921" r:id="rId2772" display="https://twitter.com/BigDataExpo" xr:uid="{DADF5095-8563-4E7A-9C13-1C3AD65BBA53}"/>
    <hyperlink ref="E921" r:id="rId2773" display="https://twitter.com/BigDataExpo/status/722115721002684416" xr:uid="{6BE73F7E-47AB-4E71-A4FC-97F36996A5B0}"/>
    <hyperlink ref="O921" r:id="rId2774" display="https://pbs.twimg.com/profile_images/378800000469661221/e10187d0979a6e71b7861417f3801a91_normal.jpeg" xr:uid="{1006397D-8A08-4927-9B0B-DC512E270AAA}"/>
    <hyperlink ref="B922" r:id="rId2775" display="https://twitter.com/SYSCONmedia" xr:uid="{CBC70001-15AF-43E0-ADC9-57B05BB43CD4}"/>
    <hyperlink ref="E922" r:id="rId2776" display="https://twitter.com/SYSCONmedia/status/722116297509761024" xr:uid="{FA5849C6-9FC7-4DC0-99D2-70003BBFFA48}"/>
    <hyperlink ref="O922" r:id="rId2777" display="https://pbs.twimg.com/profile_images/745331242/SYS-CON_Media_Logo_100_normal.png" xr:uid="{F7D2384B-0544-4AB3-BDE8-0717FFF5DEB9}"/>
    <hyperlink ref="B923" r:id="rId2778" display="https://twitter.com/S_Koebernick" xr:uid="{797B3A13-425F-4F73-B0D2-F7102485CCF2}"/>
    <hyperlink ref="E923" r:id="rId2779" display="https://twitter.com/S_Koebernick/status/722116944099471360" xr:uid="{D787F572-B114-4E32-963B-6164AC305921}"/>
    <hyperlink ref="O923" r:id="rId2780" display="https://pbs.twimg.com/profile_images/567384025568776192/u-T3fEX2_normal.jpeg" xr:uid="{0FE4D092-BB99-4F00-9E0E-EFB264A21308}"/>
    <hyperlink ref="B924" r:id="rId2781" display="https://twitter.com/INDIZbot" xr:uid="{2A77FEA6-7A12-446E-A05A-20993F066E89}"/>
    <hyperlink ref="E924" r:id="rId2782" display="https://twitter.com/INDIZbot/status/722117951785168896" xr:uid="{0418C141-41DF-4798-B88E-1F8C2BC61070}"/>
    <hyperlink ref="O924" r:id="rId2783" display="https://pbs.twimg.com/profile_images/645716711723925506/t5G0qOS6_normal.jpg" xr:uid="{6C5B61D1-DFDB-446E-8917-9BFCF9709542}"/>
    <hyperlink ref="B925" r:id="rId2784" display="https://twitter.com/CloudJobFair" xr:uid="{A5CBEE8F-FCD2-46FA-BF73-3F38B95A0EF4}"/>
    <hyperlink ref="E925" r:id="rId2785" display="https://twitter.com/CloudJobFair/status/722120706776018946" xr:uid="{565CE449-D117-4EA9-9C30-4C19007CF1C1}"/>
    <hyperlink ref="O925" r:id="rId2786" display="https://pbs.twimg.com/profile_images/378800000464177829/21d2a3a1dc817ee9de1eab1a46418333_normal.jpeg" xr:uid="{3C0A1D4D-DAF2-4C4E-AD86-17BC731FFFF5}"/>
    <hyperlink ref="B926" r:id="rId2787" display="https://twitter.com/CloudExpoWire" xr:uid="{B5E6287C-004A-4B7E-9F7B-80C29026F37E}"/>
    <hyperlink ref="E926" r:id="rId2788" display="https://twitter.com/CloudExpoWire/status/722121422303281152" xr:uid="{176424F8-F969-4A9C-A2D7-61D3653A06E0}"/>
    <hyperlink ref="O926" r:id="rId2789" display="https://pbs.twimg.com/profile_images/378800000474033051/8bdbd8614e8eaba7d1bd90912ce6ef4d_normal.jpeg" xr:uid="{8685774E-CE54-4714-A355-1C15ED42D793}"/>
    <hyperlink ref="B927" r:id="rId2790" display="https://twitter.com/ThingsExpo" xr:uid="{1359D240-80B4-4B17-AD3C-2CE17CC90E24}"/>
    <hyperlink ref="E927" r:id="rId2791" display="https://twitter.com/ThingsExpo/status/722122611170373632" xr:uid="{E2A75756-4FC5-430E-ABEB-D85EB9E7F833}"/>
    <hyperlink ref="O927" r:id="rId2792" display="https://pbs.twimg.com/profile_images/436501577856483328/tKBq2i9m_normal.jpeg" xr:uid="{4F7750AC-5A05-4819-8431-5C35108FC8DC}"/>
    <hyperlink ref="B928" r:id="rId2793" display="https://twitter.com/IoTJournal" xr:uid="{C8E0AD03-8119-4188-B306-886F2ED30CE5}"/>
    <hyperlink ref="E928" r:id="rId2794" display="https://twitter.com/IoTJournal/status/722122983297458176" xr:uid="{00FC873C-8FAD-4471-B305-C385824CBB0A}"/>
    <hyperlink ref="O928" r:id="rId2795" display="https://pbs.twimg.com/profile_images/436501817481256960/-oSbocC2_normal.jpeg" xr:uid="{35AEF13D-0C09-4EC7-9652-5F5554A96C4C}"/>
    <hyperlink ref="B929" r:id="rId2796" display="https://twitter.com/WebRTCSummit" xr:uid="{E5D001EE-2C8D-4750-BABE-E24BDB725305}"/>
    <hyperlink ref="E929" r:id="rId2797" display="https://twitter.com/WebRTCSummit/status/722123258661888001" xr:uid="{4E40A5BF-A1E3-42D6-9559-E84353E676B5}"/>
    <hyperlink ref="O929" r:id="rId2798" display="https://pbs.twimg.com/profile_images/378800000435727167/4cf1a69d735b7ed9d39ef2b6f42f5f07_normal.jpeg" xr:uid="{0C130F76-224B-4FAE-874F-E923CB7BF639}"/>
    <hyperlink ref="B930" r:id="rId2799" display="https://twitter.com/HaileyMcK" xr:uid="{595C1F74-56A7-44A3-BD85-E5419A52956B}"/>
    <hyperlink ref="E930" r:id="rId2800" display="https://twitter.com/HaileyMcK/status/722127444128346113" xr:uid="{607E1D4C-34F7-44F2-8CF8-931E371041EF}"/>
    <hyperlink ref="O930" r:id="rId2801" display="https://pbs.twimg.com/profile_images/276489012/delmas_hailey_01_normal.jpg" xr:uid="{A893935A-DF35-486B-B673-ADA059A9D7ED}"/>
    <hyperlink ref="B931" r:id="rId2802" display="https://twitter.com/H_IT_D" xr:uid="{8997DCF6-F049-4049-8D55-65AF57AA1539}"/>
    <hyperlink ref="E931" r:id="rId2803" display="https://twitter.com/H_IT_D/status/722128233752170496" xr:uid="{662A1EB9-94ED-45AA-B573-055CBD5A92CF}"/>
    <hyperlink ref="O931" r:id="rId2804" display="https://pbs.twimg.com/profile_images/662723326096224256/5V4KH9_O_normal.jpg" xr:uid="{E58287A0-7F56-4489-B4CE-03E02B193DEC}"/>
    <hyperlink ref="B932" r:id="rId2805" display="https://twitter.com/AndyBaldauf" xr:uid="{89B78355-2F20-4079-A8A8-41977DC5AD93}"/>
    <hyperlink ref="E932" r:id="rId2806" display="https://twitter.com/AndyBaldauf/status/722128835009998848" xr:uid="{D4CF363A-9130-431E-846C-7A90D4DA7638}"/>
    <hyperlink ref="O932" r:id="rId2807" display="https://pbs.twimg.com/profile_images/573719685306388481/QCug9raA_normal.jpeg" xr:uid="{5E191E76-45BC-44D1-8C1E-616F1ADC0A7A}"/>
    <hyperlink ref="B933" r:id="rId2808" display="https://twitter.com/JoansHere" xr:uid="{4E15493F-7475-4F6B-AC4F-875070F2ECEC}"/>
    <hyperlink ref="E933" r:id="rId2809" display="https://twitter.com/JoansHere/status/722130093552836609" xr:uid="{D2DA33B3-86BD-4709-8962-ABDE0C0DD0E6}"/>
    <hyperlink ref="O933" r:id="rId2810" display="https://pbs.twimg.com/profile_images/378800000307054657/c532f3e7737ff611b2249b2442e00894_normal.jpeg" xr:uid="{9E6ECC04-F492-4EE6-A1D1-A81C636B6ACF}"/>
    <hyperlink ref="B934" r:id="rId2811" display="https://twitter.com/fjablonski" xr:uid="{AE405B7D-7F68-4A1D-9426-D63CD0954681}"/>
    <hyperlink ref="E934" r:id="rId2812" display="https://twitter.com/fjablonski/status/722131369900523520" xr:uid="{F925ACCE-6ACF-45BE-AD7A-BC6A8B5F05F5}"/>
    <hyperlink ref="O934" r:id="rId2813" display="https://pbs.twimg.com/profile_images/528332865/fj_normal.jpg" xr:uid="{58F0AEEB-285E-4E55-BF65-56C96B07F587}"/>
    <hyperlink ref="B935" r:id="rId2814" display="https://twitter.com/pfisterer_ralf" xr:uid="{1B4773FB-73BB-4ED0-871F-295F54A570C3}"/>
    <hyperlink ref="E935" r:id="rId2815" display="https://twitter.com/pfisterer_ralf/status/722132984376258560" xr:uid="{08ED3ADA-4A1C-4162-9BFB-BF24D1FA1F25}"/>
    <hyperlink ref="O935" r:id="rId2816" display="https://pbs.twimg.com/profile_images/687624884244082688/eYnhv8nB_normal.jpg" xr:uid="{33AA41AE-A0E7-4683-8C67-8A97E546C213}"/>
    <hyperlink ref="B936" r:id="rId2817" display="https://twitter.com/LReehten" xr:uid="{09A9A4E5-C38D-4CD5-B03B-885B87ADC036}"/>
    <hyperlink ref="E936" r:id="rId2818" display="https://twitter.com/LReehten/status/722133348546670593" xr:uid="{2C8BFD65-4479-478E-B40A-42ACE841220F}"/>
    <hyperlink ref="O936" r:id="rId2819" display="https://pbs.twimg.com/profile_images/623849156159868928/BetFDR_i_normal.jpg" xr:uid="{EDEB8829-0647-4C15-A876-B951FEBF3167}"/>
    <hyperlink ref="B937" r:id="rId2820" display="https://twitter.com/LReehten" xr:uid="{2B8F4D75-E404-4416-9AB6-E79AFB34849B}"/>
    <hyperlink ref="E937" r:id="rId2821" display="https://twitter.com/LReehten/status/722133535415517184" xr:uid="{06AA7445-4F8A-40DD-8743-6554088A2D0D}"/>
    <hyperlink ref="O937" r:id="rId2822" display="https://pbs.twimg.com/profile_images/623849156159868928/BetFDR_i_normal.jpg" xr:uid="{C7622F9C-2092-4CF4-A407-1C3CFD16F4F8}"/>
    <hyperlink ref="B938" r:id="rId2823" display="https://twitter.com/LReehten" xr:uid="{A2BAEB02-B9ED-4225-978A-8B0A54197E7A}"/>
    <hyperlink ref="E938" r:id="rId2824" display="https://twitter.com/LReehten/status/722134455733874688" xr:uid="{64BC24C1-4689-41C5-8417-7C127D30D46E}"/>
    <hyperlink ref="O938" r:id="rId2825" display="https://pbs.twimg.com/profile_images/623849156159868928/BetFDR_i_normal.jpg" xr:uid="{14338B73-4367-479B-A452-409F965D6B7E}"/>
    <hyperlink ref="B939" r:id="rId2826" display="https://twitter.com/LReehten" xr:uid="{926308E1-AA9E-4962-8C64-FF0621AF9F2C}"/>
    <hyperlink ref="E939" r:id="rId2827" display="https://twitter.com/LReehten/status/722134490076823552" xr:uid="{41F8BDAC-6ABB-4AD0-874C-0D784B4F893B}"/>
    <hyperlink ref="O939" r:id="rId2828" display="https://pbs.twimg.com/profile_images/623849156159868928/BetFDR_i_normal.jpg" xr:uid="{8376D858-240F-4DE2-BCA9-C5A4C40094EC}"/>
    <hyperlink ref="B940" r:id="rId2829" display="https://twitter.com/LReehten" xr:uid="{7AB48D0D-DC13-4BBA-A39B-6B4252E6D2F4}"/>
    <hyperlink ref="E940" r:id="rId2830" display="https://twitter.com/LReehten/status/722134540102316032" xr:uid="{0AA29F60-9879-4B18-939F-90F4306561BE}"/>
    <hyperlink ref="O940" r:id="rId2831" display="https://pbs.twimg.com/profile_images/623849156159868928/BetFDR_i_normal.jpg" xr:uid="{29AC0B9C-827F-4862-9068-2F6C54E360E5}"/>
    <hyperlink ref="B941" r:id="rId2832" display="https://twitter.com/LReehten" xr:uid="{AA085423-2AC4-46F0-9433-686FC50B5018}"/>
    <hyperlink ref="E941" r:id="rId2833" display="https://twitter.com/LReehten/status/722134548767764480" xr:uid="{3FD65521-0FDB-4B8C-9EA0-93CAF8CB26CD}"/>
    <hyperlink ref="O941" r:id="rId2834" display="https://pbs.twimg.com/profile_images/623849156159868928/BetFDR_i_normal.jpg" xr:uid="{4A39516C-D111-49A0-864E-24549EAF0D39}"/>
    <hyperlink ref="B942" r:id="rId2835" display="https://twitter.com/LReehten" xr:uid="{01C3CD09-12C3-4618-9C81-B07B6AB16710}"/>
    <hyperlink ref="E942" r:id="rId2836" display="https://twitter.com/LReehten/status/722134728724377600" xr:uid="{82DFCF65-80B4-4399-8168-4DEDF3107C43}"/>
    <hyperlink ref="O942" r:id="rId2837" display="https://pbs.twimg.com/profile_images/623849156159868928/BetFDR_i_normal.jpg" xr:uid="{C59988AE-25B5-462D-9E5D-79DD486A5303}"/>
    <hyperlink ref="B943" r:id="rId2838" display="https://twitter.com/LReehten" xr:uid="{85B7920D-222E-43F1-9013-5D3394FB723F}"/>
    <hyperlink ref="E943" r:id="rId2839" display="https://twitter.com/LReehten/status/722134765583867906" xr:uid="{56E625E6-28B5-4A1C-A403-9C31CF9866B2}"/>
    <hyperlink ref="O943" r:id="rId2840" display="https://pbs.twimg.com/profile_images/623849156159868928/BetFDR_i_normal.jpg" xr:uid="{2C7ED148-A779-4EB2-A4E0-AFEF67F2BECD}"/>
    <hyperlink ref="B944" r:id="rId2841" display="https://twitter.com/IT_Connection" xr:uid="{174B187B-2F27-4498-AB84-D38986DF1E92}"/>
    <hyperlink ref="E944" r:id="rId2842" display="https://twitter.com/IT_Connection/status/722135236197412868" xr:uid="{143DAECD-7B11-42C1-BE8D-6E6A2B52EADD}"/>
    <hyperlink ref="O944" r:id="rId2843" display="https://pbs.twimg.com/profile_images/566986293888835584/_uYTcau__normal.png" xr:uid="{B4250261-A747-4F6F-BED7-7799CF3E1702}"/>
    <hyperlink ref="B945" r:id="rId2844" display="https://twitter.com/OJaeger" xr:uid="{2E78F96D-D4C3-4416-A9D8-0B5CF7043820}"/>
    <hyperlink ref="E945" r:id="rId2845" display="https://twitter.com/OJaeger/status/722135486094012417" xr:uid="{43D595ED-EC5D-4CBF-840B-02A516B38079}"/>
    <hyperlink ref="O945" r:id="rId2846" display="https://pbs.twimg.com/profile_images/510721015945498624/1UpjmZMi_normal.jpeg" xr:uid="{A47856F9-0AF6-458E-A0F4-A63AD692AC76}"/>
    <hyperlink ref="B946" r:id="rId2847" display="https://twitter.com/RalfSchadowski" xr:uid="{AB402613-A8E2-43CF-B4C8-34521E2FDD57}"/>
    <hyperlink ref="E946" r:id="rId2848" display="https://twitter.com/RalfSchadowski/status/722137300042399744" xr:uid="{DFC213C1-3D0B-4EFC-B9F7-3729E6D9CC1B}"/>
    <hyperlink ref="O946" r:id="rId2849" display="https://pbs.twimg.com/profile_images/1248995236/auge_rot_normal.jpg" xr:uid="{BDE77F18-6602-4DD7-B9F8-5D77B0DF6DA5}"/>
    <hyperlink ref="B947" r:id="rId2850" display="https://twitter.com/Law_Bolthausen" xr:uid="{A3914FDB-0D57-46C5-84FD-C60976A45E7D}"/>
    <hyperlink ref="E947" r:id="rId2851" display="https://twitter.com/Law_Bolthausen/status/722138168506589184" xr:uid="{C62E18D0-5226-4501-8ED0-24AE05CC043C}"/>
    <hyperlink ref="O947" r:id="rId2852" display="https://pbs.twimg.com/profile_images/709389204506198017/vgmyEiD5_normal.jpg" xr:uid="{E755CCAF-521A-421C-BE59-45FB6EAAD0E7}"/>
    <hyperlink ref="B948" r:id="rId2853" display="https://twitter.com/bianalyticsinc" xr:uid="{131DD633-428F-438D-937E-C19BDD67943E}"/>
    <hyperlink ref="E948" r:id="rId2854" display="https://twitter.com/bianalyticsinc/status/722138838211162112" xr:uid="{D24073B2-E7F4-481E-BC31-8181D51F6DDD}"/>
    <hyperlink ref="O948" r:id="rId2855" display="https://pbs.twimg.com/profile_images/624300616815374340/M4oNknxc_normal.jpg" xr:uid="{A2EE35D9-7AC5-4A91-8245-22A7C69C274B}"/>
    <hyperlink ref="B949" r:id="rId2856" display="https://twitter.com/tomov_eu" xr:uid="{89B03E98-A259-4CCA-BCDB-E39963E9A619}"/>
    <hyperlink ref="E949" r:id="rId2857" display="https://twitter.com/tomov_eu/status/722138925297451008" xr:uid="{EBEBFFF2-6C3C-4D87-B0E4-B7573B9CD496}"/>
    <hyperlink ref="O949" r:id="rId2858" display="https://pbs.twimg.com/profile_images/557949283861663744/XRnqLo9K_normal.jpeg" xr:uid="{3DB64F02-256B-471F-B7BD-69672BA17FF4}"/>
    <hyperlink ref="B950" r:id="rId2859" display="https://twitter.com/CapgeminiDE" xr:uid="{0C06D8C3-259B-4910-B8C4-B8E7D534DA62}"/>
    <hyperlink ref="E950" r:id="rId2860" display="https://twitter.com/CapgeminiDE/status/722139072400109568" xr:uid="{5B4D31AC-6575-4DA4-8E4B-FBFE1C1217F1}"/>
    <hyperlink ref="O950" r:id="rId2861" display="https://pbs.twimg.com/profile_images/666911961599315968/aP7ID_qm_normal.png" xr:uid="{ACE724F1-9672-4445-B7EF-3F44C4C755A1}"/>
    <hyperlink ref="B951" r:id="rId2862" display="https://twitter.com/ContainersExpo" xr:uid="{3D79B848-A55E-422E-82F9-35E44FE5BA57}"/>
    <hyperlink ref="E951" r:id="rId2863" display="https://twitter.com/ContainersExpo/status/722143233573330944" xr:uid="{C74EEB1B-A609-4022-B8AC-D6311068A9A6}"/>
    <hyperlink ref="O951" r:id="rId2864" display="https://pbs.twimg.com/profile_images/603207435290050560/cAWnUmOg_normal.jpg" xr:uid="{773DCE89-A257-4A8F-BE6F-C745A9960406}"/>
    <hyperlink ref="B952" r:id="rId2865" display="https://twitter.com/Ulitzer" xr:uid="{50E559A7-8D8F-4E00-87A5-D88556B782EA}"/>
    <hyperlink ref="C952" r:id="rId2866" xr:uid="{FD9ADB79-9185-4951-B2E7-EF78C0B909F7}"/>
    <hyperlink ref="E952" r:id="rId2867" display="https://twitter.com/Ulitzer/status/722144327275790337" xr:uid="{D1E5E974-82FB-4AC3-B128-262770B4DB7C}"/>
    <hyperlink ref="O952" r:id="rId2868" display="https://pbs.twimg.com/profile_images/378800000469844257/16808b9f0926f37cb7ba19664ad97cbe_normal.jpeg" xr:uid="{02909250-BC54-4AD0-8BD5-833BABA7FA37}"/>
    <hyperlink ref="B953" r:id="rId2869" display="https://twitter.com/Tom_Frick" xr:uid="{AB7A0D6A-6F85-4A3B-976E-D4A704EA19C8}"/>
    <hyperlink ref="E953" r:id="rId2870" display="https://twitter.com/Tom_Frick/status/722144351380455424" xr:uid="{CB121958-8ACB-4360-854C-942451CF90E4}"/>
    <hyperlink ref="O953" r:id="rId2871" display="https://pbs.twimg.com/profile_images/648110809512603648/gBCH0Eip_normal.png" xr:uid="{C5FE6C56-AF40-44F5-81C7-1568D1B1E0C7}"/>
    <hyperlink ref="B954" r:id="rId2872" display="https://twitter.com/kommoptimierer" xr:uid="{678B0FC8-935C-4D51-9C6C-AAE0313FADE1}"/>
    <hyperlink ref="E954" r:id="rId2873" display="https://twitter.com/kommoptimierer/status/722145178975383553" xr:uid="{466D3759-379D-4E0E-802F-C2FD0042B659}"/>
    <hyperlink ref="O954" r:id="rId2874" display="https://pbs.twimg.com/profile_images/541146126158536704/IYardufS_normal.jpeg" xr:uid="{097B2F87-D415-44BB-B113-7DB5100EAC5B}"/>
    <hyperlink ref="B955" r:id="rId2875" display="https://twitter.com/MicroservicesE" xr:uid="{5DD781FA-1278-4907-9110-EC87FC87D350}"/>
    <hyperlink ref="E955" r:id="rId2876" display="https://twitter.com/MicroservicesE/status/722145379681218561" xr:uid="{8B575696-9EF1-4008-921D-1D79195C6A54}"/>
    <hyperlink ref="O955" r:id="rId2877" display="https://pbs.twimg.com/profile_images/580014582703480832/ndjCCex-_normal.png" xr:uid="{9E81592D-32F5-4A94-9057-930480F6F222}"/>
    <hyperlink ref="B956" r:id="rId2878" display="https://twitter.com/SYSCONtv" xr:uid="{34F68D9C-8B7D-4171-9212-44CBF2E5A2CE}"/>
    <hyperlink ref="E956" r:id="rId2879" display="https://twitter.com/SYSCONtv/status/722146503842770944" xr:uid="{8D2BF441-5522-4AAB-8C5B-B76256C9F2CF}"/>
    <hyperlink ref="O956" r:id="rId2880" display="https://pbs.twimg.com/profile_images/378800000469654535/d6e6590d04309613d6212d9faa51241b_normal.jpeg" xr:uid="{5AD3745A-784C-481E-9974-E2C21D96C060}"/>
    <hyperlink ref="B957" r:id="rId2881" display="https://twitter.com/dustcloud_io" xr:uid="{D71F0CFD-CC64-4D1C-AD7F-87B9891735E3}"/>
    <hyperlink ref="E957" r:id="rId2882" display="https://twitter.com/dustcloud_io/status/722147816655753216" xr:uid="{A77A733B-FD3D-4372-AED6-224260095AA0}"/>
    <hyperlink ref="F957" r:id="rId2883" xr:uid="{C965B40A-9969-4EF2-A96E-0B87159689BB}"/>
    <hyperlink ref="O957" r:id="rId2884" display="https://pbs.twimg.com/profile_images/717897797249462277/MeNRszY2_normal.jpg" xr:uid="{2A75C44E-6ACC-4665-92F7-DFF0FEAF6EAA}"/>
    <hyperlink ref="B958" r:id="rId2885" display="https://twitter.com/mfritz_fhg" xr:uid="{B832B5F2-7A19-4262-9AEF-B783AE827D92}"/>
    <hyperlink ref="E958" r:id="rId2886" display="https://twitter.com/mfritz_fhg/status/722148662172905475" xr:uid="{B62BD0BA-4E7B-4FF5-82F7-EDD93FBC1863}"/>
    <hyperlink ref="O958" r:id="rId2887" display="https://pbs.twimg.com/profile_images/653481171414872064/-C8HD5Mf_normal.jpg" xr:uid="{A3A408D6-987C-43C4-94CE-2BECAA4535CC}"/>
    <hyperlink ref="B959" r:id="rId2888" display="https://twitter.com/mfritz_fhg" xr:uid="{C72F56EF-D04C-4003-A145-FBB2F0467A96}"/>
    <hyperlink ref="E959" r:id="rId2889" display="https://twitter.com/mfritz_fhg/status/722149470159417344" xr:uid="{9D3B0C08-2549-470C-8ECC-A424705E456E}"/>
    <hyperlink ref="O959" r:id="rId2890" display="https://pbs.twimg.com/profile_images/653481171414872064/-C8HD5Mf_normal.jpg" xr:uid="{199DA9A6-F86C-4C71-BAE6-477995A5274E}"/>
    <hyperlink ref="B960" r:id="rId2891" display="https://twitter.com/INDIZbot" xr:uid="{382E0D91-F389-4FD9-80C0-FDBA7F17774D}"/>
    <hyperlink ref="E960" r:id="rId2892" display="https://twitter.com/INDIZbot/status/722150493296963584" xr:uid="{BB52AB8C-E4A6-4C6F-A1F6-A5D391260C21}"/>
    <hyperlink ref="O960" r:id="rId2893" display="https://pbs.twimg.com/profile_images/645716711723925506/t5G0qOS6_normal.jpg" xr:uid="{EC379A8E-9F89-4558-8E78-D1FAD6798143}"/>
    <hyperlink ref="B961" r:id="rId2894" display="https://twitter.com/INDIZbot" xr:uid="{7D231E05-26CA-41C0-B50A-5AB5A1C5F1AC}"/>
    <hyperlink ref="E961" r:id="rId2895" display="https://twitter.com/INDIZbot/status/722150780082462721" xr:uid="{BFCF9D8A-7500-41FF-B400-32FE32F04848}"/>
    <hyperlink ref="O961" r:id="rId2896" display="https://pbs.twimg.com/profile_images/645716711723925506/t5G0qOS6_normal.jpg" xr:uid="{1835EFC5-770E-481B-8C5A-40F088CD1749}"/>
    <hyperlink ref="B962" r:id="rId2897" display="https://twitter.com/INDIZbot" xr:uid="{17006D49-A3DC-4DB3-B652-3D9E47D783C1}"/>
    <hyperlink ref="E962" r:id="rId2898" display="https://twitter.com/INDIZbot/status/722150916317671425" xr:uid="{0EDF8AA1-7C70-44E4-9FD6-CEA7FCF395C1}"/>
    <hyperlink ref="O962" r:id="rId2899" display="https://pbs.twimg.com/profile_images/645716711723925506/t5G0qOS6_normal.jpg" xr:uid="{C85157DE-9803-40F4-9353-A2A5F1B104CF}"/>
    <hyperlink ref="B963" r:id="rId2900" display="https://twitter.com/kommoptimierer" xr:uid="{42FBE7DA-8846-4251-87D5-C638E3956FD9}"/>
    <hyperlink ref="E963" r:id="rId2901" display="https://twitter.com/kommoptimierer/status/722153986850234369" xr:uid="{CF7E7137-1E27-4B7B-A839-1BB3FA22C1E7}"/>
    <hyperlink ref="O963" r:id="rId2902" display="https://pbs.twimg.com/profile_images/541146126158536704/IYardufS_normal.jpeg" xr:uid="{0120ED2B-848E-41DE-AA74-6B641D7B68DF}"/>
    <hyperlink ref="B964" r:id="rId2903" display="https://twitter.com/ARAitken" xr:uid="{91A58754-A624-4A6A-A206-671C1A387A4B}"/>
    <hyperlink ref="E964" r:id="rId2904" display="https://twitter.com/ARAitken/status/722154466632429568" xr:uid="{CD6E0998-3E74-4DB0-9762-3E435CAD6BD1}"/>
    <hyperlink ref="O964" r:id="rId2905" display="https://pbs.twimg.com/profile_images/650211443112050688/Q-KC340L_normal.jpg" xr:uid="{012B5EAF-298E-45FE-B9BD-490C809B1D09}"/>
    <hyperlink ref="B965" r:id="rId2906" display="https://twitter.com/INDIZbot" xr:uid="{FC504D55-6E5F-4A5E-BEF7-4DE1C9DB6895}"/>
    <hyperlink ref="E965" r:id="rId2907" display="https://twitter.com/INDIZbot/status/722155709501218816" xr:uid="{ACAC2194-9719-443B-A073-08F734477DDB}"/>
    <hyperlink ref="O965" r:id="rId2908" display="https://pbs.twimg.com/profile_images/645716711723925506/t5G0qOS6_normal.jpg" xr:uid="{3852356A-2FF1-4591-8AD0-9B9534AED2CB}"/>
    <hyperlink ref="B966" r:id="rId2909" display="https://twitter.com/thomas_leubner" xr:uid="{ADDCDC22-93E7-4471-A1BB-EBD1D692C964}"/>
    <hyperlink ref="E966" r:id="rId2910" display="https://twitter.com/thomas_leubner/status/722161382020526081" xr:uid="{8E0EAB9F-A3B3-4BDA-8695-900E1E7A5CC8}"/>
    <hyperlink ref="O966" r:id="rId2911" display="https://pbs.twimg.com/profile_images/722132463565291520/neQnM60p_normal.jpg" xr:uid="{33396772-F791-45B8-AE16-20D303B5F1B0}"/>
    <hyperlink ref="B967" r:id="rId2912" display="https://twitter.com/tomschaepper" xr:uid="{3D236411-D6CA-4148-86B6-8B0E65C86322}"/>
    <hyperlink ref="E967" r:id="rId2913" display="https://twitter.com/tomschaepper/status/722165747213037568" xr:uid="{7108A816-C41C-4EE3-AE5F-82EE141D4BC0}"/>
    <hyperlink ref="O967" r:id="rId2914" display="https://pbs.twimg.com/profile_images/1496274904/tomschaepper_bild_01_normal.jpg" xr:uid="{9A3560E1-5D8A-46F2-A4DE-DB42AB41DD78}"/>
    <hyperlink ref="B968" r:id="rId2915" display="https://twitter.com/id_wettbewerbe" xr:uid="{18948759-B2FF-460A-9195-850E419F6E7D}"/>
    <hyperlink ref="E968" r:id="rId2916" display="https://twitter.com/id_wettbewerbe/status/722170633568784384" xr:uid="{77ADCB04-0F77-4D39-AB68-E84197063ADD}"/>
    <hyperlink ref="O968" r:id="rId2917" display="https://pbs.twimg.com/profile_images/507504284364046336/ptuuw46i_normal.png" xr:uid="{87B7E7AA-E1BB-4D84-9A99-60E7570DCF1B}"/>
    <hyperlink ref="B969" r:id="rId2918" display="https://twitter.com/INDIZbot" xr:uid="{38CE8E94-8CBB-4D12-8BBB-AB1CCBCDD784}"/>
    <hyperlink ref="E969" r:id="rId2919" display="https://twitter.com/INDIZbot/status/722170890595778560" xr:uid="{BA82FC11-1519-425B-9C77-A1A9F19B0E5B}"/>
    <hyperlink ref="O969" r:id="rId2920" display="https://pbs.twimg.com/profile_images/645716711723925506/t5G0qOS6_normal.jpg" xr:uid="{0739C49C-7089-46F0-B5A5-6673773F513F}"/>
    <hyperlink ref="B970" r:id="rId2921" display="https://twitter.com/BigDataTweetBot" xr:uid="{E17D026F-AA58-417E-9C59-AA5EE7C3BEFB}"/>
    <hyperlink ref="E970" r:id="rId2922" display="https://twitter.com/BigDataTweetBot/status/722172959524274176" xr:uid="{926DE5FE-2781-4BA9-84E4-8190E07E36DB}"/>
    <hyperlink ref="O970" r:id="rId2923" display="https://pbs.twimg.com/profile_images/616793252524650496/bQbxJqmz_normal.jpg" xr:uid="{307C6EF8-42B1-4DCB-95F6-4EC2908E106C}"/>
    <hyperlink ref="B971" r:id="rId2924" display="https://twitter.com/INDIZbot" xr:uid="{F4FC9977-1EA7-4F66-BAD0-09BA94584F0D}"/>
    <hyperlink ref="E971" r:id="rId2925" display="https://twitter.com/INDIZbot/status/722175768432943104" xr:uid="{7C697632-3D01-4A74-929B-4752C0474D50}"/>
    <hyperlink ref="O971" r:id="rId2926" display="https://pbs.twimg.com/profile_images/645716711723925506/t5G0qOS6_normal.jpg" xr:uid="{8EAED6F2-7DC3-4135-B39C-B9690C12097C}"/>
    <hyperlink ref="B972" r:id="rId2927" display="https://twitter.com/TSchipanski" xr:uid="{AA8DF947-D9F7-40AE-855B-8A3BC63B1A3F}"/>
    <hyperlink ref="E972" r:id="rId2928" display="https://twitter.com/TSchipanski/status/722176687002292224" xr:uid="{B659FEB5-67BD-4830-AD0F-4FB7353B6D70}"/>
    <hyperlink ref="O972" r:id="rId2929" display="https://pbs.twimg.com/profile_images/378800000138318067/0c1d2464e1c9f3b721cbd7a483d5c6cf_normal.jpeg" xr:uid="{FADF9090-8601-47F9-82E5-D675A8E886B1}"/>
    <hyperlink ref="B973" r:id="rId2930" display="https://twitter.com/ClaudiaFeusi" xr:uid="{74C7B326-02B1-4396-8E47-DD31C4116B06}"/>
    <hyperlink ref="E973" r:id="rId2931" display="https://twitter.com/ClaudiaFeusi/status/722180040482549761" xr:uid="{53AFCAE6-AD06-4AAD-B1E1-8C6E9A0B348B}"/>
    <hyperlink ref="O973" r:id="rId2932" display="https://pbs.twimg.com/profile_images/647154695891496960/SRHGbk0s_normal.jpg" xr:uid="{94C4505F-7E92-4445-B306-F6F0EA7225F0}"/>
    <hyperlink ref="B974" r:id="rId2933" display="https://twitter.com/DevOpsSummit" xr:uid="{B2B55BFB-38B8-493F-BA5F-B3FFC23B9646}"/>
    <hyperlink ref="E974" r:id="rId2934" display="https://twitter.com/DevOpsSummit/status/722185213363818496" xr:uid="{0401A28E-99CB-40D3-832B-1C8D1F5A4CF0}"/>
    <hyperlink ref="O974" r:id="rId2935" display="https://pbs.twimg.com/profile_images/423842728850759680/Up51DBGK_normal.jpeg" xr:uid="{8728D3B9-4EA3-43E4-A1B0-8585D5C69E6B}"/>
    <hyperlink ref="B975" r:id="rId2936" display="https://twitter.com/Gina_Boettcher" xr:uid="{7F4D2416-2DF9-47ED-8D39-B9FCF443E47B}"/>
    <hyperlink ref="E975" r:id="rId2937" display="https://twitter.com/Gina_Boettcher/status/722186288145817600" xr:uid="{B350328E-D6B8-42B5-8688-B2BE034EB9D1}"/>
    <hyperlink ref="O975" r:id="rId2938" display="https://pbs.twimg.com/profile_images/697168375039074305/KKl-ci8l_normal.jpg" xr:uid="{09B77B10-A6C2-4A9E-900A-A689A076B09C}"/>
    <hyperlink ref="B976" r:id="rId2939" display="https://twitter.com/SDDCexpo" xr:uid="{9B16871A-06AD-4874-8468-A14DE25BDB26}"/>
    <hyperlink ref="E976" r:id="rId2940" display="https://twitter.com/SDDCexpo/status/722186289685139456" xr:uid="{75D101CD-8065-490B-8E46-D1E4FE89C2B5}"/>
    <hyperlink ref="O976" r:id="rId2941" display="https://pbs.twimg.com/profile_images/423125615525756929/nhYR78F1_normal.jpeg" xr:uid="{EBF6607B-D494-4308-BB87-645ECBCBA0B3}"/>
    <hyperlink ref="B977" r:id="rId2942" display="https://twitter.com/Print3DExpo" xr:uid="{9C0060C1-EA31-4BA0-A09A-306A04B64608}"/>
    <hyperlink ref="E977" r:id="rId2943" display="https://twitter.com/Print3DExpo/status/722187405470642176" xr:uid="{170B8ABD-61FD-438B-9F63-9292D42DC75A}"/>
    <hyperlink ref="O977" r:id="rId2944" display="https://pbs.twimg.com/profile_images/378800000366378275/706622f2f5b5cbe3a8a325383d19e56e_normal.jpeg" xr:uid="{9CB9BC54-B22C-4F3C-BF8F-36B46B9BAC85}"/>
    <hyperlink ref="B978" r:id="rId2945" display="https://twitter.com/LtCaezar" xr:uid="{A7733E5A-DDAB-4129-9124-56BAAD1D739F}"/>
    <hyperlink ref="E978" r:id="rId2946" display="https://twitter.com/LtCaezar/status/722187499183988736" xr:uid="{4575061B-33FD-4861-9629-453155B312C3}"/>
    <hyperlink ref="O978" r:id="rId2947" display="https://pbs.twimg.com/profile_images/719982759549100033/kTnZEOR__normal.jpg" xr:uid="{7705742F-EBD0-4431-819A-3EB823860D06}"/>
    <hyperlink ref="B979" r:id="rId2948" display="https://twitter.com/id_wettbewerbe" xr:uid="{3EF93E06-CF7F-4B43-AAA6-789A98EB8D5D}"/>
    <hyperlink ref="E979" r:id="rId2949" display="https://twitter.com/id_wettbewerbe/status/722199866831736833" xr:uid="{0AA54C69-3237-476D-9E59-25120612F9C3}"/>
    <hyperlink ref="O979" r:id="rId2950" display="https://pbs.twimg.com/profile_images/507504284364046336/ptuuw46i_normal.png" xr:uid="{EDBFDB88-4B58-4A01-891C-D80DA5512543}"/>
    <hyperlink ref="B980" r:id="rId2951" display="https://twitter.com/BigDataTweetBot" xr:uid="{7633DB41-6BC7-4E62-9B96-AF4FA0AFCD92}"/>
    <hyperlink ref="E980" r:id="rId2952" display="https://twitter.com/BigDataTweetBot/status/722200737342693376" xr:uid="{8A3F5D88-FAF7-40B3-A3A9-D6DD4FCAD151}"/>
    <hyperlink ref="O980" r:id="rId2953" display="https://pbs.twimg.com/profile_images/616793252524650496/bQbxJqmz_normal.jpg" xr:uid="{856D9D87-BA68-4A5C-AE9C-586C230F0DF3}"/>
    <hyperlink ref="B981" r:id="rId2954" display="https://twitter.com/INDIZbot" xr:uid="{A8982FEF-265C-4BE0-80C6-B63D03D5EE79}"/>
    <hyperlink ref="E981" r:id="rId2955" display="https://twitter.com/INDIZbot/status/722200830712143872" xr:uid="{CA26369F-6162-4693-96D7-A6D0E95F504C}"/>
    <hyperlink ref="O981" r:id="rId2956" display="https://pbs.twimg.com/profile_images/645716711723925506/t5G0qOS6_normal.jpg" xr:uid="{EB5F1BB1-16DB-481D-BF15-850912014431}"/>
    <hyperlink ref="B982" r:id="rId2957" display="https://twitter.com/QuickFindsIn" xr:uid="{6728AF6F-32E6-4C53-A303-D27382819108}"/>
    <hyperlink ref="E982" r:id="rId2958" display="https://twitter.com/QuickFindsIn/status/722207086981984256" xr:uid="{FCCA92D0-1A59-47B6-9E02-62D0C859BA61}"/>
    <hyperlink ref="O982" r:id="rId2959" display="https://pbs.twimg.com/profile_images/591951396217327616/HbcCX2zX_normal.png" xr:uid="{03C5AAAE-AF13-45BA-9432-FB8C658D0921}"/>
    <hyperlink ref="B983" r:id="rId2960" display="https://twitter.com/MelanieVogel_" xr:uid="{5C00EB15-CDB0-47DD-99F0-1B7CA08E8C28}"/>
    <hyperlink ref="E983" r:id="rId2961" display="https://twitter.com/MelanieVogel_/status/722220084324904960" xr:uid="{C9C21DE8-D4F7-4F2E-8242-62B9F2C39764}"/>
    <hyperlink ref="O983" r:id="rId2962" display="https://pbs.twimg.com/profile_images/696007904596463617/Y_yX9fUv_normal.jpg" xr:uid="{D2703526-F495-41EC-8444-FACDB0CCDCF1}"/>
    <hyperlink ref="B984" r:id="rId2963" display="https://twitter.com/INDIZbot" xr:uid="{26B7802E-D2B7-4940-A377-2F39C72539AE}"/>
    <hyperlink ref="E984" r:id="rId2964" display="https://twitter.com/INDIZbot/status/722220964428279808" xr:uid="{18388B3E-B928-403F-869D-27C1DE241C20}"/>
    <hyperlink ref="O984" r:id="rId2965" display="https://pbs.twimg.com/profile_images/645716711723925506/t5G0qOS6_normal.jpg" xr:uid="{4CB99195-43F1-41DF-8C21-6786F862E572}"/>
    <hyperlink ref="B985" r:id="rId2966" display="https://twitter.com/CKmatics" xr:uid="{1B267B90-B2FC-46AC-A404-D475B6AC8BE7}"/>
    <hyperlink ref="E985" r:id="rId2967" display="https://twitter.com/CKmatics/status/722226464918097921" xr:uid="{0761AACE-ED3E-4E58-B37F-A7C30592C6FE}"/>
    <hyperlink ref="O985" r:id="rId2968" display="https://pbs.twimg.com/profile_images/482488325/ck_twit_normal.jpg" xr:uid="{6AFDA091-1623-4CD4-A674-D16AEE8CF8A4}"/>
    <hyperlink ref="B986" r:id="rId2969" display="https://twitter.com/APGuha" xr:uid="{934A8339-7A26-4F37-8F85-DEBA090ED725}"/>
    <hyperlink ref="E986" r:id="rId2970" display="https://twitter.com/APGuha/status/722248142398205953" xr:uid="{585A4FB9-FBFB-410B-9B37-1267E9E75CB7}"/>
    <hyperlink ref="O986" r:id="rId2971" display="https://pbs.twimg.com/profile_images/480533400743182336/w7vvPFUY_normal.png" xr:uid="{AA9201CD-5233-49D6-BBA1-23CA34A0EE99}"/>
    <hyperlink ref="B987" r:id="rId2972" display="https://twitter.com/BigDataTweetBot" xr:uid="{BEB03925-2E05-4B34-AB5D-E94B5FE4F2AA}"/>
    <hyperlink ref="E987" r:id="rId2973" display="https://twitter.com/BigDataTweetBot/status/722248627708674048" xr:uid="{43117DA8-D609-486C-8E7D-8C2D8F01973C}"/>
    <hyperlink ref="O987" r:id="rId2974" display="https://pbs.twimg.com/profile_images/616793252524650496/bQbxJqmz_normal.jpg" xr:uid="{A46B40CC-6C9E-4AAD-8911-4396BD0B0D55}"/>
    <hyperlink ref="B988" r:id="rId2975" display="https://twitter.com/NoSQLDigest" xr:uid="{4BADCEC7-5304-43D4-8E9A-34350AF873F5}"/>
    <hyperlink ref="E988" r:id="rId2976" display="https://twitter.com/NoSQLDigest/status/722256025412247552" xr:uid="{2B733752-3E08-4379-8D46-32B34E63812C}"/>
    <hyperlink ref="O988" r:id="rId2977" display="https://pbs.twimg.com/profile_images/499257180009529344/CSWhr7LZ_normal.jpeg" xr:uid="{33CE22E7-9C96-458E-ADB7-C30D5B277927}"/>
    <hyperlink ref="B989" r:id="rId2978" display="https://twitter.com/JerDoug" xr:uid="{CD83B290-A77A-41BE-B7DE-1AF47BE44E32}"/>
    <hyperlink ref="E989" r:id="rId2979" display="https://twitter.com/JerDoug/status/722259897836904449" xr:uid="{266E5BE3-DE53-4903-81E9-C7F95E8E046B}"/>
    <hyperlink ref="O989" r:id="rId2980" display="https://pbs.twimg.com/profile_images/1611098841/110915-109_normal.jpg" xr:uid="{BB73A556-808E-42DF-8EAF-22B3D5B24F0D}"/>
    <hyperlink ref="B990" r:id="rId2981" display="https://twitter.com/catapultpr" xr:uid="{8D2A99EB-0BCD-48BC-9DA7-DD155D0C1E8E}"/>
    <hyperlink ref="E990" r:id="rId2982" display="https://twitter.com/catapultpr/status/722260605265022976" xr:uid="{6DC9617A-9E99-41A9-ACBE-2D3510A02850}"/>
    <hyperlink ref="O990" r:id="rId2983" display="https://pbs.twimg.com/profile_images/1110110878/Spring_72dpi_normal.jpg" xr:uid="{EAD7F985-D1A1-4551-9792-0AD851710140}"/>
    <hyperlink ref="B991" r:id="rId2984" display="https://twitter.com/davidgreeny1" xr:uid="{AE62C2C6-D109-4342-B432-A58AB3B0E76C}"/>
    <hyperlink ref="E991" r:id="rId2985" display="https://twitter.com/davidgreeny1/status/722260710051418114" xr:uid="{5FB804C0-FC8B-4B51-B2C5-1FE74B2FB8F2}"/>
    <hyperlink ref="O991" r:id="rId2986" display="https://pbs.twimg.com/profile_images/707482808458027008/CckMhUz1_normal.jpg" xr:uid="{3C834687-6AAC-4867-B2B9-E2120123B2BA}"/>
    <hyperlink ref="B992" r:id="rId2987" display="https://twitter.com/LokeshPayik" xr:uid="{E60656ED-F6ED-44E7-8AB1-AC52E879E3E8}"/>
    <hyperlink ref="E992" r:id="rId2988" display="https://twitter.com/LokeshPayik/status/722261777317138433" xr:uid="{22F95230-660C-4E5D-9CB1-2DA4E3FB7C43}"/>
    <hyperlink ref="O992" r:id="rId2989" display="https://pbs.twimg.com/profile_images/3168132348/ba3f924eb90c4a69acf6ca9ae5594871_normal.jpeg" xr:uid="{55EA15DD-F19D-4333-80A9-50FEE3829EB4}"/>
    <hyperlink ref="B993" r:id="rId2990" display="https://twitter.com/S_Allen_IIoT" xr:uid="{66F2B70A-08CB-438D-A48C-89445C168944}"/>
    <hyperlink ref="E993" r:id="rId2991" display="https://twitter.com/S_Allen_IIoT/status/722261838704947200" xr:uid="{D6A81175-329C-4624-A276-8837AA189B02}"/>
    <hyperlink ref="O993" r:id="rId2992" display="https://pbs.twimg.com/profile_images/686962695573270528/8bCV99Yq_normal.jpg" xr:uid="{07219F62-4E7A-46C1-B8DB-87B8FF3B757D}"/>
    <hyperlink ref="B994" r:id="rId2993" display="https://twitter.com/freewavetech" xr:uid="{3648037A-8255-44AC-A441-1D1063E76851}"/>
    <hyperlink ref="E994" r:id="rId2994" display="https://twitter.com/freewavetech/status/722262257682415616" xr:uid="{6C289AB8-A3F5-41C4-AEE8-73E9BC961CA3}"/>
    <hyperlink ref="O994" r:id="rId2995" display="https://pbs.twimg.com/profile_images/2249619423/freewave_normal.png" xr:uid="{857F490A-A918-476F-90D0-33079F2096C4}"/>
    <hyperlink ref="B995" r:id="rId2996" display="https://twitter.com/APGuha" xr:uid="{9532B482-AF76-4DA0-A526-4454C6B44EB5}"/>
    <hyperlink ref="E995" r:id="rId2997" display="https://twitter.com/APGuha/status/722262968566571009" xr:uid="{1A0C66C6-B9D9-4A6A-9A24-B4286FD294A6}"/>
    <hyperlink ref="O995" r:id="rId2998" display="https://pbs.twimg.com/profile_images/480533400743182336/w7vvPFUY_normal.png" xr:uid="{2BB2DCB8-B78F-485C-A3E9-ABE0829ED974}"/>
    <hyperlink ref="B996" r:id="rId2999" display="https://twitter.com/Evolutivist" xr:uid="{1B92A95D-F0C5-4BFD-9B81-4EC3B811B84F}"/>
    <hyperlink ref="E996" r:id="rId3000" display="https://twitter.com/Evolutivist/status/722274463908241409" xr:uid="{87938A01-E257-4166-97AA-1FEE586AE032}"/>
    <hyperlink ref="O996" r:id="rId3001" display="https://pbs.twimg.com/profile_images/2162445220/wagnertwitter_normal.jpg" xr:uid="{BF8A805D-B7C5-4D09-8F0E-9FFF54EAE03D}"/>
    <hyperlink ref="B997" r:id="rId3002" display="https://twitter.com/DerKonstrukteu" xr:uid="{2EE01ED2-2469-4148-8577-0FBA0EDE6A33}"/>
    <hyperlink ref="E997" r:id="rId3003" display="https://twitter.com/DerKonstrukteu/status/722275577961586688" xr:uid="{568AE4E7-2696-4D90-9086-2F66253ED504}"/>
    <hyperlink ref="O997" r:id="rId3004" display="https://pbs.twimg.com/profile_images/448785978165968896/SQOcI8cJ_normal.png" xr:uid="{2C1D0EB5-35DB-4ADC-A0C9-EEFF99BBD86E}"/>
    <hyperlink ref="B998" r:id="rId3005" display="https://twitter.com/INDIZbot" xr:uid="{BE89D1F4-7A6D-4130-AB2F-69998C843743}"/>
    <hyperlink ref="E998" r:id="rId3006" display="https://twitter.com/INDIZbot/status/722281785397223424" xr:uid="{523D057B-8627-41CF-867A-1934D61A9B51}"/>
    <hyperlink ref="O998" r:id="rId3007" display="https://pbs.twimg.com/profile_images/645716711723925506/t5G0qOS6_normal.jpg" xr:uid="{DECFBEB3-C395-4B60-A936-7A2C6919248D}"/>
    <hyperlink ref="B999" r:id="rId3008" display="https://twitter.com/ASPhotoProject" xr:uid="{CE37ECD8-93B5-4BE1-A754-0EDADB1C3236}"/>
    <hyperlink ref="C999" r:id="rId3009" xr:uid="{28272B07-F120-4C69-BD34-15791E19B6C2}"/>
    <hyperlink ref="E999" r:id="rId3010" display="https://twitter.com/ASPhotoProject/status/722285451663523840" xr:uid="{553F6125-F158-4A05-B09B-B426AECDC5E8}"/>
    <hyperlink ref="O999" r:id="rId3011" display="https://pbs.twimg.com/profile_images/980081426/Twitter_Logo_AS_normal.jpg" xr:uid="{2D7636BB-3D2E-4B20-98B6-3791EC87A3FD}"/>
    <hyperlink ref="B1000" r:id="rId3012" display="https://twitter.com/pinetco" xr:uid="{B4E14E79-90AC-4A38-B8ED-A42507CCCF38}"/>
    <hyperlink ref="E1000" r:id="rId3013" display="https://twitter.com/pinetco/status/722288623400415232" xr:uid="{6E4D884D-7AE3-4DAB-9A78-60DEDB2E6D3C}"/>
    <hyperlink ref="O1000" r:id="rId3014" display="https://pbs.twimg.com/profile_images/711927354118041601/TcQdN_kN_normal.jpg" xr:uid="{E91A3A57-096B-4CA1-8E9E-3721E91437F0}"/>
    <hyperlink ref="B1001" r:id="rId3015" display="https://twitter.com/INDIZbot" xr:uid="{B909326A-6607-4683-8939-46D3E8BDE1DE}"/>
    <hyperlink ref="E1001" r:id="rId3016" display="https://twitter.com/INDIZbot/status/722289151136178176" xr:uid="{BC80A979-802E-4EA7-9518-1319D3171B21}"/>
    <hyperlink ref="O1001" r:id="rId3017" display="https://pbs.twimg.com/profile_images/645716711723925506/t5G0qOS6_normal.jpg" xr:uid="{2DA43EE9-5E56-4748-B0A2-869878A57E5B}"/>
    <hyperlink ref="B1002" r:id="rId3018" display="https://twitter.com/H_IT_D" xr:uid="{2BB81AD9-8813-41E0-9333-C811B5DDAE85}"/>
    <hyperlink ref="E1002" r:id="rId3019" display="https://twitter.com/H_IT_D/status/722293290037436416" xr:uid="{A0628B66-4C24-4651-A344-66B5E5276FFC}"/>
    <hyperlink ref="O1002" r:id="rId3020" display="https://pbs.twimg.com/profile_images/662723326096224256/5V4KH9_O_normal.jpg" xr:uid="{E3AEDB47-2019-4D4A-A316-D3105B467CEF}"/>
    <hyperlink ref="B1003" r:id="rId3021" display="https://twitter.com/catkinEU" xr:uid="{537A8EE1-8272-4191-87AD-54C409348075}"/>
    <hyperlink ref="E1003" r:id="rId3022" display="https://twitter.com/catkinEU/status/722303725486923777" xr:uid="{3AACCF4D-15FD-43EA-BD4A-C298EFBCD99C}"/>
    <hyperlink ref="O1003" r:id="rId3023" display="https://pbs.twimg.com/profile_images/604338428227010560/6jzSa8us_normal.png" xr:uid="{681FA0FE-60D9-457D-8552-94CBAFF963E3}"/>
    <hyperlink ref="B1004" r:id="rId3024" display="https://twitter.com/BIGJTHEO" xr:uid="{10090E1D-01D1-4EE7-8542-F5E85B0F9BC5}"/>
    <hyperlink ref="E1004" r:id="rId3025" display="https://twitter.com/BIGJTHEO/status/722303764787552256" xr:uid="{E3F1F226-6D46-4A7B-8270-645AF38845A9}"/>
    <hyperlink ref="O1004" r:id="rId3026" display="https://pbs.twimg.com/profile_images/699587498058588160/bU3XuBo9_normal.jpg" xr:uid="{35D10D61-53C2-4D6E-A7ED-96F49C725979}"/>
    <hyperlink ref="B1005" r:id="rId3027" display="https://twitter.com/SchneiderElecDE" xr:uid="{E984D2C7-5762-49F7-88FD-CA0359E5FB2E}"/>
    <hyperlink ref="E1005" r:id="rId3028" display="https://twitter.com/SchneiderElecDE/status/722303843359420417" xr:uid="{2BB80D84-4408-4DEA-AA28-A9D52726C655}"/>
    <hyperlink ref="O1005" r:id="rId3029" display="https://pbs.twimg.com/profile_images/3112599272/7446ab70cbab1cf15ac54e9b795d2849_normal.jpeg" xr:uid="{EA9590E4-0FAA-4403-B09D-49B1E35FA98F}"/>
    <hyperlink ref="B1006" r:id="rId3030" display="https://twitter.com/INDIZbot" xr:uid="{7D9BA601-81F1-414D-A773-74908E3CEF8D}"/>
    <hyperlink ref="E1006" r:id="rId3031" display="https://twitter.com/INDIZbot/status/722304007742582785" xr:uid="{802C6985-1BED-45FF-9647-ADC11FCC9610}"/>
    <hyperlink ref="O1006" r:id="rId3032" display="https://pbs.twimg.com/profile_images/645716711723925506/t5G0qOS6_normal.jpg" xr:uid="{5780E307-52FD-457F-984B-83A410A2510A}"/>
    <hyperlink ref="B1007" r:id="rId3033" display="https://twitter.com/INDIZbot" xr:uid="{1CF69227-98F9-4662-93E4-C2B38BD8BBE9}"/>
    <hyperlink ref="E1007" r:id="rId3034" display="https://twitter.com/INDIZbot/status/722304211900362753" xr:uid="{F575784A-372B-4290-97D8-58C298668CD1}"/>
    <hyperlink ref="O1007" r:id="rId3035" display="https://pbs.twimg.com/profile_images/645716711723925506/t5G0qOS6_normal.jpg" xr:uid="{C26EACD5-2E7D-4995-B3EA-A028140409A1}"/>
    <hyperlink ref="B1008" r:id="rId3036" display="https://twitter.com/bastihollmann" xr:uid="{FE53B949-FAA2-49D7-A169-B674EA49107B}"/>
    <hyperlink ref="E1008" r:id="rId3037" display="https://twitter.com/bastihollmann/status/722305995079303168" xr:uid="{DDB26630-455B-4FC8-A7F2-7BCB7689E3C9}"/>
    <hyperlink ref="O1008" r:id="rId3038" display="https://pbs.twimg.com/profile_images/593054907936186369/zjxLhMTm_normal.jpg" xr:uid="{664C5C0D-BED1-491C-8851-3775D97B50EB}"/>
    <hyperlink ref="B1009" r:id="rId3039" display="https://twitter.com/AHK_Oesterreich" xr:uid="{1936C02C-0759-49D3-B57F-EB2CAC2B0912}"/>
    <hyperlink ref="E1009" r:id="rId3040" display="https://twitter.com/AHK_Oesterreich/status/722307009803120640" xr:uid="{823FC0DD-B669-4D14-BB1C-38137AA3EF5B}"/>
    <hyperlink ref="O1009" r:id="rId3041" display="https://pbs.twimg.com/profile_images/714710040301666304/f92qxjPD_normal.jpg" xr:uid="{826FF9C2-2987-4838-AF64-149702808AE9}"/>
    <hyperlink ref="B1010" r:id="rId3042" display="https://twitter.com/Geschnattere" xr:uid="{1765B9CE-2BA9-418C-B41E-F04FD2ADF562}"/>
    <hyperlink ref="E1010" r:id="rId3043" display="https://twitter.com/Geschnattere/status/722307329912397824" xr:uid="{2EB03925-FB5D-4ADE-A891-11A5F503F92F}"/>
    <hyperlink ref="O1010" r:id="rId3044" display="https://pbs.twimg.com/profile_images/690957065490161664/Nat2upS4_normal.jpg" xr:uid="{E5D70A93-3B13-45C7-B549-51F4985E6BC7}"/>
    <hyperlink ref="B1011" r:id="rId3045" display="https://twitter.com/Geschnattere" xr:uid="{F7E7FE06-53D3-43B4-B0C8-21EABAA14FEA}"/>
    <hyperlink ref="E1011" r:id="rId3046" display="https://twitter.com/Geschnattere/status/722307346601484288" xr:uid="{65069502-42F2-4785-8263-4E5D1644117D}"/>
    <hyperlink ref="O1011" r:id="rId3047" display="https://pbs.twimg.com/profile_images/690957065490161664/Nat2upS4_normal.jpg" xr:uid="{91F207B4-AABE-4FBB-BF3E-F9E03F2CAD1B}"/>
    <hyperlink ref="B1012" r:id="rId3048" display="https://twitter.com/ChrisSpahnADP" xr:uid="{C8634F85-A000-485F-BF4F-6BE3DA60084F}"/>
    <hyperlink ref="E1012" r:id="rId3049" display="https://twitter.com/ChrisSpahnADP/status/722307406043160576" xr:uid="{119CF44F-79A9-4658-8616-F21AC63B798E}"/>
    <hyperlink ref="O1012" r:id="rId3050" display="https://pbs.twimg.com/profile_images/651750095508086786/7EobC7Vn_normal.jpg" xr:uid="{A65FA5C0-95B4-41ED-9A6F-7A3092B7CA86}"/>
    <hyperlink ref="B1013" r:id="rId3051" display="https://twitter.com/DIVSI_Info" xr:uid="{B7FF3427-E2D0-4F75-9308-467478719637}"/>
    <hyperlink ref="E1013" r:id="rId3052" display="https://twitter.com/DIVSI_Info/status/722308317092179969" xr:uid="{AD31B7F3-DF91-4223-B2E4-5EFE035B13C1}"/>
    <hyperlink ref="O1013" r:id="rId3053" display="https://pbs.twimg.com/profile_images/460701310560399360/FDd1Jyfx_normal.png" xr:uid="{B2149664-B293-4D88-8A2B-CCB1B32D575E}"/>
    <hyperlink ref="B1014" r:id="rId3054" display="https://twitter.com/plmitbusiness" xr:uid="{8A50AA83-4FD0-4CAB-9DF3-6AACB7CFD9AB}"/>
    <hyperlink ref="E1014" r:id="rId3055" display="https://twitter.com/plmitbusiness/status/722308643056709632" xr:uid="{564590BB-4C90-450E-8329-D6CD4EBD6E56}"/>
    <hyperlink ref="O1014" r:id="rId3056" display="https://pbs.twimg.com/profile_images/542216146800234497/U-yDAvbZ_normal.png" xr:uid="{C9995D9D-CCC3-43AC-BDB1-B9849112CF95}"/>
    <hyperlink ref="B1015" r:id="rId3057" display="https://twitter.com/fran_priebe" xr:uid="{7FE1CAEF-F9EE-4DF6-8227-57FBEB0258EE}"/>
    <hyperlink ref="E1015" r:id="rId3058" display="https://twitter.com/fran_priebe/status/722308829287944192" xr:uid="{CBF7AA0F-6883-4DE9-8BF9-1B4369B8F338}"/>
    <hyperlink ref="O1015" r:id="rId3059" display="https://pbs.twimg.com/profile_images/566892914551558144/I5gD850E_normal.jpeg" xr:uid="{F0284D98-2583-4BC5-B64A-B533F6A5BFEB}"/>
    <hyperlink ref="B1016" r:id="rId3060" display="https://twitter.com/INDIZbot" xr:uid="{595BE4CE-5DB6-401B-8C7E-539326C18CFB}"/>
    <hyperlink ref="E1016" r:id="rId3061" display="https://twitter.com/INDIZbot/status/722309039594586112" xr:uid="{BE66F3FD-C43D-420F-9C8C-F588D3905503}"/>
    <hyperlink ref="O1016" r:id="rId3062" display="https://pbs.twimg.com/profile_images/645716711723925506/t5G0qOS6_normal.jpg" xr:uid="{85029EAD-6BE9-4E0B-ACD1-E1C328C2590F}"/>
    <hyperlink ref="B1017" r:id="rId3063" display="https://twitter.com/EelcoKaper" xr:uid="{3D7C7D1E-DF15-4975-8D76-D91CB4DFFFCA}"/>
    <hyperlink ref="E1017" r:id="rId3064" display="https://twitter.com/EelcoKaper/status/722309175502618624" xr:uid="{C595FD95-7FD1-452E-94BD-1AF063389E49}"/>
    <hyperlink ref="O1017" r:id="rId3065" display="https://pbs.twimg.com/profile_images/3491231235/ed24978d3a8400c7023f6fc1c58c5349_normal.jpeg" xr:uid="{580FE6C2-B837-478B-953D-83FF8007B494}"/>
    <hyperlink ref="B1018" r:id="rId3066" display="https://twitter.com/H_IT_D" xr:uid="{9DD0927E-BCBB-49D4-A14C-EA8931BBA19D}"/>
    <hyperlink ref="E1018" r:id="rId3067" display="https://twitter.com/H_IT_D/status/722309777909387264" xr:uid="{541733A3-E30F-486F-8BCA-BF87ACFB1343}"/>
    <hyperlink ref="O1018" r:id="rId3068" display="https://pbs.twimg.com/profile_images/662723326096224256/5V4KH9_O_normal.jpg" xr:uid="{15012BE5-B73C-4BDE-B585-C74534624480}"/>
    <hyperlink ref="B1019" r:id="rId3069" display="https://twitter.com/BoschSI" xr:uid="{75A43A2E-57BA-4AA2-89F3-037302FBE8AD}"/>
    <hyperlink ref="E1019" r:id="rId3070" display="https://twitter.com/BoschSI/status/722309857202872322" xr:uid="{20EE7DFA-58DB-4F73-BDFE-D59FCE13D6A1}"/>
    <hyperlink ref="O1019" r:id="rId3071" display="https://pbs.twimg.com/profile_images/423816397320241152/83rRQZmm_normal.jpeg" xr:uid="{48E00A9F-55DA-4CCC-ABAD-875C1AC857A4}"/>
    <hyperlink ref="B1020" r:id="rId3072" display="https://twitter.com/BirgitNiesing" xr:uid="{1545593F-B462-4208-B6CE-6843005761F8}"/>
    <hyperlink ref="E1020" r:id="rId3073" display="https://twitter.com/BirgitNiesing/status/722309866157686784" xr:uid="{55103F39-82DC-45EE-B6FD-B5BFA81AB4B6}"/>
    <hyperlink ref="O1020" r:id="rId3074" display="https://pbs.twimg.com/profile_images/698945495373344768/qKt1PGIF_normal.jpg" xr:uid="{C81A5D99-AB86-4683-A75B-401963E1229A}"/>
    <hyperlink ref="B1021" r:id="rId3075" display="https://twitter.com/ThorstenRamus" xr:uid="{F837B912-481A-4DA2-B702-331BB1B6E212}"/>
    <hyperlink ref="E1021" r:id="rId3076" display="https://twitter.com/ThorstenRamus/status/722310356689952768" xr:uid="{DA60E359-1884-4DA1-AADA-572EB3B3BAC0}"/>
    <hyperlink ref="O1021" r:id="rId3077" display="https://pbs.twimg.com/profile_images/649160019590684676/25rXh6pN_normal.jpg" xr:uid="{283D8526-B458-4534-9135-17B06A66F690}"/>
    <hyperlink ref="B1022" r:id="rId3078" display="https://twitter.com/BoschSI" xr:uid="{A325A0B7-BE38-48F8-90C1-946DB9087BB3}"/>
    <hyperlink ref="E1022" r:id="rId3079" display="https://twitter.com/BoschSI/status/722311320012472320" xr:uid="{AD6F6814-E4A4-404A-ABBF-436502F07830}"/>
    <hyperlink ref="O1022" r:id="rId3080" display="https://pbs.twimg.com/profile_images/423816397320241152/83rRQZmm_normal.jpeg" xr:uid="{19953FF0-6C36-46B7-A8DC-EDFC2D75A362}"/>
    <hyperlink ref="B1023" r:id="rId3081" display="https://twitter.com/Bennuehr" xr:uid="{C8BCCF76-0ADB-4DC3-809A-70C0568D36B0}"/>
    <hyperlink ref="E1023" r:id="rId3082" display="https://twitter.com/Bennuehr/status/722311883513077760" xr:uid="{F5552252-0833-475D-B2E2-DE626D8023F2}"/>
    <hyperlink ref="O1023" r:id="rId3083" display="https://pbs.twimg.com/profile_images/1450403428/_8IA1859b_normal.jpg" xr:uid="{026E570E-55B1-45A9-A10C-6211656714C7}"/>
    <hyperlink ref="B1024" r:id="rId3084" display="https://twitter.com/StipoNad" xr:uid="{E38FDB2F-6977-48C5-823D-E4D0BC2F25A4}"/>
    <hyperlink ref="E1024" r:id="rId3085" display="https://twitter.com/StipoNad/status/722312300863074305" xr:uid="{12D58CA5-D9E2-453E-AE6D-E6D2FDC2687B}"/>
    <hyperlink ref="O1024" r:id="rId3086" display="https://pbs.twimg.com/profile_images/656779070798172160/TNRHncFi_normal.jpg" xr:uid="{AF9659D5-45CB-41FC-8A4A-F2062FA2D51C}"/>
    <hyperlink ref="B1025" r:id="rId3087" display="https://twitter.com/ScopeOnline" xr:uid="{02DD92BF-9170-453C-BFF4-CD3EC477851D}"/>
    <hyperlink ref="E1025" r:id="rId3088" display="https://twitter.com/ScopeOnline/status/722312580627361792" xr:uid="{15369615-E06C-4AB9-A6A0-43CF8E490237}"/>
    <hyperlink ref="O1025" r:id="rId3089" display="https://pbs.twimg.com/profile_images/542205461139705857/rG0aBulP_normal.png" xr:uid="{255AE1DF-4083-4921-A412-7B4EBDE9FD82}"/>
    <hyperlink ref="B1026" r:id="rId3090" display="https://twitter.com/QuickFindsIn" xr:uid="{258E5CF0-6621-47D2-BA81-992EEDCEFC2A}"/>
    <hyperlink ref="E1026" r:id="rId3091" display="https://twitter.com/QuickFindsIn/status/722312782180290560" xr:uid="{D09BA084-35D3-4821-B7A6-815E4B4DF1A5}"/>
    <hyperlink ref="O1026" r:id="rId3092" display="https://pbs.twimg.com/profile_images/591951396217327616/HbcCX2zX_normal.png" xr:uid="{A97ED374-2EF3-484F-A986-BB6A5CDDA23C}"/>
    <hyperlink ref="B1027" r:id="rId3093" display="https://twitter.com/ScopeOnline" xr:uid="{648852E6-7079-40BD-A9ED-3AF2CCF08F34}"/>
    <hyperlink ref="E1027" r:id="rId3094" display="https://twitter.com/ScopeOnline/status/722313507459436544" xr:uid="{C24C4415-09F0-44CB-BBF9-3A3658A16571}"/>
    <hyperlink ref="O1027" r:id="rId3095" display="https://pbs.twimg.com/profile_images/542205461139705857/rG0aBulP_normal.png" xr:uid="{EA14172A-E376-4CDA-9552-EF58BAD91451}"/>
    <hyperlink ref="B1028" r:id="rId3096" display="https://twitter.com/WRS_GmbH" xr:uid="{83C0BF3A-C88B-4B1A-AF29-5C5CA83B6FBA}"/>
    <hyperlink ref="E1028" r:id="rId3097" display="https://twitter.com/WRS_GmbH/status/722313722904059904" xr:uid="{B270FD30-9837-4227-96C2-A9449768931F}"/>
    <hyperlink ref="O1028" r:id="rId3098" display="https://pbs.twimg.com/profile_images/463222772026449920/5iGLiTR2_normal.jpeg" xr:uid="{4A663293-9A96-472B-81C3-054520B19BE1}"/>
    <hyperlink ref="B1029" r:id="rId3099" display="https://twitter.com/INDIZbot" xr:uid="{91AFDD10-9E7E-41B0-AE8B-B74A5389C196}"/>
    <hyperlink ref="E1029" r:id="rId3100" display="https://twitter.com/INDIZbot/status/722314159719915520" xr:uid="{E76A4EBF-DA00-4FD6-8F7A-05E6BF7ACE87}"/>
    <hyperlink ref="O1029" r:id="rId3101" display="https://pbs.twimg.com/profile_images/645716711723925506/t5G0qOS6_normal.jpg" xr:uid="{6A261DE1-18CB-4E21-8B46-0B5E524D3507}"/>
    <hyperlink ref="B1030" r:id="rId3102" display="https://twitter.com/foresight_lab" xr:uid="{E56D7742-C49C-47BD-BD3F-CADC5281596B}"/>
    <hyperlink ref="E1030" r:id="rId3103" display="https://twitter.com/foresight_lab/status/722314185913344000" xr:uid="{DAF480E8-A40C-49D9-AA52-A2B064051139}"/>
    <hyperlink ref="O1030" r:id="rId3104" display="https://pbs.twimg.com/profile_images/665798535779065856/sbUN3m6Q_normal.jpg" xr:uid="{F135C297-93FE-4FA5-BE28-D9D88FA9CB27}"/>
    <hyperlink ref="B1031" r:id="rId3105" display="https://twitter.com/LReehten" xr:uid="{852D009B-6508-4549-BF0D-46FDE45E03D9}"/>
    <hyperlink ref="E1031" r:id="rId3106" display="https://twitter.com/LReehten/status/722314387378282496" xr:uid="{63976DE8-44F2-4A0B-B17C-9C7EDF3BBD70}"/>
    <hyperlink ref="O1031" r:id="rId3107" display="https://pbs.twimg.com/profile_images/623849156159868928/BetFDR_i_normal.jpg" xr:uid="{D67774DD-D115-4454-99A7-A1CD8E519AA7}"/>
    <hyperlink ref="B1032" r:id="rId3108" display="https://twitter.com/LReehten" xr:uid="{7C8FDD9D-D2DA-4D7C-8EEF-AC7F4DB832DE}"/>
    <hyperlink ref="E1032" r:id="rId3109" display="https://twitter.com/LReehten/status/722314431590440960" xr:uid="{985A131E-1A2C-406C-9C83-CB143424F7A3}"/>
    <hyperlink ref="O1032" r:id="rId3110" display="https://pbs.twimg.com/profile_images/623849156159868928/BetFDR_i_normal.jpg" xr:uid="{E3CCA017-1780-4E7F-954B-029C81A0B4A4}"/>
    <hyperlink ref="B1033" r:id="rId3111" display="https://twitter.com/handling" xr:uid="{FFEE1B9C-91B3-4C86-84B4-1AB3B7C2FEE9}"/>
    <hyperlink ref="E1033" r:id="rId3112" display="https://twitter.com/handling/status/722314452901707776" xr:uid="{5576C1DF-E30A-472C-BC92-01652648755C}"/>
    <hyperlink ref="O1033" r:id="rId3113" display="https://pbs.twimg.com/profile_images/648776467464212480/zcXaLLGc_normal.png" xr:uid="{A63898E2-8D7B-42C9-841E-A1B251DEB29D}"/>
    <hyperlink ref="B1034" r:id="rId3114" display="https://twitter.com/steffi_kow" xr:uid="{275151B6-1050-484B-A654-2734C7582420}"/>
    <hyperlink ref="E1034" r:id="rId3115" display="https://twitter.com/steffi_kow/status/722314465035874304" xr:uid="{9DB4BB4E-2077-41CB-BD9B-3E76089AF8D6}"/>
    <hyperlink ref="O1034" r:id="rId3116" display="https://pbs.twimg.com/profile_images/720603320218488832/n2LIOR4Q_normal.jpg" xr:uid="{E01616D9-1272-4253-A31E-9264B9589BF9}"/>
    <hyperlink ref="B1035" r:id="rId3117" display="https://twitter.com/steffi_kow" xr:uid="{A34F0FE7-D732-4EBA-ABB6-6C04CCDE1656}"/>
    <hyperlink ref="E1035" r:id="rId3118" display="https://twitter.com/steffi_kow/status/722314480122769408" xr:uid="{CC54C987-8B8D-4AA7-88B6-7AB01904FA35}"/>
    <hyperlink ref="O1035" r:id="rId3119" display="https://pbs.twimg.com/profile_images/720603320218488832/n2LIOR4Q_normal.jpg" xr:uid="{3C75651C-8ADE-456A-9A76-E6E515376CC7}"/>
    <hyperlink ref="B1036" r:id="rId3120" display="https://twitter.com/LReehten" xr:uid="{BA87EDE1-3645-4CFE-9A5A-0187ED31E857}"/>
    <hyperlink ref="E1036" r:id="rId3121" display="https://twitter.com/LReehten/status/722314512708276224" xr:uid="{B57D6C87-CC9C-4D45-8977-23F782432C72}"/>
    <hyperlink ref="O1036" r:id="rId3122" display="https://pbs.twimg.com/profile_images/623849156159868928/BetFDR_i_normal.jpg" xr:uid="{41F79F7B-3B1F-4ABC-B415-0D094CBADF6A}"/>
    <hyperlink ref="B1037" r:id="rId3123" display="https://twitter.com/LReehten" xr:uid="{AF7B2817-22A5-49D9-B552-15B01FF9520C}"/>
    <hyperlink ref="E1037" r:id="rId3124" display="https://twitter.com/LReehten/status/722314626587828224" xr:uid="{C27F1E1D-7802-4DAD-BDB1-30086CA49D1E}"/>
    <hyperlink ref="O1037" r:id="rId3125" display="https://pbs.twimg.com/profile_images/623849156159868928/BetFDR_i_normal.jpg" xr:uid="{4346110F-51C0-4F61-ABB9-7E5C70C7A9D4}"/>
    <hyperlink ref="B1038" r:id="rId3126" display="https://twitter.com/LReehten" xr:uid="{5E54EB34-C6A4-407C-815E-A0BFC938E33E}"/>
    <hyperlink ref="E1038" r:id="rId3127" display="https://twitter.com/LReehten/status/722314626587828225" xr:uid="{143E4DCC-9B0C-4A85-B37A-49793FED8556}"/>
    <hyperlink ref="O1038" r:id="rId3128" display="https://pbs.twimg.com/profile_images/623849156159868928/BetFDR_i_normal.jpg" xr:uid="{CE8DD639-4B1F-421C-A382-1D1DA525F277}"/>
    <hyperlink ref="B1039" r:id="rId3129" display="https://twitter.com/LReehten" xr:uid="{82C6D2B5-2533-4FF7-82F5-73D10AF90BEE}"/>
    <hyperlink ref="E1039" r:id="rId3130" display="https://twitter.com/LReehten/status/722314648918364160" xr:uid="{AFB0B2C9-A842-47CE-AF81-750F03AFA1F3}"/>
    <hyperlink ref="O1039" r:id="rId3131" display="https://pbs.twimg.com/profile_images/623849156159868928/BetFDR_i_normal.jpg" xr:uid="{D27680D0-2C24-4354-A07B-660A1F20F9D9}"/>
    <hyperlink ref="B1040" r:id="rId3132" display="https://twitter.com/LReehten" xr:uid="{5E3450CC-5518-43E5-BA3F-63202BD8D10B}"/>
    <hyperlink ref="E1040" r:id="rId3133" display="https://twitter.com/LReehten/status/722314718946455552" xr:uid="{F51B37BA-A3E5-4B81-AF41-41C1C1B73B5B}"/>
    <hyperlink ref="O1040" r:id="rId3134" display="https://pbs.twimg.com/profile_images/623849156159868928/BetFDR_i_normal.jpg" xr:uid="{424DA767-BCBA-4AE3-9BAC-0267F73FE838}"/>
    <hyperlink ref="B1041" r:id="rId3135" display="https://twitter.com/LReehten" xr:uid="{53492947-36E8-4E5A-8815-405D250CF01E}"/>
    <hyperlink ref="E1041" r:id="rId3136" display="https://twitter.com/LReehten/status/722314856834142208" xr:uid="{8ED3B33B-F23B-4589-A21D-E5F9C5991545}"/>
    <hyperlink ref="O1041" r:id="rId3137" display="https://pbs.twimg.com/profile_images/623849156159868928/BetFDR_i_normal.jpg" xr:uid="{A0645744-AECD-449E-A768-EA4CF793BBA9}"/>
    <hyperlink ref="B1042" r:id="rId3138" display="https://twitter.com/LReehten" xr:uid="{D24F3BD6-F617-4C76-8F01-5FEFE8101708}"/>
    <hyperlink ref="E1042" r:id="rId3139" display="https://twitter.com/LReehten/status/722314880045445120" xr:uid="{D68ABCA5-94AB-4F5F-998D-A67BED1B837E}"/>
    <hyperlink ref="O1042" r:id="rId3140" display="https://pbs.twimg.com/profile_images/623849156159868928/BetFDR_i_normal.jpg" xr:uid="{FF864C45-B260-43B1-B7B1-23B0B8B088EB}"/>
    <hyperlink ref="B1043" r:id="rId3141" display="https://twitter.com/LReehten" xr:uid="{4496F2B6-E71E-4590-9F6F-E9A85A5C1452}"/>
    <hyperlink ref="E1043" r:id="rId3142" display="https://twitter.com/LReehten/status/722314926639943680" xr:uid="{BCACF71B-5760-48BD-AD37-D17128043507}"/>
    <hyperlink ref="O1043" r:id="rId3143" display="https://pbs.twimg.com/profile_images/623849156159868928/BetFDR_i_normal.jpg" xr:uid="{3A7729CD-F433-4FB8-95AC-5D5A6CED0433}"/>
    <hyperlink ref="B1044" r:id="rId3144" display="https://twitter.com/LReehten" xr:uid="{2C65163B-0759-42C3-93E9-0F5D4FB43D19}"/>
    <hyperlink ref="E1044" r:id="rId3145" display="https://twitter.com/LReehten/status/722314948152528896" xr:uid="{03FDAF41-749F-44F5-A72B-2372F3292529}"/>
    <hyperlink ref="O1044" r:id="rId3146" display="https://pbs.twimg.com/profile_images/623849156159868928/BetFDR_i_normal.jpg" xr:uid="{A13F1EAB-F187-4467-825E-5F100409AA8B}"/>
    <hyperlink ref="B1045" r:id="rId3147" display="https://twitter.com/nextDBI" xr:uid="{71CF46D2-4C8D-4EF5-A4F5-FC81E72C52F8}"/>
    <hyperlink ref="E1045" r:id="rId3148" display="https://twitter.com/nextDBI/status/722315090842791936" xr:uid="{94A63F1C-17B0-4FED-9CF8-B571477537E9}"/>
    <hyperlink ref="O1045" r:id="rId3149" display="https://pbs.twimg.com/profile_images/544485391860916225/UGg0IhKT_normal.png" xr:uid="{0A834275-343E-4D92-9E28-E76295170235}"/>
    <hyperlink ref="B1046" r:id="rId3150" display="https://twitter.com/BTU_News" xr:uid="{D01C3098-B7B7-4090-BBFE-F3C3B20BEB1F}"/>
    <hyperlink ref="E1046" r:id="rId3151" display="https://twitter.com/BTU_News/status/722315377896792065" xr:uid="{FC0FB042-6250-446D-A605-E32D9887950E}"/>
    <hyperlink ref="O1046" r:id="rId3152" display="https://pbs.twimg.com/profile_images/515113341606309888/jm5A2fjM_normal.jpeg" xr:uid="{413A93DE-D9EB-44B0-9821-29B2CD897ACE}"/>
    <hyperlink ref="B1047" r:id="rId3153" display="https://twitter.com/QuickFindsIn" xr:uid="{B04B62C4-6B4D-47E6-8211-4C9D295FB0A7}"/>
    <hyperlink ref="E1047" r:id="rId3154" display="https://twitter.com/QuickFindsIn/status/722315803991773184" xr:uid="{EC249410-95FD-4857-B6B0-47D8EC418E3F}"/>
    <hyperlink ref="O1047" r:id="rId3155" display="https://pbs.twimg.com/profile_images/591951396217327616/HbcCX2zX_normal.png" xr:uid="{AD432A44-5B52-4786-ACA6-D831B166B38D}"/>
    <hyperlink ref="B1048" r:id="rId3156" display="https://twitter.com/foresight_lab" xr:uid="{819C8EDE-0583-4BD8-949D-92424F443C29}"/>
    <hyperlink ref="E1048" r:id="rId3157" display="https://twitter.com/foresight_lab/status/722316421003403264" xr:uid="{BF8A4599-1C0B-4149-80DF-3B4AC401EAF7}"/>
    <hyperlink ref="O1048" r:id="rId3158" display="https://pbs.twimg.com/profile_images/665798535779065856/sbUN3m6Q_normal.jpg" xr:uid="{092F7128-C2BE-475E-B2CE-44C371942DE1}"/>
    <hyperlink ref="B1049" r:id="rId3159" display="https://twitter.com/idl_social" xr:uid="{CC5AE22C-5534-4ECA-8A50-9A55C617CE4A}"/>
    <hyperlink ref="E1049" r:id="rId3160" display="https://twitter.com/idl_social/status/722316433674354692" xr:uid="{AA87ED2B-16F2-4E5B-B873-0478F9ECFC24}"/>
    <hyperlink ref="O1049" r:id="rId3161" display="https://pbs.twimg.com/profile_images/695294434603331584/2JIO58JT_normal.png" xr:uid="{98B5B078-BB2F-42AE-B533-A13FA0469EDA}"/>
    <hyperlink ref="B1050" r:id="rId3162" display="https://twitter.com/PSIPENTA" xr:uid="{B1E91E2A-7F13-48B8-A13E-6DCDE8B294A5}"/>
    <hyperlink ref="E1050" r:id="rId3163" display="https://twitter.com/PSIPENTA/status/722316728504610816" xr:uid="{ABC2B00A-062E-47A1-9E50-E5DEAB19FD1C}"/>
    <hyperlink ref="O1050" r:id="rId3164" display="https://pbs.twimg.com/profile_images/684325175849037824/2vFq058g_normal.jpg" xr:uid="{75890B76-28E2-4B39-83F2-38BC4B1A2082}"/>
    <hyperlink ref="B1051" r:id="rId3165" display="https://twitter.com/TanjaMB" xr:uid="{9638731A-D86A-462E-8396-F32E8283E146}"/>
    <hyperlink ref="E1051" r:id="rId3166" display="https://twitter.com/TanjaMB/status/722316809907609600" xr:uid="{3E2FA78C-EAAF-4C75-8AF1-175B367E6529}"/>
    <hyperlink ref="O1051" r:id="rId3167" display="https://pbs.twimg.com/profile_images/666343498925400064/e0BybeOH_normal.jpg" xr:uid="{E4A35E02-5281-496F-8853-0937F0DBE68C}"/>
    <hyperlink ref="B1052" r:id="rId3168" display="https://twitter.com/wirtschaftsrat" xr:uid="{F749BD47-D55C-47AE-8BA9-FDD45EA9D8FF}"/>
    <hyperlink ref="E1052" r:id="rId3169" display="https://twitter.com/wirtschaftsrat/status/722318351813500928" xr:uid="{B43BC76A-36A6-435E-9599-6B2C4D951804}"/>
    <hyperlink ref="O1052" r:id="rId3170" display="https://pbs.twimg.com/profile_images/470855617062531072/WNORP1wO_normal.jpeg" xr:uid="{385CAF4A-541C-49C9-A0C5-45400183F6C2}"/>
    <hyperlink ref="B1053" r:id="rId3171" display="https://twitter.com/HeikeDiebler" xr:uid="{6C6A051F-DC43-4FAD-94D3-85599CC80656}"/>
    <hyperlink ref="E1053" r:id="rId3172" display="https://twitter.com/HeikeDiebler/status/722319336921309184" xr:uid="{0A0F4762-1AFA-4E8F-9E56-0A0C31C1D513}"/>
    <hyperlink ref="O1053" r:id="rId3173" display="https://pbs.twimg.com/profile_images/680778003320823808/b26OKg1A_normal.jpg" xr:uid="{2096C4A4-1E0E-4DC2-AC59-3FBB3C2B8322}"/>
    <hyperlink ref="B1054" r:id="rId3174" display="https://twitter.com/INDIZbot" xr:uid="{FBB9DCEA-C1F8-4199-8252-AA7099E1208B}"/>
    <hyperlink ref="E1054" r:id="rId3175" display="https://twitter.com/INDIZbot/status/722319364821790720" xr:uid="{A636B7C1-E65F-4B80-A8B3-57019AF43F5F}"/>
    <hyperlink ref="O1054" r:id="rId3176" display="https://pbs.twimg.com/profile_images/645716711723925506/t5G0qOS6_normal.jpg" xr:uid="{75069B43-FF7E-4DFB-B386-96ED024AF76E}"/>
    <hyperlink ref="B1055" r:id="rId3177" display="https://twitter.com/VDMAonline" xr:uid="{BA9798CA-73A9-46EC-BFA2-5B84DBBA12FF}"/>
    <hyperlink ref="E1055" r:id="rId3178" display="https://twitter.com/VDMAonline/status/722319805253054464" xr:uid="{6D855F78-7908-47C7-A8F9-953878120768}"/>
    <hyperlink ref="O1055" r:id="rId3179" display="https://pbs.twimg.com/profile_images/609375510158774272/P5glOk4b_normal.jpg" xr:uid="{BD1841A7-0B3F-4B81-AE9A-51A00225317E}"/>
    <hyperlink ref="B1056" r:id="rId3180" display="https://twitter.com/recruitingtag" xr:uid="{B690C9B9-D4B7-436F-94B3-D0692FE2C51D}"/>
    <hyperlink ref="C1056" r:id="rId3181" xr:uid="{DD12FBC1-7558-4418-A887-FB79D3B9FC1D}"/>
    <hyperlink ref="E1056" r:id="rId3182" display="https://twitter.com/recruitingtag/status/722320002574086144" xr:uid="{972C3141-146C-4C69-A74B-D9D33CDC3791}"/>
    <hyperlink ref="O1056" r:id="rId3183" display="https://pbs.twimg.com/profile_images/689456900824403968/JZsh7BBB_normal.jpg" xr:uid="{DC468879-B719-4483-9E39-680DADFBAF33}"/>
    <hyperlink ref="B1057" r:id="rId3184" display="https://twitter.com/WassenhovenUG" xr:uid="{5777606F-B028-4D79-8ED2-C1CF66A1BA7F}"/>
    <hyperlink ref="E1057" r:id="rId3185" display="https://twitter.com/WassenhovenUG/status/722320546105593856" xr:uid="{546BF20C-AA1B-45F2-9110-D58603F3F76C}"/>
    <hyperlink ref="O1057" r:id="rId3186" display="https://pbs.twimg.com/profile_images/590945003289059328/J0FpdmyS_normal.png" xr:uid="{E0D033AF-FBE2-473B-91BD-2FF9818E729A}"/>
    <hyperlink ref="B1058" r:id="rId3187" display="https://twitter.com/BoschMEMS" xr:uid="{E1001B2E-1093-4D38-A7F4-362D2BD5C5E6}"/>
    <hyperlink ref="E1058" r:id="rId3188" display="https://twitter.com/BoschMEMS/status/722320924054274048" xr:uid="{936A0B33-7851-44DC-BA5F-DAF78B7FCBE5}"/>
    <hyperlink ref="O1058" r:id="rId3189" display="https://pbs.twimg.com/profile_images/1751941421/TW_Profilbild_025_normal.jpg" xr:uid="{615854A7-B621-4D9A-9499-9E8250808AD2}"/>
    <hyperlink ref="B1059" r:id="rId3190" display="https://twitter.com/MartinBeims" xr:uid="{5F011C40-8FFD-48BA-83CD-9CA86EEF9201}"/>
    <hyperlink ref="E1059" r:id="rId3191" display="https://twitter.com/MartinBeims/status/722321350560464896" xr:uid="{3CB29B8B-D700-48A9-916D-168126BD5BD0}"/>
    <hyperlink ref="O1059" r:id="rId3192" display="https://pbs.twimg.com/profile_images/691697715944779776/WfLWqhS8_normal.jpg" xr:uid="{5841ECA8-49A8-4028-891F-149D68C845F9}"/>
    <hyperlink ref="B1060" r:id="rId3193" display="https://twitter.com/INDIZbot" xr:uid="{D040AD40-03B1-4479-BF52-32ADA1F061EA}"/>
    <hyperlink ref="E1060" r:id="rId3194" display="https://twitter.com/INDIZbot/status/722321620950458368" xr:uid="{4CC6D39A-0B28-4EFE-845A-D795C3DCD2D2}"/>
    <hyperlink ref="O1060" r:id="rId3195" display="https://pbs.twimg.com/profile_images/645716711723925506/t5G0qOS6_normal.jpg" xr:uid="{2CB4AFFD-396F-4938-98BF-9096690B2DDD}"/>
    <hyperlink ref="B1061" r:id="rId3196" display="https://twitter.com/IPEV_Markus" xr:uid="{986CB05E-7D46-43F0-9FF7-6D4579E532A2}"/>
    <hyperlink ref="E1061" r:id="rId3197" display="https://twitter.com/IPEV_Markus/status/722321666127360000" xr:uid="{E513586D-4743-4F90-A786-92536772BB08}"/>
    <hyperlink ref="O1061" r:id="rId3198" display="https://pbs.twimg.com/profile_images/2498759633/s9nz1xid3srbfjgqlxq6_normal.jpeg" xr:uid="{4179304D-00B4-4C0C-B6F5-9A96CA524DA5}"/>
    <hyperlink ref="B1062" r:id="rId3199" display="https://twitter.com/AltenaTCS" xr:uid="{699FC81F-CC98-47BE-979F-762962248BC3}"/>
    <hyperlink ref="E1062" r:id="rId3200" display="https://twitter.com/AltenaTCS/status/722322226280865792" xr:uid="{0597B23E-887A-4705-B932-406DE14BA92D}"/>
    <hyperlink ref="O1062" r:id="rId3201" display="https://pbs.twimg.com/profile_images/709648582048157696/BnZ5RzQA_normal.jpg" xr:uid="{8C1BC98B-3175-4CF0-9C21-4B9DE08D6D35}"/>
    <hyperlink ref="B1063" r:id="rId3202" display="https://twitter.com/mbesch" xr:uid="{56520B5B-C242-4CA1-BA0D-9E2BC374A6BB}"/>
    <hyperlink ref="E1063" r:id="rId3203" display="https://twitter.com/mbesch/status/722322651621027840" xr:uid="{799F9A96-D90D-4AA9-ACC5-996068BE268A}"/>
    <hyperlink ref="O1063" r:id="rId3204" display="https://pbs.twimg.com/profile_images/378800000095428642/8ef0ce9ca980b41ef8db86c5e546114f_normal.jpeg" xr:uid="{E2FF5C7E-1D1B-473C-B07B-C830749713DB}"/>
    <hyperlink ref="B1064" r:id="rId3205" display="https://twitter.com/Weidmueller" xr:uid="{632755D2-AC8D-4417-AC9E-10306CBC179B}"/>
    <hyperlink ref="E1064" r:id="rId3206" display="https://twitter.com/Weidmueller/status/722323508420849664" xr:uid="{FDF47C46-74AB-469F-BC6F-D1251A6341ED}"/>
    <hyperlink ref="O1064" r:id="rId3207" display="https://pbs.twimg.com/profile_images/486776995544444929/4cYg4t3a_normal.jpeg" xr:uid="{4C909E86-4F6B-4973-A403-5011A607B0DB}"/>
    <hyperlink ref="B1065" r:id="rId3208" display="https://twitter.com/INDIZbot" xr:uid="{9E279580-6EE3-4C95-B3B4-7E6EB64917E5}"/>
    <hyperlink ref="E1065" r:id="rId3209" display="https://twitter.com/INDIZbot/status/722324290788597762" xr:uid="{CA3E67C6-AA29-4559-A4C4-32F796D62D0F}"/>
    <hyperlink ref="O1065" r:id="rId3210" display="https://pbs.twimg.com/profile_images/645716711723925506/t5G0qOS6_normal.jpg" xr:uid="{4F575666-EE5E-4B4E-A113-16840CCC270F}"/>
    <hyperlink ref="B1066" r:id="rId3211" display="https://twitter.com/1ironbark1" xr:uid="{F283092C-6DAA-4920-824E-AADB0E03992A}"/>
    <hyperlink ref="E1066" r:id="rId3212" display="https://twitter.com/1ironbark1/status/722325044311904256" xr:uid="{84FE8896-E212-4661-96D7-0492990F36CF}"/>
    <hyperlink ref="O1066" r:id="rId3213" display="https://pbs.twimg.com/profile_images/1610234082/jwstwitter_normal.jpg" xr:uid="{74B144EA-2E68-458D-95E5-F5423C87E3ED}"/>
    <hyperlink ref="B1067" r:id="rId3214" display="https://twitter.com/JordanOlivero1" xr:uid="{01379EE0-5EF1-4151-AD6A-90E2A0CEA551}"/>
    <hyperlink ref="E1067" r:id="rId3215" display="https://twitter.com/JordanOlivero1/status/722325650602860544" xr:uid="{C22D4F6F-B723-49D0-8B8F-E95B0959C13E}"/>
    <hyperlink ref="O1067" r:id="rId3216" display="https://pbs.twimg.com/profile_images/659192267836551169/bhhU-FPQ_normal.png" xr:uid="{A57D74D8-8809-4018-BD7A-8BB3461D3A33}"/>
    <hyperlink ref="B1068" r:id="rId3217" display="https://twitter.com/BEMA_Consulting" xr:uid="{44B10DC4-8B11-4170-8B91-5C724148EEEA}"/>
    <hyperlink ref="E1068" r:id="rId3218" display="https://twitter.com/BEMA_Consulting/status/722325800058531840" xr:uid="{A4F66331-008B-4E06-986B-1F5F938019E7}"/>
    <hyperlink ref="O1068" r:id="rId3219" display="https://pbs.twimg.com/profile_images/608235303380393984/IuV1y-D2_normal.png" xr:uid="{7928A803-283B-4C84-9A6B-3BF451571CFB}"/>
    <hyperlink ref="B1069" r:id="rId3220" display="https://twitter.com/MatthiasKietzma" xr:uid="{41987B4F-AA8F-4D43-8583-B60BE5FBDC70}"/>
    <hyperlink ref="E1069" r:id="rId3221" display="https://twitter.com/MatthiasKietzma/status/722326120855650304" xr:uid="{35010248-357F-46A9-B2D9-730FC2A51BE1}"/>
    <hyperlink ref="O1069" r:id="rId3222" display="https://pbs.twimg.com/profile_images/662589363264626688/szOJwnKv_normal.jpg" xr:uid="{630E7CD1-2B4F-403F-BA29-1697B630E507}"/>
    <hyperlink ref="B1070" r:id="rId3223" display="https://twitter.com/H_IT_D" xr:uid="{024828D5-DC7C-400C-8D25-46B6281F3FC5}"/>
    <hyperlink ref="E1070" r:id="rId3224" display="https://twitter.com/H_IT_D/status/722326401471225856" xr:uid="{7DFA8BC5-887A-4235-A7A8-5725FF438E47}"/>
    <hyperlink ref="O1070" r:id="rId3225" display="https://pbs.twimg.com/profile_images/662723326096224256/5V4KH9_O_normal.jpg" xr:uid="{BDAF4EC8-DA7A-43E6-A11E-65B1369A3EBF}"/>
    <hyperlink ref="B1071" r:id="rId3226" display="https://twitter.com/IT_Connection" xr:uid="{7D246867-6718-4CD8-AD4F-B624D040F34E}"/>
    <hyperlink ref="E1071" r:id="rId3227" display="https://twitter.com/IT_Connection/status/722326536075014144" xr:uid="{B978659D-4797-4694-9216-662F0B6D46AC}"/>
    <hyperlink ref="O1071" r:id="rId3228" display="https://pbs.twimg.com/profile_images/566986293888835584/_uYTcau__normal.png" xr:uid="{03312F1B-D1D1-4A48-B2FA-6EE53E9614BC}"/>
    <hyperlink ref="B1072" r:id="rId3229" display="https://twitter.com/INDIZbot" xr:uid="{73E68B6B-D1EF-4E36-8773-6B4CD89F3915}"/>
    <hyperlink ref="E1072" r:id="rId3230" display="https://twitter.com/INDIZbot/status/722326849649512448" xr:uid="{C584EDB8-0F74-45E4-9FE8-587915AF9531}"/>
    <hyperlink ref="O1072" r:id="rId3231" display="https://pbs.twimg.com/profile_images/645716711723925506/t5G0qOS6_normal.jpg" xr:uid="{F734C3C0-1DED-4A91-9BE8-821635BC4997}"/>
    <hyperlink ref="B1073" r:id="rId3232" display="https://twitter.com/ke_NEXT" xr:uid="{6DBFE8C3-1CF1-4A29-8E01-A37F05273809}"/>
    <hyperlink ref="E1073" r:id="rId3233" display="https://twitter.com/ke_NEXT/status/722326913239425025" xr:uid="{54EBC64E-C9B6-45AD-8F85-F74186BF5A3E}"/>
    <hyperlink ref="O1073" r:id="rId3234" display="https://pbs.twimg.com/profile_images/672314625904541696/nkjpjIHy_normal.png" xr:uid="{419B26FC-8256-4521-B97C-742F7E41D5D9}"/>
    <hyperlink ref="B1074" r:id="rId3235" display="https://twitter.com/MarcLuegger" xr:uid="{80D0786E-EAB6-442E-9AD1-294B411E00EB}"/>
    <hyperlink ref="E1074" r:id="rId3236" display="https://twitter.com/MarcLuegger/status/722327093372141569" xr:uid="{7E2EEDC6-0097-41DC-A35F-D6708F6AEBC3}"/>
    <hyperlink ref="O1074" r:id="rId3237" display="https://pbs.twimg.com/profile_images/687576250932686848/1SQwNign_normal.jpg" xr:uid="{34C85A8B-AD98-45D6-97A7-B427D4A8A8A3}"/>
    <hyperlink ref="B1075" r:id="rId3238" display="https://twitter.com/bcfhdw" xr:uid="{8E1BFFE7-1958-4AFC-9CD1-DB6AE1D812C5}"/>
    <hyperlink ref="E1075" r:id="rId3239" display="https://twitter.com/bcfhdw/status/722327306056949760" xr:uid="{69C613F2-4C58-48FC-9586-A5766E99D812}"/>
    <hyperlink ref="O1075" r:id="rId3240" display="https://pbs.twimg.com/profile_images/707473583296135170/yLZIZvjp_normal.jpg" xr:uid="{E1DD2E44-3377-465B-97AE-98997A31E26A}"/>
    <hyperlink ref="B1076" r:id="rId3241" display="https://twitter.com/zwitscher66" xr:uid="{FA2786B8-2FA8-4819-A172-F07832A7626A}"/>
    <hyperlink ref="E1076" r:id="rId3242" display="https://twitter.com/zwitscher66/status/722327337346461696" xr:uid="{CB6F1F8A-4A9B-46D8-B2A8-5C8A8D6EAFF8}"/>
    <hyperlink ref="O1076" r:id="rId3243" display="https://pbs.twimg.com/profile_images/3365928668/0be3c948c467aa211bb97ca74eb11472_normal.jpeg" xr:uid="{8AB45164-92A0-47F0-B18A-E0564379B751}"/>
    <hyperlink ref="B1077" r:id="rId3244" display="https://twitter.com/Angela_Josephs" xr:uid="{BF64AFD7-4FCB-44BF-97DB-0987F35B6F1E}"/>
    <hyperlink ref="E1077" r:id="rId3245" display="https://twitter.com/Angela_Josephs/status/722329704510959616" xr:uid="{57E62B55-CB4D-42F4-BF6C-EAB2594FFD3E}"/>
    <hyperlink ref="O1077" r:id="rId3246" display="https://pbs.twimg.com/profile_images/649572788148285440/Sxl5vTa3_normal.jpg" xr:uid="{79D9E329-8366-415D-BA6E-CB8A62D6B263}"/>
    <hyperlink ref="B1078" r:id="rId3247" display="https://twitter.com/bamitav" xr:uid="{613CD74E-65A0-4392-B706-4392C5CCE36B}"/>
    <hyperlink ref="E1078" r:id="rId3248" display="https://twitter.com/bamitav/status/722330098712625152" xr:uid="{B3E2FB9D-7CD3-4454-83D6-F659FD78674A}"/>
    <hyperlink ref="O1078" r:id="rId3249" display="https://pbs.twimg.com/profile_images/672794348442877952/m6Is-Nrc_normal.jpg" xr:uid="{FC357649-0CFF-4FFA-865A-3CC9FA81F964}"/>
    <hyperlink ref="B1079" r:id="rId3250" display="https://twitter.com/bamitav" xr:uid="{3F156490-5150-4E69-AB49-0E7F913CD6A0}"/>
    <hyperlink ref="E1079" r:id="rId3251" display="https://twitter.com/bamitav/status/722330193730387973" xr:uid="{0893B55E-D58D-4292-B08B-66A9B3D8F64C}"/>
    <hyperlink ref="O1079" r:id="rId3252" display="https://pbs.twimg.com/profile_images/672794348442877952/m6Is-Nrc_normal.jpg" xr:uid="{04A7A79B-EFC2-46F8-9BA8-53C22B811603}"/>
    <hyperlink ref="B1080" r:id="rId3253" display="https://twitter.com/SebZilch" xr:uid="{040A7F56-6C4E-4858-A632-48F331D00F1A}"/>
    <hyperlink ref="E1080" r:id="rId3254" display="https://twitter.com/SebZilch/status/722331564873527296" xr:uid="{CEBE4B74-EAAE-44AC-A2AF-A03A67341FAF}"/>
    <hyperlink ref="O1080" r:id="rId3255" display="https://pbs.twimg.com/profile_images/559680089638838272/Z1jALFTj_normal.jpeg" xr:uid="{39E67D82-2E50-45E6-B3D6-A42FD6F68DDE}"/>
    <hyperlink ref="B1081" r:id="rId3256" display="https://twitter.com/INDIZbot" xr:uid="{9D622357-0AAC-4F1B-BFBF-6F88ACD5CC28}"/>
    <hyperlink ref="E1081" r:id="rId3257" display="https://twitter.com/INDIZbot/status/722331692518752256" xr:uid="{BE415F4D-0BB4-40D2-8B08-D41FB88EA9E7}"/>
    <hyperlink ref="O1081" r:id="rId3258" display="https://pbs.twimg.com/profile_images/645716711723925506/t5G0qOS6_normal.jpg" xr:uid="{816C4441-0212-4B73-A8DC-9113A001313B}"/>
    <hyperlink ref="B1082" r:id="rId3259" display="https://twitter.com/Fraunhofer" xr:uid="{1069E2C3-A1C4-4B92-87F8-4A9E52F4627F}"/>
    <hyperlink ref="E1082" r:id="rId3260" display="https://twitter.com/Fraunhofer/status/722331734826684416" xr:uid="{534EE244-184A-42DA-A333-B201D774C6E7}"/>
    <hyperlink ref="O1082" r:id="rId3261" display="https://pbs.twimg.com/profile_images/578538983602417665/OKEpeUFp_normal.png" xr:uid="{23A5671B-A0C4-4B1E-929E-D1F218B2349B}"/>
    <hyperlink ref="B1083" r:id="rId3262" display="https://twitter.com/Lars_Lauber" xr:uid="{64FACCEF-46EB-4E2B-8EA2-7E7EE07E5423}"/>
    <hyperlink ref="E1083" r:id="rId3263" display="https://twitter.com/Lars_Lauber/status/722331811179835392" xr:uid="{37151248-75A1-4831-8221-A108056946D7}"/>
    <hyperlink ref="O1083" r:id="rId3264" display="https://pbs.twimg.com/profile_images/651660160600010752/YYTKwl-M_normal.jpg" xr:uid="{16DE1923-AB54-48ED-9745-277E198A9484}"/>
    <hyperlink ref="B1084" r:id="rId3265" display="https://twitter.com/platinn_CH" xr:uid="{F070F339-33D0-45C9-80F0-E2A7993EA5E9}"/>
    <hyperlink ref="E1084" r:id="rId3266" display="https://twitter.com/platinn_CH/status/722332390857785344" xr:uid="{A7CA9E0C-B3CF-49F0-A38C-13544A4C781F}"/>
    <hyperlink ref="O1084" r:id="rId3267" display="https://pbs.twimg.com/profile_images/499558614848122880/w6ZsfOlK_normal.jpeg" xr:uid="{74CE424E-6D36-443D-A5B6-CA01DE4CD632}"/>
    <hyperlink ref="B1085" r:id="rId3268" display="https://twitter.com/stahlmarkt" xr:uid="{E8E778F9-EBC0-4825-825F-36C5337A687F}"/>
    <hyperlink ref="E1085" r:id="rId3269" display="https://twitter.com/stahlmarkt/status/722336186019246081" xr:uid="{97F14A94-7735-4004-B5E3-954648698A5D}"/>
    <hyperlink ref="O1085" r:id="rId3270" display="https://pbs.twimg.com/profile_images/378800000761227538/d62f65a39ac91b4b970b5ea25a1976d8_normal.jpeg" xr:uid="{744FA8F2-FFBF-42A3-95CB-D31032AC9E8B}"/>
    <hyperlink ref="B1086" r:id="rId3271" display="https://twitter.com/FraunhoferAISEC" xr:uid="{8F797AA4-7918-4052-A188-34AAE0BF8941}"/>
    <hyperlink ref="E1086" r:id="rId3272" display="https://twitter.com/FraunhoferAISEC/status/722336616526835712" xr:uid="{7F104816-FB3D-4603-8458-D1C93B3CD210}"/>
    <hyperlink ref="O1086" r:id="rId3273" display="https://pbs.twimg.com/profile_images/703205863415111680/mU-s11Ah_normal.jpg" xr:uid="{A5DB0BE2-FDB3-4C64-9092-459B6F2C82F9}"/>
    <hyperlink ref="B1087" r:id="rId3274" display="https://twitter.com/kommunikationsm" xr:uid="{04C1FBC1-4760-4E4D-9402-238F70275DDF}"/>
    <hyperlink ref="E1087" r:id="rId3275" display="https://twitter.com/kommunikationsm/status/722337370889154560" xr:uid="{CEE350A5-238D-461B-856F-4552410160CC}"/>
    <hyperlink ref="O1087" r:id="rId3276" display="https://pbs.twimg.com/profile_images/619614759370014720/AS__iYuZ_normal.jpg" xr:uid="{267F3A95-E089-4AB0-A224-E6413287CC8A}"/>
    <hyperlink ref="B1088" r:id="rId3277" display="https://twitter.com/CONSILIOGmbH" xr:uid="{EE92D0FA-260F-46DC-BC20-0F8168E4730F}"/>
    <hyperlink ref="E1088" r:id="rId3278" display="https://twitter.com/CONSILIOGmbH/status/722338184210857984" xr:uid="{F684CA7C-D071-464C-BA8F-5A71C373ECFE}"/>
    <hyperlink ref="O1088" r:id="rId3279" display="https://pbs.twimg.com/profile_images/654909811105091584/8u0g3Ueu_normal.png" xr:uid="{5CED950E-D033-4FCD-84F2-C29150D9BE23}"/>
    <hyperlink ref="B1089" r:id="rId3280" display="https://twitter.com/aretasGmbH" xr:uid="{BFEBA752-8F4C-4605-9ACC-31A4BB3F657B}"/>
    <hyperlink ref="E1089" r:id="rId3281" display="https://twitter.com/aretasGmbH/status/722340073673486336" xr:uid="{6B786EA6-EB31-43D6-98BC-57AB449DA82C}"/>
    <hyperlink ref="O1089" r:id="rId3282" display="https://pbs.twimg.com/profile_images/516911536900542464/CNMiu3f9_normal.jpeg" xr:uid="{785A82B0-A246-4CAE-9FC2-4F8C448FB869}"/>
    <hyperlink ref="B1090" r:id="rId3283" display="https://twitter.com/IDKOMPASS" xr:uid="{180A65A0-C94A-4C2D-BFF1-E27FAE1F7278}"/>
    <hyperlink ref="E1090" r:id="rId3284" display="https://twitter.com/IDKOMPASS/status/722340973771030529" xr:uid="{15EBDE32-040D-490C-B432-9BA96663820A}"/>
    <hyperlink ref="O1090" r:id="rId3285" display="https://pbs.twimg.com/profile_images/574932942327144450/RsjsUSUd_normal.jpeg" xr:uid="{504ADFA7-BA37-47AF-BE3E-9F1324DBF4B2}"/>
    <hyperlink ref="B1091" r:id="rId3286" display="https://twitter.com/SHC_GmbH" xr:uid="{26BF40BD-312F-40D6-A3D4-9259F4005714}"/>
    <hyperlink ref="E1091" r:id="rId3287" display="https://twitter.com/SHC_GmbH/status/722341112497770496" xr:uid="{F0FEFCCF-D8AD-413D-BEC5-77AB0CC58436}"/>
    <hyperlink ref="O1091" r:id="rId3288" display="https://pbs.twimg.com/profile_images/3726440228/9ba49ccb938cf571b195e3e83a4e1327_normal.jpeg" xr:uid="{330620FB-D9CB-4234-80C4-DD48288AC7F6}"/>
    <hyperlink ref="B1092" r:id="rId3289" display="https://twitter.com/H_IT_D" xr:uid="{B4B32004-9B37-49AE-B107-F56A0EA0C8D3}"/>
    <hyperlink ref="E1092" r:id="rId3290" display="https://twitter.com/H_IT_D/status/722341993037205504" xr:uid="{A3311F90-FCB2-4017-8B3B-7C861A8006EE}"/>
    <hyperlink ref="O1092" r:id="rId3291" display="https://pbs.twimg.com/profile_images/662723326096224256/5V4KH9_O_normal.jpg" xr:uid="{AEDC0509-DCBC-4084-9C9E-E99DE5A32095}"/>
    <hyperlink ref="B1093" r:id="rId3292" display="https://twitter.com/PortalAlemania" xr:uid="{4DAE9E35-5CA2-470B-84D3-AC34B3836258}"/>
    <hyperlink ref="E1093" r:id="rId3293" display="https://twitter.com/PortalAlemania/status/722343910987718656" xr:uid="{A48FD7FC-B5B0-4192-A71C-E4AB536526DC}"/>
    <hyperlink ref="O1093" r:id="rId3294" display="https://pbs.twimg.com/profile_images/667101652479029249/acksmKgE_normal.png" xr:uid="{021F600C-AC1A-41D1-AA58-A7E94B357DA2}"/>
    <hyperlink ref="B1094" r:id="rId3295" display="https://twitter.com/MarioReinsch" xr:uid="{FCC65CE6-CBDB-4288-B9A6-77A8D93535B6}"/>
    <hyperlink ref="E1094" r:id="rId3296" display="https://twitter.com/MarioReinsch/status/722345181131968512" xr:uid="{3A0D84A9-F8A8-428E-9956-E46E259B7064}"/>
    <hyperlink ref="O1094" r:id="rId3297" display="https://pbs.twimg.com/profile_images/560799766007664640/lsjqv0TW_normal.jpeg" xr:uid="{1C8C1304-ADF9-4E99-A0FA-4741089DC2EF}"/>
    <hyperlink ref="B1095" r:id="rId3298" display="https://twitter.com/catkinEU" xr:uid="{CD9DDF7F-98E4-4C8D-98AA-41F133B7F7DB}"/>
    <hyperlink ref="E1095" r:id="rId3299" display="https://twitter.com/catkinEU/status/722346023058735104" xr:uid="{A12ED2EC-E354-4DE4-82A3-BB8ECA6E6628}"/>
    <hyperlink ref="O1095" r:id="rId3300" display="https://pbs.twimg.com/profile_images/604338428227010560/6jzSa8us_normal.png" xr:uid="{852317EE-079B-488E-A777-F393418FDB64}"/>
    <hyperlink ref="B1096" r:id="rId3301" display="https://twitter.com/MarioReinsch" xr:uid="{11C32584-5793-48A8-917E-4BB8220C7F88}"/>
    <hyperlink ref="E1096" r:id="rId3302" display="https://twitter.com/MarioReinsch/status/722346282250080256" xr:uid="{A748A4A2-73D9-4F61-8221-E0CED5E4220C}"/>
    <hyperlink ref="O1096" r:id="rId3303" display="https://pbs.twimg.com/profile_images/560799766007664640/lsjqv0TW_normal.jpeg" xr:uid="{30A2982E-83E0-480F-8F01-7DCBC374491C}"/>
    <hyperlink ref="B1097" r:id="rId3304" display="https://twitter.com/Der_Betriebslei" xr:uid="{99FB7F7D-1C1C-4568-BF80-F888D951153B}"/>
    <hyperlink ref="E1097" r:id="rId3305" display="https://twitter.com/Der_Betriebslei/status/722346371802640384" xr:uid="{B948A616-F4AF-48BA-A18B-DA57E89714E3}"/>
    <hyperlink ref="O1097" r:id="rId3306" display="https://pbs.twimg.com/profile_images/448785058711601152/lLXOAUVA_normal.png" xr:uid="{2905F9C5-F73F-45F8-AE3F-5831EB518555}"/>
    <hyperlink ref="B1098" r:id="rId3307" display="https://twitter.com/thomas_leubner" xr:uid="{938EC920-2151-44D9-927F-FEA5AFEB6371}"/>
    <hyperlink ref="E1098" r:id="rId3308" display="https://twitter.com/thomas_leubner/status/722347680148688896" xr:uid="{AA38C3E5-1F34-49AC-B390-36A57E740B3D}"/>
    <hyperlink ref="O1098" r:id="rId3309" display="https://pbs.twimg.com/profile_images/722132463565291520/neQnM60p_normal.jpg" xr:uid="{18D466F2-6DB6-4BA9-B926-8BB97C82E4B6}"/>
    <hyperlink ref="B1099" r:id="rId3310" display="https://twitter.com/mbaukarriere" xr:uid="{84D3B0E4-2889-4BD1-AFA3-3E63E6F4297C}"/>
    <hyperlink ref="E1099" r:id="rId3311" display="https://twitter.com/mbaukarriere/status/722347750428381184" xr:uid="{226B49AD-D26B-414D-ABCA-B82C1B8EBBB5}"/>
    <hyperlink ref="O1099" r:id="rId3312" display="https://pbs.twimg.com/profile_images/690125049806884864/ET63bOiY_normal.jpg" xr:uid="{5411FEC3-D127-40F7-9183-ABD37A8FA482}"/>
    <hyperlink ref="B1100" r:id="rId3313" display="https://twitter.com/MindCommerce" xr:uid="{5544FBED-41C1-4CE2-810E-DF3537528505}"/>
    <hyperlink ref="E1100" r:id="rId3314" display="https://twitter.com/MindCommerce/status/722348216293974016" xr:uid="{E19B5CBC-F20B-4E78-8E09-37335FF9E8FB}"/>
    <hyperlink ref="O1100" r:id="rId3315" display="https://pbs.twimg.com/profile_images/548030384030507008/utABqhj9_normal.png" xr:uid="{E2F586C6-D938-492F-A30C-2AFC9B78B7A0}"/>
    <hyperlink ref="B1101" r:id="rId3316" display="https://twitter.com/kommoptimierer" xr:uid="{5369D295-B8D9-44D1-A1C0-9CCF502866BA}"/>
    <hyperlink ref="E1101" r:id="rId3317" display="https://twitter.com/kommoptimierer/status/722349131713417216" xr:uid="{969CC36E-60F7-4F09-BF20-CDE96B58D269}"/>
    <hyperlink ref="O1101" r:id="rId3318" display="https://pbs.twimg.com/profile_images/541146126158536704/IYardufS_normal.jpeg" xr:uid="{EA6271C6-8BEE-459A-98FC-87FAF05DB84E}"/>
    <hyperlink ref="B1102" r:id="rId3319" display="https://twitter.com/INDIZbot" xr:uid="{23168C73-E40E-4199-9A83-5BA5DE6CA9F5}"/>
    <hyperlink ref="E1102" r:id="rId3320" display="https://twitter.com/INDIZbot/status/722349306825543681" xr:uid="{B60172C1-062E-4F9E-BF39-76D1CE642F47}"/>
    <hyperlink ref="O1102" r:id="rId3321" display="https://pbs.twimg.com/profile_images/645716711723925506/t5G0qOS6_normal.jpg" xr:uid="{01848589-DDD8-416F-B0E8-3F375886C732}"/>
    <hyperlink ref="B1103" r:id="rId3322" display="https://twitter.com/MarianKoeller" xr:uid="{EDEAECCE-47A4-425B-A459-238CD123F58F}"/>
    <hyperlink ref="E1103" r:id="rId3323" display="https://twitter.com/MarianKoeller/status/722349373116559360" xr:uid="{1ECE804B-B1E6-4B88-A8C4-8C133E04A153}"/>
    <hyperlink ref="O1103" r:id="rId3324" display="https://pbs.twimg.com/profile_images/701004613206433792/o4DJfA8-_normal.jpg" xr:uid="{B56204EF-DBCE-481D-954E-0161CEB5FDE2}"/>
    <hyperlink ref="B1104" r:id="rId3325" display="https://twitter.com/WibuSystems" xr:uid="{22101F9A-3A52-48D5-94E8-030BD4E2F6BB}"/>
    <hyperlink ref="E1104" r:id="rId3326" display="https://twitter.com/WibuSystems/status/722349382083997697" xr:uid="{A9467BF2-A1CC-4E3C-B3F1-709A18617FA6}"/>
    <hyperlink ref="O1104" r:id="rId3327" display="https://pbs.twimg.com/profile_images/458888137326882816/oGjpHLOK_normal.png" xr:uid="{19D627F6-0D32-4868-9F85-CB495ADFB0A8}"/>
    <hyperlink ref="B1105" r:id="rId3328" display="https://twitter.com/AxoomDe" xr:uid="{26A5B818-65EB-4619-B7BD-BB9915287C91}"/>
    <hyperlink ref="E1105" r:id="rId3329" display="https://twitter.com/AxoomDe/status/722349458789412864" xr:uid="{F0907E5B-4B62-4E4F-8989-D87B740149FD}"/>
    <hyperlink ref="O1105" r:id="rId3330" display="https://pbs.twimg.com/profile_images/654975252703911936/lfZEytpZ_normal.png" xr:uid="{94011A2A-B109-4652-B748-BE742CE58413}"/>
    <hyperlink ref="B1106" r:id="rId3331" display="https://twitter.com/INDIZbot" xr:uid="{F25631F8-5F84-45B0-808B-BF549D49752F}"/>
    <hyperlink ref="E1106" r:id="rId3332" display="https://twitter.com/INDIZbot/status/722349603484471297" xr:uid="{65CA048A-8509-41BD-80EE-D0C5387510F4}"/>
    <hyperlink ref="O1106" r:id="rId3333" display="https://pbs.twimg.com/profile_images/645716711723925506/t5G0qOS6_normal.jpg" xr:uid="{43D8D0B9-3B59-4C71-B522-FA2244D84E45}"/>
    <hyperlink ref="B1107" r:id="rId3334" display="https://twitter.com/DCAI4online" xr:uid="{D8559C5A-E324-4D95-AEFE-188F2EBA2E94}"/>
    <hyperlink ref="E1107" r:id="rId3335" display="https://twitter.com/DCAI4online/status/722349880681828352" xr:uid="{45CFA927-4E0C-41A6-BF4E-043AC9CBFE73}"/>
    <hyperlink ref="O1107" r:id="rId3336" display="https://pbs.twimg.com/profile_images/669471279158796288/iXgOCW46_normal.jpg" xr:uid="{F1AC4702-D2CC-455D-A885-AB98D2103551}"/>
    <hyperlink ref="B1108" r:id="rId3337" display="https://twitter.com/Autonomik40" xr:uid="{D69190DD-5DC8-4997-BE16-B2BE2FC48B37}"/>
    <hyperlink ref="E1108" r:id="rId3338" display="https://twitter.com/Autonomik40/status/722350725985124352" xr:uid="{FAC3C050-3BA4-4079-BB15-9B74A4978C3E}"/>
    <hyperlink ref="O1108" r:id="rId3339" display="https://pbs.twimg.com/profile_images/686484658196975616/JPwWUmFV_normal.jpg" xr:uid="{658C7EC7-803D-46DC-8052-0558A2C349AC}"/>
    <hyperlink ref="B1109" r:id="rId3340" display="https://twitter.com/akquinet" xr:uid="{209330C6-2C4D-4666-97AD-9050D54D3727}"/>
    <hyperlink ref="E1109" r:id="rId3341" display="https://twitter.com/akquinet/status/722351523343241216" xr:uid="{FE70FEF6-CAA6-4CEA-A11B-731928B15009}"/>
    <hyperlink ref="O1109" r:id="rId3342" display="https://pbs.twimg.com/profile_images/509252372774653952/cl1TCi-g_normal.png" xr:uid="{176B0F35-DD95-4FAC-86E7-BADC0EDE091C}"/>
    <hyperlink ref="B1110" r:id="rId3343" display="https://twitter.com/Der_Betriebslei" xr:uid="{90CF2945-C7F8-4A8A-B90A-2F5709E21285}"/>
    <hyperlink ref="E1110" r:id="rId3344" display="https://twitter.com/Der_Betriebslei/status/722352047299932160" xr:uid="{E35011A0-703C-4C72-83A9-511C2E0B28CB}"/>
    <hyperlink ref="O1110" r:id="rId3345" display="https://pbs.twimg.com/profile_images/448785058711601152/lLXOAUVA_normal.png" xr:uid="{409EB4F1-8D3E-4A8A-9E1D-9B28727C33DB}"/>
    <hyperlink ref="B1111" r:id="rId3346" display="https://twitter.com/Frank_Reinelt" xr:uid="{1720CCCB-53B2-41B0-9C56-3518785E0545}"/>
    <hyperlink ref="E1111" r:id="rId3347" display="https://twitter.com/Frank_Reinelt/status/722352400183517184" xr:uid="{6CF21F5E-EE6B-4FEB-99D9-2718F8580AA2}"/>
    <hyperlink ref="O1111" r:id="rId3348" display="https://pbs.twimg.com/profile_images/669853588152283137/mqKB9aP__normal.jpg" xr:uid="{C0027E17-E81B-47A3-9B58-19F9471A5E6D}"/>
    <hyperlink ref="B1112" r:id="rId3349" display="https://twitter.com/MarianKoeller" xr:uid="{5C75B7D2-E5E2-4F5E-8572-F3CE72AA7A00}"/>
    <hyperlink ref="E1112" r:id="rId3350" display="https://twitter.com/MarianKoeller/status/722352762210619392" xr:uid="{15B5B3DB-2CA9-4373-B858-4E06E83072E8}"/>
    <hyperlink ref="O1112" r:id="rId3351" display="https://pbs.twimg.com/profile_images/701004613206433792/o4DJfA8-_normal.jpg" xr:uid="{AEB8DEC0-CD4A-4AAB-B568-77BA8D9B98D1}"/>
    <hyperlink ref="B1113" r:id="rId3352" display="https://twitter.com/MarianKoeller" xr:uid="{EB321574-6EEB-4301-8F01-4780FE6AE660}"/>
    <hyperlink ref="E1113" r:id="rId3353" display="https://twitter.com/MarianKoeller/status/722352876455124992" xr:uid="{E0AC1148-9D27-49D5-81DB-C4CA370C4F7C}"/>
    <hyperlink ref="O1113" r:id="rId3354" display="https://pbs.twimg.com/profile_images/701004613206433792/o4DJfA8-_normal.jpg" xr:uid="{2B2DFA4B-0972-44ED-8744-1394C3758C30}"/>
    <hyperlink ref="B1114" r:id="rId3355" display="https://twitter.com/atominik" xr:uid="{1B6CA4E2-E6B5-412D-AF42-F57C53CA409C}"/>
    <hyperlink ref="E1114" r:id="rId3356" display="https://twitter.com/atominik/status/722352972823425024" xr:uid="{096B1692-921C-4EDA-AB15-9B7412F4B08F}"/>
    <hyperlink ref="O1114" r:id="rId3357" display="https://pbs.twimg.com/profile_images/378800000133533856/3dec414a449cac01f226f8b62b76ddfa_normal.png" xr:uid="{3F54F215-2EFC-429A-97E5-0DB7A059F483}"/>
    <hyperlink ref="B1115" r:id="rId3358" display="https://twitter.com/DerKonstrukteu" xr:uid="{C5C1896C-8CA0-405F-B006-5A77043A88FF}"/>
    <hyperlink ref="E1115" r:id="rId3359" display="https://twitter.com/DerKonstrukteu/status/722353188666503168" xr:uid="{2650328E-038C-43AC-AE15-F9D90A717F2E}"/>
    <hyperlink ref="O1115" r:id="rId3360" display="https://pbs.twimg.com/profile_images/448785978165968896/SQOcI8cJ_normal.png" xr:uid="{FE137803-6BB3-47FC-882D-04FC13637816}"/>
    <hyperlink ref="B1116" r:id="rId3361" display="https://twitter.com/foresight_lab" xr:uid="{8ACC0424-9C92-4241-B306-8A8E9EF76957}"/>
    <hyperlink ref="E1116" r:id="rId3362" display="https://twitter.com/foresight_lab/status/722353238251593728" xr:uid="{92199902-0BB3-49A3-AE52-EA47D6D95846}"/>
    <hyperlink ref="O1116" r:id="rId3363" display="https://pbs.twimg.com/profile_images/665798535779065856/sbUN3m6Q_normal.jpg" xr:uid="{DC2A0AAD-5F66-426F-A2F2-D02D230562AC}"/>
    <hyperlink ref="B1117" r:id="rId3364" display="https://twitter.com/CarloPiltz" xr:uid="{AD965D67-1D81-43F6-BA5A-95D8A610B8B5}"/>
    <hyperlink ref="E1117" r:id="rId3365" display="https://twitter.com/CarloPiltz/status/722354420860788736" xr:uid="{7BCD1147-323D-462D-9015-C87049E1D656}"/>
    <hyperlink ref="O1117" r:id="rId3366" display="https://pbs.twimg.com/profile_images/3226296920/d40b6c4b5828d58c93f77d0e966b13be_normal.jpeg" xr:uid="{7C38A024-8B8B-4497-9F92-0E553D9EFB0D}"/>
    <hyperlink ref="B1118" r:id="rId3367" display="https://twitter.com/smarterindustry" xr:uid="{8B4E63F1-A887-4A46-99E5-AEF08C14D345}"/>
    <hyperlink ref="E1118" r:id="rId3368" display="https://twitter.com/smarterindustry/status/722354577404768256" xr:uid="{E79C00C6-D43D-48ED-89A3-39FCF8FAEC46}"/>
    <hyperlink ref="F1118" r:id="rId3369" xr:uid="{A1EA3664-0CBB-4BEF-9925-36115AC9E9DE}"/>
    <hyperlink ref="O1118" r:id="rId3370" display="https://pbs.twimg.com/profile_images/443867283254149121/pKo3gK6f_normal.jpeg" xr:uid="{AC005EF6-B00B-4EC4-8840-8F969991A14F}"/>
    <hyperlink ref="B1119" r:id="rId3371" display="https://twitter.com/INDIZbot" xr:uid="{258995B1-789C-42CF-93FC-B056ED966EB0}"/>
    <hyperlink ref="E1119" r:id="rId3372" display="https://twitter.com/INDIZbot/status/722354593926131713" xr:uid="{4932E27B-C6A2-4E21-9CA9-1EC85B1FEC08}"/>
    <hyperlink ref="O1119" r:id="rId3373" display="https://pbs.twimg.com/profile_images/645716711723925506/t5G0qOS6_normal.jpg" xr:uid="{82E29EB6-D1F0-46AA-B228-9CFB35F02921}"/>
    <hyperlink ref="B1120" r:id="rId3374" display="https://twitter.com/INDIZbot" xr:uid="{C985BD2D-DF50-4DE3-8BCB-202138201CA0}"/>
    <hyperlink ref="E1120" r:id="rId3375" display="https://twitter.com/INDIZbot/status/722354725375578112" xr:uid="{5B8F3904-25C6-4F7A-AF19-DC77D0026CDA}"/>
    <hyperlink ref="O1120" r:id="rId3376" display="https://pbs.twimg.com/profile_images/645716711723925506/t5G0qOS6_normal.jpg" xr:uid="{5ADB9068-22D0-4296-9989-66C30D858AE9}"/>
    <hyperlink ref="B1121" r:id="rId3377" display="https://twitter.com/Frank_Reinelt" xr:uid="{BAAFB769-F36A-4B51-A656-0B90431A0731}"/>
    <hyperlink ref="E1121" r:id="rId3378" display="https://twitter.com/Frank_Reinelt/status/722355062534774784" xr:uid="{BB9592D0-6AAF-4E47-A55E-9261AFC8EACC}"/>
    <hyperlink ref="O1121" r:id="rId3379" display="https://pbs.twimg.com/profile_images/669853588152283137/mqKB9aP__normal.jpg" xr:uid="{CDE25595-4182-471C-B963-75B62887119D}"/>
    <hyperlink ref="B1122" r:id="rId3380" display="https://twitter.com/Der_Betriebslei" xr:uid="{55137FF7-0C3F-4DFD-B840-0A58B9F03CC4}"/>
    <hyperlink ref="E1122" r:id="rId3381" display="https://twitter.com/Der_Betriebslei/status/722355132348919808" xr:uid="{57869EEC-C733-4270-87CB-9FDE2E213899}"/>
    <hyperlink ref="O1122" r:id="rId3382" display="https://pbs.twimg.com/profile_images/448785058711601152/lLXOAUVA_normal.png" xr:uid="{9C624FDF-A272-4B0F-9B94-4F96893391FD}"/>
    <hyperlink ref="B1123" r:id="rId3383" display="https://twitter.com/wa_beck" xr:uid="{4959176F-C3A6-441D-BB70-352B59AAA939}"/>
    <hyperlink ref="E1123" r:id="rId3384" display="https://twitter.com/wa_beck/status/722355144726331392" xr:uid="{2D451A87-5377-4985-9A7D-75E691E53874}"/>
    <hyperlink ref="O1123" r:id="rId3385" display="https://pbs.twimg.com/profile_images/591576946808643585/cidKFrJM_normal.jpg" xr:uid="{1262A2A3-CC17-4DE9-89CE-5202132A41AF}"/>
    <hyperlink ref="B1124" r:id="rId3386" display="https://twitter.com/liisabarclay" xr:uid="{CCA8198E-5C1A-43FC-B7A1-9FBA6C9115D5}"/>
    <hyperlink ref="E1124" r:id="rId3387" display="https://twitter.com/liisabarclay/status/722355305032626176" xr:uid="{0D074915-59D1-4184-8442-91CCFDC3661F}"/>
    <hyperlink ref="O1124" r:id="rId3388" display="https://pbs.twimg.com/profile_images/2373619897/vpoosbb96iqn99oni2dp_normal.jpeg" xr:uid="{4310EA99-84CC-4A5D-9AB5-55F85EBABDF6}"/>
    <hyperlink ref="B1125" r:id="rId3389" display="https://twitter.com/zwitscher66" xr:uid="{2AC82622-B258-48B1-BEFB-5F51D74CC2E1}"/>
    <hyperlink ref="E1125" r:id="rId3390" display="https://twitter.com/zwitscher66/status/722355724072914944" xr:uid="{49B3DB48-84EA-45AF-ADCF-C9357957122F}"/>
    <hyperlink ref="O1125" r:id="rId3391" display="https://pbs.twimg.com/profile_images/3365928668/0be3c948c467aa211bb97ca74eb11472_normal.jpeg" xr:uid="{200E7BC0-35F3-476F-B1BF-13EC8D5F8A21}"/>
    <hyperlink ref="B1126" r:id="rId3392" display="https://twitter.com/Der_Betriebslei" xr:uid="{6F1EAC5D-0409-442F-902D-F607FC5EF534}"/>
    <hyperlink ref="E1126" r:id="rId3393" display="https://twitter.com/Der_Betriebslei/status/722356110636761088" xr:uid="{E91FD651-8368-4145-94E7-C64ED2A359F4}"/>
    <hyperlink ref="O1126" r:id="rId3394" display="https://pbs.twimg.com/profile_images/448785058711601152/lLXOAUVA_normal.png" xr:uid="{15BFCA6C-43F2-4095-BE81-ADB70F6E6BD1}"/>
    <hyperlink ref="B1127" r:id="rId3395" display="https://twitter.com/mbaukarriere" xr:uid="{53144F5C-BCC4-4D30-A002-F266B78062A4}"/>
    <hyperlink ref="E1127" r:id="rId3396" display="https://twitter.com/mbaukarriere/status/722356432973258752" xr:uid="{132DB930-0EFC-49BF-8474-0B1DF26CD258}"/>
    <hyperlink ref="O1127" r:id="rId3397" display="https://pbs.twimg.com/profile_images/690125049806884864/ET63bOiY_normal.jpg" xr:uid="{F0C2CEBF-5E84-40A6-96A9-358005C32841}"/>
    <hyperlink ref="B1128" r:id="rId3398" display="https://twitter.com/INDIZbot" xr:uid="{86BE9B19-BD7F-48CB-8334-928A6D40042B}"/>
    <hyperlink ref="E1128" r:id="rId3399" display="https://twitter.com/INDIZbot/status/722357124936900608" xr:uid="{739DA298-7010-4C69-B0B0-F6A9FB709825}"/>
    <hyperlink ref="O1128" r:id="rId3400" display="https://pbs.twimg.com/profile_images/645716711723925506/t5G0qOS6_normal.jpg" xr:uid="{71A3F8B0-6214-4940-B672-585CCBC0CA2C}"/>
    <hyperlink ref="B1129" r:id="rId3401" display="https://twitter.com/H_IT_D" xr:uid="{710F0E0C-C301-4746-BEE0-55491AA0F13E}"/>
    <hyperlink ref="E1129" r:id="rId3402" display="https://twitter.com/H_IT_D/status/722357263961235456" xr:uid="{996E4259-E550-4EA4-A50E-59564C6BCB9A}"/>
    <hyperlink ref="O1129" r:id="rId3403" display="https://pbs.twimg.com/profile_images/662723326096224256/5V4KH9_O_normal.jpg" xr:uid="{AEB23E87-6657-4796-B101-D6890CCAC6F9}"/>
    <hyperlink ref="B1130" r:id="rId3404" display="https://twitter.com/OP_Magazin" xr:uid="{F26BB143-3AA3-4E78-9B73-59640C46923F}"/>
    <hyperlink ref="E1130" r:id="rId3405" display="https://twitter.com/OP_Magazin/status/722357550264512512" xr:uid="{91159672-5779-4943-A90E-56F7617E9890}"/>
    <hyperlink ref="O1130" r:id="rId3406" display="https://pbs.twimg.com/profile_images/689824323767500800/bE2B56AT_normal.png" xr:uid="{61A3D7CB-EA8A-4D78-B411-727B96BA2A6C}"/>
    <hyperlink ref="B1131" r:id="rId3407" display="https://twitter.com/GOettingerEU" xr:uid="{47262236-9BC5-4CFA-BDDB-CAE621236EA1}"/>
    <hyperlink ref="E1131" r:id="rId3408" display="https://twitter.com/GOettingerEU/status/722357782545088512" xr:uid="{32C39456-17CF-415A-8F42-53EC1E6A06E1}"/>
    <hyperlink ref="O1131" r:id="rId3409" display="https://pbs.twimg.com/profile_images/2698310449/0da9a659e7a30abe7633746b7ada9ef7_normal.jpeg" xr:uid="{B99F4132-5FC6-441D-984C-DA9F2EB03A31}"/>
    <hyperlink ref="B1132" r:id="rId3410" display="https://twitter.com/ROKAutomationAT" xr:uid="{E877DCDE-104D-4C2E-BA9D-F9155CE1F2F1}"/>
    <hyperlink ref="E1132" r:id="rId3411" display="https://twitter.com/ROKAutomationAT/status/722357852979863552" xr:uid="{85E7DD8C-FBD6-4C5A-B1CA-CD5A7566BEF0}"/>
    <hyperlink ref="O1132" r:id="rId3412" display="https://pbs.twimg.com/profile_images/494911375034945537/txB_J-VC_normal.jpeg" xr:uid="{BAAE217A-0852-4924-AAD8-31EA3B5A0D1B}"/>
    <hyperlink ref="B1133" r:id="rId3413" display="https://twitter.com/ROKAutomationDE" xr:uid="{D1D1EE32-219E-4D8D-86C2-81D9756D066A}"/>
    <hyperlink ref="E1133" r:id="rId3414" display="https://twitter.com/ROKAutomationDE/status/722357854615633920" xr:uid="{400BBE57-7412-436D-9B0E-63240641C6BF}"/>
    <hyperlink ref="O1133" r:id="rId3415" display="https://pbs.twimg.com/profile_images/495214827963297793/ZW7qWnoK_normal.jpeg" xr:uid="{0965D6A0-4B0C-4BFB-B285-1474FC795333}"/>
    <hyperlink ref="B1134" r:id="rId3416" display="https://twitter.com/ROKAutoCHDE" xr:uid="{D28E0064-FA74-4035-AF7D-7A7138CF3C5D}"/>
    <hyperlink ref="E1134" r:id="rId3417" display="https://twitter.com/ROKAutoCHDE/status/722357856482144256" xr:uid="{C10C0A6E-713C-4CAC-B789-038923940FB5}"/>
    <hyperlink ref="O1134" r:id="rId3418" display="https://pbs.twimg.com/profile_images/498942077325963264/l5q550Kh_normal.jpeg" xr:uid="{5EDF41DD-9504-4B6C-B404-05B70AC41991}"/>
    <hyperlink ref="B1135" r:id="rId3419" display="https://twitter.com/MarianKoeller" xr:uid="{22F0B523-20E9-4839-8200-9BBE1DA4FD8B}"/>
    <hyperlink ref="E1135" r:id="rId3420" display="https://twitter.com/MarianKoeller/status/722357932420177920" xr:uid="{72E44F9B-2593-4514-8426-00B76B37F1C1}"/>
    <hyperlink ref="O1135" r:id="rId3421" display="https://pbs.twimg.com/profile_images/701004613206433792/o4DJfA8-_normal.jpg" xr:uid="{5F09F053-9AE3-4EE1-948B-E797F47B6E8F}"/>
    <hyperlink ref="B1136" r:id="rId3422" display="https://twitter.com/duponpa" xr:uid="{AEAE6913-D2E0-41F2-B173-A4602A71CDB8}"/>
    <hyperlink ref="E1136" r:id="rId3423" display="https://twitter.com/duponpa/status/722358143242649600" xr:uid="{AE089F40-64B8-42FA-AF3D-658443FD3D5F}"/>
    <hyperlink ref="O1136" r:id="rId3424" display="https://pbs.twimg.com/profile_images/627029637353222145/AsozHTnC_normal.jpg" xr:uid="{AF46AE70-DECB-4D67-A5F5-54E9DE14B945}"/>
    <hyperlink ref="B1137" r:id="rId3425" display="https://twitter.com/SDhapi" xr:uid="{623CF591-8FE5-4D03-8316-5BFEEF024607}"/>
    <hyperlink ref="E1137" r:id="rId3426" display="https://twitter.com/SDhapi/status/722358806450200576" xr:uid="{ABF70E45-5844-4470-B55F-0E8B2A0F5F89}"/>
    <hyperlink ref="O1137" r:id="rId3427" display="https://pbs.twimg.com/profile_images/722805235593453570/vZTZykh7_normal.jpg" xr:uid="{2E204639-9E37-4BC4-B4F2-49901F044A28}"/>
    <hyperlink ref="B1138" r:id="rId3428" display="https://twitter.com/PLSDE" xr:uid="{3910E068-ED19-415D-B97E-33AB9EAF7A52}"/>
    <hyperlink ref="E1138" r:id="rId3429" display="https://twitter.com/PLSDE/status/722359116069543936" xr:uid="{B1FCEAC1-6FA0-495F-97EF-53A8CE29EC71}"/>
    <hyperlink ref="O1138" r:id="rId3430" display="https://pbs.twimg.com/profile_images/587369125221138432/-A7Cg-KL_normal.png" xr:uid="{FC9D88D3-4017-4C6E-ADEB-5C8DD10279F9}"/>
    <hyperlink ref="B1139" r:id="rId3431" display="https://twitter.com/dimstoyanov" xr:uid="{8CB9E736-4F93-428C-94E2-AD44A33DC841}"/>
    <hyperlink ref="E1139" r:id="rId3432" display="https://twitter.com/dimstoyanov/status/722359166493462528" xr:uid="{3E6C152D-F4FB-497D-89DE-C6A7A0839B07}"/>
    <hyperlink ref="O1139" r:id="rId3433" display="https://pbs.twimg.com/profile_images/460738896184086528/pZMN1aQW_normal.png" xr:uid="{0FD916FB-1273-4097-B7B9-0265CD0D3C53}"/>
    <hyperlink ref="B1140" r:id="rId3434" display="https://twitter.com/BoschPresse" xr:uid="{02F36F33-7166-467D-90A0-FD86C7F7B3B8}"/>
    <hyperlink ref="E1140" r:id="rId3435" display="https://twitter.com/BoschPresse/status/722359206611959808" xr:uid="{042A9D4F-4688-44F0-B32C-A24D86FEBCB9}"/>
    <hyperlink ref="O1140" r:id="rId3436" display="https://pbs.twimg.com/profile_images/2619086509/ld3z97zhhdbs2essw7s9_normal.jpeg" xr:uid="{9B7CD5C8-CBE0-4BA0-BC41-C2B0B36A687B}"/>
    <hyperlink ref="B1141" r:id="rId3437" display="https://twitter.com/PhotonicsEU" xr:uid="{9B95AD98-1026-4B1F-BC6F-198C545195C8}"/>
    <hyperlink ref="E1141" r:id="rId3438" display="https://twitter.com/PhotonicsEU/status/722359566994944000" xr:uid="{B7B0DBDF-6926-42CF-8B8C-8ABF797F6A52}"/>
    <hyperlink ref="O1141" r:id="rId3439" display="https://pbs.twimg.com/profile_images/714737596358897664/-Szh09n0_normal.jpg" xr:uid="{C2AC1526-50D2-4C53-A100-0ED9E05664BA}"/>
    <hyperlink ref="B1142" r:id="rId3440" display="https://twitter.com/IoTMinded" xr:uid="{A60646A4-36CE-4693-AF84-C9362CBB6033}"/>
    <hyperlink ref="E1142" r:id="rId3441" display="https://twitter.com/IoTMinded/status/722359798637981696" xr:uid="{407A8DC4-475B-4BA7-9454-22E80162A33F}"/>
    <hyperlink ref="O1142" r:id="rId3442" display="https://pbs.twimg.com/profile_images/603699032804859904/lb5IMG5x_normal.jpg" xr:uid="{1D89CCFC-F25F-472B-A1FD-805DDE97518B}"/>
    <hyperlink ref="B1143" r:id="rId3443" display="https://twitter.com/Stella_Vaskoudi" xr:uid="{849C5B1F-D20E-4E65-A56B-D918859DF55A}"/>
    <hyperlink ref="E1143" r:id="rId3444" display="https://twitter.com/Stella_Vaskoudi/status/722359811938119680" xr:uid="{E2657001-8437-44F6-95DA-E1E53EF77148}"/>
    <hyperlink ref="O1143" r:id="rId3445" display="https://pbs.twimg.com/profile_images/666745791382425600/ljM37bIr_normal.jpg" xr:uid="{99EFFA29-2067-4552-97A8-FFE3467D73A7}"/>
    <hyperlink ref="B1144" r:id="rId3446" display="https://twitter.com/vongerberg" xr:uid="{BC6B5089-81E6-4C76-A113-B6BB6146C46D}"/>
    <hyperlink ref="E1144" r:id="rId3447" display="https://twitter.com/vongerberg/status/722360325769666560" xr:uid="{F26AA134-77D8-4DF2-A999-768199C1AD11}"/>
    <hyperlink ref="O1144" r:id="rId3448" display="https://pbs.twimg.com/profile_images/3199168151/5cfaae4907a0a081a53f8ab237271c86_normal.jpeg" xr:uid="{35E86DD2-329A-4C98-B370-461365DD7BDC}"/>
    <hyperlink ref="B1145" r:id="rId3449" display="https://twitter.com/Der_Betriebslei" xr:uid="{158A20C8-DCB6-45F2-A126-F3A911D588F5}"/>
    <hyperlink ref="E1145" r:id="rId3450" display="https://twitter.com/Der_Betriebslei/status/722360365837889536" xr:uid="{FD4838B0-72A5-4E02-AF47-4021FAAD610E}"/>
    <hyperlink ref="O1145" r:id="rId3451" display="https://pbs.twimg.com/profile_images/448785058711601152/lLXOAUVA_normal.png" xr:uid="{E33125F1-79E4-43EA-B0C8-78CB0475BA42}"/>
    <hyperlink ref="B1146" r:id="rId3452" display="https://twitter.com/OStaffelbach" xr:uid="{59CDD6CF-3BA1-4353-8607-B77081530CDC}"/>
    <hyperlink ref="E1146" r:id="rId3453" display="https://twitter.com/OStaffelbach/status/722361093864210432" xr:uid="{8662C2DE-18B9-4D8C-9C2B-B964D56E088D}"/>
    <hyperlink ref="O1146" r:id="rId3454" display="https://pbs.twimg.com/profile_images/666882458365747201/5M4Foej-_normal.jpg" xr:uid="{6DC395DB-CDEE-4A5B-9875-6901C86DAC09}"/>
    <hyperlink ref="B1147" r:id="rId3455" display="https://twitter.com/ZeljkoP" xr:uid="{D14B1600-315C-48ED-95BF-EB9CB7907143}"/>
    <hyperlink ref="E1147" r:id="rId3456" display="https://twitter.com/ZeljkoP/status/722361688423604224" xr:uid="{69C245CA-CF6A-4931-B93B-8E61A4DCDBA3}"/>
    <hyperlink ref="O1147" r:id="rId3457" display="https://pbs.twimg.com/profile_images/2424564033/photo_normal.JPG" xr:uid="{F9F804D2-7834-441B-979B-3EF009782C1A}"/>
    <hyperlink ref="B1148" r:id="rId3458" display="https://twitter.com/aymard_tw" xr:uid="{A62A7318-8F61-4F4A-9B15-090BD564C24B}"/>
    <hyperlink ref="E1148" r:id="rId3459" display="https://twitter.com/aymard_tw/status/722363005443379201" xr:uid="{3581438E-793F-4B7A-A226-77654BE486D4}"/>
    <hyperlink ref="O1148" r:id="rId3460" display="https://pbs.twimg.com/profile_images/1448214118/de-touzalin_7853_w_normal.jpg" xr:uid="{17F7E948-5DA0-4D28-A8D2-6F1FAAD301DA}"/>
    <hyperlink ref="B1149" r:id="rId3461" display="https://twitter.com/BILZ_DE" xr:uid="{2EFAC818-A855-4ADA-99C5-6FE8730A1D7A}"/>
    <hyperlink ref="E1149" r:id="rId3462" display="https://twitter.com/BILZ_DE/status/722363057058549761" xr:uid="{8B71625B-1EE5-4442-8BF8-2BA5B50698AD}"/>
    <hyperlink ref="O1149" r:id="rId3463" display="https://pbs.twimg.com/profile_images/691594981404983296/e29z-2Hn_normal.jpg" xr:uid="{9A700B1B-E2AB-43CA-A867-17334127BA1D}"/>
    <hyperlink ref="B1150" r:id="rId3464" display="https://twitter.com/astreim" xr:uid="{ABBC0176-29F7-42DF-80CE-ACFB6C1FB401}"/>
    <hyperlink ref="E1150" r:id="rId3465" display="https://twitter.com/astreim/status/722363157835096064" xr:uid="{B1550F2D-363B-4057-80AF-A801A335FE8D}"/>
    <hyperlink ref="O1150" r:id="rId3466" display="https://pbs.twimg.com/profile_images/721883278073061376/Teo8n2Sy_normal.jpg" xr:uid="{AC1D7FF9-AD7B-47C4-863E-FA2DF0E7DF44}"/>
    <hyperlink ref="B1151" r:id="rId3467" display="https://twitter.com/Apandia" xr:uid="{B80D766D-A8CD-41E0-9D29-263E2BBDF447}"/>
    <hyperlink ref="E1151" r:id="rId3468" display="https://twitter.com/Apandia/status/722363352123465729" xr:uid="{0F68ACCC-FBF8-47FF-8BFE-606C61493B26}"/>
    <hyperlink ref="O1151" r:id="rId3469" display="https://pbs.twimg.com/profile_images/685327213/Apandia_normal.gif" xr:uid="{E53633AF-DC44-40AB-AC38-0F0C37A9654B}"/>
    <hyperlink ref="B1152" r:id="rId3470" display="https://twitter.com/BILZ_DE" xr:uid="{2E9056C7-EA9D-48EF-AE9E-D5EFA663FFA9}"/>
    <hyperlink ref="E1152" r:id="rId3471" display="https://twitter.com/BILZ_DE/status/722363630319218689" xr:uid="{3A97A1E1-2D4E-4669-92D0-B5EF09AE7134}"/>
    <hyperlink ref="O1152" r:id="rId3472" display="https://pbs.twimg.com/profile_images/691594981404983296/e29z-2Hn_normal.jpg" xr:uid="{FF43C526-2283-4606-9D6E-459170E5FB67}"/>
    <hyperlink ref="B1153" r:id="rId3473" display="https://twitter.com/FM_Elektro" xr:uid="{9738EE36-A2C1-4468-86CD-AD01A5413C23}"/>
    <hyperlink ref="E1153" r:id="rId3474" display="https://twitter.com/FM_Elektro/status/722363832589488128" xr:uid="{389C8170-3DE1-470B-814F-6FFEF3E9E7A9}"/>
    <hyperlink ref="O1153" r:id="rId3475" display="https://pbs.twimg.com/profile_images/699912588302426112/2kZQzAuA_normal.jpg" xr:uid="{35B92DE9-D0CD-4084-871A-E29080BA51E3}"/>
    <hyperlink ref="B1154" r:id="rId3476" display="https://twitter.com/SimonSchneid" xr:uid="{CD297CD8-F608-4169-BE96-3F57C11C8F09}"/>
    <hyperlink ref="E1154" r:id="rId3477" display="https://twitter.com/SimonSchneid/status/722363866936655872" xr:uid="{B8094407-C712-4FAF-9EF2-802778697781}"/>
    <hyperlink ref="O1154" r:id="rId3478" display="https://pbs.twimg.com/profile_images/1540018567/Foto_-_Simon__normal.jpg" xr:uid="{E64BD58C-B59D-475D-B07F-B9DB66496813}"/>
    <hyperlink ref="B1155" r:id="rId3479" display="https://twitter.com/Bitkom_I40" xr:uid="{B5470A08-1D09-4109-B045-14FA2D5F8A19}"/>
    <hyperlink ref="E1155" r:id="rId3480" display="https://twitter.com/Bitkom_I40/status/722364859443240960" xr:uid="{FA769180-5CB0-4592-A64F-FACC4434931A}"/>
    <hyperlink ref="O1155" r:id="rId3481" display="https://pbs.twimg.com/profile_images/723407487395713024/0hZv7R8S_normal.jpg" xr:uid="{7DBD9408-BE35-4656-960C-2A1270C0D312}"/>
    <hyperlink ref="B1156" r:id="rId3482" display="https://twitter.com/markherten" xr:uid="{1A020290-8D6C-4D08-92D3-913D62AA99E5}"/>
    <hyperlink ref="E1156" r:id="rId3483" display="https://twitter.com/markherten/status/722364898798346242" xr:uid="{8F651A2B-D96D-4A9D-A116-E2665752F87B}"/>
    <hyperlink ref="O1156" r:id="rId3484" display="https://pbs.twimg.com/profile_images/718175389890310145/GX8DLe_h_normal.jpg" xr:uid="{A7370472-279B-4B16-9899-848AF25000F4}"/>
    <hyperlink ref="B1157" r:id="rId3485" display="https://twitter.com/openscienceeu" xr:uid="{49A0EF6D-9775-4E89-8BAE-50D4700E6DA9}"/>
    <hyperlink ref="E1157" r:id="rId3486" display="https://twitter.com/openscienceeu/status/722364999491063812" xr:uid="{6320FEB7-C8DF-4A29-9285-0C8A2A810925}"/>
    <hyperlink ref="O1157" r:id="rId3487" display="https://pbs.twimg.com/profile_images/613297671202336768/pCZDZDxM_normal.jpg" xr:uid="{AA293D69-A5C1-4D69-9006-06F6C739DAA7}"/>
    <hyperlink ref="B1158" r:id="rId3488" display="https://twitter.com/Industry40" xr:uid="{D20F664E-B53B-4EE4-A6DF-C43B1E34D6BD}"/>
    <hyperlink ref="E1158" r:id="rId3489" display="https://twitter.com/Industry40/status/722365663520694272" xr:uid="{F6FE2F8C-F869-4E0E-AD60-37E7C4C47508}"/>
    <hyperlink ref="O1158" r:id="rId3490" display="https://pbs.twimg.com/profile_images/613472305570824192/BKw639DG_normal.png" xr:uid="{1F074731-AE31-4491-84CB-4155F749A6D4}"/>
    <hyperlink ref="B1159" r:id="rId3491" display="https://twitter.com/tuevnordpolitik" xr:uid="{87175547-0A6B-4FE8-9554-4984A74BAB9D}"/>
    <hyperlink ref="E1159" r:id="rId3492" display="https://twitter.com/tuevnordpolitik/status/722365907994034176" xr:uid="{C218E3A3-BD5D-4C9E-A0BF-F51A7DB08F24}"/>
    <hyperlink ref="O1159" r:id="rId3493" display="https://pbs.twimg.com/profile_images/420844205607362560/p085f4o7_normal.png" xr:uid="{1761D1A1-C584-47EE-AE98-36F944758F44}"/>
    <hyperlink ref="B1160" r:id="rId3494" display="https://twitter.com/ROKAutomationDE" xr:uid="{324FBF76-018B-4D60-BFCD-76C936CA0172}"/>
    <hyperlink ref="E1160" r:id="rId3495" display="https://twitter.com/ROKAutomationDE/status/722366031356895232" xr:uid="{F09B23EE-21E6-4A12-A1BB-18CBCF670921}"/>
    <hyperlink ref="O1160" r:id="rId3496" display="https://pbs.twimg.com/profile_images/495214827963297793/ZW7qWnoK_normal.jpeg" xr:uid="{4E7A3B74-2BCD-4FE8-8723-865195558CD8}"/>
    <hyperlink ref="B1161" r:id="rId3497" display="https://twitter.com/MartinaWernerEU" xr:uid="{197513ED-C545-49F8-B8C0-98686F57D592}"/>
    <hyperlink ref="E1161" r:id="rId3498" display="https://twitter.com/MartinaWernerEU/status/722366757839773696" xr:uid="{C0C7EF36-0323-49C3-A502-67EBECCFB884}"/>
    <hyperlink ref="O1161" r:id="rId3499" display="https://pbs.twimg.com/profile_images/535431236810854401/Aw5jj4R4_normal.jpeg" xr:uid="{76F0A773-85F1-4277-B850-E658594DDBE7}"/>
    <hyperlink ref="B1162" r:id="rId3500" display="https://twitter.com/ECOWARRIORSS" xr:uid="{163F37E1-CDE0-44FC-A10A-A14BB1E2D97B}"/>
    <hyperlink ref="E1162" r:id="rId3501" display="https://twitter.com/ECOWARRIORSS/status/722366984298618880" xr:uid="{33EA68B3-399D-4971-B6C3-B348C4F59305}"/>
    <hyperlink ref="O1162" r:id="rId3502" display="https://pbs.twimg.com/profile_images/534846179717033984/Cw06yZ7i_normal.jpeg" xr:uid="{5127C080-2779-48AF-B009-D6143B32D01A}"/>
    <hyperlink ref="B1163" r:id="rId3503" display="https://twitter.com/AltenaTCS" xr:uid="{95369FC3-E12C-4BC1-9368-5C9F6E9A2FD2}"/>
    <hyperlink ref="E1163" r:id="rId3504" display="https://twitter.com/AltenaTCS/status/722367034659639296" xr:uid="{91CE2D0E-8DF1-4519-8654-CEE267080DEC}"/>
    <hyperlink ref="O1163" r:id="rId3505" display="https://pbs.twimg.com/profile_images/709648582048157696/BnZ5RzQA_normal.jpg" xr:uid="{9CB482F1-6CA0-4638-9EB9-27A808B82CA5}"/>
    <hyperlink ref="B1164" r:id="rId3506" display="https://twitter.com/markherten" xr:uid="{870B11AC-5ED7-4220-9EC3-9DE1264E8CA2}"/>
    <hyperlink ref="E1164" r:id="rId3507" display="https://twitter.com/markherten/status/722367066079145986" xr:uid="{E6314AD6-782C-4953-9DB3-4CE1EB0F52C8}"/>
    <hyperlink ref="O1164" r:id="rId3508" display="https://pbs.twimg.com/profile_images/718175389890310145/GX8DLe_h_normal.jpg" xr:uid="{C96E9EBD-19CF-406E-8788-AD727F87F487}"/>
    <hyperlink ref="B1165" r:id="rId3509" display="https://twitter.com/SAP_IoT" xr:uid="{E7D8DD21-172F-4156-9720-6BB836789FB2}"/>
    <hyperlink ref="E1165" r:id="rId3510" display="https://twitter.com/SAP_IoT/status/722368140722728960" xr:uid="{E5A27BFB-AF85-47A6-B07C-8FB07ED22ADB}"/>
    <hyperlink ref="O1165" r:id="rId3511" display="https://pbs.twimg.com/profile_images/557581621725908992/S7PfOb5r_normal.png" xr:uid="{226F2912-3120-4BB8-9B87-9989290ED261}"/>
    <hyperlink ref="B1166" r:id="rId3512" display="https://twitter.com/AxoomDe" xr:uid="{543AFCAD-1558-4A46-BF60-8BCE7145CF0C}"/>
    <hyperlink ref="E1166" r:id="rId3513" display="https://twitter.com/AxoomDe/status/722368550632103940" xr:uid="{DE1AD598-0B14-4407-BD3B-B2DE95F406F1}"/>
    <hyperlink ref="O1166" r:id="rId3514" display="https://pbs.twimg.com/profile_images/654975252703911936/lfZEytpZ_normal.png" xr:uid="{6296AD1E-2114-44F4-A91A-2D90E9197837}"/>
    <hyperlink ref="B1167" r:id="rId3515" display="https://twitter.com/prxpragma" xr:uid="{A191F7A4-5DF3-463D-8351-37BC46D19FF9}"/>
    <hyperlink ref="E1167" r:id="rId3516" display="https://twitter.com/prxpragma/status/722369529691709440" xr:uid="{BCA5B879-1F4F-4B02-A91D-32E90BAB3915}"/>
    <hyperlink ref="O1167" r:id="rId3517" display="https://pbs.twimg.com/profile_images/595629691249233920/PnZxF5UO_normal.jpg" xr:uid="{B3A3FCD5-6098-4C79-92AE-6B1431644D6E}"/>
    <hyperlink ref="B1168" r:id="rId3518" display="https://twitter.com/INDIZbot" xr:uid="{A6690EFA-0488-45A7-91FF-E6C72F7E254A}"/>
    <hyperlink ref="E1168" r:id="rId3519" display="https://twitter.com/INDIZbot/status/722369754112094208" xr:uid="{7EECEAF7-3496-40DF-A319-8904C8F2FEC3}"/>
    <hyperlink ref="O1168" r:id="rId3520" display="https://pbs.twimg.com/profile_images/645716711723925506/t5G0qOS6_normal.jpg" xr:uid="{A9BAF360-3DCE-4137-9E1E-D082FE27650A}"/>
    <hyperlink ref="B1169" r:id="rId3521" display="https://twitter.com/KubitzTassilo" xr:uid="{B99A746D-3D96-438A-B5DB-DB87E9531227}"/>
    <hyperlink ref="E1169" r:id="rId3522" display="https://twitter.com/KubitzTassilo/status/722370986801278976" xr:uid="{492C4D1E-E0AD-44D6-A421-42403F8E6E9C}"/>
    <hyperlink ref="O1169" r:id="rId3523" display="https://pbs.twimg.com/profile_images/552551275527938050/oM0Hdpyd_normal.jpeg" xr:uid="{1FBFB98D-051C-4E93-B79E-85D1EFCA9EA7}"/>
    <hyperlink ref="B1170" r:id="rId3524" display="https://twitter.com/DEZblog" xr:uid="{7C0767A4-4A43-4D84-AB23-EC82D2FC49AB}"/>
    <hyperlink ref="E1170" r:id="rId3525" display="https://twitter.com/DEZblog/status/722371771723341825" xr:uid="{B0721645-D685-4A6C-9322-D3E4873152B9}"/>
    <hyperlink ref="O1170" r:id="rId3526" display="https://pbs.twimg.com/profile_images/428828881080942592/YmN6UP5I_normal.png" xr:uid="{01A127D9-1E1C-45B3-B91D-AC956FD18FF8}"/>
    <hyperlink ref="B1171" r:id="rId3527" display="https://twitter.com/CapgeminiDE" xr:uid="{B05B84A3-B793-4C97-8CB4-53DA41FBFC5E}"/>
    <hyperlink ref="E1171" r:id="rId3528" display="https://twitter.com/CapgeminiDE/status/722371903588012033" xr:uid="{9682CE65-AEC6-46D6-9A19-FA88F39A32C7}"/>
    <hyperlink ref="O1171" r:id="rId3529" display="https://pbs.twimg.com/profile_images/666911961599315968/aP7ID_qm_normal.png" xr:uid="{EE6851F3-AB6E-44E9-B95A-D931324937F4}"/>
    <hyperlink ref="B1172" r:id="rId3530" display="https://twitter.com/Apandia" xr:uid="{E632A569-6F59-4E75-AFBC-6CAA6C5C67AC}"/>
    <hyperlink ref="E1172" r:id="rId3531" display="https://twitter.com/Apandia/status/722372184958586884" xr:uid="{5D704011-1A3E-4BB9-9FDD-76846D0DBBCC}"/>
    <hyperlink ref="O1172" r:id="rId3532" display="https://pbs.twimg.com/profile_images/685327213/Apandia_normal.gif" xr:uid="{AA107423-C5DF-41A0-89CC-2480E19058D7}"/>
    <hyperlink ref="B1173" r:id="rId3533" display="https://twitter.com/B_Stratton1" xr:uid="{32A64B76-C9AA-4EDE-84C5-2AEDDD7C5C6D}"/>
    <hyperlink ref="E1173" r:id="rId3534" display="https://twitter.com/B_Stratton1/status/722373396194050048" xr:uid="{71074C69-858D-4A57-AFAF-07437B9AC3AE}"/>
    <hyperlink ref="O1173" r:id="rId3535" display="https://pbs.twimg.com/profile_images/2910345239/3c104181fc21899f14dedf1eb3bb637a_normal.jpeg" xr:uid="{AE80B633-BBF2-42D2-9DC1-B56E3C1AE745}"/>
    <hyperlink ref="B1174" r:id="rId3536" display="https://twitter.com/Der_Betriebslei" xr:uid="{AD32692E-9CFA-42A8-A2CF-330A340879FA}"/>
    <hyperlink ref="E1174" r:id="rId3537" display="https://twitter.com/Der_Betriebslei/status/722373957912031232" xr:uid="{88B2291C-86AB-49FC-81BE-0270B2A7F4EB}"/>
    <hyperlink ref="O1174" r:id="rId3538" display="https://pbs.twimg.com/profile_images/448785058711601152/lLXOAUVA_normal.png" xr:uid="{147746C8-76AE-42F1-9CC2-34B67EFC1310}"/>
    <hyperlink ref="B1175" r:id="rId3539" display="https://twitter.com/HEATSoftwareDE" xr:uid="{FA487F0D-3377-44DB-9B07-D192A69AB6D5}"/>
    <hyperlink ref="E1175" r:id="rId3540" display="https://twitter.com/HEATSoftwareDE/status/722374169921523712" xr:uid="{BDC0227C-2A63-417B-B872-8B4E32BB040E}"/>
    <hyperlink ref="O1175" r:id="rId3541" display="https://pbs.twimg.com/profile_images/652379080105553923/ck9epO3E_normal.jpg" xr:uid="{6485AA56-0B5D-434A-9692-8C0A21254F93}"/>
    <hyperlink ref="B1176" r:id="rId3542" display="https://twitter.com/INDIZbot" xr:uid="{00B73820-8494-4650-8ECE-24C865CF2BF9}"/>
    <hyperlink ref="E1176" r:id="rId3543" display="https://twitter.com/INDIZbot/status/722374470825062400" xr:uid="{6E475F8D-1439-4629-A507-8CE3286D8912}"/>
    <hyperlink ref="O1176" r:id="rId3544" display="https://pbs.twimg.com/profile_images/645716711723925506/t5G0qOS6_normal.jpg" xr:uid="{691DD318-CC78-420B-B897-3C61367147E4}"/>
    <hyperlink ref="B1177" r:id="rId3545" display="https://twitter.com/INDIZbot" xr:uid="{E4F356AB-1C49-4D7F-B29E-32802D6DF723}"/>
    <hyperlink ref="E1177" r:id="rId3546" display="https://twitter.com/INDIZbot/status/722374665616887808" xr:uid="{CB9E6F85-A778-42A8-8953-4DB57AD954A3}"/>
    <hyperlink ref="O1177" r:id="rId3547" display="https://pbs.twimg.com/profile_images/645716711723925506/t5G0qOS6_normal.jpg" xr:uid="{38153946-4E7A-42F9-8FDB-9AED18E3975E}"/>
    <hyperlink ref="B1178" r:id="rId3548" display="https://twitter.com/westerbarkey" xr:uid="{F442A82E-5C0F-4FE4-BA5E-3BE7181A63D2}"/>
    <hyperlink ref="E1178" r:id="rId3549" display="https://twitter.com/westerbarkey/status/722374722181312514" xr:uid="{A2C27DAF-8693-43A8-A1ED-3E2031C0B9CE}"/>
    <hyperlink ref="O1178" r:id="rId3550" display="https://pbs.twimg.com/profile_images/691230711764893697/RnVw8ft4_normal.jpg" xr:uid="{7836BDFC-891B-47B1-BA43-81DCCAD1C7A1}"/>
    <hyperlink ref="B1179" r:id="rId3551" display="https://twitter.com/H_IT_D" xr:uid="{B7A9827B-A883-4D3F-81BB-461492C79843}"/>
    <hyperlink ref="E1179" r:id="rId3552" display="https://twitter.com/H_IT_D/status/722376018770546688" xr:uid="{ECD87C00-BA00-494F-A19A-9CFA36CA4BFF}"/>
    <hyperlink ref="O1179" r:id="rId3553" display="https://pbs.twimg.com/profile_images/662723326096224256/5V4KH9_O_normal.jpg" xr:uid="{0DC841E3-E794-4356-8876-B4DF1F3854A1}"/>
    <hyperlink ref="B1180" r:id="rId3554" display="https://twitter.com/QuickFindsIn" xr:uid="{0749CCF0-F9D2-40E1-A9B7-6B98AF684B3E}"/>
    <hyperlink ref="E1180" r:id="rId3555" display="https://twitter.com/QuickFindsIn/status/722376201566728192" xr:uid="{DE98E955-0AA3-4B67-AD93-1E1A3DCAC5EA}"/>
    <hyperlink ref="O1180" r:id="rId3556" display="https://pbs.twimg.com/profile_images/591951396217327616/HbcCX2zX_normal.png" xr:uid="{4507D730-31A1-4685-B10D-DAA1ACC857F6}"/>
    <hyperlink ref="B1181" r:id="rId3557" display="https://twitter.com/DerKonstrukteu" xr:uid="{D9E46891-4360-4C25-A176-6C12C2F1828E}"/>
    <hyperlink ref="E1181" r:id="rId3558" display="https://twitter.com/DerKonstrukteu/status/722376421960781825" xr:uid="{070E2DCE-E184-418F-8EB6-0A2658327A51}"/>
    <hyperlink ref="O1181" r:id="rId3559" display="https://pbs.twimg.com/profile_images/448785978165968896/SQOcI8cJ_normal.png" xr:uid="{9368D53E-6D0C-43CB-BA5E-6EC5F4763E6F}"/>
    <hyperlink ref="B1182" r:id="rId3560" display="https://twitter.com/ahk_balt" xr:uid="{6FB67E71-1A6C-4906-AC54-04062B515B44}"/>
    <hyperlink ref="E1182" r:id="rId3561" display="https://twitter.com/ahk_balt/status/722376843408621569" xr:uid="{46CCCFF1-5466-4023-926A-0902A2F8D44C}"/>
    <hyperlink ref="O1182" r:id="rId3562" display="https://pbs.twimg.com/profile_images/595897613003677696/M9EeaBgd_normal.jpg" xr:uid="{31D7B922-A334-48BE-9C29-717664AA5F53}"/>
    <hyperlink ref="B1183" r:id="rId3563" display="https://twitter.com/INDIZbot" xr:uid="{5432735B-92CE-4451-A13E-537CE63991AA}"/>
    <hyperlink ref="E1183" r:id="rId3564" display="https://twitter.com/INDIZbot/status/722376989970153473" xr:uid="{3F05AC65-0776-4DB9-BB33-1719A85A1169}"/>
    <hyperlink ref="O1183" r:id="rId3565" display="https://pbs.twimg.com/profile_images/645716711723925506/t5G0qOS6_normal.jpg" xr:uid="{6268C681-EE84-42DD-8858-CEE5F8DE2238}"/>
    <hyperlink ref="B1184" r:id="rId3566" display="https://twitter.com/INDIZbot" xr:uid="{A3CDB139-1211-4300-9904-E62D7A913B0C}"/>
    <hyperlink ref="E1184" r:id="rId3567" display="https://twitter.com/INDIZbot/status/722377245701095428" xr:uid="{7A3F4FEB-8C90-4C3E-ABBA-12B40C7EFE90}"/>
    <hyperlink ref="O1184" r:id="rId3568" display="https://pbs.twimg.com/profile_images/645716711723925506/t5G0qOS6_normal.jpg" xr:uid="{AF950725-FBCC-4CA5-8F8A-717C85447B28}"/>
    <hyperlink ref="B1185" r:id="rId3569" display="https://twitter.com/INDIZbot" xr:uid="{AF4DA8D4-46A0-4E11-8F64-100F6FAEEBB3}"/>
    <hyperlink ref="E1185" r:id="rId3570" display="https://twitter.com/INDIZbot/status/722377442749456384" xr:uid="{C6D04C7B-B9EC-4F43-BBDA-50531D4E99AC}"/>
    <hyperlink ref="O1185" r:id="rId3571" display="https://pbs.twimg.com/profile_images/645716711723925506/t5G0qOS6_normal.jpg" xr:uid="{5FB85EFD-D6BC-4785-9E70-D5D5BF872210}"/>
    <hyperlink ref="B1186" r:id="rId3572" display="https://twitter.com/ClaasBorchers" xr:uid="{68135F18-E132-42B0-9198-5B83F81C3A73}"/>
    <hyperlink ref="E1186" r:id="rId3573" display="https://twitter.com/ClaasBorchers/status/722378439441956864" xr:uid="{1466E344-C176-4766-9232-C69A02151227}"/>
    <hyperlink ref="O1186" r:id="rId3574" display="https://pbs.twimg.com/profile_images/646183947790090240/ugvUdxSy_normal.jpg" xr:uid="{D2B4076C-9939-4FAA-86C8-4C1C233E4C0E}"/>
    <hyperlink ref="B1187" r:id="rId3575" display="https://twitter.com/hkloepper" xr:uid="{78D21AED-D3E0-4C35-9EEA-4E1740738AEB}"/>
    <hyperlink ref="E1187" r:id="rId3576" display="https://twitter.com/hkloepper/status/722378795718717440" xr:uid="{A610FEA2-1BB4-4B6D-A870-15F14EC636F7}"/>
    <hyperlink ref="O1187" r:id="rId3577" display="https://pbs.twimg.com/profile_images/386073656/happy_normal.jpg" xr:uid="{6EA80EDF-25E8-46BB-8B03-DF2E346D8F01}"/>
    <hyperlink ref="B1188" r:id="rId3578" display="https://twitter.com/verlinked" xr:uid="{DA4F1926-236E-47C6-9C23-B080A5DF222B}"/>
    <hyperlink ref="E1188" r:id="rId3579" display="https://twitter.com/verlinked/status/722379265346437121" xr:uid="{1190DC12-D54B-49B7-B3C0-B32247035BC6}"/>
    <hyperlink ref="O1188" r:id="rId3580" display="https://pbs.twimg.com/profile_images/722385992343285760/ww8YLZ2q_normal.jpg" xr:uid="{1AE9C715-1F5A-4DC6-AAA6-95B24DDB8A2B}"/>
    <hyperlink ref="B1189" r:id="rId3581" display="https://twitter.com/MeinGeldMedien" xr:uid="{A28DAA3F-F744-4150-B635-A8E21A700CFF}"/>
    <hyperlink ref="E1189" r:id="rId3582" display="https://twitter.com/MeinGeldMedien/status/722379596197445632" xr:uid="{9A0528F1-9FC2-4B7A-8AFC-2498E6E3BA63}"/>
    <hyperlink ref="O1189" r:id="rId3583" display="https://pbs.twimg.com/profile_images/473759721023758338/3CcJL-Vq_normal.jpeg" xr:uid="{742E3F20-5306-4401-B88C-FF0FF9700255}"/>
    <hyperlink ref="B1190" r:id="rId3584" display="https://twitter.com/MeinGeldMedien" xr:uid="{D3494793-E388-4E4D-9DB6-4DB47D79F2F4}"/>
    <hyperlink ref="E1190" r:id="rId3585" display="https://twitter.com/MeinGeldMedien/status/722379603705249794" xr:uid="{7A682670-E88E-4C13-853F-B6099449D923}"/>
    <hyperlink ref="O1190" r:id="rId3586" display="https://pbs.twimg.com/profile_images/473759721023758338/3CcJL-Vq_normal.jpeg" xr:uid="{0C0CA2BB-2B24-4BC0-AFF1-31CA0CDA606E}"/>
    <hyperlink ref="B1191" r:id="rId3587" display="https://twitter.com/DerKonstrukteu" xr:uid="{65101CB5-EE83-4419-B870-5ABE2A1367A3}"/>
    <hyperlink ref="E1191" r:id="rId3588" display="https://twitter.com/DerKonstrukteu/status/722380096590516224" xr:uid="{FB7B8244-E823-4231-888E-FB85ED5808D4}"/>
    <hyperlink ref="O1191" r:id="rId3589" display="https://pbs.twimg.com/profile_images/448785978165968896/SQOcI8cJ_normal.png" xr:uid="{6EE4B154-478A-4E35-9433-3B3ACAC6E775}"/>
    <hyperlink ref="B1192" r:id="rId3590" display="https://twitter.com/Round_Solutions" xr:uid="{FC35A93E-411F-4960-8533-8338D687826A}"/>
    <hyperlink ref="E1192" r:id="rId3591" display="https://twitter.com/Round_Solutions/status/722380231244390400" xr:uid="{84683643-204D-4179-B3D6-5412F49A2033}"/>
    <hyperlink ref="O1192" r:id="rId3592" display="https://pbs.twimg.com/profile_images/651340877881741316/uYdqY-TL_normal.jpg" xr:uid="{A708A0B2-35BA-41DA-AA60-DA4C49A9ACDD}"/>
    <hyperlink ref="B1193" r:id="rId3593" display="https://twitter.com/kommoptimierer" xr:uid="{EEEC2110-BA2D-4E2B-AEC9-424BAFF0D18F}"/>
    <hyperlink ref="E1193" r:id="rId3594" display="https://twitter.com/kommoptimierer/status/722380477143900160" xr:uid="{558061F2-A1F7-41A3-B762-34367C70F933}"/>
    <hyperlink ref="O1193" r:id="rId3595" display="https://pbs.twimg.com/profile_images/541146126158536704/IYardufS_normal.jpeg" xr:uid="{45411F26-16FC-4EDC-9B4F-33F3F5A1FB2F}"/>
    <hyperlink ref="B1194" r:id="rId3596" display="https://twitter.com/Der_Betriebslei" xr:uid="{4F4CCD39-B546-461D-BE80-AE975EBAA38F}"/>
    <hyperlink ref="E1194" r:id="rId3597" display="https://twitter.com/Der_Betriebslei/status/722381749582499840" xr:uid="{D626C6F6-4F2C-4748-9CD7-92C666E6EFB7}"/>
    <hyperlink ref="O1194" r:id="rId3598" display="https://pbs.twimg.com/profile_images/448785058711601152/lLXOAUVA_normal.png" xr:uid="{3933DAB8-707B-4F89-8CB8-1F2F97D82A72}"/>
    <hyperlink ref="B1195" r:id="rId3599" display="https://twitter.com/INDIZbot" xr:uid="{7C290F8A-9A08-4218-9E4C-C6D84FA87927}"/>
    <hyperlink ref="E1195" r:id="rId3600" display="https://twitter.com/INDIZbot/status/722382023151742976" xr:uid="{09FBDFBB-BAB8-42F4-94CB-213F83F0BFDB}"/>
    <hyperlink ref="O1195" r:id="rId3601" display="https://pbs.twimg.com/profile_images/645716711723925506/t5G0qOS6_normal.jpg" xr:uid="{393EF850-A228-498C-9CE0-ABAEC074D5FD}"/>
    <hyperlink ref="B1196" r:id="rId3602" display="https://twitter.com/einkauf_mgmt" xr:uid="{8632D45A-FFF3-43C1-8D35-022CF4211061}"/>
    <hyperlink ref="E1196" r:id="rId3603" display="https://twitter.com/einkauf_mgmt/status/722382389469691904" xr:uid="{52211F3A-EFFC-4FF1-B086-8B9A80C83DBC}"/>
    <hyperlink ref="O1196" r:id="rId3604" display="https://pbs.twimg.com/profile_images/463608454624448512/0DV5XX08_normal.jpeg" xr:uid="{FED411F0-26BE-42BF-9B88-ECBC33B950C6}"/>
    <hyperlink ref="B1197" r:id="rId3605" display="https://twitter.com/CanarioAcosado" xr:uid="{79AF90BE-C816-413A-B73E-6CE0F1CE35AE}"/>
    <hyperlink ref="E1197" r:id="rId3606" display="https://twitter.com/CanarioAcosado/status/722383872563027968" xr:uid="{AA77A76D-6356-4312-91EF-AED0BD4044A4}"/>
    <hyperlink ref="O1197" r:id="rId3607" display="https://pbs.twimg.com/profile_images/711649649644445696/AmUV5ABP_normal.jpg" xr:uid="{B8F35FB8-855F-4683-83DB-C6E4F48A1119}"/>
    <hyperlink ref="B1198" r:id="rId3608" display="https://twitter.com/dianemievis" xr:uid="{F6DF86B9-04CC-485C-B937-A1F5C2E1E1FA}"/>
    <hyperlink ref="E1198" r:id="rId3609" display="https://twitter.com/dianemievis/status/722383964716052480" xr:uid="{E3170CDA-8F19-4F5F-A21A-27F853C6AA1D}"/>
    <hyperlink ref="O1198" r:id="rId3610" display="https://pbs.twimg.com/profile_images/717732509430079488/FES42o6z_normal.jpg" xr:uid="{2C51464B-EF52-4E01-BA49-1E2E69C5CFC3}"/>
    <hyperlink ref="B1199" r:id="rId3611" display="https://twitter.com/RebelinAluminio" xr:uid="{D532FDF1-FA75-4A5E-9893-540D7D108F8F}"/>
    <hyperlink ref="E1199" r:id="rId3612" display="https://twitter.com/RebelinAluminio/status/722384205456535553" xr:uid="{479BA59F-15E9-4A4C-AE75-5E278CD42314}"/>
    <hyperlink ref="O1199" r:id="rId3613" display="https://pbs.twimg.com/profile_images/692972607147241475/7hLZ4f9M_normal.jpg" xr:uid="{2C76322A-209C-4DE6-B618-6F7808237AAD}"/>
    <hyperlink ref="B1200" r:id="rId3614" display="https://twitter.com/INDIZbot" xr:uid="{8098A030-8DE0-4D53-9E82-C698F810D121}"/>
    <hyperlink ref="E1200" r:id="rId3615" display="https://twitter.com/INDIZbot/status/722384534814199808" xr:uid="{2E544C92-6625-41B7-94EC-286E415FE7AD}"/>
    <hyperlink ref="O1200" r:id="rId3616" display="https://pbs.twimg.com/profile_images/645716711723925506/t5G0qOS6_normal.jpg" xr:uid="{44E6C7E0-9F27-40BA-B926-4DF0A63C2342}"/>
    <hyperlink ref="B1201" r:id="rId3617" display="https://twitter.com/itsOWL_Cluster" xr:uid="{37DECE7C-B662-4665-98E6-B1A3C6AFD54D}"/>
    <hyperlink ref="E1201" r:id="rId3618" display="https://twitter.com/itsOWL_Cluster/status/722384935873593344" xr:uid="{728F8DEE-9FDA-47EC-8723-35C82DC395A8}"/>
    <hyperlink ref="O1201" r:id="rId3619" display="https://pbs.twimg.com/profile_images/3542998130/5e65449daa56d18e9aab7f6535dc25fc_normal.jpeg" xr:uid="{CE7BFC21-2FEF-4037-9D58-9EC1C505ED48}"/>
    <hyperlink ref="B1202" r:id="rId3620" display="https://twitter.com/turenne1611" xr:uid="{87F3909D-19A9-405C-9CF0-3096206A9A09}"/>
    <hyperlink ref="E1202" r:id="rId3621" display="https://twitter.com/turenne1611/status/722385373113004037" xr:uid="{E8F93FC3-292F-4062-9AA9-A68601ADA81B}"/>
    <hyperlink ref="O1202" r:id="rId3622" display="https://pbs.twimg.com/profile_images/3272942436/c3c4e0a9a2b4666270086c4edabb99d2_normal.jpeg" xr:uid="{E154DBFF-69D7-490A-85FE-58E5B72EE58D}"/>
    <hyperlink ref="B1203" r:id="rId3623" display="https://twitter.com/ITK_OWL" xr:uid="{34501651-6161-48FF-8378-08F0777D68EC}"/>
    <hyperlink ref="E1203" r:id="rId3624" display="https://twitter.com/ITK_OWL/status/722386664048431104" xr:uid="{8ED9EE8D-540C-4373-856E-ADAA8601D738}"/>
    <hyperlink ref="O1203" r:id="rId3625" display="https://pbs.twimg.com/profile_images/601673968551075840/MnulnKkj_normal.png" xr:uid="{7396E88A-2D5D-4D49-9ED6-3E776AD5FD1B}"/>
    <hyperlink ref="B1204" r:id="rId3626" display="https://twitter.com/INDIZbot" xr:uid="{24FD8814-FE67-4894-A34A-9475C697CAE5}"/>
    <hyperlink ref="E1204" r:id="rId3627" display="https://twitter.com/INDIZbot/status/722387056698200064" xr:uid="{B7CB27C2-1F23-4B3D-8A30-0E335A8B4310}"/>
    <hyperlink ref="O1204" r:id="rId3628" display="https://pbs.twimg.com/profile_images/645716711723925506/t5G0qOS6_normal.jpg" xr:uid="{FC580D3B-D84B-4FC2-8567-3C9286032618}"/>
    <hyperlink ref="B1205" r:id="rId3629" display="https://twitter.com/itsOWL_Cluster" xr:uid="{068B2B44-1286-4BE8-97CD-3DB317EACBEA}"/>
    <hyperlink ref="E1205" r:id="rId3630" display="https://twitter.com/itsOWL_Cluster/status/722387209408638976" xr:uid="{8D18A848-7CDC-4893-8A01-26059A45C9BB}"/>
    <hyperlink ref="O1205" r:id="rId3631" display="https://pbs.twimg.com/profile_images/3542998130/5e65449daa56d18e9aab7f6535dc25fc_normal.jpeg" xr:uid="{C9140548-3B1F-45E5-BA4F-8EEE0FDC4085}"/>
    <hyperlink ref="B1206" r:id="rId3632" display="https://twitter.com/MarioReinsch" xr:uid="{9BE85223-7375-47EB-8F25-68EDA69B6005}"/>
    <hyperlink ref="E1206" r:id="rId3633" display="https://twitter.com/MarioReinsch/status/722393272216383488" xr:uid="{489A2CBD-A452-4773-8BEA-2E75E605E944}"/>
    <hyperlink ref="O1206" r:id="rId3634" display="https://pbs.twimg.com/profile_images/560799766007664640/lsjqv0TW_normal.jpeg" xr:uid="{CE6BBE01-485B-4291-82E3-4A1CEC8575EA}"/>
    <hyperlink ref="B1207" r:id="rId3635" display="https://twitter.com/H_IT_D" xr:uid="{40F6CD80-D358-4270-9D16-0B691678D74B}"/>
    <hyperlink ref="E1207" r:id="rId3636" display="https://twitter.com/H_IT_D/status/722393363865927682" xr:uid="{3F6F0EAF-B732-4B54-92C7-B5EC9FD5282D}"/>
    <hyperlink ref="O1207" r:id="rId3637" display="https://pbs.twimg.com/profile_images/662723326096224256/5V4KH9_O_normal.jpg" xr:uid="{36DCF438-7196-4481-88FC-0AAFB4E9394C}"/>
    <hyperlink ref="B1208" r:id="rId3638" display="https://twitter.com/Scheer_GmbH" xr:uid="{99E88220-76F8-4E54-80FD-5F259F7DFDC8}"/>
    <hyperlink ref="E1208" r:id="rId3639" display="https://twitter.com/Scheer_GmbH/status/722393549443084288" xr:uid="{D4C80119-AFEE-4CC4-B6B7-583E14D2D5A3}"/>
    <hyperlink ref="O1208" r:id="rId3640" display="https://pbs.twimg.com/profile_images/686924088154140672/1_ZIe3FE_normal.png" xr:uid="{5F2CB9F4-A298-4BC5-A9DC-B872A3D08762}"/>
    <hyperlink ref="B1209" r:id="rId3641" display="https://twitter.com/Balluff" xr:uid="{12EF90D5-249B-4D31-8D99-3CD80A9B54BD}"/>
    <hyperlink ref="E1209" r:id="rId3642" display="https://twitter.com/Balluff/status/722394274453708800" xr:uid="{8803602A-ABA5-470D-98B2-E04A97CD84FC}"/>
    <hyperlink ref="O1209" r:id="rId3643" display="https://pbs.twimg.com/profile_images/663668561366245376/2ovYiiJf_normal.jpg" xr:uid="{911514DD-CBED-4ED7-BD72-6F64E5752D15}"/>
    <hyperlink ref="B1210" r:id="rId3644" display="https://twitter.com/opengateitalia" xr:uid="{20251465-B7C1-4048-8AC9-DF50656075E5}"/>
    <hyperlink ref="E1210" r:id="rId3645" display="https://twitter.com/opengateitalia/status/722394510584451077" xr:uid="{CF94D2EA-E149-441F-A465-56E4566BC447}"/>
    <hyperlink ref="O1210" r:id="rId3646" display="https://pbs.twimg.com/profile_images/626731191715131393/jns17fVE_normal.png" xr:uid="{4A8936CC-98F2-4623-B995-3C94FF2AE623}"/>
    <hyperlink ref="B1211" r:id="rId3647" display="https://twitter.com/INDIZbot" xr:uid="{633FAD09-E7E0-45F4-9FE1-D8BEC0B5BDDA}"/>
    <hyperlink ref="E1211" r:id="rId3648" display="https://twitter.com/INDIZbot/status/722394606130896897" xr:uid="{450840F1-C162-453E-BD1D-247FCD869E97}"/>
    <hyperlink ref="O1211" r:id="rId3649" display="https://pbs.twimg.com/profile_images/645716711723925506/t5G0qOS6_normal.jpg" xr:uid="{854BD2E7-46EC-458B-8D58-C11AA6F95FB1}"/>
    <hyperlink ref="B1212" r:id="rId3650" display="https://twitter.com/INDIZbot" xr:uid="{E617BB73-7FE8-42CC-A3DA-BEE07F1B5AE5}"/>
    <hyperlink ref="E1212" r:id="rId3651" display="https://twitter.com/INDIZbot/status/722394728218628096" xr:uid="{18678BD7-545A-4D5B-B69C-F894D2139B80}"/>
    <hyperlink ref="O1212" r:id="rId3652" display="https://pbs.twimg.com/profile_images/645716711723925506/t5G0qOS6_normal.jpg" xr:uid="{41B935F1-2584-490D-8AB1-232D5D2B7D5F}"/>
    <hyperlink ref="B1213" r:id="rId3653" display="https://twitter.com/INDIZbot" xr:uid="{4BCC7442-3F65-4407-9907-E97E5F4A407C}"/>
    <hyperlink ref="E1213" r:id="rId3654" display="https://twitter.com/INDIZbot/status/722394824628944896" xr:uid="{F55AADE7-DCE0-48AD-8245-4E16EA345968}"/>
    <hyperlink ref="O1213" r:id="rId3655" display="https://pbs.twimg.com/profile_images/645716711723925506/t5G0qOS6_normal.jpg" xr:uid="{B8F68FD6-34CB-47A1-9D60-ACFC0B999D1C}"/>
    <hyperlink ref="B1214" r:id="rId3656" display="https://twitter.com/MindCommerce" xr:uid="{885259F0-FA52-4E07-A914-442055831BC2}"/>
    <hyperlink ref="E1214" r:id="rId3657" display="https://twitter.com/MindCommerce/status/722395114623131649" xr:uid="{1E3B9F9C-3B23-4525-A518-9C81A7505170}"/>
    <hyperlink ref="O1214" r:id="rId3658" display="https://pbs.twimg.com/profile_images/548030384030507008/utABqhj9_normal.png" xr:uid="{5BC01D8C-40D9-4425-9BE5-0E8BA63FF093}"/>
    <hyperlink ref="B1215" r:id="rId3659" display="https://twitter.com/bernardgainnier" xr:uid="{A69D4209-F8DA-4A8A-8E55-3EC55B24803A}"/>
    <hyperlink ref="E1215" r:id="rId3660" display="https://twitter.com/bernardgainnier/status/722395555939397633" xr:uid="{4D3FC19B-63D3-4D8D-AF8F-114C470A78E4}"/>
    <hyperlink ref="O1215" r:id="rId3661" display="https://pbs.twimg.com/profile_images/378800000059779860/fc04b1d73248cf633802cef808ea363d_normal.jpeg" xr:uid="{95E86928-7D0B-4B8E-8AFF-FC7492A07B7C}"/>
    <hyperlink ref="B1216" r:id="rId3662" display="https://twitter.com/IoTMinded" xr:uid="{54DDF7DA-711C-4951-8317-94176F7BB0AF}"/>
    <hyperlink ref="E1216" r:id="rId3663" display="https://twitter.com/IoTMinded/status/722396038678646784" xr:uid="{1A067507-97CC-4F42-96E9-B35F095FAFC7}"/>
    <hyperlink ref="O1216" r:id="rId3664" display="https://pbs.twimg.com/profile_images/603699032804859904/lb5IMG5x_normal.jpg" xr:uid="{35BA1FB6-3C53-4F8F-A045-4AD2831C085B}"/>
    <hyperlink ref="B1217" r:id="rId3665" display="https://twitter.com/Bitkom_Service" xr:uid="{5FBFB990-309E-4FE2-9923-46389E6612D0}"/>
    <hyperlink ref="E1217" r:id="rId3666" display="https://twitter.com/Bitkom_Service/status/722397572493615104" xr:uid="{B3C254E6-DEE2-4FD1-A853-9DB745D46760}"/>
    <hyperlink ref="O1217" r:id="rId3667" display="https://pbs.twimg.com/profile_images/616176072204382208/UYYnn7XY_normal.jpg" xr:uid="{DA2CA8B2-C1C7-42E4-B0A9-AEE4657C3B2C}"/>
    <hyperlink ref="B1218" r:id="rId3668" display="https://twitter.com/NicoSchilling" xr:uid="{2540FF17-A42A-4267-ABFA-37973FE772A2}"/>
    <hyperlink ref="E1218" r:id="rId3669" display="https://twitter.com/NicoSchilling/status/722398233255919616" xr:uid="{77F29993-FBC6-487D-8D81-449C9F118199}"/>
    <hyperlink ref="O1218" r:id="rId3670" display="https://pbs.twimg.com/profile_images/639888719827345408/SG0dDbF8_normal.jpg" xr:uid="{688893D1-DC03-4ADC-A4CC-6C6381F3B532}"/>
    <hyperlink ref="B1219" r:id="rId3671" display="https://twitter.com/Derdack" xr:uid="{D635533F-4229-4F33-9EA0-B221ADDE1012}"/>
    <hyperlink ref="E1219" r:id="rId3672" display="https://twitter.com/Derdack/status/722400585002184706" xr:uid="{2A7A2459-B5F2-4967-9B24-A86DD526C4FA}"/>
    <hyperlink ref="O1219" r:id="rId3673" display="https://pbs.twimg.com/profile_images/627720848200347648/Zn_B8fGh_normal.png" xr:uid="{17967DBF-026F-45BC-BDD7-8D33C921AF25}"/>
    <hyperlink ref="B1220" r:id="rId3674" display="https://twitter.com/Apandia" xr:uid="{0E5D5F57-15AE-4B1D-9C14-CC7FECEF7C19}"/>
    <hyperlink ref="E1220" r:id="rId3675" display="https://twitter.com/Apandia/status/722402151473893376" xr:uid="{3D3E5ED8-D956-4360-9EA6-E8750ADBEAF6}"/>
    <hyperlink ref="O1220" r:id="rId3676" display="https://pbs.twimg.com/profile_images/685327213/Apandia_normal.gif" xr:uid="{3EC1A604-5CBC-4101-9558-07668002ABE9}"/>
    <hyperlink ref="B1221" r:id="rId3677" display="https://twitter.com/wmaxx_consultig" xr:uid="{7A2C0195-9DEA-4EA6-85AD-C1F6B8868AF5}"/>
    <hyperlink ref="E1221" r:id="rId3678" display="https://twitter.com/wmaxx_consultig/status/722404486497574913" xr:uid="{9E275417-D62D-4870-A506-AEF6A90F639F}"/>
    <hyperlink ref="O1221" r:id="rId3679" display="https://pbs.twimg.com/profile_images/703148147543920640/eaxyCVcC_normal.jpg" xr:uid="{121DF7EE-98FB-4604-97B2-31A4421B6938}"/>
    <hyperlink ref="B1222" r:id="rId3680" display="https://twitter.com/INDIZbot" xr:uid="{4EB33A44-963C-4220-9593-C65BCDE10E6D}"/>
    <hyperlink ref="E1222" r:id="rId3681" display="https://twitter.com/INDIZbot/status/722404673479700480" xr:uid="{D30532C2-9B4C-459E-91E7-F5986661C390}"/>
    <hyperlink ref="O1222" r:id="rId3682" display="https://pbs.twimg.com/profile_images/645716711723925506/t5G0qOS6_normal.jpg" xr:uid="{18E75BEE-CCE1-49BF-A975-97D3F2651411}"/>
    <hyperlink ref="B1223" r:id="rId3683" display="https://twitter.com/ATKrakow" xr:uid="{F15B0224-CD72-4F0B-9B33-5681812FB3EA}"/>
    <hyperlink ref="E1223" r:id="rId3684" display="https://twitter.com/ATKrakow/status/722405895309762560" xr:uid="{F1C979B1-EAD4-4A18-B61B-AA186261D2E6}"/>
    <hyperlink ref="O1223" r:id="rId3685" display="https://pbs.twimg.com/profile_images/459268580761026560/HJ5Z9vW1_normal.jpeg" xr:uid="{FA3952FE-F1B6-4D6D-A352-707B7A3E3F19}"/>
    <hyperlink ref="B1224" r:id="rId3686" display="https://twitter.com/wmaxx_consultig" xr:uid="{BBA90914-5B85-45DE-A66C-4D667BE3EED7}"/>
    <hyperlink ref="E1224" r:id="rId3687" display="https://twitter.com/wmaxx_consultig/status/722406431891304448" xr:uid="{3A9F8536-305F-4FCE-98A6-708DAFA62C05}"/>
    <hyperlink ref="O1224" r:id="rId3688" display="https://pbs.twimg.com/profile_images/703148147543920640/eaxyCVcC_normal.jpg" xr:uid="{15F8F4DC-9264-490B-9752-C612D5F3AAE0}"/>
    <hyperlink ref="B1225" r:id="rId3689" display="https://twitter.com/evryabova47791" xr:uid="{F3334491-A84A-4CE3-842B-548C390CD051}"/>
    <hyperlink ref="E1225" r:id="rId3690" display="https://twitter.com/evryabova47791/status/722407137637502976" xr:uid="{E2615B61-1AF5-4835-AE32-0126015635B7}"/>
    <hyperlink ref="O1225" r:id="rId3691" display="https://pbs.twimg.com/profile_images/717836135171493888/9Z1Fhzij_normal.jpg" xr:uid="{C5932917-12FA-498F-B353-31B55FB86415}"/>
    <hyperlink ref="B1226" r:id="rId3692" display="https://twitter.com/INDIZbot" xr:uid="{6AFF5A16-5CC5-49DC-B4C7-8249152D6CB8}"/>
    <hyperlink ref="E1226" r:id="rId3693" display="https://twitter.com/INDIZbot/status/722407634297561088" xr:uid="{32E07F6A-5A83-4EAF-9867-696A060F3358}"/>
    <hyperlink ref="O1226" r:id="rId3694" display="https://pbs.twimg.com/profile_images/645716711723925506/t5G0qOS6_normal.jpg" xr:uid="{8387D3DC-F087-4E5F-BB05-25CA399ABA76}"/>
    <hyperlink ref="B1227" r:id="rId3695" display="https://twitter.com/DIN_Norm" xr:uid="{27509BDC-6C38-40B6-9694-129B3C7C449F}"/>
    <hyperlink ref="E1227" r:id="rId3696" display="https://twitter.com/DIN_Norm/status/722408350265315328" xr:uid="{00D0203C-A648-4CEF-B56D-3BE91127D7EC}"/>
    <hyperlink ref="O1227" r:id="rId3697" display="https://pbs.twimg.com/profile_images/420931967941877760/po-pF7Nr_normal.jpeg" xr:uid="{01DCD905-1917-4D7D-85DD-1B270BC4F024}"/>
    <hyperlink ref="B1228" r:id="rId3698" display="https://twitter.com/Databanque" xr:uid="{13ABB92F-63FF-4CFF-AB56-D036F0060E12}"/>
    <hyperlink ref="E1228" r:id="rId3699" display="https://twitter.com/Databanque/status/722408803300282373" xr:uid="{8411C0B0-B567-48AA-906E-260468B0A41B}"/>
    <hyperlink ref="O1228" r:id="rId3700" display="https://pbs.twimg.com/profile_images/552211771360940032/CmEYO0l3_normal.png" xr:uid="{BB1701D3-FAA3-477D-BCFC-58FCBCDD8F68}"/>
    <hyperlink ref="B1229" r:id="rId3701" display="https://twitter.com/CSAGroup_Europa" xr:uid="{45C7E84C-C7CB-4A8D-A95F-6ACD8804F7ED}"/>
    <hyperlink ref="E1229" r:id="rId3702" display="https://twitter.com/CSAGroup_Europa/status/722409451769081856" xr:uid="{3A2C1324-ABE9-4774-84D2-EF6F934B977D}"/>
    <hyperlink ref="O1229" r:id="rId3703" display="https://pbs.twimg.com/profile_images/694181475948875776/dYfsbE3P_normal.jpg" xr:uid="{63BDD862-6026-48D3-9689-76D56EC4AE10}"/>
    <hyperlink ref="B1230" r:id="rId3704" display="https://twitter.com/verlinked" xr:uid="{BB59D596-5FBC-4697-9460-83F366D6F542}"/>
    <hyperlink ref="E1230" r:id="rId3705" display="https://twitter.com/verlinked/status/722409468391108610" xr:uid="{88E870C9-CA97-4E9A-A17C-B5891EC117C3}"/>
    <hyperlink ref="O1230" r:id="rId3706" display="https://pbs.twimg.com/profile_images/722385992343285760/ww8YLZ2q_normal.jpg" xr:uid="{24FB3349-FABC-4238-BA54-537426EC2923}"/>
    <hyperlink ref="B1231" r:id="rId3707" display="https://twitter.com/INDIZbot" xr:uid="{A469BCDD-852B-4020-B036-9C8403B26150}"/>
    <hyperlink ref="E1231" r:id="rId3708" display="https://twitter.com/INDIZbot/status/722409946919346176" xr:uid="{F9C1B3E7-23DC-44FF-A315-9D47E44DCD66}"/>
    <hyperlink ref="O1231" r:id="rId3709" display="https://pbs.twimg.com/profile_images/645716711723925506/t5G0qOS6_normal.jpg" xr:uid="{B4002E42-D504-4DDA-BEEA-483B075ABF91}"/>
    <hyperlink ref="B1232" r:id="rId3710" display="https://twitter.com/INDIZbot" xr:uid="{EAD454D9-4D75-4548-8C2A-25FC5AABF4B7}"/>
    <hyperlink ref="E1232" r:id="rId3711" display="https://twitter.com/INDIZbot/status/722410072157110273" xr:uid="{F5D3A612-43F6-4231-865F-5E98D504656D}"/>
    <hyperlink ref="O1232" r:id="rId3712" display="https://pbs.twimg.com/profile_images/645716711723925506/t5G0qOS6_normal.jpg" xr:uid="{6A776439-3DB2-4F56-B852-C88D825AB6DF}"/>
    <hyperlink ref="B1233" r:id="rId3713" display="https://twitter.com/H_IT_D" xr:uid="{49B720C9-7B2D-47F0-A4A4-03491D99C657}"/>
    <hyperlink ref="E1233" r:id="rId3714" display="https://twitter.com/H_IT_D/status/722410667471294466" xr:uid="{7DF062A0-ED95-4230-AEB2-487DA67C6BA2}"/>
    <hyperlink ref="O1233" r:id="rId3715" display="https://pbs.twimg.com/profile_images/662723326096224256/5V4KH9_O_normal.jpg" xr:uid="{083BE294-4FB8-4323-A8EE-7084AB84DB8E}"/>
    <hyperlink ref="B1234" r:id="rId3716" display="https://twitter.com/Angela_Josephs" xr:uid="{70FBECD4-4324-4FA1-A2EF-03382EFA8B38}"/>
    <hyperlink ref="E1234" r:id="rId3717" display="https://twitter.com/Angela_Josephs/status/722410923105861632" xr:uid="{9A04B3A4-C1C2-4AA6-B1A4-C1845C05639D}"/>
    <hyperlink ref="O1234" r:id="rId3718" display="https://pbs.twimg.com/profile_images/649572788148285440/Sxl5vTa3_normal.jpg" xr:uid="{1451E5DA-604C-485A-8C0A-4491D55ABFDB}"/>
    <hyperlink ref="B1235" r:id="rId3719" display="https://twitter.com/OuestValo" xr:uid="{4A60CB29-C93B-4720-A1EB-8CD9FDFC28D1}"/>
    <hyperlink ref="E1235" r:id="rId3720" display="https://twitter.com/OuestValo/status/722410950473723904" xr:uid="{E5BDE01F-B605-4116-83DC-CAEC1A6351A6}"/>
    <hyperlink ref="O1235" r:id="rId3721" display="https://pbs.twimg.com/profile_images/3078390929/8847ca0ee77a15179992b5695c5c4905_normal.png" xr:uid="{7AF2B600-B371-4256-80B1-9FC3F176B194}"/>
    <hyperlink ref="B1236" r:id="rId3722" display="https://twitter.com/Gruendercoaches" xr:uid="{8C023BCA-67BD-4465-AA8E-DB5E96238B4F}"/>
    <hyperlink ref="E1236" r:id="rId3723" display="https://twitter.com/Gruendercoaches/status/722411608610357248" xr:uid="{6485B1F8-49E3-4472-ACDC-F43319FD1C34}"/>
    <hyperlink ref="O1236" r:id="rId3724" display="https://pbs.twimg.com/profile_images/561208179355185153/11KDu7Gt_normal.png" xr:uid="{0485E03D-6283-4478-946B-9782953736E3}"/>
    <hyperlink ref="B1237" r:id="rId3725" display="https://twitter.com/CapgeminiDE" xr:uid="{AC4EEF59-4957-4EF0-A99E-BC4D4859C9BB}"/>
    <hyperlink ref="E1237" r:id="rId3726" display="https://twitter.com/CapgeminiDE/status/722413372004810753" xr:uid="{FB97589A-496E-4672-8FE6-AFD648AB9E52}"/>
    <hyperlink ref="O1237" r:id="rId3727" display="https://pbs.twimg.com/profile_images/666911961599315968/aP7ID_qm_normal.png" xr:uid="{3F64246A-3B3F-49D0-A670-FCAA99FB3C78}"/>
    <hyperlink ref="B1238" r:id="rId3728" display="https://twitter.com/POLYASVoting" xr:uid="{856C47D1-7EE3-4182-A0EB-6493F827E8C8}"/>
    <hyperlink ref="E1238" r:id="rId3729" display="https://twitter.com/POLYASVoting/status/722414201424089088" xr:uid="{F5220AD2-FCA2-400C-B01C-25383FE8FB0F}"/>
    <hyperlink ref="O1238" r:id="rId3730" display="https://pbs.twimg.com/profile_images/672007271753338880/vC18hLkb_normal.jpg" xr:uid="{515F0A32-67A5-4257-9B0D-4B2F36919276}"/>
    <hyperlink ref="B1239" r:id="rId3731" display="https://twitter.com/JETZT_PRde" xr:uid="{A9CCEEAD-4666-4521-BD04-2B7FB7C9A1E5}"/>
    <hyperlink ref="E1239" r:id="rId3732" display="https://twitter.com/JETZT_PRde/status/722414450637193218" xr:uid="{DB6D1DCE-8D1E-4D3C-AE8F-3D89BB5558B2}"/>
    <hyperlink ref="O1239" r:id="rId3733" display="https://pbs.twimg.com/profile_images/593011135428882432/BGMPkrwp_normal.jpg" xr:uid="{F62C85FF-009D-4198-B590-793DA41A8E8A}"/>
    <hyperlink ref="B1240" r:id="rId3734" display="https://twitter.com/INDIZbot" xr:uid="{AAA8C2B0-0CAC-46C5-9EE1-90CD141A6CFA}"/>
    <hyperlink ref="E1240" r:id="rId3735" display="https://twitter.com/INDIZbot/status/722414743328276486" xr:uid="{E0E9AD01-73D4-4AD9-92CF-F0FFA046C1CA}"/>
    <hyperlink ref="O1240" r:id="rId3736" display="https://pbs.twimg.com/profile_images/645716711723925506/t5G0qOS6_normal.jpg" xr:uid="{CAE7DF31-2787-47D1-9CFC-8795843437C2}"/>
    <hyperlink ref="B1241" r:id="rId3737" display="https://twitter.com/INDIZbot" xr:uid="{5630F8D3-B715-4952-B706-50C9513F0CA6}"/>
    <hyperlink ref="E1241" r:id="rId3738" display="https://twitter.com/INDIZbot/status/722414861523791876" xr:uid="{354E7AE3-A7E0-4289-B898-6F834910A8BD}"/>
    <hyperlink ref="O1241" r:id="rId3739" display="https://pbs.twimg.com/profile_images/645716711723925506/t5G0qOS6_normal.jpg" xr:uid="{020C27F0-9AC2-477E-A4EC-F25BDF1414A6}"/>
    <hyperlink ref="B1242" r:id="rId3740" display="https://twitter.com/HubertusGrass" xr:uid="{E08EFEDF-664C-41BF-9CF7-1C0EC9DB1C75}"/>
    <hyperlink ref="E1242" r:id="rId3741" display="https://twitter.com/HubertusGrass/status/722415807028936704" xr:uid="{6799AEED-3C43-4989-B2C2-3C6ACFEAEF69}"/>
    <hyperlink ref="O1242" r:id="rId3742" display="https://pbs.twimg.com/profile_images/378800000858333349/pwsmqccf_normal.jpeg" xr:uid="{1AF41A04-E6B0-4847-AE2F-92AA3E4FD72A}"/>
    <hyperlink ref="B1243" r:id="rId3743" display="https://twitter.com/Bitkom" xr:uid="{D2332F03-FC31-44AE-9954-C530CC127338}"/>
    <hyperlink ref="E1243" r:id="rId3744" display="https://twitter.com/Bitkom/status/722416316347494402" xr:uid="{1EA21D9D-3D7E-4994-8D6D-B4A54DC07DBC}"/>
    <hyperlink ref="O1243" r:id="rId3745" display="https://pbs.twimg.com/profile_images/615797525040136192/CKF9-v_o_normal.jpg" xr:uid="{C544690E-9287-44CA-BA3B-7F309DABD6CD}"/>
    <hyperlink ref="B1244" r:id="rId3746" display="https://twitter.com/JETZT_PRde" xr:uid="{D027DAB6-4EA4-48C6-9480-D83591AFE334}"/>
    <hyperlink ref="E1244" r:id="rId3747" display="https://twitter.com/JETZT_PRde/status/722416887242600448" xr:uid="{005E4D9D-BB1C-480E-9043-65A4EBE07D67}"/>
    <hyperlink ref="O1244" r:id="rId3748" display="https://pbs.twimg.com/profile_images/593011135428882432/BGMPkrwp_normal.jpg" xr:uid="{5780D1ED-E6FF-4D8C-BC99-3716E3C6F59F}"/>
    <hyperlink ref="B1245" r:id="rId3749" display="https://twitter.com/dictaJet" xr:uid="{928721E0-C3A3-47B1-B8F7-FFF7587AF25D}"/>
    <hyperlink ref="E1245" r:id="rId3750" display="https://twitter.com/dictaJet/status/722416992158892032" xr:uid="{29B7ED98-4268-45D1-A00B-ACC2739E02D0}"/>
    <hyperlink ref="O1245" r:id="rId3751" display="https://pbs.twimg.com/profile_images/3151814681/889304b58206053d6f22bd0b52344369_normal.jpeg" xr:uid="{444DCFCB-77B2-4408-B578-9CCD738A1A21}"/>
    <hyperlink ref="B1246" r:id="rId3752" display="https://twitter.com/INDIZbot" xr:uid="{D866F332-5E3E-4157-BE06-1F31133A2DDC}"/>
    <hyperlink ref="E1246" r:id="rId3753" display="https://twitter.com/INDIZbot/status/722417340210618369" xr:uid="{1A62E833-658C-4E89-8030-B6F97FB4335D}"/>
    <hyperlink ref="O1246" r:id="rId3754" display="https://pbs.twimg.com/profile_images/645716711723925506/t5G0qOS6_normal.jpg" xr:uid="{6CE063A6-C10B-4D49-A4F3-1D9E59C4D5A0}"/>
    <hyperlink ref="B1247" r:id="rId3755" display="https://twitter.com/INDIZbot" xr:uid="{8D6B7404-F9C7-44DC-B34B-7546A211B7D6}"/>
    <hyperlink ref="E1247" r:id="rId3756" display="https://twitter.com/INDIZbot/status/722417408728776704" xr:uid="{20626BE3-87EE-478E-87EF-D867C329CE2B}"/>
    <hyperlink ref="O1247" r:id="rId3757" display="https://pbs.twimg.com/profile_images/645716711723925506/t5G0qOS6_normal.jpg" xr:uid="{5CA4F296-AF90-4F0F-9C07-164B45E88E61}"/>
    <hyperlink ref="B1248" r:id="rId3758" display="https://twitter.com/ITK_OWL" xr:uid="{BC6BEAC3-6064-43A2-9F8C-14EB254B0271}"/>
    <hyperlink ref="E1248" r:id="rId3759" display="https://twitter.com/ITK_OWL/status/722417512248434688" xr:uid="{FCCFA8D8-0C21-4344-BFA3-B18DFF507886}"/>
    <hyperlink ref="O1248" r:id="rId3760" display="https://pbs.twimg.com/profile_images/601673968551075840/MnulnKkj_normal.png" xr:uid="{77500D09-7641-4D3C-8B90-72B884B70CEC}"/>
    <hyperlink ref="B1249" r:id="rId3761" display="https://twitter.com/INDIZbot" xr:uid="{440246D2-A8A0-498E-934D-370F38FF374F}"/>
    <hyperlink ref="E1249" r:id="rId3762" display="https://twitter.com/INDIZbot/status/722417576404496385" xr:uid="{445F0EBF-4EA4-4DAB-9C4D-0AC846E90617}"/>
    <hyperlink ref="O1249" r:id="rId3763" display="https://pbs.twimg.com/profile_images/645716711723925506/t5G0qOS6_normal.jpg" xr:uid="{C2CEBD72-7CF1-4C61-9574-68EF1F3264BA}"/>
    <hyperlink ref="B1250" r:id="rId3764" display="https://twitter.com/KarinZuehlke" xr:uid="{140E718A-B9F1-4826-AB5B-3C02F76C3A0C}"/>
    <hyperlink ref="E1250" r:id="rId3765" display="https://twitter.com/KarinZuehlke/status/722417999408406528" xr:uid="{53CD9AF1-CBD5-4388-ABA0-771832FBBE97}"/>
    <hyperlink ref="O1250" r:id="rId3766" display="https://pbs.twimg.com/profile_images/566177236412162049/EX91Psgn_normal.jpeg" xr:uid="{DC00FDEC-D417-4958-AF73-159B05FAE53B}"/>
    <hyperlink ref="B1251" r:id="rId3767" display="https://twitter.com/croXXing_IBD" xr:uid="{1782B095-59EB-419F-9ECA-C3B74317C8BF}"/>
    <hyperlink ref="E1251" r:id="rId3768" display="https://twitter.com/croXXing_IBD/status/722419990314553344" xr:uid="{E668DB2C-F00B-4141-831D-D4FF60C577F1}"/>
    <hyperlink ref="O1251" r:id="rId3769" display="https://pbs.twimg.com/profile_images/600279861282869249/IpIJ3MKX_normal.png" xr:uid="{FB79277C-2494-4FBA-8F9E-78842B692AC1}"/>
    <hyperlink ref="B1252" r:id="rId3770" display="https://twitter.com/Gruendercoaches" xr:uid="{440D3FFE-C737-4DA0-8E3D-A5B67AAD4CA1}"/>
    <hyperlink ref="E1252" r:id="rId3771" display="https://twitter.com/Gruendercoaches/status/722421590760275968" xr:uid="{00BBD76D-B8CE-46CA-9C0F-525EB4B3D803}"/>
    <hyperlink ref="O1252" r:id="rId3772" display="https://pbs.twimg.com/profile_images/561208179355185153/11KDu7Gt_normal.png" xr:uid="{DAE5DA0A-7A54-4919-8A51-26E3ABBA469F}"/>
    <hyperlink ref="B1253" r:id="rId3773" display="https://twitter.com/LeasingVerband" xr:uid="{CB6E69E0-C964-4FB4-A87C-4EBCB6670407}"/>
    <hyperlink ref="E1253" r:id="rId3774" display="https://twitter.com/LeasingVerband/status/722424120965742592" xr:uid="{DED0FB78-7DC7-4FA8-9CA0-F11FFDE2A54C}"/>
    <hyperlink ref="O1253" r:id="rId3775" display="https://pbs.twimg.com/profile_images/657444681853198336/u2cJqzo7_normal.jpg" xr:uid="{D16F00E6-57FA-45CB-992F-D68722A629CB}"/>
    <hyperlink ref="B1254" r:id="rId3776" display="https://twitter.com/itsOWL_Cluster" xr:uid="{9565BC84-2E05-4D89-BE0C-7D4C939C303F}"/>
    <hyperlink ref="E1254" r:id="rId3777" display="https://twitter.com/itsOWL_Cluster/status/722424292064014337" xr:uid="{60A641F3-EB30-4706-B47E-D6DBC5CDBA5D}"/>
    <hyperlink ref="O1254" r:id="rId3778" display="https://pbs.twimg.com/profile_images/3542998130/5e65449daa56d18e9aab7f6535dc25fc_normal.jpeg" xr:uid="{E65288ED-9E89-4EEB-90C2-1B940DFFA385}"/>
    <hyperlink ref="B1255" r:id="rId3779" display="https://twitter.com/ITK_OWL" xr:uid="{9E4F4789-2AF3-4EBC-9072-71DE5E3449F0}"/>
    <hyperlink ref="E1255" r:id="rId3780" display="https://twitter.com/ITK_OWL/status/722424805480378370" xr:uid="{BED6E4D2-FCD3-4148-B888-0B8E88639314}"/>
    <hyperlink ref="O1255" r:id="rId3781" display="https://pbs.twimg.com/profile_images/601673968551075840/MnulnKkj_normal.png" xr:uid="{DF00D987-B1AB-43ED-B304-535CBAC02D85}"/>
    <hyperlink ref="B1256" r:id="rId3782" display="https://twitter.com/INDIZbot" xr:uid="{269ABCCC-7D1E-4669-A281-6F4439667DDC}"/>
    <hyperlink ref="E1256" r:id="rId3783" display="https://twitter.com/INDIZbot/status/722424932387438592" xr:uid="{847041AF-BB21-4FDC-9672-E5CB415FAC31}"/>
    <hyperlink ref="O1256" r:id="rId3784" display="https://pbs.twimg.com/profile_images/645716711723925506/t5G0qOS6_normal.jpg" xr:uid="{99126F8D-90BA-46F5-B48E-85132A9AF5E9}"/>
    <hyperlink ref="B1257" r:id="rId3785" display="https://twitter.com/LuetzeSolutions" xr:uid="{47762C0D-D251-411C-AB15-D0714C376890}"/>
    <hyperlink ref="E1257" r:id="rId3786" display="https://twitter.com/LuetzeSolutions/status/722425429861249024" xr:uid="{06DB9836-954A-4080-A19C-C2685A33116C}"/>
    <hyperlink ref="O1257" r:id="rId3787" display="https://pbs.twimg.com/profile_images/473761360644292608/at3KLOzY_normal.jpeg" xr:uid="{9AD79479-DE2F-4754-BD64-D705312BF98B}"/>
    <hyperlink ref="B1258" r:id="rId3788" display="https://twitter.com/BayrleU" xr:uid="{E480FF6A-76E6-4382-8DFE-E396F0DF154A}"/>
    <hyperlink ref="E1258" r:id="rId3789" display="https://twitter.com/BayrleU/status/722425439604629504" xr:uid="{2330210F-E77D-4802-AEB9-55EBC451FBD4}"/>
    <hyperlink ref="O1258" r:id="rId3790" display="https://pbs.twimg.com/profile_images/563085898670411776/v47_gzDm_normal.jpeg" xr:uid="{FF978760-1A93-45D1-968F-C5C36532A688}"/>
    <hyperlink ref="B1259" r:id="rId3791" display="https://twitter.com/kommoptimierer" xr:uid="{DEDF5315-A968-40E2-BC49-D4215CFDEAC6}"/>
    <hyperlink ref="E1259" r:id="rId3792" display="https://twitter.com/kommoptimierer/status/722425777736781826" xr:uid="{D9D631ED-89B9-468F-9B72-5B064EFE020C}"/>
    <hyperlink ref="O1259" r:id="rId3793" display="https://pbs.twimg.com/profile_images/541146126158536704/IYardufS_normal.jpeg" xr:uid="{6600D0D7-CA4F-423A-B218-854A3AC7D2BF}"/>
    <hyperlink ref="B1260" r:id="rId3794" display="https://twitter.com/INDIZbot" xr:uid="{681BEFF1-3D33-4A79-9AFC-EEE25F4FF0A5}"/>
    <hyperlink ref="E1260" r:id="rId3795" display="https://twitter.com/INDIZbot/status/722427764993888257" xr:uid="{2AB7ECED-36B4-43D9-9D37-6159A2DE78F8}"/>
    <hyperlink ref="O1260" r:id="rId3796" display="https://pbs.twimg.com/profile_images/645716711723925506/t5G0qOS6_normal.jpg" xr:uid="{6A64054E-4C08-43E1-B7AA-331380688C23}"/>
    <hyperlink ref="B1261" r:id="rId3797" display="https://twitter.com/H_IT_D" xr:uid="{9F00269D-F80C-4330-B908-9683148A8F4C}"/>
    <hyperlink ref="E1261" r:id="rId3798" display="https://twitter.com/H_IT_D/status/722428440394096641" xr:uid="{9F338C0B-D135-4C6C-80B7-27A3E4627883}"/>
    <hyperlink ref="O1261" r:id="rId3799" display="https://pbs.twimg.com/profile_images/662723326096224256/5V4KH9_O_normal.jpg" xr:uid="{58756763-5956-4C15-82D3-A11DF2B73BB8}"/>
    <hyperlink ref="B1262" r:id="rId3800" display="https://twitter.com/adelhardtchris" xr:uid="{26425F1D-DFF9-4CDF-939D-96824796834D}"/>
    <hyperlink ref="E1262" r:id="rId3801" display="https://twitter.com/adelhardtchris/status/722429784022720514" xr:uid="{E6977ACC-5BE9-4BE4-85D1-5AED917A529B}"/>
    <hyperlink ref="O1262" r:id="rId3802" display="https://pbs.twimg.com/profile_images/636961054610849792/ZDAnLOQE_normal.jpg" xr:uid="{D919DE85-D227-4A6B-B5CB-52E3AAD675DC}"/>
    <hyperlink ref="B1263" r:id="rId3803" display="https://twitter.com/TimSheaARC" xr:uid="{3ECA35B6-69DE-4AE8-8DEA-1B36FB539CE4}"/>
    <hyperlink ref="E1263" r:id="rId3804" display="https://twitter.com/TimSheaARC/status/722429923302969344" xr:uid="{F81ADEA9-64B1-4BB7-966F-2F8C3187DC1D}"/>
    <hyperlink ref="O1263" r:id="rId3805" display="https://pbs.twimg.com/profile_images/608724283615920129/8g0LAQwl_normal.jpg" xr:uid="{9E67B66D-78C3-417B-A2B4-A1EFB2E00793}"/>
    <hyperlink ref="B1264" r:id="rId3806" display="https://twitter.com/KreativNetzBW" xr:uid="{0B45155C-0C78-4D67-A95F-0ECE075723BF}"/>
    <hyperlink ref="E1264" r:id="rId3807" display="https://twitter.com/KreativNetzBW/status/722430019285434371" xr:uid="{A77FD01C-A661-4EF9-AC78-77B49CC8CF2C}"/>
    <hyperlink ref="O1264" r:id="rId3808" display="https://pbs.twimg.com/profile_images/468319824402055169/JIU0573N_normal.jpeg" xr:uid="{591FAE08-D5DD-46EA-8FA3-C0ED0EE99987}"/>
    <hyperlink ref="B1265" r:id="rId3809" display="https://twitter.com/SPDEuropa" xr:uid="{DA05E81B-EC02-46D8-A6E6-4B64343705B2}"/>
    <hyperlink ref="E1265" r:id="rId3810" display="https://twitter.com/SPDEuropa/status/722430021357461504" xr:uid="{1D68D81E-4CE6-4C8B-A886-526B758F989C}"/>
    <hyperlink ref="O1265" r:id="rId3811" display="https://pbs.twimg.com/profile_images/470859198528372736/n8NmrLr__normal.png" xr:uid="{DFBFA044-6757-439D-B724-CCD30B028459}"/>
    <hyperlink ref="B1266" r:id="rId3812" display="https://twitter.com/INDIZbot" xr:uid="{0139D1B2-01F3-4592-A41D-E3D67D05B64B}"/>
    <hyperlink ref="E1266" r:id="rId3813" display="https://twitter.com/INDIZbot/status/722430154895659009" xr:uid="{87352938-0724-432D-9978-ECB9BF471572}"/>
    <hyperlink ref="O1266" r:id="rId3814" display="https://pbs.twimg.com/profile_images/645716711723925506/t5G0qOS6_normal.jpg" xr:uid="{45172918-7004-4324-9754-EE896A0E28F8}"/>
    <hyperlink ref="B1267" r:id="rId3815" display="https://twitter.com/koernerpark" xr:uid="{783E3B37-9142-4FE8-8B11-EE76AC92EF8B}"/>
    <hyperlink ref="E1267" r:id="rId3816" display="https://twitter.com/koernerpark/status/722430568173060096" xr:uid="{1588BB85-9D71-41A9-AC5A-01D64E596D2C}"/>
    <hyperlink ref="O1267" r:id="rId3817" display="https://pbs.twimg.com/profile_images/554579761817600000/2PbZshfI_normal.jpeg" xr:uid="{EE90BC53-9171-4F96-987C-095B77480770}"/>
    <hyperlink ref="B1268" r:id="rId3818" display="https://twitter.com/Amista79" xr:uid="{7BE67C20-8274-416A-91BC-BE5A7392005C}"/>
    <hyperlink ref="E1268" r:id="rId3819" display="https://twitter.com/Amista79/status/722430860906143745" xr:uid="{5648F5E4-A217-42EC-953B-B93C95EF8F35}"/>
    <hyperlink ref="O1268" r:id="rId3820" display="https://pbs.twimg.com/profile_images/421729458606055424/2lGXAn1N_normal.jpeg" xr:uid="{35771CA5-9960-4BCD-90B7-5584E9026161}"/>
    <hyperlink ref="B1269" r:id="rId3821" display="https://twitter.com/IoTMinded" xr:uid="{555D7E65-71DD-4F12-8A54-F16D5A105AAA}"/>
    <hyperlink ref="E1269" r:id="rId3822" display="https://twitter.com/IoTMinded/status/722431953849487361" xr:uid="{64AA8C7A-6942-4328-AC84-9194D5B9A801}"/>
    <hyperlink ref="O1269" r:id="rId3823" display="https://pbs.twimg.com/profile_images/603699032804859904/lb5IMG5x_normal.jpg" xr:uid="{EF803BC0-0449-4D2F-B02D-7ABC4B16A855}"/>
    <hyperlink ref="B1270" r:id="rId3824" display="https://twitter.com/itmeetsindustry" xr:uid="{A3FDD367-1958-426D-B2CF-D619FCADAFB7}"/>
    <hyperlink ref="E1270" r:id="rId3825" display="https://twitter.com/itmeetsindustry/status/722433795912282113" xr:uid="{D2200B9E-B8A9-4E0C-8604-B46FF5BCF1DA}"/>
    <hyperlink ref="O1270" r:id="rId3826" display="https://pbs.twimg.com/profile_images/703227748383330304/U06-eqpr_normal.jpg" xr:uid="{6D9D8BD8-BA2C-41C1-B2FF-BA215D04EF52}"/>
    <hyperlink ref="B1271" r:id="rId3827" display="https://twitter.com/markherten" xr:uid="{A025156A-0772-46BE-A4B0-D0AA96085CB9}"/>
    <hyperlink ref="E1271" r:id="rId3828" display="https://twitter.com/markherten/status/722434465755242502" xr:uid="{DE4BCFA7-F70D-4625-A105-DDC7A6CA7CDD}"/>
    <hyperlink ref="O1271" r:id="rId3829" display="https://pbs.twimg.com/profile_images/718175389890310145/GX8DLe_h_normal.jpg" xr:uid="{706AD046-774D-4430-9153-4B88DE444701}"/>
    <hyperlink ref="B1272" r:id="rId3830" display="https://twitter.com/fabielind" xr:uid="{FC95EF3D-27FF-4E5B-8C0C-6E5536A5CE05}"/>
    <hyperlink ref="E1272" r:id="rId3831" display="https://twitter.com/fabielind/status/722436502656053249" xr:uid="{32548EF1-7731-48B3-BE0B-11D0B45B5CF8}"/>
    <hyperlink ref="O1272" r:id="rId3832" display="https://pbs.twimg.com/profile_images/601388857477754880/Vqs2MuAc_normal.jpg" xr:uid="{8EC59391-D4CD-41FF-B799-3C32467B4074}"/>
    <hyperlink ref="B1273" r:id="rId3833" display="https://twitter.com/INDIZbot" xr:uid="{1D6EE9BF-C617-40C0-AE14-1687F3DE745D}"/>
    <hyperlink ref="E1273" r:id="rId3834" display="https://twitter.com/INDIZbot/status/722437473406689281" xr:uid="{038EF7C6-697B-49A2-B117-786E4F106A49}"/>
    <hyperlink ref="O1273" r:id="rId3835" display="https://pbs.twimg.com/profile_images/645716711723925506/t5G0qOS6_normal.jpg" xr:uid="{B65C44A3-145A-4764-B2E9-0D962816D953}"/>
    <hyperlink ref="B1274" r:id="rId3836" display="https://twitter.com/Gruendercoaches" xr:uid="{A6128DC9-15B0-4F38-93A9-180B887BE62D}"/>
    <hyperlink ref="E1274" r:id="rId3837" display="https://twitter.com/Gruendercoaches/status/722437537885761536" xr:uid="{A9DC1BBB-4BA6-4D89-BA84-28332F35DB01}"/>
    <hyperlink ref="O1274" r:id="rId3838" display="https://pbs.twimg.com/profile_images/561208179355185153/11KDu7Gt_normal.png" xr:uid="{8A96DE76-5B0B-4F0C-84B9-D8C09D0DAA9D}"/>
    <hyperlink ref="B1275" r:id="rId3839" display="https://twitter.com/fabielind" xr:uid="{D8929413-3624-436E-882C-DCE55DA81502}"/>
    <hyperlink ref="E1275" r:id="rId3840" display="https://twitter.com/fabielind/status/722438620095856641" xr:uid="{8DF4942B-A53C-42E9-9BA4-F9125CCAF5CA}"/>
    <hyperlink ref="O1275" r:id="rId3841" display="https://pbs.twimg.com/profile_images/601388857477754880/Vqs2MuAc_normal.jpg" xr:uid="{981F28D5-EE0C-4073-BB60-5F24950AFC2B}"/>
    <hyperlink ref="B1276" r:id="rId3842" display="https://twitter.com/GSonnengott" xr:uid="{320D4FFD-1AB0-4EB2-AAAD-00E85A35F582}"/>
    <hyperlink ref="E1276" r:id="rId3843" display="https://twitter.com/GSonnengott/status/722439200700764160" xr:uid="{F8935F8B-B746-4515-881C-090BD01BB778}"/>
    <hyperlink ref="O1276" r:id="rId3844" display="https://pbs.twimg.com/profile_images/599585844563959808/bYyhHArl_normal.jpg" xr:uid="{E58A8362-F373-4AA5-A308-546532A4A62B}"/>
    <hyperlink ref="B1277" r:id="rId3845" display="https://twitter.com/itmeetsindustry" xr:uid="{4630D524-E14A-4852-A27C-DEAF0B417A67}"/>
    <hyperlink ref="E1277" r:id="rId3846" display="https://twitter.com/itmeetsindustry/status/722440970915221504" xr:uid="{C9CFE0C6-B257-4E87-A526-639165BCF6F6}"/>
    <hyperlink ref="O1277" r:id="rId3847" display="https://pbs.twimg.com/profile_images/703227748383330304/U06-eqpr_normal.jpg" xr:uid="{95DA1092-EA8D-47E9-A6B4-99E3AD8A492E}"/>
    <hyperlink ref="B1278" r:id="rId3848" display="https://twitter.com/LutzVA" xr:uid="{E2926938-BF62-41A8-B3DD-7D962E6C0A6D}"/>
    <hyperlink ref="E1278" r:id="rId3849" display="https://twitter.com/LutzVA/status/722441889014800384" xr:uid="{8584021C-B962-4995-8903-CB318B0FEBE0}"/>
    <hyperlink ref="O1278" r:id="rId3850" display="https://pbs.twimg.com/profile_images/641558874294628356/0gpa7sTF_normal.jpg" xr:uid="{4B4368DC-BBB7-49FC-86B8-2F03F49184A0}"/>
    <hyperlink ref="B1279" r:id="rId3851" display="https://twitter.com/INDIZbot" xr:uid="{ACCC391A-1570-4C2D-A491-1CA0C720C7F5}"/>
    <hyperlink ref="E1279" r:id="rId3852" display="https://twitter.com/INDIZbot/status/722442594165399553" xr:uid="{A31B3DE5-7829-4F5A-8311-329CF9E20954}"/>
    <hyperlink ref="O1279" r:id="rId3853" display="https://pbs.twimg.com/profile_images/645716711723925506/t5G0qOS6_normal.jpg" xr:uid="{2C78471B-1572-4715-9B9E-83858CD06ABD}"/>
    <hyperlink ref="B1280" r:id="rId3854" display="https://twitter.com/charisma_expert" xr:uid="{F82B017E-056E-405C-8AE3-7E77A7B4A161}"/>
    <hyperlink ref="E1280" r:id="rId3855" display="https://twitter.com/charisma_expert/status/722442620916658176" xr:uid="{7EA4935C-424C-454F-98EA-797F1D2ECE57}"/>
    <hyperlink ref="O1280" r:id="rId3856" display="https://pbs.twimg.com/profile_images/718892133357330432/9mvpJR26_normal.jpg" xr:uid="{7F1D18E1-6D95-4B27-9323-0A57B5798F75}"/>
    <hyperlink ref="B1281" r:id="rId3857" display="https://twitter.com/zen_mfg" xr:uid="{6D58BCAA-4D78-42E9-A63D-8EE96EDC1005}"/>
    <hyperlink ref="E1281" r:id="rId3858" display="https://twitter.com/zen_mfg/status/722442858993750016" xr:uid="{1A858866-85B4-40C5-A4EF-F19799D49687}"/>
    <hyperlink ref="O1281" r:id="rId3859" display="https://pbs.twimg.com/profile_images/719855439022678017/ywr6leIV_normal.jpg" xr:uid="{3E1E5B23-C92F-462E-80E3-566D0AEE94E5}"/>
    <hyperlink ref="B1282" r:id="rId3860" display="https://twitter.com/H_IT_D" xr:uid="{3A5F6F45-BA2A-4578-9037-34E08ACB47C1}"/>
    <hyperlink ref="E1282" r:id="rId3861" display="https://twitter.com/H_IT_D/status/722444241629085697" xr:uid="{FE2EDDEF-CC30-4ACC-985D-179A893A2B5C}"/>
    <hyperlink ref="O1282" r:id="rId3862" display="https://pbs.twimg.com/profile_images/662723326096224256/5V4KH9_O_normal.jpg" xr:uid="{6843CAFF-3B63-43FA-8CF2-7E5C4A3EFE38}"/>
    <hyperlink ref="B1283" r:id="rId3863" display="https://twitter.com/HolgerPaul66" xr:uid="{FB1B9863-A3D4-49A7-ADB4-CB7B71A3B0BB}"/>
    <hyperlink ref="E1283" r:id="rId3864" display="https://twitter.com/HolgerPaul66/status/722444255155916801" xr:uid="{6ADA1B74-E99D-42AF-8E1E-8671C0863D73}"/>
    <hyperlink ref="O1283" r:id="rId3865" display="https://pbs.twimg.com/profile_images/525998513264410624/ZHDocuJo_normal.jpeg" xr:uid="{501EFE33-337A-49D6-8472-9DFA7CD7502C}"/>
    <hyperlink ref="B1284" r:id="rId3866" display="https://twitter.com/Perk_ocet21" xr:uid="{5623DF4B-CD25-4E93-9EC5-E6D7DFAE7EB1}"/>
    <hyperlink ref="E1284" r:id="rId3867" display="https://twitter.com/Perk_ocet21/status/722444291356758016" xr:uid="{45117BF9-B8C9-4356-86E9-18E39B9DEE21}"/>
    <hyperlink ref="O1284" r:id="rId3868" display="https://pbs.twimg.com/profile_images/533458421941829632/KEJicPAo_normal.jpeg" xr:uid="{67FEDFF5-D5DB-4FB9-A99C-02A47C032D83}"/>
    <hyperlink ref="B1285" r:id="rId3869" display="https://twitter.com/HolgerPaul66" xr:uid="{8319753F-23E5-47BC-9CCB-DCE1475A37D6}"/>
    <hyperlink ref="E1285" r:id="rId3870" display="https://twitter.com/HolgerPaul66/status/722444304048906240" xr:uid="{1F7380A4-DB08-471F-B901-FB82B47CD5D7}"/>
    <hyperlink ref="O1285" r:id="rId3871" display="https://pbs.twimg.com/profile_images/525998513264410624/ZHDocuJo_normal.jpeg" xr:uid="{2ED64A52-ED33-4695-8EBD-87A42FC70D8C}"/>
    <hyperlink ref="B1286" r:id="rId3872" display="https://twitter.com/hannover_messe" xr:uid="{8518AACF-1F33-47E3-839F-BD3C768CA8F3}"/>
    <hyperlink ref="E1286" r:id="rId3873" display="https://twitter.com/hannover_messe/status/722444921895043073" xr:uid="{F95397A8-73F7-4269-8AED-C7078A99B20E}"/>
    <hyperlink ref="O1286" r:id="rId3874" display="https://pbs.twimg.com/profile_images/685255985/Bild_2_normal.png" xr:uid="{2E77677C-8256-46F7-8145-8C58EB11E025}"/>
    <hyperlink ref="B1287" r:id="rId3875" display="https://twitter.com/charisma_expert" xr:uid="{1EA00C97-79CB-4B4D-A7C6-9AA35853A976}"/>
    <hyperlink ref="E1287" r:id="rId3876" display="https://twitter.com/charisma_expert/status/722445636113731584" xr:uid="{1DED6CF7-19B8-4108-B4E6-A0013DE3A02C}"/>
    <hyperlink ref="O1287" r:id="rId3877" display="https://pbs.twimg.com/profile_images/718892133357330432/9mvpJR26_normal.jpg" xr:uid="{5DAC490C-7947-47BB-93EE-00B193D98895}"/>
    <hyperlink ref="B1288" r:id="rId3878" display="https://twitter.com/IBMCommerceDACH" xr:uid="{69745EFC-B053-4313-BA69-D3E9C49EE3E3}"/>
    <hyperlink ref="E1288" r:id="rId3879" display="https://twitter.com/IBMCommerceDACH/status/722449721013510147" xr:uid="{0AA3C43C-8232-4DD9-97D6-21524FC9BD9C}"/>
    <hyperlink ref="O1288" r:id="rId3880" display="https://pbs.twimg.com/profile_images/656123572922941443/lJSyUh1v_normal.jpg" xr:uid="{39769C76-EBC1-474F-8457-65D419F88F12}"/>
    <hyperlink ref="B1289" r:id="rId3881" display="https://twitter.com/noemiebond" xr:uid="{E6C6520E-DEC7-497C-8D65-B2EB04EA3FFB}"/>
    <hyperlink ref="E1289" r:id="rId3882" display="https://twitter.com/noemiebond/status/722449924256714752" xr:uid="{ED000D00-BF04-4770-9D60-1C79EBD99BBB}"/>
    <hyperlink ref="O1289" r:id="rId3883" display="https://pbs.twimg.com/profile_images/722430922390401024/OXKzmoSE_normal.jpg" xr:uid="{43E67A37-8CAB-40F5-B96B-CFB6D9CD6CF9}"/>
    <hyperlink ref="B1290" r:id="rId3884" display="https://twitter.com/INDIZbot" xr:uid="{2A6D0BF2-E4F1-4388-843F-9860EDC680B9}"/>
    <hyperlink ref="E1290" r:id="rId3885" display="https://twitter.com/INDIZbot/status/722449966959091712" xr:uid="{E977B905-E308-4A05-910C-8798F2B39484}"/>
    <hyperlink ref="O1290" r:id="rId3886" display="https://pbs.twimg.com/profile_images/645716711723925506/t5G0qOS6_normal.jpg" xr:uid="{F322828E-26BF-4142-89B1-03700E9D7C3F}"/>
    <hyperlink ref="B1291" r:id="rId3887" display="https://twitter.com/werliefertwas" xr:uid="{FDBDA960-EF66-4C60-BEF4-15BBCA0AF732}"/>
    <hyperlink ref="E1291" r:id="rId3888" display="https://twitter.com/werliefertwas/status/722451607242280960" xr:uid="{7ED6C4EF-545A-43B2-B861-10E902AB8290}"/>
    <hyperlink ref="O1291" r:id="rId3889" display="https://pbs.twimg.com/profile_images/472323621445042176/etL3MUED_normal.png" xr:uid="{AA0C659B-D6AB-4E3D-8986-67CC44D48749}"/>
    <hyperlink ref="B1292" r:id="rId3890" display="https://twitter.com/VDMAeu" xr:uid="{0EEE541E-A0B9-4DCD-B81C-1B345E5D40D4}"/>
    <hyperlink ref="E1292" r:id="rId3891" display="https://twitter.com/VDMAeu/status/722451841712328704" xr:uid="{5115F531-CD24-4F9A-88C2-46D2FD63FE21}"/>
    <hyperlink ref="O1292" r:id="rId3892" display="https://pbs.twimg.com/profile_images/456007427129765888/tePNd5vB_normal.png" xr:uid="{23C4222F-2DFB-46D5-8774-D6078ED803C7}"/>
    <hyperlink ref="B1293" r:id="rId3893" display="https://twitter.com/OliverS2010" xr:uid="{1C8116B3-D666-46E7-9B5E-AF9657E7F1DE}"/>
    <hyperlink ref="E1293" r:id="rId3894" display="https://twitter.com/OliverS2010/status/722453488849068032" xr:uid="{0EB5B912-97B1-4980-AF27-32A374F0279F}"/>
    <hyperlink ref="O1293" r:id="rId3895" display="https://pbs.twimg.com/profile_images/520204781394993153/KgKmEmB2_normal.jpeg" xr:uid="{83AA0066-8025-4946-B53F-159090D0BA94}"/>
    <hyperlink ref="B1294" r:id="rId3896" display="https://twitter.com/thomaswedel" xr:uid="{81CC4FDD-0AA6-4AED-8991-590F37BCAB2E}"/>
    <hyperlink ref="E1294" r:id="rId3897" display="https://twitter.com/thomaswedel/status/722453598156820480" xr:uid="{D5E04671-FA2B-49FF-BCE6-FD15B67BCBB1}"/>
    <hyperlink ref="O1294" r:id="rId3898" display="https://pbs.twimg.com/profile_images/1013214301/KleinesBild_normal.jpg" xr:uid="{250A5EFE-A20D-4AFE-A955-C415C5C07534}"/>
    <hyperlink ref="B1295" r:id="rId3899" display="https://twitter.com/aguittard" xr:uid="{0D73D95C-5DAE-40B7-B33F-DE5CE4059867}"/>
    <hyperlink ref="E1295" r:id="rId3900" display="https://twitter.com/aguittard/status/722454337050554368" xr:uid="{3E404476-7030-4CC0-9D7F-18CDE574D5A7}"/>
    <hyperlink ref="O1295" r:id="rId3901" display="https://pbs.twimg.com/profile_images/419443300631064576/z6p0EaBD_normal.jpeg" xr:uid="{BAD1644C-38B9-47E0-927E-789F29990864}"/>
    <hyperlink ref="B1296" r:id="rId3902" display="https://twitter.com/Rhenatic" xr:uid="{4CC10F5C-39E8-4C28-8823-17BC58839C80}"/>
    <hyperlink ref="E1296" r:id="rId3903" display="https://twitter.com/Rhenatic/status/722455121888722944" xr:uid="{8D56E7F9-A77B-40F9-BDD9-6CB0500815A8}"/>
    <hyperlink ref="O1296" r:id="rId3904" display="https://pbs.twimg.com/profile_images/555327405187801088/bhizIjB-_normal.png" xr:uid="{44C8F5DF-4194-469B-AE06-E49E9D63B9C0}"/>
    <hyperlink ref="B1297" r:id="rId3905" display="https://twitter.com/INDIZbot" xr:uid="{B73C097C-10B6-4925-99BC-E8B84AD6811D}"/>
    <hyperlink ref="E1297" r:id="rId3906" display="https://twitter.com/INDIZbot/status/722455233390059520" xr:uid="{79B08B88-5146-46C8-9CA1-C730E77F7B65}"/>
    <hyperlink ref="O1297" r:id="rId3907" display="https://pbs.twimg.com/profile_images/645716711723925506/t5G0qOS6_normal.jpg" xr:uid="{DF935F30-331D-4D71-92F6-162F1A24D466}"/>
    <hyperlink ref="B1298" r:id="rId3908" display="https://twitter.com/Rhenatic" xr:uid="{D8482D38-7E63-4D22-9AC9-6868C394FDA9}"/>
    <hyperlink ref="E1298" r:id="rId3909" display="https://twitter.com/Rhenatic/status/722455596000264192" xr:uid="{71D841FB-0505-44EE-BF8F-854055ACB52A}"/>
    <hyperlink ref="O1298" r:id="rId3910" display="https://pbs.twimg.com/profile_images/555327405187801088/bhizIjB-_normal.png" xr:uid="{2BC4CF6D-364D-4F23-8BF5-3223417158BD}"/>
    <hyperlink ref="B1299" r:id="rId3911" display="https://twitter.com/mfritz_fhg" xr:uid="{CA184005-22AB-4EBB-BA30-6CB76E92270A}"/>
    <hyperlink ref="E1299" r:id="rId3912" display="https://twitter.com/mfritz_fhg/status/722456813715763200" xr:uid="{F7C0DC15-6BB4-484F-9C34-72DE6AA3696F}"/>
    <hyperlink ref="O1299" r:id="rId3913" display="https://pbs.twimg.com/profile_images/653481171414872064/-C8HD5Mf_normal.jpg" xr:uid="{74F405AF-A10B-41B4-A0CD-CB23790D2978}"/>
    <hyperlink ref="B1300" r:id="rId3914" display="https://twitter.com/Alpict" xr:uid="{924B8598-1BB0-49F5-B369-900412F160F6}"/>
    <hyperlink ref="E1300" r:id="rId3915" display="https://twitter.com/Alpict/status/722457468010422273" xr:uid="{5B5408AB-454B-4F08-A56B-365BEDE9FBA1}"/>
    <hyperlink ref="O1300" r:id="rId3916" display="https://pbs.twimg.com/profile_images/687255709180796928/1ccBfNwK_normal.png" xr:uid="{D1B18CDE-EF01-4C14-88FF-45931F33BE89}"/>
    <hyperlink ref="B1301" r:id="rId3917" display="https://twitter.com/vopbal" xr:uid="{A2C23325-EFC9-4095-813A-0C33167E39C1}"/>
    <hyperlink ref="E1301" r:id="rId3918" display="https://twitter.com/vopbal/status/722457939768946689" xr:uid="{FD4E297A-65B1-40CD-AC49-EC60339B3FF5}"/>
    <hyperlink ref="O1301" r:id="rId3919" display="https://pbs.twimg.com/profile_images/681053312804851712/G6yGxAsm_normal.png" xr:uid="{BE4CAE12-0970-46D2-8E6A-9358350A7A87}"/>
    <hyperlink ref="B1302" r:id="rId3920" display="https://twitter.com/GOettingerEU" xr:uid="{43813D70-B748-4216-B5AB-4825C03AC6B2}"/>
    <hyperlink ref="E1302" r:id="rId3921" display="https://twitter.com/GOettingerEU/status/722458283609604096" xr:uid="{F541D255-A160-4259-A6EA-3731E03F7FD1}"/>
    <hyperlink ref="O1302" r:id="rId3922" display="https://pbs.twimg.com/profile_images/2698310449/0da9a659e7a30abe7633746b7ada9ef7_normal.jpeg" xr:uid="{0E65E4CE-AA2B-42C9-8AC4-E1981FB82325}"/>
    <hyperlink ref="B1303" r:id="rId3923" display="https://twitter.com/insm" xr:uid="{42431F92-F0BB-471C-BC12-564A13AC7B01}"/>
    <hyperlink ref="E1303" r:id="rId3924" display="https://twitter.com/insm/status/722458768898945024" xr:uid="{6EA06A9E-910A-4D65-B466-95E6D0B30928}"/>
    <hyperlink ref="O1303" r:id="rId3925" display="https://pbs.twimg.com/profile_images/701518488616235010/LQEUttz__normal.png" xr:uid="{B0810F95-A525-4634-AC04-E439585BA2EB}"/>
    <hyperlink ref="B1304" r:id="rId3926" display="https://twitter.com/GOettingerEU" xr:uid="{32607CE9-65F2-4363-A843-60A3875AFA74}"/>
    <hyperlink ref="E1304" r:id="rId3927" display="https://twitter.com/GOettingerEU/status/722458803350990848" xr:uid="{FB2B9AFA-59C6-4A06-8D0F-D9EB574D3E4A}"/>
    <hyperlink ref="O1304" r:id="rId3928" display="https://pbs.twimg.com/profile_images/2698310449/0da9a659e7a30abe7633746b7ada9ef7_normal.jpeg" xr:uid="{858CE13E-EDA9-48A6-B297-1F44B92018BF}"/>
    <hyperlink ref="B1305" r:id="rId3929" display="https://twitter.com/aguittard" xr:uid="{6CB79838-5513-4026-A555-7B22E737016A}"/>
    <hyperlink ref="E1305" r:id="rId3930" display="https://twitter.com/aguittard/status/722459757672599552" xr:uid="{87EF95A8-1F1A-4E86-8A14-0AB98427936E}"/>
    <hyperlink ref="O1305" r:id="rId3931" display="https://pbs.twimg.com/profile_images/419443300631064576/z6p0EaBD_normal.jpeg" xr:uid="{2483AFC4-A050-4CB9-A6B4-267658DFFE28}"/>
    <hyperlink ref="B1306" r:id="rId3932" display="https://twitter.com/aguittard" xr:uid="{948B6A58-E61C-4D6B-AC9B-785B9F1B8255}"/>
    <hyperlink ref="E1306" r:id="rId3933" display="https://twitter.com/aguittard/status/722459824135520256" xr:uid="{E89F7C3B-22F5-4D6B-9C11-FADDA787806B}"/>
    <hyperlink ref="O1306" r:id="rId3934" display="https://pbs.twimg.com/profile_images/419443300631064576/z6p0EaBD_normal.jpeg" xr:uid="{B4683538-A602-4242-BE1E-A674EE208CCB}"/>
    <hyperlink ref="B1307" r:id="rId3935" display="https://twitter.com/Stella_Vaskoudi" xr:uid="{DDB49533-7C96-4CEB-9CBF-6C7A648F31AE}"/>
    <hyperlink ref="E1307" r:id="rId3936" display="https://twitter.com/Stella_Vaskoudi/status/722459952711909376" xr:uid="{20825334-36F0-426A-98B8-11AB5860BCF7}"/>
    <hyperlink ref="O1307" r:id="rId3937" display="https://pbs.twimg.com/profile_images/666745791382425600/ljM37bIr_normal.jpg" xr:uid="{969B1494-CCA0-4932-B735-F352A942A3D6}"/>
    <hyperlink ref="B1308" r:id="rId3938" display="https://twitter.com/H_IT_D" xr:uid="{75D43AE5-3999-4B02-8DF1-D26B1CAB3258}"/>
    <hyperlink ref="E1308" r:id="rId3939" display="https://twitter.com/H_IT_D/status/722460120068673536" xr:uid="{C3E3C9BA-0BE0-4361-AD57-77802AB18922}"/>
    <hyperlink ref="O1308" r:id="rId3940" display="https://pbs.twimg.com/profile_images/662723326096224256/5V4KH9_O_normal.jpg" xr:uid="{A32E5ECC-3B1D-413D-8400-B8EBBBB5ECDA}"/>
    <hyperlink ref="B1309" r:id="rId3941" display="https://twitter.com/Rhenatic" xr:uid="{A559853F-C801-4CEE-B4F4-5DE14988330B}"/>
    <hyperlink ref="E1309" r:id="rId3942" display="https://twitter.com/Rhenatic/status/722460191145463810" xr:uid="{41E11983-2A9B-4114-9DD1-09A116B53CA6}"/>
    <hyperlink ref="O1309" r:id="rId3943" display="https://pbs.twimg.com/profile_images/555327405187801088/bhizIjB-_normal.png" xr:uid="{583A36F1-F97A-47C8-B2A4-F75F63B1608A}"/>
    <hyperlink ref="B1310" r:id="rId3944" display="https://twitter.com/Rhenatic" xr:uid="{8CAF0407-0ADF-40F3-B535-0E632F43D8D4}"/>
    <hyperlink ref="E1310" r:id="rId3945" display="https://twitter.com/Rhenatic/status/722460290047205376" xr:uid="{CA5F6CF5-B433-452B-8A56-E6952DD4091A}"/>
    <hyperlink ref="O1310" r:id="rId3946" display="https://pbs.twimg.com/profile_images/555327405187801088/bhizIjB-_normal.png" xr:uid="{BF8EEC5B-E0E9-4B94-A618-9590E327E64E}"/>
    <hyperlink ref="B1311" r:id="rId3947" display="https://twitter.com/LudovicDruelle" xr:uid="{58038615-5EFC-4686-AC73-7AEC085C4377}"/>
    <hyperlink ref="E1311" r:id="rId3948" display="https://twitter.com/LudovicDruelle/status/722460736727990272" xr:uid="{1DEC7DD4-0DC2-4688-B271-0CCD3A564898}"/>
    <hyperlink ref="O1311" r:id="rId3949" display="https://pbs.twimg.com/profile_images/457592058/DRUELLE.Ludovic_normal.jpg" xr:uid="{486A124C-F331-4538-A11A-3BAB2115F667}"/>
    <hyperlink ref="B1312" r:id="rId3950" display="https://twitter.com/aguittard" xr:uid="{4A1EC188-DEBC-4D0A-921D-813046EB87BA}"/>
    <hyperlink ref="E1312" r:id="rId3951" display="https://twitter.com/aguittard/status/722461386220113921" xr:uid="{19482C1C-D2B9-4126-B176-B6A6018AD0D5}"/>
    <hyperlink ref="O1312" r:id="rId3952" display="https://pbs.twimg.com/profile_images/419443300631064576/z6p0EaBD_normal.jpeg" xr:uid="{76F21560-B3A8-47D2-80D8-3112D57EFF9B}"/>
    <hyperlink ref="B1313" r:id="rId3953" display="https://twitter.com/mfritz_fhg" xr:uid="{98437115-4A2B-498D-843E-552BA198D41E}"/>
    <hyperlink ref="E1313" r:id="rId3954" display="https://twitter.com/mfritz_fhg/status/722461563345616897" xr:uid="{20C29117-E324-4395-8E6D-BAEA0897C70C}"/>
    <hyperlink ref="O1313" r:id="rId3955" display="https://pbs.twimg.com/profile_images/653481171414872064/-C8HD5Mf_normal.jpg" xr:uid="{9E90B124-5650-44A2-8960-F6D47ECF80BA}"/>
    <hyperlink ref="B1314" r:id="rId3956" display="https://twitter.com/Rhenatic" xr:uid="{BC82E616-19D5-4404-8133-4A899F87D551}"/>
    <hyperlink ref="E1314" r:id="rId3957" display="https://twitter.com/Rhenatic/status/722461650561994752" xr:uid="{3FA42565-DBF0-424F-B91F-B42C7E17B163}"/>
    <hyperlink ref="O1314" r:id="rId3958" display="https://pbs.twimg.com/profile_images/555327405187801088/bhizIjB-_normal.png" xr:uid="{03F74F31-EA5A-4507-8CBC-BB866328330D}"/>
    <hyperlink ref="B1315" r:id="rId3959" display="https://twitter.com/Rhenatic" xr:uid="{1CA27A04-5F71-4306-9EAF-1C93AE2F9CB9}"/>
    <hyperlink ref="E1315" r:id="rId3960" display="https://twitter.com/Rhenatic/status/722461750155677698" xr:uid="{A07611D7-A1DC-4BCE-BE7A-56D7F1DC9261}"/>
    <hyperlink ref="O1315" r:id="rId3961" display="https://pbs.twimg.com/profile_images/555327405187801088/bhizIjB-_normal.png" xr:uid="{FC4514CF-96B6-40C7-BF9C-A08E55989F4A}"/>
    <hyperlink ref="B1316" r:id="rId3962" display="https://twitter.com/vopbal" xr:uid="{E3D26305-EB3E-4B11-ADD0-70E466A03DDE}"/>
    <hyperlink ref="E1316" r:id="rId3963" display="https://twitter.com/vopbal/status/722462066305589248" xr:uid="{3718FEE5-58AB-45DF-8FF0-0E962F7D33B7}"/>
    <hyperlink ref="O1316" r:id="rId3964" display="https://pbs.twimg.com/profile_images/681053312804851712/G6yGxAsm_normal.png" xr:uid="{39C91ABA-F34A-4491-8434-77A1AA19070E}"/>
    <hyperlink ref="B1317" r:id="rId3965" display="https://twitter.com/Bitkom" xr:uid="{192B1940-040F-4C00-9DE5-B5AA70F617AA}"/>
    <hyperlink ref="E1317" r:id="rId3966" display="https://twitter.com/Bitkom/status/722462361093713923" xr:uid="{8CD6C8DF-B685-4439-A7D5-C4E1234A1722}"/>
    <hyperlink ref="O1317" r:id="rId3967" display="https://pbs.twimg.com/profile_images/615797525040136192/CKF9-v_o_normal.jpg" xr:uid="{451BF0B1-85F6-43E3-B200-08E1D0C7B704}"/>
    <hyperlink ref="B1318" r:id="rId3968" display="https://twitter.com/VR_Nachrichten" xr:uid="{30619F13-15AB-4B89-8FAE-357A1629BE86}"/>
    <hyperlink ref="E1318" r:id="rId3969" display="https://twitter.com/VR_Nachrichten/status/722462571996049408" xr:uid="{3E3CC246-868D-45E9-8921-76E9E60060F6}"/>
    <hyperlink ref="O1318" r:id="rId3970" display="https://pbs.twimg.com/profile_images/647332458573099008/HN8uONVI_normal.jpg" xr:uid="{EB7C6315-F628-4D7A-BB47-4B445755934A}"/>
    <hyperlink ref="B1319" r:id="rId3971" display="https://twitter.com/croXXing_IBD" xr:uid="{089EABA8-DB4D-4A04-A685-B785D70D35D6}"/>
    <hyperlink ref="E1319" r:id="rId3972" display="https://twitter.com/croXXing_IBD/status/722463429445951488" xr:uid="{DEEAF895-39FF-4841-962A-80DCC79EBB87}"/>
    <hyperlink ref="O1319" r:id="rId3973" display="https://pbs.twimg.com/profile_images/600279861282869249/IpIJ3MKX_normal.png" xr:uid="{0E8EFEB9-1462-4BA4-8DDC-4F169E4BEEC9}"/>
    <hyperlink ref="B1320" r:id="rId3974" display="https://twitter.com/ITK_OWL" xr:uid="{08F4B14F-0148-443F-BDEF-3C2784C5D210}"/>
    <hyperlink ref="E1320" r:id="rId3975" display="https://twitter.com/ITK_OWL/status/722464552198225924" xr:uid="{8F6E1251-DD6F-415C-9B92-6B3448BD505F}"/>
    <hyperlink ref="O1320" r:id="rId3976" display="https://pbs.twimg.com/profile_images/601673968551075840/MnulnKkj_normal.png" xr:uid="{F862E9A3-B339-4F02-B74B-918AE2D78E5C}"/>
    <hyperlink ref="B1321" r:id="rId3977" display="https://twitter.com/Rhenatic" xr:uid="{B262A104-6FD6-46E9-9B34-276CC6E4E9AB}"/>
    <hyperlink ref="E1321" r:id="rId3978" display="https://twitter.com/Rhenatic/status/722465024774684672" xr:uid="{A042F33D-75C8-4013-AB31-AAC0DBAEC412}"/>
    <hyperlink ref="O1321" r:id="rId3979" display="https://pbs.twimg.com/profile_images/555327405187801088/bhizIjB-_normal.png" xr:uid="{72BEB584-DEC7-48A1-853A-D770C3AEB1B5}"/>
    <hyperlink ref="B1322" r:id="rId3980" display="https://twitter.com/TIMECODEX" xr:uid="{57E057EF-C659-4A0C-AE96-A4888FBBD97C}"/>
    <hyperlink ref="E1322" r:id="rId3981" display="https://twitter.com/TIMECODEX/status/722465673105031168" xr:uid="{8AF523AC-EE5A-4BF6-B0E7-51795400C8E3}"/>
    <hyperlink ref="O1322" r:id="rId3982" display="https://pbs.twimg.com/profile_images/526830842329321472/6rRX2J0E_normal.jpeg" xr:uid="{86617326-ED3F-43CB-A6EC-F6606304D334}"/>
    <hyperlink ref="B1323" r:id="rId3983" display="https://twitter.com/MartinaWernerEU" xr:uid="{F87F012C-7DF1-4DF2-883B-FD61CE57D692}"/>
    <hyperlink ref="E1323" r:id="rId3984" display="https://twitter.com/MartinaWernerEU/status/722465704763637761" xr:uid="{DA82D508-ECF6-407D-B0DA-657BA0991F92}"/>
    <hyperlink ref="O1323" r:id="rId3985" display="https://pbs.twimg.com/profile_images/535431236810854401/Aw5jj4R4_normal.jpeg" xr:uid="{F363CA8E-00A2-457E-AA40-54A751378027}"/>
    <hyperlink ref="B1324" r:id="rId3986" display="https://twitter.com/Rhenatic" xr:uid="{3302207D-3DF3-4755-8996-6D9ED6A486C0}"/>
    <hyperlink ref="E1324" r:id="rId3987" display="https://twitter.com/Rhenatic/status/722466103159603200" xr:uid="{1C3C8816-DCC7-48BF-87F6-E05EE24B1479}"/>
    <hyperlink ref="O1324" r:id="rId3988" display="https://pbs.twimg.com/profile_images/555327405187801088/bhizIjB-_normal.png" xr:uid="{90F3E1FA-B233-419C-B1DD-F3473ADDE56F}"/>
    <hyperlink ref="B1325" r:id="rId3989" display="https://twitter.com/Rhenatic" xr:uid="{C74A10B3-545A-442B-B03F-9774A14BB1E5}"/>
    <hyperlink ref="E1325" r:id="rId3990" display="https://twitter.com/Rhenatic/status/722466697618264064" xr:uid="{AB9D5287-0372-4C12-8DB5-F1CD8BBB40D6}"/>
    <hyperlink ref="O1325" r:id="rId3991" display="https://pbs.twimg.com/profile_images/555327405187801088/bhizIjB-_normal.png" xr:uid="{BF521B8F-3170-413F-930B-CC2645063285}"/>
    <hyperlink ref="B1326" r:id="rId3992" display="https://twitter.com/aguittard" xr:uid="{FF0899CF-9108-4FAE-82B4-E03C2F1F1ED1}"/>
    <hyperlink ref="E1326" r:id="rId3993" display="https://twitter.com/aguittard/status/722466819164876802" xr:uid="{971F95B2-1B8A-4BA9-AC9F-D0E9CE18903D}"/>
    <hyperlink ref="O1326" r:id="rId3994" display="https://pbs.twimg.com/profile_images/419443300631064576/z6p0EaBD_normal.jpeg" xr:uid="{AF0D4ABD-63E2-4DBC-B129-D30EF124340E}"/>
    <hyperlink ref="B1327" r:id="rId3995" display="https://twitter.com/aguittard" xr:uid="{873C8B5A-162F-4BA7-A1C4-DA0725A50557}"/>
    <hyperlink ref="E1327" r:id="rId3996" display="https://twitter.com/aguittard/status/722466887716761604" xr:uid="{1A242213-463B-4573-BE01-DCA355C1ABED}"/>
    <hyperlink ref="O1327" r:id="rId3997" display="https://pbs.twimg.com/profile_images/419443300631064576/z6p0EaBD_normal.jpeg" xr:uid="{6B6708FC-72E4-4531-965F-A2BFA42D808C}"/>
    <hyperlink ref="B1328" r:id="rId3998" display="https://twitter.com/aguittard" xr:uid="{3EC5332E-00C7-452B-95A4-DBBC784D240E}"/>
    <hyperlink ref="E1328" r:id="rId3999" display="https://twitter.com/aguittard/status/722466932612558848" xr:uid="{DBEC360F-A80F-4E5A-9D50-D215554C7E64}"/>
    <hyperlink ref="O1328" r:id="rId4000" display="https://pbs.twimg.com/profile_images/419443300631064576/z6p0EaBD_normal.jpeg" xr:uid="{753F34E3-EEB7-46D6-809B-9D8A7BDAEA10}"/>
    <hyperlink ref="B1329" r:id="rId4001" display="https://twitter.com/sinanick1" xr:uid="{7A03D414-D9DA-4C4D-BDB7-FD6EB5117D27}"/>
    <hyperlink ref="E1329" r:id="rId4002" display="https://twitter.com/sinanick1/status/722467158329008128" xr:uid="{935B1C65-4A50-4AEB-A832-C477CF589BF2}"/>
    <hyperlink ref="O1329" r:id="rId4003" display="https://pbs.twimg.com/profile_images/659771723500249088/HyyPYoht_normal.jpg" xr:uid="{92680796-A08B-4BB5-BA70-E738B1DFEF76}"/>
    <hyperlink ref="B1330" r:id="rId4004" display="https://twitter.com/TUslaender" xr:uid="{495A04E9-DAC8-4441-8DC6-1C1DFAB36E97}"/>
    <hyperlink ref="E1330" r:id="rId4005" display="https://twitter.com/TUslaender/status/722470175996579840" xr:uid="{E6B7021E-F9A3-45F3-A9DA-3F1E729D5734}"/>
    <hyperlink ref="O1330" r:id="rId4006" display="https://pbs.twimg.com/profile_images/504569405494161410/4CpoyfPM_normal.jpeg" xr:uid="{3ED3B498-370C-4F1F-9FC6-0E13B08868D3}"/>
    <hyperlink ref="B1331" r:id="rId4007" display="https://twitter.com/Rhenatic" xr:uid="{AE1026A3-68E0-4A7C-85E3-12F0F5EEDAC5}"/>
    <hyperlink ref="E1331" r:id="rId4008" display="https://twitter.com/Rhenatic/status/722470451797168128" xr:uid="{04F6AED3-95DA-493D-AB7A-B95E39D0E832}"/>
    <hyperlink ref="O1331" r:id="rId4009" display="https://pbs.twimg.com/profile_images/555327405187801088/bhizIjB-_normal.png" xr:uid="{336609E3-4596-4FC5-B3CE-FE8127FD95C3}"/>
    <hyperlink ref="B1332" r:id="rId4010" display="https://twitter.com/PMiekautsch" xr:uid="{75AB941B-21F9-40D2-A531-06BA3B58C522}"/>
    <hyperlink ref="E1332" r:id="rId4011" display="https://twitter.com/PMiekautsch/status/722470559087529985" xr:uid="{39401C44-9A8E-4304-A9CE-A73C97557CBE}"/>
    <hyperlink ref="O1332" r:id="rId4012" display="https://pbs.twimg.com/profile_images/686414815301074945/Xe5edP1v_normal.jpg" xr:uid="{DEE710E8-0D07-4776-A79A-805ADABDB134}"/>
    <hyperlink ref="B1333" r:id="rId4013" display="https://twitter.com/docXter_de" xr:uid="{4F9C53F3-0995-4672-A4C0-723B63D22DBF}"/>
    <hyperlink ref="E1333" r:id="rId4014" display="https://twitter.com/docXter_de/status/722471240334712834" xr:uid="{FD9A70F5-93D8-4616-9383-7C12FEDBDFD7}"/>
    <hyperlink ref="O1333" r:id="rId4015" display="https://pbs.twimg.com/profile_images/1611096832/logo2_normal.png" xr:uid="{9EEAC73D-ABCB-4A93-80C7-79404986DFA5}"/>
    <hyperlink ref="B1334" r:id="rId4016" display="https://twitter.com/TUslaender" xr:uid="{B655FC46-97EA-40E0-A938-B9EB590C1F4A}"/>
    <hyperlink ref="E1334" r:id="rId4017" display="https://twitter.com/TUslaender/status/722471365052338176" xr:uid="{0FA89E2D-3BD9-44A3-95FE-E42FB9310BF0}"/>
    <hyperlink ref="O1334" r:id="rId4018" display="https://pbs.twimg.com/profile_images/504569405494161410/4CpoyfPM_normal.jpeg" xr:uid="{A08E7C2E-66CF-4C29-8F9A-EEE7DFD22905}"/>
    <hyperlink ref="B1335" r:id="rId4019" display="https://twitter.com/Katja_Althoff" xr:uid="{A35CC6C4-D811-49E6-9499-F07D4A1AD749}"/>
    <hyperlink ref="E1335" r:id="rId4020" display="https://twitter.com/Katja_Althoff/status/722473030224592896" xr:uid="{33D065AD-0A59-409B-A047-D69430AB8DEE}"/>
    <hyperlink ref="O1335" r:id="rId4021" display="https://pbs.twimg.com/profile_images/681859767346851841/T3TRbOSr_normal.jpg" xr:uid="{482B503F-252B-478D-B4D4-848FF4881128}"/>
    <hyperlink ref="B1336" r:id="rId4022" display="https://twitter.com/Alpict" xr:uid="{4811ED51-E58A-4E4F-A7EF-581E713DCEBA}"/>
    <hyperlink ref="E1336" r:id="rId4023" display="https://twitter.com/Alpict/status/722475134645321728" xr:uid="{F7487071-4783-4F05-A95D-19163FD7D4FF}"/>
    <hyperlink ref="O1336" r:id="rId4024" display="https://pbs.twimg.com/profile_images/687255709180796928/1ccBfNwK_normal.png" xr:uid="{AE219988-3E40-4AB4-AD45-77CB582EE2CE}"/>
    <hyperlink ref="B1337" r:id="rId4025" display="https://twitter.com/industrie_futur" xr:uid="{D08A175A-955F-4B79-886F-FB03537E6FF6}"/>
    <hyperlink ref="E1337" r:id="rId4026" display="https://twitter.com/industrie_futur/status/722475961757929473" xr:uid="{5CA997B4-DD89-46A7-94F5-3540F9FF8868}"/>
    <hyperlink ref="O1337" r:id="rId4027" display="https://pbs.twimg.com/profile_images/669447670818304000/kRc0EiEq_normal.jpg" xr:uid="{F20F76D7-AD4E-4916-9D4B-C0532122DFB9}"/>
    <hyperlink ref="B1338" r:id="rId4028" display="https://twitter.com/H_IT_D" xr:uid="{176D6623-1E18-4A92-AC4C-4B8D9F095BDA}"/>
    <hyperlink ref="E1338" r:id="rId4029" display="https://twitter.com/H_IT_D/status/722477543698214912" xr:uid="{70234642-3940-4EA4-B13F-56D1BB7D3DEB}"/>
    <hyperlink ref="O1338" r:id="rId4030" display="https://pbs.twimg.com/profile_images/662723326096224256/5V4KH9_O_normal.jpg" xr:uid="{43342B8D-62F6-47A4-AC8E-DBABB63E047E}"/>
    <hyperlink ref="B1339" r:id="rId4031" display="https://twitter.com/INDIZbot" xr:uid="{856E72CD-A393-409C-9F90-EF1DF6173C0A}"/>
    <hyperlink ref="E1339" r:id="rId4032" display="https://twitter.com/INDIZbot/status/722477654809714688" xr:uid="{9A0C32C5-103C-4D69-BBCD-5E6F51EE9426}"/>
    <hyperlink ref="O1339" r:id="rId4033" display="https://pbs.twimg.com/profile_images/645716711723925506/t5G0qOS6_normal.jpg" xr:uid="{AA276985-5B2C-4E03-8885-3AD963FD2C4D}"/>
    <hyperlink ref="B1340" r:id="rId4034" display="https://twitter.com/syntecnumerique" xr:uid="{E02F6597-D253-4793-A39B-5DDD28F3F70C}"/>
    <hyperlink ref="E1340" r:id="rId4035" display="https://twitter.com/syntecnumerique/status/722478411088793600" xr:uid="{FB412AF3-4229-4569-837A-58C739F5CC22}"/>
    <hyperlink ref="O1340" r:id="rId4036" display="https://pbs.twimg.com/profile_images/694817005422186497/g0reOkTh_normal.png" xr:uid="{24D67BF7-AD8B-4F6A-B6B4-971CF0F0722A}"/>
    <hyperlink ref="B1341" r:id="rId4037" display="https://twitter.com/ChrisRouiller" xr:uid="{98EDD2A2-D4ED-44F3-9659-8A3E1930D31C}"/>
    <hyperlink ref="E1341" r:id="rId4038" display="https://twitter.com/ChrisRouiller/status/722480174214881281" xr:uid="{C3E406A5-9525-469B-9917-16597101A22B}"/>
    <hyperlink ref="O1341" r:id="rId4039" display="https://pbs.twimg.com/profile_images/610474142270390272/Tl1xeC-a_normal.jpg" xr:uid="{1A5C76D3-BB5B-4447-B01D-82C5527383FC}"/>
    <hyperlink ref="B1342" r:id="rId4040" display="https://twitter.com/Industry40" xr:uid="{EFA532C1-193F-4AF6-AEE5-23051B984A15}"/>
    <hyperlink ref="E1342" r:id="rId4041" display="https://twitter.com/Industry40/status/722484153078439938" xr:uid="{809E1EF3-7768-47D7-B2CC-066C18D39A69}"/>
    <hyperlink ref="O1342" r:id="rId4042" display="https://pbs.twimg.com/profile_images/613472305570824192/BKw639DG_normal.png" xr:uid="{34161E52-0C43-4E63-8E67-D0257A6D2A65}"/>
    <hyperlink ref="B1343" r:id="rId4043" display="https://twitter.com/ines_oppermann" xr:uid="{019563D3-F8F1-47D0-BE09-1255861D9E08}"/>
    <hyperlink ref="E1343" r:id="rId4044" display="https://twitter.com/ines_oppermann/status/722484396763324416" xr:uid="{837B604E-060E-4B78-94C1-774CC61DF409}"/>
    <hyperlink ref="O1343" r:id="rId4045" display="https://pbs.twimg.com/profile_images/687354058798137344/Vzvo0AAu_normal.jpg" xr:uid="{54B1EA95-F220-43FE-86A0-18B486D5A920}"/>
    <hyperlink ref="B1344" r:id="rId4046" display="https://twitter.com/INDIZbot" xr:uid="{11B4FB27-C80A-473F-840A-95DE08118A0F}"/>
    <hyperlink ref="E1344" r:id="rId4047" display="https://twitter.com/INDIZbot/status/722485368872951809" xr:uid="{10142D6A-9168-4BCC-8FDD-0C997673F831}"/>
    <hyperlink ref="O1344" r:id="rId4048" display="https://pbs.twimg.com/profile_images/645716711723925506/t5G0qOS6_normal.jpg" xr:uid="{CA9DCA74-6401-4A03-BD71-6E9956FBEA68}"/>
    <hyperlink ref="B1345" r:id="rId4049" display="https://twitter.com/alnoor31" xr:uid="{6A5EFFA4-61AE-4554-95AC-37AF96D5BDEE}"/>
    <hyperlink ref="E1345" r:id="rId4050" display="https://twitter.com/alnoor31/status/722487221912215554" xr:uid="{186710FA-F76B-429F-8897-E520F084F716}"/>
    <hyperlink ref="O1345" r:id="rId4051" display="https://pbs.twimg.com/profile_images/447849741607391232/ZNm5v4lB_normal.jpeg" xr:uid="{9537A4DF-A0C4-44C9-BF52-DE08A0A605B9}"/>
    <hyperlink ref="B1346" r:id="rId4052" display="https://twitter.com/Vision_Laser" xr:uid="{50270EF5-10B2-4F69-8B67-EC05A8FC81B9}"/>
    <hyperlink ref="E1346" r:id="rId4053" display="https://twitter.com/Vision_Laser/status/722487265004560384" xr:uid="{88E55DC8-83B4-4363-B482-821F64EFB2EF}"/>
    <hyperlink ref="O1346" r:id="rId4054" display="https://pbs.twimg.com/profile_images/708212573745901568/A8w7_gKA_normal.jpg" xr:uid="{8F740BC9-AD91-4303-92CE-EA53D3D76EC3}"/>
    <hyperlink ref="B1347" r:id="rId4055" display="https://twitter.com/BrittaHavemann" xr:uid="{AF569DAA-BBC8-4F02-BF1F-855336A31A67}"/>
    <hyperlink ref="E1347" r:id="rId4056" display="https://twitter.com/BrittaHavemann/status/722488058952687618" xr:uid="{79E0ECE6-2521-4568-9F93-7A249C14A315}"/>
    <hyperlink ref="O1347" r:id="rId4057" display="https://pbs.twimg.com/profile_images/462698709852360706/TQEmT-Fz_normal.jpeg" xr:uid="{FE44C97C-AADC-4DA5-BF42-BA3E3EA4D32C}"/>
    <hyperlink ref="B1348" r:id="rId4058" display="https://twitter.com/SAPFrance" xr:uid="{D7E5171F-B6E4-4EBE-846F-DA7E8A4D00E7}"/>
    <hyperlink ref="E1348" r:id="rId4059" display="https://twitter.com/SAPFrance/status/722488095157919744" xr:uid="{827C3855-B20E-4529-A9E8-E869C0D3BAB9}"/>
    <hyperlink ref="O1348" r:id="rId4060" display="https://pbs.twimg.com/profile_images/713021101106995200/w4EIzjMN_normal.jpg" xr:uid="{998D65C5-EF8C-4349-A7C4-B8B2FF12550F}"/>
    <hyperlink ref="B1349" r:id="rId4061" display="https://twitter.com/AnWa_85" xr:uid="{2DA0D4CC-4DBD-49CC-A9FA-33911C1D3607}"/>
    <hyperlink ref="E1349" r:id="rId4062" display="https://twitter.com/AnWa_85/status/722489446432706562" xr:uid="{EC6363FD-5622-48C6-8AE2-254CF609278A}"/>
    <hyperlink ref="O1349" r:id="rId4063" display="https://pbs.twimg.com/profile_images/645209372793151490/vUfPHR0E_normal.jpg" xr:uid="{4FAE3B60-57FE-4B49-97A9-91287853A4AF}"/>
    <hyperlink ref="B1350" r:id="rId4064" display="https://twitter.com/NetClubj1" xr:uid="{35811041-573E-4820-ADA5-186304F2FF0F}"/>
    <hyperlink ref="E1350" r:id="rId4065" display="https://twitter.com/NetClubj1/status/722492391526178818" xr:uid="{3FE8E4F1-17F9-46A1-95E3-0A17BEE3BAEC}"/>
    <hyperlink ref="O1350" r:id="rId4066" display="https://pbs.twimg.com/profile_images/651849467046588418/Vn4rwmih_normal.png" xr:uid="{AE604C1C-DB75-42D8-AD02-A1E646BF2F64}"/>
    <hyperlink ref="B1351" r:id="rId4067" display="https://twitter.com/H_IT_D" xr:uid="{34CEC8C6-6459-493E-83D5-88F2B1662E6E}"/>
    <hyperlink ref="E1351" r:id="rId4068" display="https://twitter.com/H_IT_D/status/722495180817899522" xr:uid="{88908D4D-D7A8-4833-93BA-F894967FB4F6}"/>
    <hyperlink ref="O1351" r:id="rId4069" display="https://pbs.twimg.com/profile_images/662723326096224256/5V4KH9_O_normal.jpg" xr:uid="{677B4993-2CA7-413A-B554-E2E860E2E836}"/>
    <hyperlink ref="B1352" r:id="rId4070" display="https://twitter.com/machinads_com" xr:uid="{83F62DFB-D625-4474-B754-9CF0969A099F}"/>
    <hyperlink ref="C1352" r:id="rId4071" xr:uid="{29C89EA9-7AC6-4049-A6C4-196FC5B3078D}"/>
    <hyperlink ref="E1352" r:id="rId4072" display="https://twitter.com/machinads_com/status/722496028193267712" xr:uid="{7879CA1E-416F-42ED-B1D6-60DA0945B687}"/>
    <hyperlink ref="O1352" r:id="rId4073" display="https://pbs.twimg.com/profile_images/678323426101215233/5d5jmRF4_normal.png" xr:uid="{3088223B-4B76-4AF2-97C4-A6387EA957AE}"/>
    <hyperlink ref="B1353" r:id="rId4074" display="https://twitter.com/ThingsOfIntern" xr:uid="{7FC68656-4C7C-4753-9FAA-9233C4EF8D56}"/>
    <hyperlink ref="E1353" r:id="rId4075" display="https://twitter.com/ThingsOfIntern/status/722498255569948672" xr:uid="{1F03599C-5756-42B6-B312-ADF883140632}"/>
    <hyperlink ref="O1353" r:id="rId4076" display="https://pbs.twimg.com/profile_images/719988824055681025/C6ovZ7ZR_normal.jpg" xr:uid="{2769B8E0-C468-4F52-8518-51549C14A993}"/>
    <hyperlink ref="B1354" r:id="rId4077" display="https://twitter.com/INDIZbot" xr:uid="{7232122D-3092-4ED0-A269-E271B096D035}"/>
    <hyperlink ref="E1354" r:id="rId4078" display="https://twitter.com/INDIZbot/status/722498327879790592" xr:uid="{4B5CAFC1-1935-45D4-809D-628F29F9157F}"/>
    <hyperlink ref="O1354" r:id="rId4079" display="https://pbs.twimg.com/profile_images/645716711723925506/t5G0qOS6_normal.jpg" xr:uid="{FDFED5B4-C78E-4969-A9C0-C4AA8BD6466A}"/>
    <hyperlink ref="B1355" r:id="rId4080" display="https://twitter.com/CapgeminiDE" xr:uid="{D7D3D5C6-5097-49BA-A9EA-3C787668D4A6}"/>
    <hyperlink ref="E1355" r:id="rId4081" display="https://twitter.com/CapgeminiDE/status/722498881628606464" xr:uid="{60ACEECA-A396-46BF-A1CA-614FE764571F}"/>
    <hyperlink ref="O1355" r:id="rId4082" display="https://pbs.twimg.com/profile_images/666911961599315968/aP7ID_qm_normal.png" xr:uid="{D27DA484-1015-4A91-8158-3648884EE73D}"/>
    <hyperlink ref="B1356" r:id="rId4083" display="https://twitter.com/pfisterer_ralf" xr:uid="{27204352-C46E-4462-A597-FD1C392D3C64}"/>
    <hyperlink ref="E1356" r:id="rId4084" display="https://twitter.com/pfisterer_ralf/status/722499320658923520" xr:uid="{BF81B978-CAB0-476B-A193-0204424F503F}"/>
    <hyperlink ref="O1356" r:id="rId4085" display="https://pbs.twimg.com/profile_images/687624884244082688/eYnhv8nB_normal.jpg" xr:uid="{D31C0E5A-8C1E-481D-AA58-A64238D94584}"/>
    <hyperlink ref="B1357" r:id="rId4086" display="https://twitter.com/kommoptimierer" xr:uid="{0E8680CD-C2A3-409A-B8D9-87F070F1B848}"/>
    <hyperlink ref="E1357" r:id="rId4087" display="https://twitter.com/kommoptimierer/status/722500019237097472" xr:uid="{15BD5823-EE70-424F-AE3A-FC92EC9D4271}"/>
    <hyperlink ref="O1357" r:id="rId4088" display="https://pbs.twimg.com/profile_images/541146126158536704/IYardufS_normal.jpeg" xr:uid="{29FB45A5-F939-4413-9ACB-455A8E209BC5}"/>
    <hyperlink ref="B1358" r:id="rId4089" display="https://twitter.com/INDIZbot" xr:uid="{DE99AE83-69E1-45D4-8593-465686479AD5}"/>
    <hyperlink ref="E1358" r:id="rId4090" display="https://twitter.com/INDIZbot/status/722500300133769216" xr:uid="{F6D8B0A9-0D94-4AC4-AE1D-ECDA3C70AAE3}"/>
    <hyperlink ref="O1358" r:id="rId4091" display="https://pbs.twimg.com/profile_images/645716711723925506/t5G0qOS6_normal.jpg" xr:uid="{A9240054-3DCF-4D8B-8EA5-36B3FBA94C96}"/>
    <hyperlink ref="B1359" r:id="rId4092" display="https://twitter.com/INDIZbot" xr:uid="{65158364-8B6A-451B-9818-9F8BB0A04608}"/>
    <hyperlink ref="E1359" r:id="rId4093" display="https://twitter.com/INDIZbot/status/722500482699235328" xr:uid="{29BF114A-79AD-44C0-8F21-AD99D2B9CBEC}"/>
    <hyperlink ref="O1359" r:id="rId4094" display="https://pbs.twimg.com/profile_images/645716711723925506/t5G0qOS6_normal.jpg" xr:uid="{6A7308B6-F770-4852-9D34-690FC7C43F19}"/>
    <hyperlink ref="B1360" r:id="rId4095" display="https://twitter.com/INDIZbot" xr:uid="{2754B648-7763-4DA8-981D-3ECDF2828443}"/>
    <hyperlink ref="E1360" r:id="rId4096" display="https://twitter.com/INDIZbot/status/722500675037487105" xr:uid="{AB159754-1A7C-494C-BD0D-6D3CE421972E}"/>
    <hyperlink ref="O1360" r:id="rId4097" display="https://pbs.twimg.com/profile_images/645716711723925506/t5G0qOS6_normal.jpg" xr:uid="{58A64203-D3F7-48DB-8DC1-57DF44D5776B}"/>
    <hyperlink ref="B1361" r:id="rId4098" display="https://twitter.com/LudwigVCI" xr:uid="{7196C433-BD60-4120-AB07-39198032522F}"/>
    <hyperlink ref="E1361" r:id="rId4099" display="https://twitter.com/LudwigVCI/status/722501596656046080" xr:uid="{4600F44C-2D14-4DA3-961A-17897FC3D03A}"/>
    <hyperlink ref="O1361" r:id="rId4100" display="https://pbs.twimg.com/profile_images/709277508810702848/-itLCvSt_normal.jpg" xr:uid="{574C24C6-74D7-4773-BE35-1A313D7CB22E}"/>
    <hyperlink ref="B1362" r:id="rId4101" display="https://twitter.com/CloarecMark_Tec" xr:uid="{A1CC4703-20D0-470D-B3AD-484C9AC4DDFA}"/>
    <hyperlink ref="E1362" r:id="rId4102" display="https://twitter.com/CloarecMark_Tec/status/722503927795752960" xr:uid="{51FD4587-EAE4-46EE-89B4-A0337F0225F2}"/>
    <hyperlink ref="O1362" r:id="rId4103" display="https://pbs.twimg.com/profile_images/1220302889/image_normal.jpg" xr:uid="{7C96AAF9-D605-4253-9522-8A8D53766545}"/>
    <hyperlink ref="B1363" r:id="rId4104" display="https://twitter.com/ProdMgrNet" xr:uid="{25CBD274-A435-4FF3-A4C4-D32028D6049C}"/>
    <hyperlink ref="E1363" r:id="rId4105" display="https://twitter.com/ProdMgrNet/status/722507260195418112" xr:uid="{592BD6C7-71DB-4C9E-8A73-C866B2F20FCF}"/>
    <hyperlink ref="O1363" r:id="rId4106" display="https://pbs.twimg.com/profile_images/1336102736/AR69190_normal.jpg" xr:uid="{211133FB-127B-4F4A-86F7-57D133B4F28D}"/>
    <hyperlink ref="B1364" r:id="rId4107" display="https://twitter.com/Angela_Josephs" xr:uid="{4B18E2A2-F3DF-4EE9-BA54-039C4A7EF27F}"/>
    <hyperlink ref="E1364" r:id="rId4108" display="https://twitter.com/Angela_Josephs/status/722507461693992960" xr:uid="{DF0D531E-5A3B-4858-9184-FC3DDCE421BF}"/>
    <hyperlink ref="O1364" r:id="rId4109" display="https://pbs.twimg.com/profile_images/649572788148285440/Sxl5vTa3_normal.jpg" xr:uid="{78E70FD7-66CE-49BE-B54F-A1E286B2D4BD}"/>
    <hyperlink ref="B1365" r:id="rId4110" display="https://twitter.com/kommoptimierer" xr:uid="{D2FDC3E5-09A4-4D11-AFED-64E87E646B40}"/>
    <hyperlink ref="E1365" r:id="rId4111" display="https://twitter.com/kommoptimierer/status/722507564659957760" xr:uid="{2412DB5E-6529-46C9-810B-A5906F632165}"/>
    <hyperlink ref="O1365" r:id="rId4112" display="https://pbs.twimg.com/profile_images/541146126158536704/IYardufS_normal.jpeg" xr:uid="{6A036D3D-EB6C-4296-A570-C46D5C20EFE0}"/>
    <hyperlink ref="B1366" r:id="rId4113" display="https://twitter.com/INDIZbot" xr:uid="{9E785074-DABF-4567-A756-4E76C1753E59}"/>
    <hyperlink ref="E1366" r:id="rId4114" display="https://twitter.com/INDIZbot/status/722507848220024833" xr:uid="{928CBB3F-12BE-4729-BA19-1A46AC02AE0E}"/>
    <hyperlink ref="O1366" r:id="rId4115" display="https://pbs.twimg.com/profile_images/645716711723925506/t5G0qOS6_normal.jpg" xr:uid="{9957BA41-980C-4022-84D6-DAB739C0A922}"/>
    <hyperlink ref="B1367" r:id="rId4116" display="https://twitter.com/INDIZbot" xr:uid="{56AF0C07-72BE-4B90-B5D2-400B90F69EFE}"/>
    <hyperlink ref="E1367" r:id="rId4117" display="https://twitter.com/INDIZbot/status/722508006039142400" xr:uid="{1B17E85B-F8B0-4AC1-85D9-B2528C6B9DFE}"/>
    <hyperlink ref="O1367" r:id="rId4118" display="https://pbs.twimg.com/profile_images/645716711723925506/t5G0qOS6_normal.jpg" xr:uid="{4BC7C30B-0C23-4D2A-8EF6-5E3DA74A0237}"/>
    <hyperlink ref="B1368" r:id="rId4119" display="https://twitter.com/Angela_Josephs" xr:uid="{B4CD22C7-6690-4098-840A-23F68DBB55F1}"/>
    <hyperlink ref="E1368" r:id="rId4120" display="https://twitter.com/Angela_Josephs/status/722508165133287424" xr:uid="{7E6AACD5-BCBB-4FD4-8409-3C5F41EC5652}"/>
    <hyperlink ref="O1368" r:id="rId4121" display="https://pbs.twimg.com/profile_images/649572788148285440/Sxl5vTa3_normal.jpg" xr:uid="{07428E9A-4341-4AAC-A16C-8E5446C5529E}"/>
    <hyperlink ref="B1369" r:id="rId4122" display="https://twitter.com/dbizien" xr:uid="{479FF697-CBE8-4461-BF17-049DAF8E775C}"/>
    <hyperlink ref="E1369" r:id="rId4123" display="https://twitter.com/dbizien/status/722508437561741313" xr:uid="{977C517B-0228-434D-A1CE-84C9379B17C4}"/>
    <hyperlink ref="O1369" r:id="rId4124" display="https://pbs.twimg.com/profile_images/722509242385756160/5hnd3gUK_normal.jpg" xr:uid="{59694F12-B018-4D25-B6DD-1772C11C03DA}"/>
    <hyperlink ref="B1370" r:id="rId4125" display="https://twitter.com/MWiedenmaier" xr:uid="{4F316312-B2A1-4AE2-A930-6D48BE21D4BF}"/>
    <hyperlink ref="E1370" r:id="rId4126" display="https://twitter.com/MWiedenmaier/status/722509533835325440" xr:uid="{F8C9AF89-0A54-4CD9-967F-905AB1CCEC06}"/>
    <hyperlink ref="O1370" r:id="rId4127" display="https://pbs.twimg.com/profile_images/1619239500/WiedenmaierMarkus_normal.jpg" xr:uid="{B018C891-E48F-4C2D-AF41-D536B0BCF282}"/>
    <hyperlink ref="B1371" r:id="rId4128" display="https://twitter.com/LReehten" xr:uid="{870E87C7-CAD0-48B7-B6C1-92E906599007}"/>
    <hyperlink ref="E1371" r:id="rId4129" display="https://twitter.com/LReehten/status/722512426126741504" xr:uid="{EAE95CCB-C54F-4E80-BCF3-4C8045C2969D}"/>
    <hyperlink ref="O1371" r:id="rId4130" display="https://pbs.twimg.com/profile_images/623849156159868928/BetFDR_i_normal.jpg" xr:uid="{860EC248-7787-4391-B27B-2204A3DA6F9C}"/>
    <hyperlink ref="B1372" r:id="rId4131" display="https://twitter.com/DoreenJacobi1" xr:uid="{4A17F81E-A9A0-4AE6-930E-71CBCD43A06D}"/>
    <hyperlink ref="E1372" r:id="rId4132" display="https://twitter.com/DoreenJacobi1/status/722512552958300166" xr:uid="{8E85DF5C-2B9C-49C5-B140-F2E3C8DE8F4D}"/>
    <hyperlink ref="O1372" r:id="rId4133" display="https://pbs.twimg.com/profile_images/477208957602119680/8QlGcAVc_normal.jpeg" xr:uid="{0BB3FF6D-38E3-41CE-979A-E4CCB8CF3860}"/>
    <hyperlink ref="B1373" r:id="rId4134" display="https://twitter.com/LReehten" xr:uid="{5F20EBBD-CA2B-4819-8DDF-E6F7E2AE7604}"/>
    <hyperlink ref="E1373" r:id="rId4135" display="https://twitter.com/LReehten/status/722512703198216195" xr:uid="{3955678B-C27A-4B16-8B13-14CA7D344C4E}"/>
    <hyperlink ref="O1373" r:id="rId4136" display="https://pbs.twimg.com/profile_images/623849156159868928/BetFDR_i_normal.jpg" xr:uid="{9A69D723-93CA-4FF6-97DA-BB767350499E}"/>
    <hyperlink ref="B1374" r:id="rId4137" display="https://twitter.com/LReehten" xr:uid="{2C132563-6847-4214-A4BD-3B2BA75917B9}"/>
    <hyperlink ref="E1374" r:id="rId4138" display="https://twitter.com/LReehten/status/722512884819980289" xr:uid="{DF77EDA0-7610-4121-B83E-0B8D38E6002E}"/>
    <hyperlink ref="O1374" r:id="rId4139" display="https://pbs.twimg.com/profile_images/623849156159868928/BetFDR_i_normal.jpg" xr:uid="{172F4D4D-C532-4ED4-96D5-B6EE1F030086}"/>
    <hyperlink ref="B1375" r:id="rId4140" display="https://twitter.com/LReehten" xr:uid="{E2405CBF-B363-4672-A856-21F1156AAA7D}"/>
    <hyperlink ref="E1375" r:id="rId4141" display="https://twitter.com/LReehten/status/722512901928579072" xr:uid="{1175F082-5571-4D31-8517-DD0CB22FD0CD}"/>
    <hyperlink ref="O1375" r:id="rId4142" display="https://pbs.twimg.com/profile_images/623849156159868928/BetFDR_i_normal.jpg" xr:uid="{F4DA9C69-029B-4E09-AF51-DD92A35A6021}"/>
    <hyperlink ref="B1376" r:id="rId4143" display="https://twitter.com/LReehten" xr:uid="{01907C9B-29CD-400A-A834-85E105E22B77}"/>
    <hyperlink ref="E1376" r:id="rId4144" display="https://twitter.com/LReehten/status/722512910325575680" xr:uid="{06F7287F-59D3-4D5F-8966-E7B87EB22362}"/>
    <hyperlink ref="O1376" r:id="rId4145" display="https://pbs.twimg.com/profile_images/623849156159868928/BetFDR_i_normal.jpg" xr:uid="{A7711CCB-061F-4CC6-938C-91FBB2587CDF}"/>
    <hyperlink ref="B1377" r:id="rId4146" display="https://twitter.com/LReehten" xr:uid="{C5826ACC-FAC6-4AE4-91E9-95909CDA0E44}"/>
    <hyperlink ref="E1377" r:id="rId4147" display="https://twitter.com/LReehten/status/722512986313723904" xr:uid="{18BD5503-A789-4D90-921F-D6FF9D2C3D7B}"/>
    <hyperlink ref="O1377" r:id="rId4148" display="https://pbs.twimg.com/profile_images/623849156159868928/BetFDR_i_normal.jpg" xr:uid="{7E93C9A5-2D12-4D7B-830E-21BBED6AB11F}"/>
    <hyperlink ref="B1378" r:id="rId4149" display="https://twitter.com/INDIZbot" xr:uid="{B94CB4DA-30D5-43EE-893A-A80D5DA71B27}"/>
    <hyperlink ref="E1378" r:id="rId4150" display="https://twitter.com/INDIZbot/status/722513014981861376" xr:uid="{DB6CA803-1F17-4735-85F5-BDC0ED514733}"/>
    <hyperlink ref="O1378" r:id="rId4151" display="https://pbs.twimg.com/profile_images/645716711723925506/t5G0qOS6_normal.jpg" xr:uid="{A79A277B-ADE7-4CB5-A51A-9BE5FC3FF8D0}"/>
    <hyperlink ref="B1379" r:id="rId4152" display="https://twitter.com/LReehten" xr:uid="{654BBDDA-DD3D-423B-8575-0012A0770489}"/>
    <hyperlink ref="E1379" r:id="rId4153" display="https://twitter.com/LReehten/status/722513332297736193" xr:uid="{2503074C-9A09-464F-B4DC-777293227680}"/>
    <hyperlink ref="O1379" r:id="rId4154" display="https://pbs.twimg.com/profile_images/623849156159868928/BetFDR_i_normal.jpg" xr:uid="{2F9C4C1C-1615-42B8-BFF9-987EF7E85A22}"/>
    <hyperlink ref="B1380" r:id="rId4155" display="https://twitter.com/LReehten" xr:uid="{F49C473A-7A1C-4468-B073-4B2536536CC6}"/>
    <hyperlink ref="E1380" r:id="rId4156" display="https://twitter.com/LReehten/status/722513584207564801" xr:uid="{3F733DDD-579C-4E5B-ACBE-CE597180CDFC}"/>
    <hyperlink ref="O1380" r:id="rId4157" display="https://pbs.twimg.com/profile_images/623849156159868928/BetFDR_i_normal.jpg" xr:uid="{E3FC9540-4FEF-443E-99FE-F6EFA6D2CA16}"/>
    <hyperlink ref="B1381" r:id="rId4158" display="https://twitter.com/LReehten" xr:uid="{8223FF3D-24B7-4115-8DE9-8C249BA72BE2}"/>
    <hyperlink ref="E1381" r:id="rId4159" display="https://twitter.com/LReehten/status/722514318772871168" xr:uid="{AFDDF4CC-A425-43D0-9FDB-36F22CC261FC}"/>
    <hyperlink ref="O1381" r:id="rId4160" display="https://pbs.twimg.com/profile_images/623849156159868928/BetFDR_i_normal.jpg" xr:uid="{4BCECBC8-D2BD-4DF5-907E-EB92CF7173F3}"/>
    <hyperlink ref="B1382" r:id="rId4161" display="https://twitter.com/LReehten" xr:uid="{BF708248-421D-45A1-B4CE-7CA647EBC4F7}"/>
    <hyperlink ref="E1382" r:id="rId4162" display="https://twitter.com/LReehten/status/722514382589190144" xr:uid="{22DEDBE3-6960-4356-92E6-AFC6B2568E5F}"/>
    <hyperlink ref="O1382" r:id="rId4163" display="https://pbs.twimg.com/profile_images/623849156159868928/BetFDR_i_normal.jpg" xr:uid="{6B0F97FA-7435-4167-85A2-4053CAD86529}"/>
    <hyperlink ref="B1383" r:id="rId4164" display="https://twitter.com/LReehten" xr:uid="{FACAFE3E-762D-45CA-8A29-3EC55DCABFA4}"/>
    <hyperlink ref="E1383" r:id="rId4165" display="https://twitter.com/LReehten/status/722514437463220226" xr:uid="{FCBDA661-4928-465E-89FF-856E92617B60}"/>
    <hyperlink ref="O1383" r:id="rId4166" display="https://pbs.twimg.com/profile_images/623849156159868928/BetFDR_i_normal.jpg" xr:uid="{B3BFA9F4-3B50-4251-8B26-55B94911EC27}"/>
    <hyperlink ref="B1384" r:id="rId4167" display="https://twitter.com/LReehten" xr:uid="{743EB08B-B8D9-4108-8A7E-287BB0BEAF36}"/>
    <hyperlink ref="E1384" r:id="rId4168" display="https://twitter.com/LReehten/status/722514507755556868" xr:uid="{52865707-CC8A-4B4D-93D9-D3CDE437FF81}"/>
    <hyperlink ref="O1384" r:id="rId4169" display="https://pbs.twimg.com/profile_images/623849156159868928/BetFDR_i_normal.jpg" xr:uid="{372BF69A-CE92-44DC-AA71-B447B490450D}"/>
    <hyperlink ref="B1385" r:id="rId4170" display="https://twitter.com/LReehten" xr:uid="{99CF919A-F4DE-46E8-A492-AA5621DC1E8F}"/>
    <hyperlink ref="E1385" r:id="rId4171" display="https://twitter.com/LReehten/status/722514589842321411" xr:uid="{DA14F988-08E2-46C8-8E1D-988EF2FDC3E6}"/>
    <hyperlink ref="O1385" r:id="rId4172" display="https://pbs.twimg.com/profile_images/623849156159868928/BetFDR_i_normal.jpg" xr:uid="{FAF1B1F9-E49C-462B-8403-7E3B1B7C0C39}"/>
    <hyperlink ref="B1386" r:id="rId4173" display="https://twitter.com/LReehten" xr:uid="{BE50356A-3D6E-40AF-AD4E-76FA0956230A}"/>
    <hyperlink ref="E1386" r:id="rId4174" display="https://twitter.com/LReehten/status/722515843406503937" xr:uid="{7EC9E428-A831-4C45-923A-AF9B584A4F02}"/>
    <hyperlink ref="O1386" r:id="rId4175" display="https://pbs.twimg.com/profile_images/623849156159868928/BetFDR_i_normal.jpg" xr:uid="{C7F9B19B-9B5C-4000-A161-46DD3C9ADE0E}"/>
    <hyperlink ref="B1387" r:id="rId4176" display="https://twitter.com/LReehten" xr:uid="{A1CFC62A-80C2-42AF-AA0A-B337A405FC53}"/>
    <hyperlink ref="E1387" r:id="rId4177" display="https://twitter.com/LReehten/status/722516353798840326" xr:uid="{54D510AB-327F-401D-89A1-D8C81E0E947F}"/>
    <hyperlink ref="O1387" r:id="rId4178" display="https://pbs.twimg.com/profile_images/623849156159868928/BetFDR_i_normal.jpg" xr:uid="{E7D8B8AC-59C5-4620-8D0A-C11639BD2609}"/>
    <hyperlink ref="B1388" r:id="rId4179" display="https://twitter.com/kommoptimierer" xr:uid="{D94266A4-0055-4CED-9223-C58EF1F753D6}"/>
    <hyperlink ref="E1388" r:id="rId4180" display="https://twitter.com/kommoptimierer/status/722516371846914049" xr:uid="{DBD223C7-46C7-48F9-9751-73B8BCC76000}"/>
    <hyperlink ref="O1388" r:id="rId4181" display="https://pbs.twimg.com/profile_images/541146126158536704/IYardufS_normal.jpeg" xr:uid="{08842ED6-D9BA-467F-9CF7-56FBE6D9C7A5}"/>
    <hyperlink ref="B1389" r:id="rId4182" display="https://twitter.com/LReehten" xr:uid="{092C7B8A-9834-491D-A47E-C3B2B8E88D58}"/>
    <hyperlink ref="E1389" r:id="rId4183" display="https://twitter.com/LReehten/status/722516449269542913" xr:uid="{953B61A2-B4AD-4644-A772-BD3B576FB19E}"/>
    <hyperlink ref="O1389" r:id="rId4184" display="https://pbs.twimg.com/profile_images/623849156159868928/BetFDR_i_normal.jpg" xr:uid="{38A03AA4-AC86-49EC-827A-480ADF028295}"/>
    <hyperlink ref="B1390" r:id="rId4185" display="https://twitter.com/LReehten" xr:uid="{F9A08079-67F4-47EF-ABD4-38A6F87078FB}"/>
    <hyperlink ref="E1390" r:id="rId4186" display="https://twitter.com/LReehten/status/722516473642659840" xr:uid="{3FA1F2FA-835E-43F9-A572-5D39C6C644CD}"/>
    <hyperlink ref="O1390" r:id="rId4187" display="https://pbs.twimg.com/profile_images/623849156159868928/BetFDR_i_normal.jpg" xr:uid="{4B07BDE0-5B6E-458B-AC17-08129A72EDEA}"/>
    <hyperlink ref="B1391" r:id="rId4188" display="https://twitter.com/LReehten" xr:uid="{97DABFDF-7559-41B9-96D5-BA104A941F00}"/>
    <hyperlink ref="E1391" r:id="rId4189" display="https://twitter.com/LReehten/status/722516497801879552" xr:uid="{87ED5B9B-F25B-4DB7-8524-076167CD904B}"/>
    <hyperlink ref="O1391" r:id="rId4190" display="https://pbs.twimg.com/profile_images/623849156159868928/BetFDR_i_normal.jpg" xr:uid="{882DDE88-9983-4C82-B2D1-71887EF00AA4}"/>
    <hyperlink ref="B1392" r:id="rId4191" display="https://twitter.com/LReehten" xr:uid="{E88FF585-6F39-4F29-A6EC-2E6FC68ABFB4}"/>
    <hyperlink ref="E1392" r:id="rId4192" display="https://twitter.com/LReehten/status/722516580760952833" xr:uid="{6AC27566-0A2B-44AE-A6AC-53641BFB48E0}"/>
    <hyperlink ref="O1392" r:id="rId4193" display="https://pbs.twimg.com/profile_images/623849156159868928/BetFDR_i_normal.jpg" xr:uid="{B3313460-189E-4454-BA93-49594F912780}"/>
    <hyperlink ref="B1393" r:id="rId4194" display="https://twitter.com/LReehten" xr:uid="{4A910661-A854-4B65-9F09-A176CDB3402D}"/>
    <hyperlink ref="E1393" r:id="rId4195" display="https://twitter.com/LReehten/status/722516640869576704" xr:uid="{E8F21BB1-ECCE-4C89-BA43-9ED933A3EA0D}"/>
    <hyperlink ref="O1393" r:id="rId4196" display="https://pbs.twimg.com/profile_images/623849156159868928/BetFDR_i_normal.jpg" xr:uid="{5DAD4D43-1ACC-409E-B2E6-C252BBE54F82}"/>
    <hyperlink ref="B1394" r:id="rId4197" display="https://twitter.com/INDIZbot" xr:uid="{1AC7C7C4-BCC8-4545-9455-04367C0292C3}"/>
    <hyperlink ref="E1394" r:id="rId4198" display="https://twitter.com/INDIZbot/status/722517914449010688" xr:uid="{BA168A1B-3C50-4848-ABE9-33B255F70FB4}"/>
    <hyperlink ref="O1394" r:id="rId4199" display="https://pbs.twimg.com/profile_images/645716711723925506/t5G0qOS6_normal.jpg" xr:uid="{D02D5388-BE71-4DBF-896E-2E156AF889E1}"/>
    <hyperlink ref="B1395" r:id="rId4200" display="https://twitter.com/LNI40" xr:uid="{57835452-1E53-4279-BE60-853F34072F1A}"/>
    <hyperlink ref="E1395" r:id="rId4201" display="https://twitter.com/LNI40/status/722517986360324096" xr:uid="{FA144F84-58DE-458C-B4D5-5E2E0D538A8F}"/>
    <hyperlink ref="O1395" r:id="rId4202" display="https://pbs.twimg.com/profile_images/722098538604281856/CcBxk1_M_normal.jpg" xr:uid="{37036BED-9C5C-4B11-ADA6-7AB444623E55}"/>
    <hyperlink ref="B1396" r:id="rId4203" display="https://twitter.com/INDIZbot" xr:uid="{80E9231B-224C-4C81-BF12-0C5A8245BE32}"/>
    <hyperlink ref="E1396" r:id="rId4204" display="https://twitter.com/INDIZbot/status/722518046888353793" xr:uid="{4055CABD-19F0-4080-8972-B24E28D6D54D}"/>
    <hyperlink ref="O1396" r:id="rId4205" display="https://pbs.twimg.com/profile_images/645716711723925506/t5G0qOS6_normal.jpg" xr:uid="{A8437804-C05D-4C6A-BB1F-C655E900B0FA}"/>
    <hyperlink ref="B1397" r:id="rId4206" display="https://twitter.com/INDIZbot" xr:uid="{83CB87C0-00CC-4B4A-AEBF-7054E1744ACA}"/>
    <hyperlink ref="E1397" r:id="rId4207" display="https://twitter.com/INDIZbot/status/722518197174407168" xr:uid="{F2E3BAB3-A0C2-4FC5-B3AF-04BE0F61B28D}"/>
    <hyperlink ref="O1397" r:id="rId4208" display="https://pbs.twimg.com/profile_images/645716711723925506/t5G0qOS6_normal.jpg" xr:uid="{02914AA7-BF0D-464C-960E-D5D95033D5F2}"/>
    <hyperlink ref="B1398" r:id="rId4209" display="https://twitter.com/INDIZbot" xr:uid="{F31D0D43-9866-43BC-9A2F-832649C3B99D}"/>
    <hyperlink ref="E1398" r:id="rId4210" display="https://twitter.com/INDIZbot/status/722518321661349890" xr:uid="{748FAAE3-0E1E-402B-87A5-75463ECD6606}"/>
    <hyperlink ref="O1398" r:id="rId4211" display="https://pbs.twimg.com/profile_images/645716711723925506/t5G0qOS6_normal.jpg" xr:uid="{ADE659E1-ADBF-46DF-9C3C-A3A57726BCF7}"/>
    <hyperlink ref="B1399" r:id="rId4212" display="https://twitter.com/catkinEU" xr:uid="{15B55D51-B1A4-4B15-8C47-6D9284B01EB9}"/>
    <hyperlink ref="E1399" r:id="rId4213" display="https://twitter.com/catkinEU/status/722518798717317120" xr:uid="{87E96248-6D0F-4CC0-A657-FF2610795196}"/>
    <hyperlink ref="O1399" r:id="rId4214" display="https://pbs.twimg.com/profile_images/604338428227010560/6jzSa8us_normal.png" xr:uid="{5C61B14B-D3F1-421F-AF2D-D4DBE1549ED8}"/>
    <hyperlink ref="B1400" r:id="rId4215" display="https://twitter.com/textilmode" xr:uid="{D9F31B56-D03E-4488-A79B-B234DBDD29A8}"/>
    <hyperlink ref="E1400" r:id="rId4216" display="https://twitter.com/textilmode/status/722524744554266628" xr:uid="{9C3B5CAE-A310-41BA-9C6B-A490EB22B040}"/>
    <hyperlink ref="O1400" r:id="rId4217" display="https://pbs.twimg.com/profile_images/696642630881513472/pM-gTDgI_normal.jpg" xr:uid="{FCE9971D-DAB5-47C6-90F3-E492AB770025}"/>
    <hyperlink ref="B1401" r:id="rId4218" display="https://twitter.com/fannyfromSWE" xr:uid="{60D0B33F-6F8C-4FD4-A016-21936ECFDE53}"/>
    <hyperlink ref="E1401" r:id="rId4219" display="https://twitter.com/fannyfromSWE/status/722528609647337473" xr:uid="{73C140BD-7023-4BD3-B5D0-187B0C019E37}"/>
    <hyperlink ref="O1401" r:id="rId4220" display="https://pbs.twimg.com/profile_images/711593602414219264/aaplvKIP_normal.jpg" xr:uid="{17B980A1-E874-4468-BF37-BF3C79302503}"/>
    <hyperlink ref="B1402" r:id="rId4221" display="https://twitter.com/MelitaDelic" xr:uid="{949F1BDB-C962-4AB7-B76D-8BBEA8DE891F}"/>
    <hyperlink ref="E1402" r:id="rId4222" display="https://twitter.com/MelitaDelic/status/722530192820985857" xr:uid="{D4CC1146-9D1A-4FDB-B388-65280387B677}"/>
    <hyperlink ref="O1402" r:id="rId4223" display="https://pbs.twimg.com/profile_images/578646264901955584/8ueJh3EI_normal.jpeg" xr:uid="{3056C510-A63E-41FB-9270-26F2672C8E7A}"/>
    <hyperlink ref="B1403" r:id="rId4224" display="https://twitter.com/INDIZbot" xr:uid="{8B40292A-52B3-4205-A376-441BF513D928}"/>
    <hyperlink ref="E1403" r:id="rId4225" display="https://twitter.com/INDIZbot/status/722530561542250497" xr:uid="{DAF9CC76-C423-494D-AF97-853F234D875C}"/>
    <hyperlink ref="O1403" r:id="rId4226" display="https://pbs.twimg.com/profile_images/645716711723925506/t5G0qOS6_normal.jpg" xr:uid="{314F71F6-ABD9-4A8A-AEB1-0A243405770B}"/>
    <hyperlink ref="B1404" r:id="rId4227" display="https://twitter.com/SASCHAKAUS1" xr:uid="{45EA45A5-0FD5-4D66-A2FD-0D9AA6645291}"/>
    <hyperlink ref="E1404" r:id="rId4228" display="https://twitter.com/SASCHAKAUS1/status/722533826233307136" xr:uid="{46874228-5BB6-46C4-ADFD-AAAAC621E391}"/>
    <hyperlink ref="O1404" r:id="rId4229" display="https://pbs.twimg.com/profile_images/507446718355759104/Hjza08vg_normal.jpeg" xr:uid="{DFE4F265-1C06-4D00-854E-5D0AB70EDAAF}"/>
    <hyperlink ref="B1405" r:id="rId4230" display="https://twitter.com/wmaxx_consultig" xr:uid="{49D987E7-E86C-491F-A742-05C3A1D92F2B}"/>
    <hyperlink ref="E1405" r:id="rId4231" display="https://twitter.com/wmaxx_consultig/status/722533914217201664" xr:uid="{8F1617BC-8994-4717-8069-F8DAB0143294}"/>
    <hyperlink ref="O1405" r:id="rId4232" display="https://pbs.twimg.com/profile_images/703148147543920640/eaxyCVcC_normal.jpg" xr:uid="{3BDDBC9E-2A8E-4714-9452-B7EE70250A39}"/>
    <hyperlink ref="B1406" r:id="rId4233" display="https://twitter.com/WSWMUC" xr:uid="{93551D58-9BF7-47FF-B2DA-95BCC8070585}"/>
    <hyperlink ref="E1406" r:id="rId4234" display="https://twitter.com/WSWMUC/status/722534998893576192" xr:uid="{C7578121-0479-446A-A40A-F4B5D2AD7220}"/>
    <hyperlink ref="O1406" r:id="rId4235" display="https://pbs.twimg.com/profile_images/524295003107885059/1ADGv6Ps_normal.png" xr:uid="{AB90A586-E952-44DF-83CA-6CFF51B94822}"/>
    <hyperlink ref="B1407" r:id="rId4236" display="https://twitter.com/INDIZbot" xr:uid="{D0BD9D04-1FEC-4917-824F-167BBB90A1ED}"/>
    <hyperlink ref="E1407" r:id="rId4237" display="https://twitter.com/INDIZbot/status/722543491600027648" xr:uid="{6D695239-A52B-4C94-957B-03B09D754013}"/>
    <hyperlink ref="O1407" r:id="rId4238" display="https://pbs.twimg.com/profile_images/645716711723925506/t5G0qOS6_normal.jpg" xr:uid="{0FB9174F-9D8E-4F46-BAA9-2616004D0D44}"/>
    <hyperlink ref="B1408" r:id="rId4239" display="https://twitter.com/Geschnattere" xr:uid="{8EA3B1BE-8C5A-403C-80B8-5355D31696E5}"/>
    <hyperlink ref="E1408" r:id="rId4240" display="https://twitter.com/Geschnattere/status/722544918938415104" xr:uid="{259E1E2C-6E1B-4C62-A8DC-8FDC9B79EC49}"/>
    <hyperlink ref="O1408" r:id="rId4241" display="https://pbs.twimg.com/profile_images/690957065490161664/Nat2upS4_normal.jpg" xr:uid="{C1EEDFEF-105D-4692-86B2-BE670FDBF16E}"/>
    <hyperlink ref="B1409" r:id="rId4242" display="https://twitter.com/akwyz" xr:uid="{A20C2CA2-7916-4C14-93DF-9E38F6F21C72}"/>
    <hyperlink ref="E1409" r:id="rId4243" display="https://twitter.com/akwyz/status/722547717621346306" xr:uid="{19296A04-896D-463D-9D1F-F55D7196ACC4}"/>
    <hyperlink ref="O1409" r:id="rId4244" display="https://pbs.twimg.com/profile_images/721423009114931200/0w9BDsO3_normal.jpg" xr:uid="{32E93A29-B0DE-4EB0-B633-59403F9F464A}"/>
    <hyperlink ref="B1410" r:id="rId4245" display="https://twitter.com/fduesterbeck" xr:uid="{C4A70EDD-3861-4324-A38A-F8275EB4D999}"/>
    <hyperlink ref="E1410" r:id="rId4246" display="https://twitter.com/fduesterbeck/status/722553248536727552" xr:uid="{BE0FEBAF-8D17-4BBC-8992-DC84F51231BE}"/>
    <hyperlink ref="O1410" r:id="rId4247" display="https://pbs.twimg.com/profile_images/520223489299472385/NEgWPMTC_normal.png" xr:uid="{2A98C574-3EAC-48B4-B35F-D1C3D46568E4}"/>
    <hyperlink ref="B1411" r:id="rId4248" display="https://twitter.com/INDIZbot" xr:uid="{DADDE1AA-EFBC-4377-9411-038BE67B383A}"/>
    <hyperlink ref="E1411" r:id="rId4249" display="https://twitter.com/INDIZbot/status/722555662954315776" xr:uid="{1182666A-7563-43C4-ACB4-A635A806CD05}"/>
    <hyperlink ref="O1411" r:id="rId4250" display="https://pbs.twimg.com/profile_images/645716711723925506/t5G0qOS6_normal.jpg" xr:uid="{EB199CD5-68C4-4A55-AD9E-1422B4E076A9}"/>
    <hyperlink ref="B1412" r:id="rId4251" display="https://twitter.com/H_IT_D" xr:uid="{E2BFB820-0F22-4F5B-BF91-6D35D0A752AA}"/>
    <hyperlink ref="E1412" r:id="rId4252" display="https://twitter.com/H_IT_D/status/722562170156781569" xr:uid="{11D6E33C-352F-4A90-88E7-60DB41E9B534}"/>
    <hyperlink ref="O1412" r:id="rId4253" display="https://pbs.twimg.com/profile_images/662723326096224256/5V4KH9_O_normal.jpg" xr:uid="{E3F1162C-E622-4142-91E8-E0CD6601A099}"/>
    <hyperlink ref="B1413" r:id="rId4254" display="https://twitter.com/INDIZbot" xr:uid="{8EF8E4A7-CFC3-4627-9AA6-3188E2B3740C}"/>
    <hyperlink ref="E1413" r:id="rId4255" display="https://twitter.com/INDIZbot/status/722563296872833024" xr:uid="{7119A7AE-44B2-4F8A-ABFB-DE02E82B5673}"/>
    <hyperlink ref="O1413" r:id="rId4256" display="https://pbs.twimg.com/profile_images/645716711723925506/t5G0qOS6_normal.jpg" xr:uid="{1E176751-AF79-4552-AE35-D4368AD7ABC6}"/>
    <hyperlink ref="B1414" r:id="rId4257" display="https://twitter.com/DrAlfOldman" xr:uid="{539AF8D0-F956-44F8-9339-6AE53BD44575}"/>
    <hyperlink ref="E1414" r:id="rId4258" display="https://twitter.com/DrAlfOldman/status/722623341182320640" xr:uid="{944F7375-303E-4158-93D9-78DC0DD907E9}"/>
    <hyperlink ref="O1414" r:id="rId4259" display="https://pbs.twimg.com/profile_images/1186482171/DSC_0008_edited_1_normal.jpg" xr:uid="{DD2C83D6-AFB9-47B4-97FE-9CADAF796B84}"/>
    <hyperlink ref="B1415" r:id="rId4260" display="https://twitter.com/H_IT_D" xr:uid="{3385A2E6-36A1-4BDB-AF1B-58DADAFE5CF1}"/>
    <hyperlink ref="E1415" r:id="rId4261" display="https://twitter.com/H_IT_D/status/722628903714467840" xr:uid="{7AC376CA-D68D-4965-83F6-212D4FB08A4F}"/>
    <hyperlink ref="O1415" r:id="rId4262" display="https://pbs.twimg.com/profile_images/662723326096224256/5V4KH9_O_normal.jpg" xr:uid="{391F79D4-E3A1-4E24-85A3-DE3593ECDED9}"/>
    <hyperlink ref="B1416" r:id="rId4263" display="https://twitter.com/INDIZbot" xr:uid="{9BC57FB2-277D-41F9-83C6-8C25FD31EC3F}"/>
    <hyperlink ref="E1416" r:id="rId4264" display="https://twitter.com/INDIZbot/status/722636295147757571" xr:uid="{EA5CACB9-6084-4D76-8A4A-B7D16CD65BD6}"/>
    <hyperlink ref="O1416" r:id="rId4265" display="https://pbs.twimg.com/profile_images/645716711723925506/t5G0qOS6_normal.jpg" xr:uid="{833ACAB3-6327-4779-A113-76B1D0D75CF5}"/>
    <hyperlink ref="B1417" r:id="rId4266" display="https://twitter.com/Jo_H123" xr:uid="{5BC7B176-7955-4FCF-93D6-38DFED9C8648}"/>
    <hyperlink ref="E1417" r:id="rId4267" display="https://twitter.com/Jo_H123/status/722642225847525376" xr:uid="{81D4268F-A131-4B9D-95A6-80E0578011A9}"/>
    <hyperlink ref="O1417" r:id="rId4268" display="https://pbs.twimg.com/profile_images/532532270788128768/ubrFTMd7_normal.jpeg" xr:uid="{33274E81-9CF4-4E8F-B3A8-B93FAB2BF489}"/>
    <hyperlink ref="B1418" r:id="rId4269" display="https://twitter.com/INDIZbot" xr:uid="{6BBA36CF-60DD-457F-A063-12A5EEC38D45}"/>
    <hyperlink ref="E1418" r:id="rId4270" display="https://twitter.com/INDIZbot/status/722643833788493825" xr:uid="{75612D98-A411-4C90-AF1C-EE13E7E15707}"/>
    <hyperlink ref="O1418" r:id="rId4271" display="https://pbs.twimg.com/profile_images/645716711723925506/t5G0qOS6_normal.jpg" xr:uid="{F3B3E83B-2175-4F2B-B44A-0A785662D9D8}"/>
    <hyperlink ref="B1419" r:id="rId4272" display="https://twitter.com/QuickFindsIn" xr:uid="{BE13DC06-8C24-4243-8F14-0FB6327B65AA}"/>
    <hyperlink ref="E1419" r:id="rId4273" display="https://twitter.com/QuickFindsIn/status/722647989265805312" xr:uid="{0EFCDC54-4B4F-4455-B084-6A7F5C6910DE}"/>
    <hyperlink ref="O1419" r:id="rId4274" display="https://pbs.twimg.com/profile_images/591951396217327616/HbcCX2zX_normal.png" xr:uid="{B00073A9-F91A-4D05-B7CC-C24429E45A0A}"/>
    <hyperlink ref="B1420" r:id="rId4275" display="https://twitter.com/PourLesPatrons" xr:uid="{94B1DFED-3B2D-44FD-BEB8-46C3D0837E47}"/>
    <hyperlink ref="E1420" r:id="rId4276" display="https://twitter.com/PourLesPatrons/status/722648203703808001" xr:uid="{FA65A731-BA8F-4D80-8428-9E4C1E30DA08}"/>
    <hyperlink ref="O1420" r:id="rId4277" display="https://pbs.twimg.com/profile_images/680696942163300352/dT4ULAXJ_normal.jpg" xr:uid="{BEB1C61E-92B3-481F-9B4F-71AE52563E61}"/>
    <hyperlink ref="B1421" r:id="rId4278" display="https://twitter.com/rszilinski" xr:uid="{88880806-8711-4CFA-9AB2-FB7862723B35}"/>
    <hyperlink ref="E1421" r:id="rId4279" display="https://twitter.com/rszilinski/status/722648509867012097" xr:uid="{2BBBA9E3-CCCC-427C-B294-ED47E0753525}"/>
    <hyperlink ref="O1421" r:id="rId4280" display="https://pbs.twimg.com/profile_images/611852434609184769/qSWdBcwR_normal.jpg" xr:uid="{197D91FA-20E4-4922-A440-E9BEC5FB6CA9}"/>
    <hyperlink ref="B1422" r:id="rId4281" display="https://twitter.com/ptrs_stein" xr:uid="{3E7E9F0A-8310-451B-B0AE-FC095051161E}"/>
    <hyperlink ref="E1422" r:id="rId4282" display="https://twitter.com/ptrs_stein/status/722648739131846656" xr:uid="{F7528A73-4A6A-445E-990D-F8BC45BA4FDB}"/>
    <hyperlink ref="O1422" r:id="rId4283" display="https://pbs.twimg.com/profile_images/700346204509577216/nSIe2P5__normal.jpg" xr:uid="{CC08808C-97EC-4A25-A4FF-989F564B585F}"/>
    <hyperlink ref="B1423" r:id="rId4284" display="https://twitter.com/mediengerecht" xr:uid="{DAAD41F1-358C-4117-A229-8A9058E68020}"/>
    <hyperlink ref="E1423" r:id="rId4285" display="https://twitter.com/mediengerecht/status/722651972252409859" xr:uid="{1F195F50-2AF4-46C6-90F9-7772D59ADC2D}"/>
    <hyperlink ref="O1423" r:id="rId4286" display="https://pbs.twimg.com/profile_images/706494867204120576/F1LJZI55_normal.jpg" xr:uid="{A96C689E-EF54-4B65-825A-55B9D70B989C}"/>
    <hyperlink ref="B1424" r:id="rId4287" display="https://twitter.com/DKEAktuell" xr:uid="{2D7D1724-47E1-4C5E-B3A1-C8F373F44042}"/>
    <hyperlink ref="E1424" r:id="rId4288" display="https://twitter.com/DKEAktuell/status/722652718368747520" xr:uid="{43760CFC-A380-4865-9DC2-FCC45EA9A325}"/>
    <hyperlink ref="O1424" r:id="rId4289" display="https://pbs.twimg.com/profile_images/465817969902092288/sEIgw9Gb_normal.jpeg" xr:uid="{2E276144-10C5-4234-87AC-F9D427716603}"/>
    <hyperlink ref="B1425" r:id="rId4290" display="https://twitter.com/LNI40" xr:uid="{330D8D55-685D-49E7-AB9B-F672F31DBF23}"/>
    <hyperlink ref="E1425" r:id="rId4291" display="https://twitter.com/LNI40/status/722652856768151553" xr:uid="{AE9B52EB-3365-4556-A527-59FB27C5EFEA}"/>
    <hyperlink ref="O1425" r:id="rId4292" display="https://pbs.twimg.com/profile_images/722098538604281856/CcBxk1_M_normal.jpg" xr:uid="{D861553C-5F43-4BB8-86E8-3F3A7C97AABB}"/>
    <hyperlink ref="B1426" r:id="rId4293" display="https://twitter.com/LNI40" xr:uid="{2B4C7D52-48E1-4505-8E11-5D994FE95E1A}"/>
    <hyperlink ref="E1426" r:id="rId4294" display="https://twitter.com/LNI40/status/722654236908064768" xr:uid="{1AA876BC-8A6F-4A40-A8F1-EA7664E0C866}"/>
    <hyperlink ref="O1426" r:id="rId4295" display="https://pbs.twimg.com/profile_images/722098538604281856/CcBxk1_M_normal.jpg" xr:uid="{66816D79-1852-4B4E-9A95-E3CCE59BDF2B}"/>
    <hyperlink ref="B1427" r:id="rId4296" display="https://twitter.com/ROKAutomationAT" xr:uid="{4524156D-2A94-4BC8-92E0-2BE360D00BE6}"/>
    <hyperlink ref="E1427" r:id="rId4297" display="https://twitter.com/ROKAutomationAT/status/722661096008654848" xr:uid="{56E1F169-0EDF-4A7D-BAC3-AD12B912598E}"/>
    <hyperlink ref="O1427" r:id="rId4298" display="https://pbs.twimg.com/profile_images/494911375034945537/txB_J-VC_normal.jpeg" xr:uid="{ED2E9C73-4F94-4802-A688-C52953263FDB}"/>
    <hyperlink ref="B1428" r:id="rId4299" display="https://twitter.com/ROKAutomationDE" xr:uid="{350C07F7-2EAE-4D7E-86A2-C9BE8309FB3D}"/>
    <hyperlink ref="E1428" r:id="rId4300" display="https://twitter.com/ROKAutomationDE/status/722661097799593984" xr:uid="{E3DB707D-4DA0-4083-828B-C38AC7DA2E42}"/>
    <hyperlink ref="O1428" r:id="rId4301" display="https://pbs.twimg.com/profile_images/495214827963297793/ZW7qWnoK_normal.jpeg" xr:uid="{B6B74903-08BC-427A-8BDB-8FA4F6632573}"/>
    <hyperlink ref="B1429" r:id="rId4302" display="https://twitter.com/ROKAutoCHDE" xr:uid="{5D4D020F-1BEA-4305-8631-8940D5EC3C56}"/>
    <hyperlink ref="E1429" r:id="rId4303" display="https://twitter.com/ROKAutoCHDE/status/722661102551724034" xr:uid="{CD862461-2E51-432A-9AB5-9ABD7BE0968B}"/>
    <hyperlink ref="O1429" r:id="rId4304" display="https://pbs.twimg.com/profile_images/498942077325963264/l5q550Kh_normal.jpeg" xr:uid="{8513904C-973E-4F9E-A86D-745FC28510B6}"/>
    <hyperlink ref="B1430" r:id="rId4305" display="https://twitter.com/INDIZbot" xr:uid="{7F11C0A9-60A2-4F60-85C7-647B231B015D}"/>
    <hyperlink ref="E1430" r:id="rId4306" display="https://twitter.com/INDIZbot/status/722661364917997568" xr:uid="{01940744-912A-4774-8514-9A50F53B4B8F}"/>
    <hyperlink ref="O1430" r:id="rId4307" display="https://pbs.twimg.com/profile_images/645716711723925506/t5G0qOS6_normal.jpg" xr:uid="{9C772CC9-DA17-4B61-82E5-CCEB3E7642CF}"/>
    <hyperlink ref="B1431" r:id="rId4308" display="https://twitter.com/INDIZbot" xr:uid="{280EE16F-FC6D-4318-8CF1-BE3BCAB5C148}"/>
    <hyperlink ref="E1431" r:id="rId4309" display="https://twitter.com/INDIZbot/status/722661478453616640" xr:uid="{B0223CB0-C3E0-462B-A2EF-5CF630CC1489}"/>
    <hyperlink ref="O1431" r:id="rId4310" display="https://pbs.twimg.com/profile_images/645716711723925506/t5G0qOS6_normal.jpg" xr:uid="{6B4196DF-67B2-4F18-9EA3-959C4A621629}"/>
    <hyperlink ref="B1432" r:id="rId4311" display="https://twitter.com/INDIZbot" xr:uid="{2F46D43A-CB5B-430C-B3C7-0854F080716C}"/>
    <hyperlink ref="E1432" r:id="rId4312" display="https://twitter.com/INDIZbot/status/722661610049912836" xr:uid="{98B158A9-7C54-456C-8915-BEAC9A21B1ED}"/>
    <hyperlink ref="O1432" r:id="rId4313" display="https://pbs.twimg.com/profile_images/645716711723925506/t5G0qOS6_normal.jpg" xr:uid="{C2EB0162-33FB-485E-84F4-C70D25275F1D}"/>
    <hyperlink ref="B1433" r:id="rId4314" display="https://twitter.com/MarioReinsch" xr:uid="{6CE4A828-30DF-4E89-B6A3-014610F61323}"/>
    <hyperlink ref="E1433" r:id="rId4315" display="https://twitter.com/MarioReinsch/status/722664207683084288" xr:uid="{14865EB8-38F8-4651-AD65-4F5911AA27EE}"/>
    <hyperlink ref="O1433" r:id="rId4316" display="https://pbs.twimg.com/profile_images/560799766007664640/lsjqv0TW_normal.jpeg" xr:uid="{F52149F4-FF93-45D4-AF26-4B8BF2D82717}"/>
    <hyperlink ref="B1434" r:id="rId4317" display="https://twitter.com/IoTMinded" xr:uid="{586FE912-1FC9-4E7B-9E95-B5F0293EBA63}"/>
    <hyperlink ref="E1434" r:id="rId4318" display="https://twitter.com/IoTMinded/status/722664329728946177" xr:uid="{64896A80-9F74-4E82-9695-D7617BBFCF22}"/>
    <hyperlink ref="O1434" r:id="rId4319" display="https://pbs.twimg.com/profile_images/603699032804859904/lb5IMG5x_normal.jpg" xr:uid="{EC8DFB38-3901-4635-9CA0-2198E0C75267}"/>
    <hyperlink ref="B1435" r:id="rId4320" display="https://twitter.com/Gruendercoaches" xr:uid="{B9434867-5E09-4515-9EB2-9061F05B3AA5}"/>
    <hyperlink ref="E1435" r:id="rId4321" display="https://twitter.com/Gruendercoaches/status/722669022249160705" xr:uid="{E6C2A40E-8ABB-4EED-8084-8F5992A3168C}"/>
    <hyperlink ref="O1435" r:id="rId4322" display="https://pbs.twimg.com/profile_images/561208179355185153/11KDu7Gt_normal.png" xr:uid="{BBBA2691-B864-4A4C-8301-6CE542EA95FE}"/>
    <hyperlink ref="B1436" r:id="rId4323" display="https://twitter.com/MarioReinsch" xr:uid="{360B208E-339C-40B1-ABDD-304432DFF70E}"/>
    <hyperlink ref="E1436" r:id="rId4324" display="https://twitter.com/MarioReinsch/status/722673415153401857" xr:uid="{81CA5443-C2D7-47AF-AE74-A84586CA830F}"/>
    <hyperlink ref="O1436" r:id="rId4325" display="https://pbs.twimg.com/profile_images/560799766007664640/lsjqv0TW_normal.jpeg" xr:uid="{A9D94F61-9E32-4B99-A1CA-3BC92CBE9F9F}"/>
    <hyperlink ref="B1437" r:id="rId4326" display="https://twitter.com/IoTMinded" xr:uid="{577E2B33-8A11-4EE3-A95A-4AC6FDC99B01}"/>
    <hyperlink ref="E1437" r:id="rId4327" display="https://twitter.com/IoTMinded/status/722674020290859008" xr:uid="{7A228BC7-827E-416D-976F-CD4DD4085BD3}"/>
    <hyperlink ref="O1437" r:id="rId4328" display="https://pbs.twimg.com/profile_images/603699032804859904/lb5IMG5x_normal.jpg" xr:uid="{B4C7D3ED-8214-4952-B989-D9A6FA951B58}"/>
    <hyperlink ref="B1438" r:id="rId4329" display="https://twitter.com/Atos_DE" xr:uid="{B7F5DDC3-C9F0-40F1-BB9B-2BEF25005D83}"/>
    <hyperlink ref="E1438" r:id="rId4330" display="https://twitter.com/Atos_DE/status/722675451567673344" xr:uid="{6C1B3944-2CD2-4129-AEE4-C558D3A60E7A}"/>
    <hyperlink ref="O1438" r:id="rId4331" display="https://pbs.twimg.com/profile_images/668712795677028352/uUXoP0Hd_normal.jpg" xr:uid="{AE948230-D0B7-4C42-909D-B5B98BD5BB7B}"/>
    <hyperlink ref="B1439" r:id="rId4332" display="https://twitter.com/MarioReinsch" xr:uid="{25B0B45F-1E52-4442-9EFB-6083B236F787}"/>
    <hyperlink ref="E1439" r:id="rId4333" display="https://twitter.com/MarioReinsch/status/722676134912114688" xr:uid="{625DFEF3-B028-407C-B870-0E9E64ABAD43}"/>
    <hyperlink ref="O1439" r:id="rId4334" display="https://pbs.twimg.com/profile_images/560799766007664640/lsjqv0TW_normal.jpeg" xr:uid="{B73624D9-3B64-411F-9EF4-EA91D5AD25C9}"/>
    <hyperlink ref="B1440" r:id="rId4335" display="https://twitter.com/INDIZbot" xr:uid="{03247802-B5CD-4A8B-B881-7FC00C492AE4}"/>
    <hyperlink ref="E1440" r:id="rId4336" display="https://twitter.com/INDIZbot/status/722676460864016384" xr:uid="{28C8C521-3F29-4977-B2E1-DAE5D902E9B4}"/>
    <hyperlink ref="O1440" r:id="rId4337" display="https://pbs.twimg.com/profile_images/645716711723925506/t5G0qOS6_normal.jpg" xr:uid="{33557454-CC04-4988-88DA-9EB6ADD013F8}"/>
    <hyperlink ref="B1441" r:id="rId4338" display="https://twitter.com/KerstinvonAppen" xr:uid="{FD3D3E51-7512-4DCD-BA33-B451261C63C3}"/>
    <hyperlink ref="E1441" r:id="rId4339" display="https://twitter.com/KerstinvonAppen/status/722676516514099201" xr:uid="{3CE5FC29-2B17-45B1-88C1-2A6F15E00158}"/>
    <hyperlink ref="O1441" r:id="rId4340" display="https://pbs.twimg.com/profile_images/2983973431/ac73bb40073113ce27fc21f14aedb165_normal.jpeg" xr:uid="{BDE897F8-D994-47C6-A4C3-CC3870764A86}"/>
    <hyperlink ref="B1442" r:id="rId4341" display="https://twitter.com/INDIZbot" xr:uid="{9DF274A9-7855-46FB-B2D0-0B17B2288472}"/>
    <hyperlink ref="E1442" r:id="rId4342" display="https://twitter.com/INDIZbot/status/722676710861336576" xr:uid="{EF671739-AE22-4508-910C-73E3F1C8339B}"/>
    <hyperlink ref="O1442" r:id="rId4343" display="https://pbs.twimg.com/profile_images/645716711723925506/t5G0qOS6_normal.jpg" xr:uid="{8D754E7E-D11F-4111-917D-5B411EFF5761}"/>
    <hyperlink ref="B1443" r:id="rId4344" display="https://twitter.com/LReehten" xr:uid="{D8F04516-66BD-42BD-BB51-EC021C49B306}"/>
    <hyperlink ref="E1443" r:id="rId4345" display="https://twitter.com/LReehten/status/722676951417253889" xr:uid="{9A114738-3991-4F7B-B55A-8A98480643CC}"/>
    <hyperlink ref="O1443" r:id="rId4346" display="https://pbs.twimg.com/profile_images/623849156159868928/BetFDR_i_normal.jpg" xr:uid="{4AB577C2-492D-4347-8FA0-6A79A2C94C16}"/>
    <hyperlink ref="B1444" r:id="rId4347" display="https://twitter.com/H_IT_D" xr:uid="{613C37E7-2758-4879-B10F-6310FC984B82}"/>
    <hyperlink ref="E1444" r:id="rId4348" display="https://twitter.com/H_IT_D/status/722677698531893249" xr:uid="{3F5C2F87-E29B-405D-B6B4-5FB09574F13A}"/>
    <hyperlink ref="O1444" r:id="rId4349" display="https://pbs.twimg.com/profile_images/662723326096224256/5V4KH9_O_normal.jpg" xr:uid="{05B2A2C1-ACA5-4A4F-9778-4F28AA20B4A7}"/>
    <hyperlink ref="B1445" r:id="rId4350" display="https://twitter.com/MindCommerce" xr:uid="{5F2B1063-FB4E-45D2-9A8B-C7FEE8B1030B}"/>
    <hyperlink ref="E1445" r:id="rId4351" display="https://twitter.com/MindCommerce/status/722677968154271745" xr:uid="{D130C70D-0F8A-4C37-92A9-5CFD1A0D62E1}"/>
    <hyperlink ref="O1445" r:id="rId4352" display="https://pbs.twimg.com/profile_images/548030384030507008/utABqhj9_normal.png" xr:uid="{6A2C9CD7-1FC6-4206-B5F1-1F604B93488F}"/>
    <hyperlink ref="B1446" r:id="rId4353" display="https://twitter.com/MindCommerce" xr:uid="{FBD5C237-5B95-4427-ADAB-D22416799506}"/>
    <hyperlink ref="E1446" r:id="rId4354" display="https://twitter.com/MindCommerce/status/722677969186119683" xr:uid="{C18293E8-AA6B-4767-AA07-7A8B22017277}"/>
    <hyperlink ref="O1446" r:id="rId4355" display="https://pbs.twimg.com/profile_images/548030384030507008/utABqhj9_normal.png" xr:uid="{EB931172-6202-47C9-8D91-9E12CF18E560}"/>
    <hyperlink ref="B1447" r:id="rId4356" display="https://twitter.com/SMWA_SN" xr:uid="{98776519-FC4B-4124-A7F1-D3AC7E145AAC}"/>
    <hyperlink ref="E1447" r:id="rId4357" display="https://twitter.com/SMWA_SN/status/722678508934311938" xr:uid="{ACDE317C-BC76-4D00-BC38-9EE6B3E8A8A1}"/>
    <hyperlink ref="O1447" r:id="rId4358" display="https://pbs.twimg.com/profile_images/597697532958011392/kZeBXJZV_normal.png" xr:uid="{F4802FB5-195B-4424-99E1-2B6E98D00F8A}"/>
    <hyperlink ref="B1448" r:id="rId4359" display="https://twitter.com/AnamariaCorca" xr:uid="{17289A92-438A-454E-80A6-5FBB0DFB6655}"/>
    <hyperlink ref="E1448" r:id="rId4360" display="https://twitter.com/AnamariaCorca/status/722679142739808256" xr:uid="{B49024EF-A19B-49B5-9FAD-D34225309FF4}"/>
    <hyperlink ref="O1448" r:id="rId4361" display="https://pbs.twimg.com/profile_images/721970316742889472/JiHP1kkE_normal.jpg" xr:uid="{E6E67418-4858-4B2F-B265-AFD38DFB20DF}"/>
    <hyperlink ref="B1449" r:id="rId4362" display="https://twitter.com/JBause" xr:uid="{BAEDDCF8-AD49-4014-90A3-D7987AA069F7}"/>
    <hyperlink ref="E1449" r:id="rId4363" display="https://twitter.com/JBause/status/722679759667392513" xr:uid="{33823D10-1B9A-4150-A102-C78A4BA81641}"/>
    <hyperlink ref="O1449" r:id="rId4364" display="https://pbs.twimg.com/profile_images/615223235827900416/r0xU5jIu_normal.jpg" xr:uid="{B0BC90AB-DDB2-42C1-A2A4-2329574FF4C4}"/>
    <hyperlink ref="B1450" r:id="rId4365" display="https://twitter.com/VDMAonline" xr:uid="{D16067F8-094B-47BF-833B-5244695A4EBC}"/>
    <hyperlink ref="E1450" r:id="rId4366" display="https://twitter.com/VDMAonline/status/722681243289059328" xr:uid="{C1D0575D-5AE8-44B4-BA2F-A541CDE2D494}"/>
    <hyperlink ref="O1450" r:id="rId4367" display="https://pbs.twimg.com/profile_images/609375510158774272/P5glOk4b_normal.jpg" xr:uid="{E56AD29F-9646-4D68-AB87-BDAA46B6B1AC}"/>
    <hyperlink ref="B1451" r:id="rId4368" display="https://twitter.com/INDIZbot" xr:uid="{A512549A-51A4-4EE9-BE13-A22C253F4FA4}"/>
    <hyperlink ref="E1451" r:id="rId4369" display="https://twitter.com/INDIZbot/status/722681493777223680" xr:uid="{6924E718-EE16-4C24-9556-36C3045C7E53}"/>
    <hyperlink ref="O1451" r:id="rId4370" display="https://pbs.twimg.com/profile_images/645716711723925506/t5G0qOS6_normal.jpg" xr:uid="{9E132CDC-77C9-4D06-AE89-0923F19B5C92}"/>
    <hyperlink ref="B1452" r:id="rId4371" display="https://twitter.com/ROKAutomationUK" xr:uid="{6155992E-07B9-4589-912E-096586B7F7FB}"/>
    <hyperlink ref="E1452" r:id="rId4372" display="https://twitter.com/ROKAutomationUK/status/722682484270436352" xr:uid="{37E52CF9-ECDE-4BB4-8194-413AFCDD6FBC}"/>
    <hyperlink ref="O1452" r:id="rId4373" display="https://pbs.twimg.com/profile_images/502402188295946240/rN3wbNyn_normal.jpeg" xr:uid="{9262DA80-689E-4035-940E-28AEC3DAAE77}"/>
    <hyperlink ref="B1453" r:id="rId4374" display="https://twitter.com/AltenaTCS" xr:uid="{B5A8EC7B-3241-4DA1-9CF3-66E404231CA9}"/>
    <hyperlink ref="E1453" r:id="rId4375" display="https://twitter.com/AltenaTCS/status/722683440794058752" xr:uid="{D57029C7-6402-4673-84CC-801381EA9742}"/>
    <hyperlink ref="O1453" r:id="rId4376" display="https://pbs.twimg.com/profile_images/709648582048157696/BnZ5RzQA_normal.jpg" xr:uid="{A75969A7-B2DF-4108-AD8F-40ED1ED4D858}"/>
    <hyperlink ref="B1454" r:id="rId4377" display="https://twitter.com/LReehten" xr:uid="{9CFC3E9A-1E97-4235-890C-F246A5623AE8}"/>
    <hyperlink ref="E1454" r:id="rId4378" display="https://twitter.com/LReehten/status/722683543437078528" xr:uid="{6FC879A6-F1AF-4EF5-98C4-2463097F2843}"/>
    <hyperlink ref="O1454" r:id="rId4379" display="https://pbs.twimg.com/profile_images/623849156159868928/BetFDR_i_normal.jpg" xr:uid="{9B4CFAA1-CCEE-4A82-BD8B-69E156892766}"/>
    <hyperlink ref="B1455" r:id="rId4380" display="https://twitter.com/enormgruen" xr:uid="{393085AE-B9EA-4373-9950-BA2DFBE712B2}"/>
    <hyperlink ref="E1455" r:id="rId4381" display="https://twitter.com/enormgruen/status/722684566608207872" xr:uid="{3801462A-FD8A-4B11-BF10-485284EF228F}"/>
    <hyperlink ref="O1455" r:id="rId4382" display="https://pbs.twimg.com/profile_images/3314186245/f45276fa4db865a49c10f61c9208d980_normal.jpeg" xr:uid="{F4ECC4B8-443D-4A9B-B44F-70B6DEFA3BBF}"/>
    <hyperlink ref="B1456" r:id="rId4383" display="https://twitter.com/tuevnord" xr:uid="{3960D256-22C0-49CE-909D-F95FADD69A46}"/>
    <hyperlink ref="E1456" r:id="rId4384" display="https://twitter.com/tuevnord/status/722684679720198145" xr:uid="{1C64B446-3579-466D-9CFB-3AD11CFFD60F}"/>
    <hyperlink ref="O1456" r:id="rId4385" display="https://pbs.twimg.com/profile_images/378800000104294821/5a742075b9441c9de8a86c75a712b0c7_normal.png" xr:uid="{43C35301-8B29-42C7-92E6-C522FA426A98}"/>
    <hyperlink ref="B1457" r:id="rId4386" display="https://twitter.com/LesolSA" xr:uid="{A044328B-C3D5-43B5-A4BF-30F36013D0C1}"/>
    <hyperlink ref="E1457" r:id="rId4387" display="https://twitter.com/LesolSA/status/722685128829485056" xr:uid="{C6C3CA25-A4CA-442F-82AF-1463F88F2442}"/>
    <hyperlink ref="O1457" r:id="rId4388" display="https://pbs.twimg.com/profile_images/459694932437905408/94eTYt-R_normal.jpeg" xr:uid="{D6639123-A4B8-4725-8730-2BE05133337B}"/>
    <hyperlink ref="B1458" r:id="rId4389" display="https://twitter.com/PASSnews" xr:uid="{51D1B115-C9AC-4BE7-9DE3-A823BD278B8F}"/>
    <hyperlink ref="E1458" r:id="rId4390" display="https://twitter.com/PASSnews/status/722686265653460993" xr:uid="{A9EEAB5A-59F6-4D72-BD1F-66668A6E8A2C}"/>
    <hyperlink ref="O1458" r:id="rId4391" display="https://pbs.twimg.com/profile_images/378800000181509745/cc2ac55b1f8cf6de6ab7c9ea96eae6fa_normal.png" xr:uid="{621C9E64-1DE1-45C0-AE3E-3C6AC14E88AF}"/>
    <hyperlink ref="B1459" r:id="rId4392" display="https://twitter.com/INDIZbot" xr:uid="{2C1A1667-35BC-4695-9404-C5F241689892}"/>
    <hyperlink ref="E1459" r:id="rId4393" display="https://twitter.com/INDIZbot/status/722686526577053696" xr:uid="{BB406D9D-F48A-4E94-B94C-AA63AEE84493}"/>
    <hyperlink ref="O1459" r:id="rId4394" display="https://pbs.twimg.com/profile_images/645716711723925506/t5G0qOS6_normal.jpg" xr:uid="{1F9BD9BB-4E5B-4E0D-B759-271B767FEAA8}"/>
    <hyperlink ref="B1460" r:id="rId4395" display="https://twitter.com/DeFrEnTck" xr:uid="{EAE91DEB-F06F-4917-A7E4-294C4D59C1A2}"/>
    <hyperlink ref="E1460" r:id="rId4396" display="https://twitter.com/DeFrEnTck/status/722686616280686593" xr:uid="{693479E3-997C-4958-8306-290DE0F080F9}"/>
    <hyperlink ref="O1460" r:id="rId4397" display="https://pbs.twimg.com/profile_images/2702974391/60b31d0c74e75deaec394e26d67e7fe5_normal.jpeg" xr:uid="{4C22DD6A-1FF4-402C-B825-6D7B97D17AD5}"/>
    <hyperlink ref="B1461" r:id="rId4398" display="https://twitter.com/HECGmbH" xr:uid="{A47D56FD-C580-44B1-88C3-20E0945314F3}"/>
    <hyperlink ref="E1461" r:id="rId4399" display="https://twitter.com/HECGmbH/status/722686814767726592" xr:uid="{F9118D41-03D1-46EC-9986-9305A0B58B15}"/>
    <hyperlink ref="O1461" r:id="rId4400" display="https://pbs.twimg.com/profile_images/573489564871888896/kGBNOLsh_normal.png" xr:uid="{71B20788-639A-4A32-AA95-62284855038E}"/>
    <hyperlink ref="B1462" r:id="rId4401" display="https://twitter.com/cmichoudpro" xr:uid="{FC4EF433-6BCA-42F7-BB27-928961EFC6A2}"/>
    <hyperlink ref="E1462" r:id="rId4402" display="https://twitter.com/cmichoudpro/status/722686849395855362" xr:uid="{8D071443-7711-4FB0-8746-8BFA1047BD0D}"/>
    <hyperlink ref="O1462" r:id="rId4403" display="https://pbs.twimg.com/profile_images/552048904053600256/eiO-AN6c_normal.jpeg" xr:uid="{80F427F3-E362-4B29-91E7-71B174BA9397}"/>
    <hyperlink ref="B1463" r:id="rId4404" display="https://twitter.com/bigdata_insider" xr:uid="{2948A22B-9988-4243-A3F7-C7A669B972C9}"/>
    <hyperlink ref="E1463" r:id="rId4405" display="https://twitter.com/bigdata_insider/status/722687015536472064" xr:uid="{6C6F0B6C-EB32-4FF2-BF1B-63A1D8863C17}"/>
    <hyperlink ref="O1463" r:id="rId4406" display="https://pbs.twimg.com/profile_images/494807363572875265/EUm9CELG_normal.jpeg" xr:uid="{17B14B77-0A65-4C84-9BE5-CBF166AEB43C}"/>
    <hyperlink ref="B1464" r:id="rId4407" display="https://twitter.com/itsOWL_Cluster" xr:uid="{1D7647C4-B7FF-4650-8A88-D44C0BB5334B}"/>
    <hyperlink ref="E1464" r:id="rId4408" display="https://twitter.com/itsOWL_Cluster/status/722688124443340801" xr:uid="{56C29BAC-BA52-4F69-B496-6440C6D0DF4A}"/>
    <hyperlink ref="O1464" r:id="rId4409" display="https://pbs.twimg.com/profile_images/3542998130/5e65449daa56d18e9aab7f6535dc25fc_normal.jpeg" xr:uid="{1AC72FA3-BA24-4486-B297-6560301A2512}"/>
    <hyperlink ref="B1465" r:id="rId4410" display="https://twitter.com/laszloetesi" xr:uid="{42FB2C37-CAA8-40E4-9950-7740F44FAB07}"/>
    <hyperlink ref="E1465" r:id="rId4411" display="https://twitter.com/laszloetesi/status/722688532314243072" xr:uid="{BC73DB7D-4113-48EF-B0CB-988CBC65D24D}"/>
    <hyperlink ref="O1465" r:id="rId4412" display="https://pbs.twimg.com/profile_images/657109140414844928/O0pxlAW0_normal.png" xr:uid="{41F5EF97-C02A-4243-A337-C3AA162577DF}"/>
    <hyperlink ref="B1466" r:id="rId4413" display="https://twitter.com/HOHMANN_Chris" xr:uid="{7DB3F3A2-C77B-44CA-B8DE-C976EC231422}"/>
    <hyperlink ref="E1466" r:id="rId4414" display="https://twitter.com/HOHMANN_Chris/status/722688848980013056" xr:uid="{513B607A-5C30-4E86-A3B8-F98594D4A10C}"/>
    <hyperlink ref="O1466" r:id="rId4415" display="https://pbs.twimg.com/profile_images/713694636490039296/ykcgR5ct_normal.jpg" xr:uid="{C18F306B-38EE-43BE-8536-8EA127EE96C2}"/>
    <hyperlink ref="B1467" r:id="rId4416" display="https://twitter.com/INDIZbot" xr:uid="{E483546F-A161-4B63-A6E5-0C027DB8CD8E}"/>
    <hyperlink ref="E1467" r:id="rId4417" display="https://twitter.com/INDIZbot/status/722689333791207424" xr:uid="{95941186-9B71-453E-9A5A-087DD75DB82A}"/>
    <hyperlink ref="O1467" r:id="rId4418" display="https://pbs.twimg.com/profile_images/645716711723925506/t5G0qOS6_normal.jpg" xr:uid="{5D12980F-F998-4529-92C7-A4B01605C797}"/>
    <hyperlink ref="B1468" r:id="rId4419" display="https://twitter.com/genuanews" xr:uid="{5E8B96C9-D8E1-4C95-9760-7A199192E3B1}"/>
    <hyperlink ref="E1468" r:id="rId4420" display="https://twitter.com/genuanews/status/722689421682876416" xr:uid="{7514304D-F1F9-475D-B93A-C48F77F274D7}"/>
    <hyperlink ref="O1468" r:id="rId4421" display="https://pbs.twimg.com/profile_images/2576159086/x3og0hhz2d60d9embrsg_normal.jpeg" xr:uid="{A358517E-ED83-4E49-90DE-02BE5897A77A}"/>
    <hyperlink ref="B1469" r:id="rId4422" display="https://twitter.com/guido_be" xr:uid="{7BC0F1A6-FDAE-4459-A54E-C077EC5316F3}"/>
    <hyperlink ref="E1469" r:id="rId4423" display="https://twitter.com/guido_be/status/722689536308940800" xr:uid="{B62B4FCB-1903-4E11-9685-799F1D93C55D}"/>
    <hyperlink ref="O1469" r:id="rId4424" display="https://pbs.twimg.com/profile_images/484964124443807744/0CuOxx2p_normal.jpeg" xr:uid="{74970E79-B6D5-40D4-AE34-B1A0FC387F93}"/>
    <hyperlink ref="B1470" r:id="rId4425" display="https://twitter.com/ConstanzeKrehl" xr:uid="{9FA11EC3-0C7E-4121-8D30-A20B49999846}"/>
    <hyperlink ref="E1470" r:id="rId4426" display="https://twitter.com/ConstanzeKrehl/status/722689632916389888" xr:uid="{E68930D8-6F35-49C9-80B5-7984D501AF2D}"/>
    <hyperlink ref="O1470" r:id="rId4427" display="https://pbs.twimg.com/profile_images/441190745840422914/Bq4NcGNl_normal.jpeg" xr:uid="{F6EEF7FD-CD34-4F0E-8ACB-E5BE17E2FA03}"/>
    <hyperlink ref="B1471" r:id="rId4428" display="https://twitter.com/IccNewsKultur" xr:uid="{788EA685-6FE8-4B48-B5A2-44C6A3949B29}"/>
    <hyperlink ref="E1471" r:id="rId4429" display="https://twitter.com/IccNewsKultur/status/722689787916918784" xr:uid="{132EBC1C-65D1-4DC7-B4AE-B409E4127319}"/>
    <hyperlink ref="O1471" r:id="rId4430" display="https://pbs.twimg.com/profile_images/699190600441196544/rwgvvgML_normal.jpg" xr:uid="{854AE26A-DB88-47E6-B3B5-B3D33E583920}"/>
    <hyperlink ref="B1472" r:id="rId4431" display="https://twitter.com/tresmo360" xr:uid="{184A51B1-C4AA-400D-9C4A-C0B7C589E78B}"/>
    <hyperlink ref="E1472" r:id="rId4432" display="https://twitter.com/tresmo360/status/722690181648752640" xr:uid="{5A696519-F983-4961-9C07-8A931BCD8B4D}"/>
    <hyperlink ref="O1472" r:id="rId4433" display="https://pbs.twimg.com/profile_images/606807918776877056/jQQIX31i_normal.png" xr:uid="{A2075E6E-83D8-45FE-A622-AADD004FB5B4}"/>
    <hyperlink ref="B1473" r:id="rId4434" display="https://twitter.com/Bitkom" xr:uid="{63E0A91C-9A59-421B-AC1E-2F5E7CF2BA90}"/>
    <hyperlink ref="E1473" r:id="rId4435" display="https://twitter.com/Bitkom/status/722690643475197954" xr:uid="{58238777-169B-4442-B545-EF5F324EDA02}"/>
    <hyperlink ref="O1473" r:id="rId4436" display="https://pbs.twimg.com/profile_images/615797525040136192/CKF9-v_o_normal.jpg" xr:uid="{4091F180-E0FA-43CE-8F31-8B6A32F05039}"/>
    <hyperlink ref="B1474" r:id="rId4437" display="https://twitter.com/equeoGmbH" xr:uid="{C693D1E4-90DE-4C5C-9C34-42C0CE79456B}"/>
    <hyperlink ref="E1474" r:id="rId4438" display="https://twitter.com/equeoGmbH/status/722691839527096320" xr:uid="{1F76F45E-260D-4949-B3F0-573852210239}"/>
    <hyperlink ref="O1474" r:id="rId4439" display="https://pbs.twimg.com/profile_images/557511432153993216/NBgQ5LsI_normal.jpeg" xr:uid="{B24238DA-2119-44E9-B964-7685D978C195}"/>
    <hyperlink ref="B1475" r:id="rId4440" display="https://twitter.com/HTxAlive" xr:uid="{CCA88C6C-5C30-4760-BD15-B06D241C407F}"/>
    <hyperlink ref="E1475" r:id="rId4441" display="https://twitter.com/HTxAlive/status/722692391401078785" xr:uid="{D2042B2C-EECD-400A-8EEA-9D3E27B8B563}"/>
    <hyperlink ref="O1475" r:id="rId4442" display="https://pbs.twimg.com/profile_images/705302839937990656/1KfW5-Ht_normal.jpg" xr:uid="{A6A86262-6D88-4807-BDD0-B85B6B094DD1}"/>
    <hyperlink ref="B1476" r:id="rId4443" display="https://twitter.com/HTxAlive" xr:uid="{FC26D11D-039B-4D3E-BCE2-E120D6A54CD9}"/>
    <hyperlink ref="E1476" r:id="rId4444" display="https://twitter.com/HTxAlive/status/722692980658827264" xr:uid="{78A50C85-BB30-487A-89C9-21F95A4BB387}"/>
    <hyperlink ref="O1476" r:id="rId4445" display="https://pbs.twimg.com/profile_images/705302839937990656/1KfW5-Ht_normal.jpg" xr:uid="{8AA037F1-8F5D-424D-9AC6-50F6FC0D41F5}"/>
    <hyperlink ref="P1476" r:id="rId4446" location="52.5057218,13.2747609" display="http://ctrlq.org/maps/address/ - 52.5057218,13.2747609" xr:uid="{7237D362-2374-47C3-A836-857C36312D44}"/>
    <hyperlink ref="B1477" r:id="rId4447" display="https://twitter.com/charlotte_hager" xr:uid="{6FB88FC7-5414-43F3-8263-EECA70E09CA7}"/>
    <hyperlink ref="E1477" r:id="rId4448" display="https://twitter.com/charlotte_hager/status/722694014286303232" xr:uid="{8ED66A03-6209-4FD5-8587-39CAC9C09B14}"/>
    <hyperlink ref="O1477" r:id="rId4449" display="https://pbs.twimg.com/profile_images/653152998374383616/eoBtv3l7_normal.jpg" xr:uid="{2AFE3AA4-F800-405D-98F3-7F397417DECA}"/>
    <hyperlink ref="B1478" r:id="rId4450" display="https://twitter.com/TLutzky" xr:uid="{0FBFB9D0-BFDF-4944-B82F-D5923802170B}"/>
    <hyperlink ref="E1478" r:id="rId4451" display="https://twitter.com/TLutzky/status/722694721110478849" xr:uid="{DC68FB6A-9114-4DF3-8340-ECE81D69825D}"/>
    <hyperlink ref="O1478" r:id="rId4452" display="https://pbs.twimg.com/profile_images/639760528215285760/XWLagToM_normal.jpg" xr:uid="{D077F55E-8C26-40FB-AF5E-8557522444E3}"/>
    <hyperlink ref="B1479" r:id="rId4453" display="https://twitter.com/hjvsch" xr:uid="{A9C14251-3333-4786-A5AE-F82D3424265C}"/>
    <hyperlink ref="E1479" r:id="rId4454" display="https://twitter.com/hjvsch/status/722696188303175680" xr:uid="{70B75501-FFE1-43BF-8874-B76166B3B7A8}"/>
    <hyperlink ref="O1479" r:id="rId4455" display="https://pbs.twimg.com/profile_images/704596570717683712/S63wpVif_normal.jpg" xr:uid="{495ADD46-399D-4E49-9D66-B99EED8847F5}"/>
    <hyperlink ref="B1480" r:id="rId4456" display="https://twitter.com/automatisierer" xr:uid="{8FF9CA9D-F55A-441E-A686-30DC0672E526}"/>
    <hyperlink ref="E1480" r:id="rId4457" display="https://twitter.com/automatisierer/status/722696390024032256" xr:uid="{9C3D2EA9-B9AE-43B6-A142-CE48ACC92351}"/>
    <hyperlink ref="O1480" r:id="rId4458" display="https://pbs.twimg.com/profile_images/378989830/Reinhard-Portrait_normal.jpg" xr:uid="{DE21F563-F60D-4AAF-ACF4-2E151C04A8FB}"/>
    <hyperlink ref="B1481" r:id="rId4459" display="https://twitter.com/genuanews" xr:uid="{0C7BE482-09EE-4E63-AC37-92B80671D502}"/>
    <hyperlink ref="E1481" r:id="rId4460" display="https://twitter.com/genuanews/status/722696413994426369" xr:uid="{7AB70334-EE0D-4C56-A74D-30E081DB0474}"/>
    <hyperlink ref="O1481" r:id="rId4461" display="https://pbs.twimg.com/profile_images/2576159086/x3og0hhz2d60d9embrsg_normal.jpeg" xr:uid="{7DEB64AC-2E90-4B31-AC55-297625AF960F}"/>
    <hyperlink ref="B1482" r:id="rId4462" display="https://twitter.com/Alex_Stocker" xr:uid="{2A52F874-DA0E-4C17-A305-9974F38A0824}"/>
    <hyperlink ref="E1482" r:id="rId4463" display="https://twitter.com/Alex_Stocker/status/722697160836440064" xr:uid="{2986A3F5-F2E3-4C3A-A9DE-3A53839990DD}"/>
    <hyperlink ref="O1482" r:id="rId4464" display="https://pbs.twimg.com/profile_images/568238852/astocker_normal.png" xr:uid="{D414007E-FD62-484D-A125-945C3A29EEC6}"/>
    <hyperlink ref="B1483" r:id="rId4465" display="https://twitter.com/ANIS_RO" xr:uid="{9CC3EB1F-B798-4074-97A7-464A8B37528B}"/>
    <hyperlink ref="E1483" r:id="rId4466" display="https://twitter.com/ANIS_RO/status/722697391137243138" xr:uid="{89439690-0DA9-4A5C-A2D8-18803DCC42CE}"/>
    <hyperlink ref="O1483" r:id="rId4467" display="https://pbs.twimg.com/profile_images/378800000613624199/4e7df2f6ed26025ae62df3645a2dc6e0_normal.png" xr:uid="{6702FB1F-CECA-49AA-A882-BB5E5B367EA9}"/>
    <hyperlink ref="B1484" r:id="rId4468" display="https://twitter.com/eacorg" xr:uid="{6FC172EA-0526-4D91-A558-E93E93A63002}"/>
    <hyperlink ref="E1484" r:id="rId4469" display="https://twitter.com/eacorg/status/722697536234983424" xr:uid="{8299DE24-0DDF-4FE4-BD37-3E9FEA4E259B}"/>
    <hyperlink ref="O1484" r:id="rId4470" display="https://pbs.twimg.com/profile_images/707826907/Uwe-Weber-2010-redux_normal.jpg" xr:uid="{AF3F99F5-2038-4766-9DA9-48AEE095741D}"/>
    <hyperlink ref="B1485" r:id="rId4471" display="https://twitter.com/Standards_More" xr:uid="{4D977D3B-1FA2-4416-982D-A418631CB878}"/>
    <hyperlink ref="E1485" r:id="rId4472" display="https://twitter.com/Standards_More/status/722697578354196480" xr:uid="{209BDBE8-02E4-4BAD-8F43-66CCDE120C6A}"/>
    <hyperlink ref="O1485" r:id="rId4473" display="https://pbs.twimg.com/profile_images/1824628700/SAM-Logo_2007_post_normal.jpg" xr:uid="{74A94A1B-B020-4F1B-98FC-94AEB3A3C6BB}"/>
    <hyperlink ref="B1486" r:id="rId4474" display="https://twitter.com/Tiba_Schweiz" xr:uid="{AE3F7B9A-E892-4397-8C7C-2F14782FA6A1}"/>
    <hyperlink ref="E1486" r:id="rId4475" display="https://twitter.com/Tiba_Schweiz/status/722697751167963136" xr:uid="{B1753FAE-DCFB-4D76-A6EC-4200C1ADAE07}"/>
    <hyperlink ref="O1486" r:id="rId4476" display="https://pbs.twimg.com/profile_images/705270537073852416/CZoAp0su_normal.jpg" xr:uid="{E122CBA3-8DCA-4F8F-A756-DF40B4BCA7BF}"/>
    <hyperlink ref="B1487" r:id="rId4477" display="https://twitter.com/Tiba_Schweiz" xr:uid="{505C25C8-CF2B-4104-BC85-92D95E39569F}"/>
    <hyperlink ref="E1487" r:id="rId4478" display="https://twitter.com/Tiba_Schweiz/status/722697758713507841" xr:uid="{E2874076-6557-4C6A-A543-9C3FD7C07348}"/>
    <hyperlink ref="O1487" r:id="rId4479" display="https://pbs.twimg.com/profile_images/705270537073852416/CZoAp0su_normal.jpg" xr:uid="{B068AC4B-722F-44AF-B2DA-4D45EDCFBB39}"/>
    <hyperlink ref="B1488" r:id="rId4480" display="https://twitter.com/Tiba_Schweiz" xr:uid="{F5F944D2-E479-4BDA-B1AB-EC9B314E1322}"/>
    <hyperlink ref="E1488" r:id="rId4481" display="https://twitter.com/Tiba_Schweiz/status/722697853253132289" xr:uid="{FDB1A439-6F90-4A99-B32F-71F88BA63960}"/>
    <hyperlink ref="O1488" r:id="rId4482" display="https://pbs.twimg.com/profile_images/705270537073852416/CZoAp0su_normal.jpg" xr:uid="{289990A8-3DA8-463C-89C1-36B36C1E6784}"/>
    <hyperlink ref="B1489" r:id="rId4483" display="https://twitter.com/Westfalenlob" xr:uid="{36B9CB79-3A97-4769-AE8E-5531E7949AF6}"/>
    <hyperlink ref="E1489" r:id="rId4484" display="https://twitter.com/Westfalenlob/status/722698417357635584" xr:uid="{75DCE534-2D45-455C-80BA-13049F2C8FD7}"/>
    <hyperlink ref="O1489" r:id="rId4485" display="https://pbs.twimg.com/profile_images/1363489885/WestfalenUndRoss_normal.jpg" xr:uid="{7E920832-2B85-4D17-8AC9-5C7380166199}"/>
    <hyperlink ref="B1490" r:id="rId4486" display="https://twitter.com/Restaurator_Tom" xr:uid="{A1311A55-255E-4089-B732-CDBA88D6D02E}"/>
    <hyperlink ref="E1490" r:id="rId4487" display="https://twitter.com/Restaurator_Tom/status/722698593656782848" xr:uid="{09355A4B-3FD5-4697-A508-3098BFFBA930}"/>
    <hyperlink ref="F1490" r:id="rId4488" xr:uid="{F1DB4AEA-F573-414A-88AF-7490AE48F20D}"/>
    <hyperlink ref="O1490" r:id="rId4489" display="https://pbs.twimg.com/profile_images/705317885430751232/jLPYL-U3_normal.jpg" xr:uid="{52D912E8-9A44-4359-9F70-A7F26D26E071}"/>
    <hyperlink ref="B1491" r:id="rId4490" display="https://twitter.com/thilodotzel" xr:uid="{84D300BB-D1B1-4909-9480-62275FA751FE}"/>
    <hyperlink ref="E1491" r:id="rId4491" display="https://twitter.com/thilodotzel/status/722699333284589568" xr:uid="{1D10ADD9-8CA1-4CF7-9AE2-FA2531EB5CA1}"/>
    <hyperlink ref="F1491" r:id="rId4492" xr:uid="{EF4842E7-A2E7-4160-98D0-640D916024D7}"/>
    <hyperlink ref="O1491" r:id="rId4493" display="https://pbs.twimg.com/profile_images/717293785496100864/tZBjA_R8_normal.jpg" xr:uid="{6D0B32FD-71B6-4A48-B293-2636FCF6C629}"/>
    <hyperlink ref="B1492" r:id="rId4494" display="https://twitter.com/FHNWTechnik" xr:uid="{B0E9175D-25B1-4151-8B82-473173F03166}"/>
    <hyperlink ref="E1492" r:id="rId4495" display="https://twitter.com/FHNWTechnik/status/722699424099647488" xr:uid="{A110A2E7-9BA1-40CB-8502-5661DFC0053E}"/>
    <hyperlink ref="O1492" r:id="rId4496" display="https://pbs.twimg.com/profile_images/662199310969360384/A66r-VNa_normal.jpg" xr:uid="{CBB63DB0-EA4A-494F-BB26-52879786BF0E}"/>
    <hyperlink ref="B1493" r:id="rId4497" display="https://twitter.com/Pointernil" xr:uid="{87709FD6-26DC-45B8-B99A-82C399B734AB}"/>
    <hyperlink ref="E1493" r:id="rId4498" display="https://twitter.com/Pointernil/status/722699473831505922" xr:uid="{A4315E9E-9B02-403A-91BB-6731832D5224}"/>
    <hyperlink ref="O1493" r:id="rId4499" display="https://pbs.twimg.com/profile_images/662965789750784001/iRHsNe6D_normal.png" xr:uid="{740624C1-EC02-4972-B3FC-ED1864F0B7D6}"/>
    <hyperlink ref="B1494" r:id="rId4500" display="https://twitter.com/iotsecurity2" xr:uid="{8440C82E-6D6C-4026-B8EE-05FE62611C8D}"/>
    <hyperlink ref="E1494" r:id="rId4501" display="https://twitter.com/iotsecurity2/status/722699726131437568" xr:uid="{766FE8D0-02DE-411C-B61D-9966BBB0B4BB}"/>
    <hyperlink ref="O1494" r:id="rId4502" display="https://abs.twimg.com/sticky/default_profile_images/default_profile_3_normal.png" xr:uid="{E9B83633-B0C3-43D8-AC26-95A5262124BC}"/>
    <hyperlink ref="B1495" r:id="rId4503" display="https://twitter.com/personalmagazin" xr:uid="{94D1C0F8-5054-4CB3-8A18-E4C5AB48EBD6}"/>
    <hyperlink ref="E1495" r:id="rId4504" display="https://twitter.com/personalmagazin/status/722700385102798848" xr:uid="{4465BF2F-D9B2-4873-BFB9-ADAC9ADA0639}"/>
    <hyperlink ref="O1495" r:id="rId4505" display="https://pbs.twimg.com/profile_images/443336398787977216/P5ha3qOJ_normal.jpeg" xr:uid="{C46D2F74-BB73-47AA-B4D7-34C5CCAB3755}"/>
    <hyperlink ref="B1496" r:id="rId4506" display="https://twitter.com/KUKA_Presse" xr:uid="{5CF4E199-37DE-4F95-95B7-62F6EED30B27}"/>
    <hyperlink ref="E1496" r:id="rId4507" display="https://twitter.com/KUKA_Presse/status/722700694206197761" xr:uid="{6A8F0E14-D402-440F-BC86-DDF8C3C90052}"/>
    <hyperlink ref="O1496" r:id="rId4508" display="https://pbs.twimg.com/profile_images/702049280098443264/NIaxL0xT_normal.png" xr:uid="{F01B12BB-4305-4569-AD58-D783D9805033}"/>
    <hyperlink ref="B1497" r:id="rId4509" display="https://twitter.com/tobias_goers" xr:uid="{69CAA735-22FD-4614-8A1D-60831C3ED84E}"/>
    <hyperlink ref="E1497" r:id="rId4510" display="https://twitter.com/tobias_goers/status/722700704960417792" xr:uid="{B1CE5A4E-9E5A-4EEC-9E54-85439BEFBCBE}"/>
    <hyperlink ref="O1497" r:id="rId4511" display="https://pbs.twimg.com/profile_images/619429467434434560/ywWYiH5V_normal.jpg" xr:uid="{8E3C6C61-434B-4DA8-8451-EFCB0C5BB00A}"/>
    <hyperlink ref="B1498" r:id="rId4512" display="https://twitter.com/MEBerufe_Info" xr:uid="{12652FB3-3262-4CB5-849B-E44F3D57E148}"/>
    <hyperlink ref="E1498" r:id="rId4513" display="https://twitter.com/MEBerufe_Info/status/722701114941050880" xr:uid="{088432F8-FC0E-4ED9-8180-FB4608F4010E}"/>
    <hyperlink ref="O1498" r:id="rId4514" display="https://pbs.twimg.com/profile_images/486853008827744257/3Bhu5CbU_normal.jpeg" xr:uid="{1558A353-BF15-47E6-8405-32E5DCA371E6}"/>
    <hyperlink ref="B1499" r:id="rId4515" display="https://twitter.com/onlinebynature" xr:uid="{E67B81DE-8EB2-4B43-BA6F-C7B913CB1361}"/>
    <hyperlink ref="E1499" r:id="rId4516" display="https://twitter.com/onlinebynature/status/722701148193480704" xr:uid="{943B0512-639F-4BAD-A537-1F1C11556AFD}"/>
    <hyperlink ref="O1499" r:id="rId4517" display="https://pbs.twimg.com/profile_images/603837616006569984/XWtLqpC6_normal.png" xr:uid="{439C2AA1-1805-4560-981B-F2A73207607E}"/>
    <hyperlink ref="B1500" r:id="rId4518" display="https://twitter.com/Gruendercoaches" xr:uid="{B60AF70F-7C27-4B0C-BA57-816804AD3DB9}"/>
    <hyperlink ref="E1500" r:id="rId4519" display="https://twitter.com/Gruendercoaches/status/722701288098676737" xr:uid="{FAE24806-64FD-4628-95BE-BD0BD771CD22}"/>
    <hyperlink ref="O1500" r:id="rId4520" display="https://pbs.twimg.com/profile_images/561208179355185153/11KDu7Gt_normal.png" xr:uid="{77573BB2-A83B-4B9F-B037-F4180E495D7F}"/>
    <hyperlink ref="B1501" r:id="rId4521" display="https://twitter.com/ZVEIorg" xr:uid="{2E420AE5-13AC-4A7D-BEAD-23104E383AA3}"/>
    <hyperlink ref="E1501" r:id="rId4522" display="https://twitter.com/ZVEIorg/status/722701375403069440" xr:uid="{7B3C1786-8DA6-4C0E-926E-DA306C38657A}"/>
    <hyperlink ref="O1501" r:id="rId4523" display="https://pbs.twimg.com/profile_images/479147477975588864/z94n3mRF_normal.jpeg" xr:uid="{EEA18D90-81CC-41A0-9C89-CFAF45B5CDBE}"/>
    <hyperlink ref="B1502" r:id="rId4524" display="https://twitter.com/acquisa" xr:uid="{143390F6-FB15-42C7-85F9-7F9D86FAC9C9}"/>
    <hyperlink ref="E1502" r:id="rId4525" display="https://twitter.com/acquisa/status/722702212602978304" xr:uid="{AFF6248A-5666-4C37-83E5-A764A12B8D52}"/>
    <hyperlink ref="O1502" r:id="rId4526" display="https://pbs.twimg.com/profile_images/676371978190610433/e2DDyqhy_normal.png" xr:uid="{9709E8D4-3FB4-4805-A15A-2364B0D30DD2}"/>
    <hyperlink ref="B1503" r:id="rId4527" display="https://twitter.com/Digitalwandel" xr:uid="{B280D56A-FBD1-44AD-B77B-18030CC8B111}"/>
    <hyperlink ref="E1503" r:id="rId4528" display="https://twitter.com/Digitalwandel/status/722702403926147072" xr:uid="{CC364EF9-0A00-498C-ADB8-28A486ABED97}"/>
    <hyperlink ref="O1503" r:id="rId4529" display="https://pbs.twimg.com/profile_images/674519613540028416/q2O0J-Hi_normal.jpg" xr:uid="{2CBB328B-4CBC-473B-A787-2A2015E4654E}"/>
    <hyperlink ref="B1504" r:id="rId4530" display="https://twitter.com/d4t4v1z" xr:uid="{3BD1E785-2D03-4A26-A041-67F11379EE86}"/>
    <hyperlink ref="E1504" r:id="rId4531" display="https://twitter.com/d4t4v1z/status/722702674194538496" xr:uid="{16846771-447A-4151-8334-8028F6BCECFF}"/>
    <hyperlink ref="O1504" r:id="rId4532" display="https://pbs.twimg.com/profile_images/688820224167145472/kdbI9It6_normal.png" xr:uid="{252F0165-0D95-4351-AE23-B4E41449D5CF}"/>
    <hyperlink ref="B1505" r:id="rId4533" display="https://twitter.com/BSAHbiz" xr:uid="{54CFBC65-BB05-4C87-8190-8644BC65B1A2}"/>
    <hyperlink ref="E1505" r:id="rId4534" display="https://twitter.com/BSAHbiz/status/722702739994714112" xr:uid="{B5ADFBEF-173F-4E00-87B6-9658A5725B12}"/>
    <hyperlink ref="O1505" r:id="rId4535" display="https://pbs.twimg.com/profile_images/709479158489948161/NxFpURG3_normal.jpg" xr:uid="{DE094362-81AA-49D9-BF1E-34B69C7E376E}"/>
    <hyperlink ref="B1506" r:id="rId4536" display="https://twitter.com/tuevnord" xr:uid="{8FFCCA99-2858-4A01-BCD8-4BB219E62F9B}"/>
    <hyperlink ref="E1506" r:id="rId4537" display="https://twitter.com/tuevnord/status/722703028122468352" xr:uid="{717D6EFA-FBE1-495A-AEC0-D4B8F0BC52E9}"/>
    <hyperlink ref="O1506" r:id="rId4538" display="https://pbs.twimg.com/profile_images/378800000104294821/5a742075b9441c9de8a86c75a712b0c7_normal.png" xr:uid="{1D2E5BB2-84D6-45B2-88F3-366AC7283B48}"/>
    <hyperlink ref="B1507" r:id="rId4539" display="https://twitter.com/MarianKoeller" xr:uid="{EFA7A5E1-50AA-47F6-8469-010B3D117E0B}"/>
    <hyperlink ref="E1507" r:id="rId4540" display="https://twitter.com/MarianKoeller/status/722703185773768704" xr:uid="{F3C56B96-7269-438F-BF10-0E6F98175EB0}"/>
    <hyperlink ref="O1507" r:id="rId4541" display="https://pbs.twimg.com/profile_images/701004613206433792/o4DJfA8-_normal.jpg" xr:uid="{A9EA2C18-5B46-4083-9D5E-DCE01E0FB7A6}"/>
    <hyperlink ref="B1508" r:id="rId4542" display="https://twitter.com/GOettingerEU" xr:uid="{1EEE8A88-6C3D-45F0-B739-AC6F21F460EA}"/>
    <hyperlink ref="E1508" r:id="rId4543" display="https://twitter.com/GOettingerEU/status/722703555640041472" xr:uid="{D00CFBA1-B4BA-495D-9A21-A47576B09AB2}"/>
    <hyperlink ref="O1508" r:id="rId4544" display="https://pbs.twimg.com/profile_images/2698310449/0da9a659e7a30abe7633746b7ada9ef7_normal.jpeg" xr:uid="{158D90B2-83A3-4B77-AED9-E30DC12B0D71}"/>
    <hyperlink ref="B1509" r:id="rId4545" display="https://twitter.com/INDIZbot" xr:uid="{2612A759-5F0B-4C83-B0DE-47301624A514}"/>
    <hyperlink ref="E1509" r:id="rId4546" display="https://twitter.com/INDIZbot/status/722704229077491716" xr:uid="{E66031D6-7440-43D6-AC73-6CA7555AF62A}"/>
    <hyperlink ref="O1509" r:id="rId4547" display="https://pbs.twimg.com/profile_images/645716711723925506/t5G0qOS6_normal.jpg" xr:uid="{0EBBBE96-087D-4C69-AF11-603E5B34EC20}"/>
    <hyperlink ref="B1510" r:id="rId4548" display="https://twitter.com/INDIZbot" xr:uid="{EFA36A75-8C5D-4F37-A857-DC720F65F5E5}"/>
    <hyperlink ref="E1510" r:id="rId4549" display="https://twitter.com/INDIZbot/status/722704514562830336" xr:uid="{2AF6EAFA-6FF1-429E-9849-9F24F395232A}"/>
    <hyperlink ref="O1510" r:id="rId4550" display="https://pbs.twimg.com/profile_images/645716711723925506/t5G0qOS6_normal.jpg" xr:uid="{09119497-BD71-4FAD-8213-CBBA789D0B61}"/>
    <hyperlink ref="B1511" r:id="rId4551" display="https://twitter.com/AltenaTCS" xr:uid="{76E04DD9-C765-4D74-8074-3ECF0BC4CE3E}"/>
    <hyperlink ref="E1511" r:id="rId4552" display="https://twitter.com/AltenaTCS/status/722704802858344448" xr:uid="{0951292B-46E9-4BEB-8907-4D38A6B29027}"/>
    <hyperlink ref="O1511" r:id="rId4553" display="https://pbs.twimg.com/profile_images/709648582048157696/BnZ5RzQA_normal.jpg" xr:uid="{C6019BC8-CD88-4699-BD4D-270BA7A2AB46}"/>
    <hyperlink ref="B1512" r:id="rId4554" display="https://twitter.com/conosco" xr:uid="{E6B86F27-C7F6-4CDB-B120-E3DE7996D67A}"/>
    <hyperlink ref="E1512" r:id="rId4555" display="https://twitter.com/conosco/status/722704864136929280" xr:uid="{F7BB318A-417C-4E47-8344-8F9EDE16653F}"/>
    <hyperlink ref="O1512" r:id="rId4556" display="https://pbs.twimg.com/profile_images/459441279181398016/MmGzaeIu_normal.jpeg" xr:uid="{4943DBDA-2A28-4E2E-B400-7BE89A4562A0}"/>
    <hyperlink ref="B1513" r:id="rId4557" display="https://twitter.com/MEArbeitgeber" xr:uid="{A0A5BEBD-353C-484D-BF1D-4B8C481E60B0}"/>
    <hyperlink ref="E1513" r:id="rId4558" display="https://twitter.com/MEArbeitgeber/status/722705135252729857" xr:uid="{9360AAE6-2054-416C-AF3D-644A0D2A2659}"/>
    <hyperlink ref="O1513" r:id="rId4559" display="https://pbs.twimg.com/profile_images/572722352144666624/2G6VnJJx_normal.jpeg" xr:uid="{13C23D92-E1FE-421D-A3DB-186B45B170B0}"/>
    <hyperlink ref="B1514" r:id="rId4560" display="https://twitter.com/Gesamtmetall" xr:uid="{96CE1913-F668-4D28-96C9-094D02F2A1A8}"/>
    <hyperlink ref="E1514" r:id="rId4561" display="https://twitter.com/Gesamtmetall/status/722705137299546112" xr:uid="{B45BBD6F-DEB2-4C2D-93E8-3A28E62A9099}"/>
    <hyperlink ref="O1514" r:id="rId4562" display="https://pbs.twimg.com/profile_images/572721926804488192/AGAGHTgy_normal.jpeg" xr:uid="{2FF0F62A-12FE-4091-B294-356534C5075D}"/>
    <hyperlink ref="B1515" r:id="rId4563" display="https://twitter.com/Bitkom_I40" xr:uid="{401A0374-78BE-4F90-A90A-964BA216EFC1}"/>
    <hyperlink ref="E1515" r:id="rId4564" display="https://twitter.com/Bitkom_I40/status/722705204609753089" xr:uid="{4CB8AE78-9062-4370-94E2-D3925064732D}"/>
    <hyperlink ref="O1515" r:id="rId4565" display="https://pbs.twimg.com/profile_images/723407487395713024/0hZv7R8S_normal.jpg" xr:uid="{47E39D86-0388-4316-9C8E-C6751C8C3BA6}"/>
    <hyperlink ref="B1516" r:id="rId4566" display="https://twitter.com/JoernDettmer83" xr:uid="{68A7A3AA-93A8-43B9-B2B6-00E2BF4E65DF}"/>
    <hyperlink ref="E1516" r:id="rId4567" display="https://twitter.com/JoernDettmer83/status/722705270607097856" xr:uid="{3B16FAB9-E5BF-47B7-AAA3-BD77FCB42A0C}"/>
    <hyperlink ref="O1516" r:id="rId4568" display="https://pbs.twimg.com/profile_images/640594106796908544/q8Ef1oCL_normal.jpg" xr:uid="{68955701-2D77-4C25-A2E0-161AE83362C0}"/>
    <hyperlink ref="B1517" r:id="rId4569" display="https://twitter.com/Bitkom" xr:uid="{3B3B3B51-D9B4-4DF6-B6CD-538FFEEEAF17}"/>
    <hyperlink ref="E1517" r:id="rId4570" display="https://twitter.com/Bitkom/status/722705695712407552" xr:uid="{08833CFC-EB2A-46F9-B3B1-4402471BD405}"/>
    <hyperlink ref="O1517" r:id="rId4571" display="https://pbs.twimg.com/profile_images/615797525040136192/CKF9-v_o_normal.jpg" xr:uid="{149BF264-E522-4271-BEB8-650D8EACC9D5}"/>
    <hyperlink ref="B1518" r:id="rId4572" display="https://twitter.com/MarianKoeller" xr:uid="{89680D2E-5475-4610-988A-51C7E4358056}"/>
    <hyperlink ref="E1518" r:id="rId4573" display="https://twitter.com/MarianKoeller/status/722706221933981696" xr:uid="{614184D1-3ADB-4442-A556-EECD38ABA941}"/>
    <hyperlink ref="O1518" r:id="rId4574" display="https://pbs.twimg.com/profile_images/701004613206433792/o4DJfA8-_normal.jpg" xr:uid="{FE78CE57-9DB7-4FB4-B92A-6CE235C48DCB}"/>
    <hyperlink ref="B1519" r:id="rId4575" display="https://twitter.com/MartinAtICSag" xr:uid="{AE85EBE1-2D73-4D90-99AF-7A5C79089F02}"/>
    <hyperlink ref="E1519" r:id="rId4576" display="https://twitter.com/MartinAtICSag/status/722706302816927749" xr:uid="{631823BC-AB4B-40C5-9CBE-39D520BF2E06}"/>
    <hyperlink ref="O1519" r:id="rId4577" display="https://pbs.twimg.com/profile_images/707099011698835456/DLltMEAE_normal.jpg" xr:uid="{E59E20CC-F151-4736-AC30-F929C4B1031F}"/>
    <hyperlink ref="B1520" r:id="rId4578" display="https://twitter.com/schroederluegde" xr:uid="{0FB6292F-3424-4BFE-9CB2-838613954927}"/>
    <hyperlink ref="E1520" r:id="rId4579" display="https://twitter.com/schroederluegde/status/722706357917478913" xr:uid="{C65127BC-48A4-4E18-A395-9A85FF8D1E9D}"/>
    <hyperlink ref="O1520" r:id="rId4580" display="https://pbs.twimg.com/profile_images/378800000461229603/54dcc490f17c8812011cde76385f9b9d_normal.jpeg" xr:uid="{3EECBE1C-A04B-4077-8937-085E6DD5763B}"/>
    <hyperlink ref="B1521" r:id="rId4581" display="https://twitter.com/CSC_DE" xr:uid="{D5CEAF9C-ABFC-4116-B374-DA1F47379438}"/>
    <hyperlink ref="E1521" r:id="rId4582" display="https://twitter.com/CSC_DE/status/722706438276136961" xr:uid="{C9CE46A5-DCFC-47B9-88D6-FBE8DCB6E42F}"/>
    <hyperlink ref="O1521" r:id="rId4583" display="https://pbs.twimg.com/profile_images/567361028199940096/6Yeb6Avd_normal.jpeg" xr:uid="{9CE90FA9-2106-40F2-81F0-420B425BE4A0}"/>
    <hyperlink ref="B1522" r:id="rId4584" display="https://twitter.com/ElkeStei" xr:uid="{65056E9B-1A0C-4521-939E-E0EB3856AC57}"/>
    <hyperlink ref="E1522" r:id="rId4585" display="https://twitter.com/ElkeStei/status/722707272124796928" xr:uid="{93541EC3-E136-43C0-AAE9-080DE832E892}"/>
    <hyperlink ref="O1522" r:id="rId4586" display="https://pbs.twimg.com/profile_images/617379223972499456/mB9LBMsl_normal.jpg" xr:uid="{3436D9C0-D94C-45E7-A7B6-42A045A73972}"/>
    <hyperlink ref="B1523" r:id="rId4587" display="https://twitter.com/DKEAktuell" xr:uid="{0E837D06-29FA-4886-8F64-C2CDFB6E84EE}"/>
    <hyperlink ref="E1523" r:id="rId4588" display="https://twitter.com/DKEAktuell/status/722707600899497984" xr:uid="{A3525E9F-C300-4ACD-9EFB-A8E53BD7152D}"/>
    <hyperlink ref="O1523" r:id="rId4589" display="https://pbs.twimg.com/profile_images/465817969902092288/sEIgw9Gb_normal.jpeg" xr:uid="{D63546FA-0B4F-4C46-ABE9-2EFC2857302B}"/>
    <hyperlink ref="B1524" r:id="rId4590" display="https://twitter.com/AltenaTCS" xr:uid="{0EB37727-23FB-4C71-8FEB-C63596A41BDD}"/>
    <hyperlink ref="E1524" r:id="rId4591" display="https://twitter.com/AltenaTCS/status/722707787491446784" xr:uid="{41C359B7-536B-4E53-AC7E-D83D11267971}"/>
    <hyperlink ref="O1524" r:id="rId4592" display="https://pbs.twimg.com/profile_images/709648582048157696/BnZ5RzQA_normal.jpg" xr:uid="{E5258EF5-178D-451C-91B5-20C1767460B0}"/>
    <hyperlink ref="B1525" r:id="rId4593" display="https://twitter.com/GermanIOD" xr:uid="{EA9766C8-4EA7-4A94-B3C8-4987DB18B1D4}"/>
    <hyperlink ref="E1525" r:id="rId4594" display="https://twitter.com/GermanIOD/status/722707802272215040" xr:uid="{3842F60A-D66B-41AB-AA96-09F056D120A3}"/>
    <hyperlink ref="O1525" r:id="rId4595" display="https://pbs.twimg.com/profile_images/637652033793851392/sK5pDpLB_normal.png" xr:uid="{B4CBB02F-B7A7-4F5A-83AE-3346D84F647F}"/>
    <hyperlink ref="B1526" r:id="rId4596" display="https://twitter.com/croXXing_IBD" xr:uid="{6C18254B-CA8C-468A-9303-E7BCA09722F0}"/>
    <hyperlink ref="E1526" r:id="rId4597" display="https://twitter.com/croXXing_IBD/status/722707882232430593" xr:uid="{9266CDCA-09B8-4FC1-B40D-728830BFD437}"/>
    <hyperlink ref="O1526" r:id="rId4598" display="https://pbs.twimg.com/profile_images/600279861282869249/IpIJ3MKX_normal.png" xr:uid="{FF3078EC-37DA-4675-9677-7788274BA4C9}"/>
    <hyperlink ref="B1527" r:id="rId4599" display="https://twitter.com/ElkeStei" xr:uid="{A96666A4-93FD-43FC-8AA9-79B3D4027EB6}"/>
    <hyperlink ref="E1527" r:id="rId4600" display="https://twitter.com/ElkeStei/status/722707966525337600" xr:uid="{1D682668-FE2D-4F6E-8B2E-2B3467F9DD73}"/>
    <hyperlink ref="O1527" r:id="rId4601" display="https://pbs.twimg.com/profile_images/617379223972499456/mB9LBMsl_normal.jpg" xr:uid="{2AD92D85-ABBA-40E0-A652-665A7C1A6C3B}"/>
    <hyperlink ref="B1528" r:id="rId4602" display="https://twitter.com/DKEAktuell" xr:uid="{989AB753-B65F-4F03-A2B5-D77BDB70D9D2}"/>
    <hyperlink ref="E1528" r:id="rId4603" display="https://twitter.com/DKEAktuell/status/722708179830837249" xr:uid="{FED1B6E2-7944-4F87-9C4A-E927DE9273E3}"/>
    <hyperlink ref="O1528" r:id="rId4604" display="https://pbs.twimg.com/profile_images/465817969902092288/sEIgw9Gb_normal.jpeg" xr:uid="{4115D09C-1894-4DCF-9B23-394248AE8E76}"/>
    <hyperlink ref="B1529" r:id="rId4605" display="https://twitter.com/DKEAktuell" xr:uid="{A43197C7-3B9D-49F8-BC2C-BA089629307D}"/>
    <hyperlink ref="E1529" r:id="rId4606" display="https://twitter.com/DKEAktuell/status/722708420474900480" xr:uid="{9B24B767-C8A1-4F13-B821-163309D49B26}"/>
    <hyperlink ref="O1529" r:id="rId4607" display="https://pbs.twimg.com/profile_images/465817969902092288/sEIgw9Gb_normal.jpeg" xr:uid="{DD1A8E04-E012-47D0-8F3A-0C0B59832213}"/>
    <hyperlink ref="B1530" r:id="rId4608" display="https://twitter.com/catkinEU" xr:uid="{2AC83074-A7BE-4104-A48C-FCBEAFABCB0C}"/>
    <hyperlink ref="E1530" r:id="rId4609" display="https://twitter.com/catkinEU/status/722708910604468225" xr:uid="{98D9E76E-F9AF-4DF0-9E02-84D595566167}"/>
    <hyperlink ref="O1530" r:id="rId4610" display="https://pbs.twimg.com/profile_images/604338428227010560/6jzSa8us_normal.png" xr:uid="{C1929747-DDA4-405B-8B7D-97A9E1AFA41C}"/>
    <hyperlink ref="B1531" r:id="rId4611" display="https://twitter.com/ROKAutomationDE" xr:uid="{A03373B6-3C79-4BBC-9104-579555856C5E}"/>
    <hyperlink ref="E1531" r:id="rId4612" display="https://twitter.com/ROKAutomationDE/status/722709015940198401" xr:uid="{0BCA0831-C7B1-4AAA-9248-9F72C79CA0A0}"/>
    <hyperlink ref="O1531" r:id="rId4613" display="https://pbs.twimg.com/profile_images/495214827963297793/ZW7qWnoK_normal.jpeg" xr:uid="{6795FE31-01B7-4A0C-93E1-A14BE349014F}"/>
    <hyperlink ref="B1532" r:id="rId4614" display="https://twitter.com/ITK_OWL" xr:uid="{A01CD6EF-56FC-4CF8-B5C7-CB8D4351B754}"/>
    <hyperlink ref="E1532" r:id="rId4615" display="https://twitter.com/ITK_OWL/status/722709172450627584" xr:uid="{4710B608-2E10-42A6-9832-5E960BF6DECA}"/>
    <hyperlink ref="O1532" r:id="rId4616" display="https://pbs.twimg.com/profile_images/601673968551075840/MnulnKkj_normal.png" xr:uid="{4995571E-FE31-439C-BAC6-CB0D2BB21BA2}"/>
    <hyperlink ref="B1533" r:id="rId4617" display="https://twitter.com/INDIZbot" xr:uid="{296B2FED-0D07-41DC-8F11-173DE5554424}"/>
    <hyperlink ref="E1533" r:id="rId4618" display="https://twitter.com/INDIZbot/status/722709174090604544" xr:uid="{0D184989-C373-4E0C-9E0C-2A839F1F52CA}"/>
    <hyperlink ref="O1533" r:id="rId4619" display="https://pbs.twimg.com/profile_images/645716711723925506/t5G0qOS6_normal.jpg" xr:uid="{E58E8873-E65D-42B6-AF49-7B825119D4BD}"/>
    <hyperlink ref="B1534" r:id="rId4620" display="https://twitter.com/INDIZbot" xr:uid="{04CF960F-333A-4966-B42D-347A2FB62179}"/>
    <hyperlink ref="E1534" r:id="rId4621" display="https://twitter.com/INDIZbot/status/722709231863009280" xr:uid="{7CFD5971-228D-438A-8858-52DC04E901FD}"/>
    <hyperlink ref="O1534" r:id="rId4622" display="https://pbs.twimg.com/profile_images/645716711723925506/t5G0qOS6_normal.jpg" xr:uid="{E423316E-D338-4C2E-9CEE-38DB050747D3}"/>
    <hyperlink ref="B1535" r:id="rId4623" display="https://twitter.com/detecon" xr:uid="{1B822A43-58DF-4264-9E08-9C48B4C5BB2E}"/>
    <hyperlink ref="E1535" r:id="rId4624" display="https://twitter.com/detecon/status/722709238695477248" xr:uid="{1EEBC73E-5813-4951-829D-5FEE821D8A43}"/>
    <hyperlink ref="O1535" r:id="rId4625" display="https://pbs.twimg.com/profile_images/628961922659024897/KgqlciRo_normal.jpg" xr:uid="{D9F02D44-74ED-4AEB-89D1-50E08D6A7436}"/>
    <hyperlink ref="B1536" r:id="rId4626" display="https://twitter.com/mluebbecke" xr:uid="{1823BBAE-6737-49C7-84FE-1B665C141DDE}"/>
    <hyperlink ref="E1536" r:id="rId4627" display="https://twitter.com/mluebbecke/status/722709354974199808" xr:uid="{D13929F4-29CA-4CAF-A42F-56E1ACBF2B0B}"/>
    <hyperlink ref="O1536" r:id="rId4628" display="https://pbs.twimg.com/profile_images/648632901307867136/wbuESpIn_normal.jpg" xr:uid="{A5483016-F2A2-4CAF-9277-49B52777B97B}"/>
    <hyperlink ref="B1537" r:id="rId4629" display="https://twitter.com/GlobalSign_DE" xr:uid="{D89BF7A8-6BEF-40D5-8C9B-4304CA0861BF}"/>
    <hyperlink ref="E1537" r:id="rId4630" display="https://twitter.com/GlobalSign_DE/status/722709360678465537" xr:uid="{06E3EFCC-5C1F-4053-A1F9-1266B760B5EF}"/>
    <hyperlink ref="O1537" r:id="rId4631" display="https://pbs.twimg.com/profile_images/553512307108487168/beYdeI1p_normal.png" xr:uid="{36E26792-F284-46B1-9DE7-D3802BEF3EA4}"/>
    <hyperlink ref="B1538" r:id="rId4632" display="https://twitter.com/KPMG_DE" xr:uid="{0549B6F3-8EB4-4E2F-AE26-28BAE715D58B}"/>
    <hyperlink ref="E1538" r:id="rId4633" display="https://twitter.com/KPMG_DE/status/722709360913289219" xr:uid="{C872F49B-239E-4CD7-A4E1-0BAC5E913249}"/>
    <hyperlink ref="O1538" r:id="rId4634" display="https://pbs.twimg.com/profile_images/672817485134045185/q-VTXmOg_normal.jpg" xr:uid="{A907A488-FD6E-4474-B328-31EE6C8A76A6}"/>
    <hyperlink ref="B1539" r:id="rId4635" display="https://twitter.com/INDIZbot" xr:uid="{7AE843AE-FA32-423D-BF40-55F5FA843DC3}"/>
    <hyperlink ref="E1539" r:id="rId4636" display="https://twitter.com/INDIZbot/status/722709369352298496" xr:uid="{BDFC87AD-4AD1-4075-8869-BA9CA3D8ED77}"/>
    <hyperlink ref="O1539" r:id="rId4637" display="https://pbs.twimg.com/profile_images/645716711723925506/t5G0qOS6_normal.jpg" xr:uid="{23C9A946-8454-4016-B862-1A480E47819F}"/>
    <hyperlink ref="B1540" r:id="rId4638" display="https://twitter.com/BitkomResearch" xr:uid="{51B0BF09-48D3-4D71-835D-0FBD2FEE9246}"/>
    <hyperlink ref="E1540" r:id="rId4639" display="https://twitter.com/BitkomResearch/status/722709438352777216" xr:uid="{9C7BD7EB-E273-461E-B713-CEBC3B8A5EE9}"/>
    <hyperlink ref="O1540" r:id="rId4640" display="https://pbs.twimg.com/profile_images/631021673857290240/dsNYkRwd_normal.jpg" xr:uid="{10BD2931-E3D1-4367-8E1C-42873BE3D44C}"/>
    <hyperlink ref="B1541" r:id="rId4641" display="https://twitter.com/INDIZbot" xr:uid="{AB8E29D5-7791-4120-BB26-0507B6A7CFC6}"/>
    <hyperlink ref="E1541" r:id="rId4642" display="https://twitter.com/INDIZbot/status/722709464143544320" xr:uid="{9CACC2F8-A6A2-4721-A2C2-A054604CD968}"/>
    <hyperlink ref="O1541" r:id="rId4643" display="https://pbs.twimg.com/profile_images/645716711723925506/t5G0qOS6_normal.jpg" xr:uid="{871D4681-7DD9-49FF-980F-BB24D8DCCB2F}"/>
    <hyperlink ref="B1542" r:id="rId4644" display="https://twitter.com/DKEAktuell" xr:uid="{9D50D0FF-E3B9-42AE-8BBD-695EC0965BEA}"/>
    <hyperlink ref="E1542" r:id="rId4645" display="https://twitter.com/DKEAktuell/status/722709467272507392" xr:uid="{3A98D623-77BF-45C9-BA1B-809616D807B4}"/>
    <hyperlink ref="O1542" r:id="rId4646" display="https://pbs.twimg.com/profile_images/465817969902092288/sEIgw9Gb_normal.jpeg" xr:uid="{5A7FDA0B-4A98-42C7-8BEC-DF04D35FB0EF}"/>
    <hyperlink ref="B1543" r:id="rId4647" display="https://twitter.com/sensorplustest" xr:uid="{4A66C49E-069D-4BB8-A67F-16DDA9EE188E}"/>
    <hyperlink ref="E1543" r:id="rId4648" display="https://twitter.com/sensorplustest/status/722709581227495426" xr:uid="{FAC3C126-67BC-45CD-ABE3-B261FF7200BC}"/>
    <hyperlink ref="O1543" r:id="rId4649" display="https://pbs.twimg.com/profile_images/378800000664327316/6a5c3a2d43525a9b5044906960528925_normal.jpeg" xr:uid="{B55B89B6-E448-4237-AFB6-EA891A68FA71}"/>
    <hyperlink ref="B1544" r:id="rId4650" display="https://twitter.com/DKEAktuell" xr:uid="{5BA551D4-E74F-4DC5-B5C6-CCBF198DA5E2}"/>
    <hyperlink ref="E1544" r:id="rId4651" display="https://twitter.com/DKEAktuell/status/722709816590917632" xr:uid="{A918FFC1-3159-4A08-B531-A1A661EEFC9C}"/>
    <hyperlink ref="O1544" r:id="rId4652" display="https://pbs.twimg.com/profile_images/465817969902092288/sEIgw9Gb_normal.jpeg" xr:uid="{8DDBF6D8-569E-423F-A1FB-978A35760D3C}"/>
    <hyperlink ref="B1545" r:id="rId4653" display="https://twitter.com/IEBook" xr:uid="{A9322F7B-F16B-4706-95B1-00B67BE133B2}"/>
    <hyperlink ref="E1545" r:id="rId4654" display="https://twitter.com/IEBook/status/722710099463159809" xr:uid="{B707C949-942C-409A-A1D4-778033CD7761}"/>
    <hyperlink ref="O1545" r:id="rId4655" display="https://pbs.twimg.com/profile_images/718453542210703360/gxKMOQIw_normal.jpg" xr:uid="{82D56BE8-8C83-44F8-B99E-03F9EE8C06FA}"/>
    <hyperlink ref="B1546" r:id="rId4656" display="https://twitter.com/pbo" xr:uid="{6017E42C-FC63-4E82-A3EC-6D9F5D22CC42}"/>
    <hyperlink ref="E1546" r:id="rId4657" display="https://twitter.com/pbo/status/722710100864081920" xr:uid="{C037E3EE-2DDE-4F81-8438-6C0D00C10EF2}"/>
    <hyperlink ref="O1546" r:id="rId4658" display="https://pbs.twimg.com/profile_images/479147167316447232/wjLq1bNw_normal.jpeg" xr:uid="{3FF8CCA9-F97E-40CF-B182-83AF996536A0}"/>
    <hyperlink ref="B1547" r:id="rId4659" display="https://twitter.com/petra_wilmering" xr:uid="{515FA1A9-C4B4-42CF-B6C5-48D466D07E30}"/>
    <hyperlink ref="E1547" r:id="rId4660" display="https://twitter.com/petra_wilmering/status/722710134556880896" xr:uid="{1199B384-E778-4A2E-B5B0-C3BF2198B762}"/>
    <hyperlink ref="O1547" r:id="rId4661" display="https://pbs.twimg.com/profile_images/701776100779827200/U7ye1yMv_normal.jpg" xr:uid="{4D532503-BDAB-42AB-A48E-1DE5CD3859A1}"/>
    <hyperlink ref="B1548" r:id="rId4662" display="https://twitter.com/cemanews" xr:uid="{28B6E596-5AA3-4337-81A8-B4564285AEF0}"/>
    <hyperlink ref="E1548" r:id="rId4663" display="https://twitter.com/cemanews/status/722710245265514497" xr:uid="{2C6FB52C-B659-4CB5-9079-35D363A8C0A6}"/>
    <hyperlink ref="O1548" r:id="rId4664" display="https://pbs.twimg.com/profile_images/324344932/cemaQuadrat5x5_normal.jpg" xr:uid="{2827C1DC-DC0D-423C-9D1A-04C6A01AC26F}"/>
    <hyperlink ref="B1549" r:id="rId4665" display="https://twitter.com/INAUTOMATION" xr:uid="{A9278FEC-808F-43DA-83EB-426649AC86CD}"/>
    <hyperlink ref="E1549" r:id="rId4666" display="https://twitter.com/INAUTOMATION/status/722710270611689472" xr:uid="{16B3D137-DCC2-4DE8-8FD8-2D2CBA0ED555}"/>
    <hyperlink ref="O1549" r:id="rId4667" display="https://pbs.twimg.com/profile_images/448785638809026560/0Q5iF41s_normal.png" xr:uid="{45D7F4F8-B32A-4093-9BC8-6618F609C656}"/>
    <hyperlink ref="B1550" r:id="rId4668" display="https://twitter.com/Bitkom_I40" xr:uid="{1DBE8E58-7BA9-4ACF-A293-DE52BA5C64E8}"/>
    <hyperlink ref="E1550" r:id="rId4669" display="https://twitter.com/Bitkom_I40/status/722710407052455941" xr:uid="{95F0B2DC-A608-439D-8051-430DC713D7AE}"/>
    <hyperlink ref="O1550" r:id="rId4670" display="https://pbs.twimg.com/profile_images/723407487395713024/0hZv7R8S_normal.jpg" xr:uid="{CC24ACD9-0A9B-4B3B-8587-9F78A12CAF6A}"/>
    <hyperlink ref="B1551" r:id="rId4671" display="https://twitter.com/DerKonstrukteu" xr:uid="{FB7DB881-B1D8-4F23-BE92-C9277ABB5781}"/>
    <hyperlink ref="E1551" r:id="rId4672" display="https://twitter.com/DerKonstrukteu/status/722710535230369792" xr:uid="{9E954AB4-012F-4FDD-9FF6-6326CDB5F9BC}"/>
    <hyperlink ref="O1551" r:id="rId4673" display="https://pbs.twimg.com/profile_images/448785978165968896/SQOcI8cJ_normal.png" xr:uid="{B07E463E-2AD5-43C2-8EB3-6F906B5769F5}"/>
    <hyperlink ref="B1552" r:id="rId4674" display="https://twitter.com/HESSENMETALL" xr:uid="{E60A21F0-E89B-4389-8E27-0916F80C560D}"/>
    <hyperlink ref="E1552" r:id="rId4675" display="https://twitter.com/HESSENMETALL/status/722710556126396416" xr:uid="{0EAA5204-070D-4BF4-BA10-4A989F1E8A37}"/>
    <hyperlink ref="O1552" r:id="rId4676" display="https://pbs.twimg.com/profile_images/573131119459090433/chvdSZ_E_normal.png" xr:uid="{B712ABA7-24C0-4EEC-BE9D-A2486B6248F5}"/>
    <hyperlink ref="B1553" r:id="rId4677" display="https://twitter.com/KaiKeppner" xr:uid="{91B2404C-B5E5-4DCE-8F5A-95F00CADFDEA}"/>
    <hyperlink ref="E1553" r:id="rId4678" display="https://twitter.com/KaiKeppner/status/722710600686690305" xr:uid="{BF4AE926-8242-46D3-B5C0-295A27E3F265}"/>
    <hyperlink ref="O1553" r:id="rId4679" display="https://pbs.twimg.com/profile_images/378800000730169702/55f82a9488f9b8b9ad44de17e41286d4_normal.jpeg" xr:uid="{9108184C-EE10-484B-B557-09419F4299AF}"/>
    <hyperlink ref="B1554" r:id="rId4680" display="https://twitter.com/antriebstech" xr:uid="{4A13AD2C-1671-4BE0-9220-9F034599D7E5}"/>
    <hyperlink ref="E1554" r:id="rId4681" display="https://twitter.com/antriebstech/status/722710676402257922" xr:uid="{56C891E3-3A81-40E2-8110-AD211968AC4A}"/>
    <hyperlink ref="O1554" r:id="rId4682" display="https://pbs.twimg.com/profile_images/448784906177372160/yjjDD_wt_normal.png" xr:uid="{A635AAAA-0981-4673-B4AC-570729A12312}"/>
    <hyperlink ref="B1555" r:id="rId4683" display="https://twitter.com/OP_Magazin" xr:uid="{7EE8C0EA-971F-4274-993D-0926D4CA3594}"/>
    <hyperlink ref="E1555" r:id="rId4684" display="https://twitter.com/OP_Magazin/status/722710852802113536" xr:uid="{17716A6E-EF1B-4E94-9FCD-33A3B07B16E8}"/>
    <hyperlink ref="O1555" r:id="rId4685" display="https://pbs.twimg.com/profile_images/689824323767500800/bE2B56AT_normal.png" xr:uid="{F0DFDC37-FA06-438E-9EB1-5280D8C25CD2}"/>
    <hyperlink ref="B1556" r:id="rId4686" display="https://twitter.com/Mobile_Maschine" xr:uid="{C798F547-F16E-433C-B268-E6108B11832A}"/>
    <hyperlink ref="E1556" r:id="rId4687" display="https://twitter.com/Mobile_Maschine/status/722710976152387585" xr:uid="{161E7742-20A6-4412-8698-DE203F56EA8E}"/>
    <hyperlink ref="O1556" r:id="rId4688" display="https://pbs.twimg.com/profile_images/448786401576759298/xZYSAb67_normal.png" xr:uid="{41A48105-3097-44B6-9CCC-7682BD5597DE}"/>
    <hyperlink ref="B1557" r:id="rId4689" display="https://twitter.com/wertfinder" xr:uid="{3DA6E19A-34D4-4529-AA09-70185C837217}"/>
    <hyperlink ref="E1557" r:id="rId4690" display="https://twitter.com/wertfinder/status/722711095836860418" xr:uid="{957D878E-00FF-43DF-B9E9-CBEDFE60DCE0}"/>
    <hyperlink ref="O1557" r:id="rId4691" display="https://pbs.twimg.com/profile_images/416624713788452864/4sW9fFDD_normal.jpeg" xr:uid="{3C8F0A11-E147-40C1-98BC-16CE6A161711}"/>
    <hyperlink ref="B1558" r:id="rId4692" display="https://twitter.com/verlinked" xr:uid="{E801AE2E-3093-42AC-B579-806C6443ACEB}"/>
    <hyperlink ref="E1558" r:id="rId4693" display="https://twitter.com/verlinked/status/722711446862192640" xr:uid="{55138707-27D7-4D28-BD46-3FADED9D8888}"/>
    <hyperlink ref="O1558" r:id="rId4694" display="https://pbs.twimg.com/profile_images/722385992343285760/ww8YLZ2q_normal.jpg" xr:uid="{E4D22D69-A096-48C5-9423-4EE5684C4CEB}"/>
    <hyperlink ref="B1559" r:id="rId4695" display="https://twitter.com/kommoptimierer" xr:uid="{9B98418F-3026-48DB-9A0B-B95D31DFD172}"/>
    <hyperlink ref="E1559" r:id="rId4696" display="https://twitter.com/kommoptimierer/status/722711471302512640" xr:uid="{89D0A3D0-6DBD-420B-B5B2-3F6BA2CB2ADD}"/>
    <hyperlink ref="O1559" r:id="rId4697" display="https://pbs.twimg.com/profile_images/541146126158536704/IYardufS_normal.jpeg" xr:uid="{0FBE525C-27C3-40D1-AE77-97B50584637E}"/>
    <hyperlink ref="B1560" r:id="rId4698" display="https://twitter.com/karl__maurer" xr:uid="{6AD98214-43E4-4471-A62A-A0D0CF0234DA}"/>
    <hyperlink ref="E1560" r:id="rId4699" display="https://twitter.com/karl__maurer/status/722711496745226241" xr:uid="{22003222-EAB9-4915-8BBE-76381169F387}"/>
    <hyperlink ref="O1560" r:id="rId4700" display="https://pbs.twimg.com/profile_images/702515686623600640/uy75x3mT_normal.jpg" xr:uid="{21AEBE1B-D796-4969-8336-AEC537128812}"/>
    <hyperlink ref="B1561" r:id="rId4701" display="https://twitter.com/brill_stefan" xr:uid="{DCA706F5-E513-436E-9AAA-68DA5F0D813E}"/>
    <hyperlink ref="E1561" r:id="rId4702" display="https://twitter.com/brill_stefan/status/722711587027607553" xr:uid="{929E697C-94D6-49E2-A560-E3E0318275BF}"/>
    <hyperlink ref="O1561" r:id="rId4703" display="https://pbs.twimg.com/profile_images/598166829174005760/M39Pe098_normal.jpg" xr:uid="{11AEF396-2359-4409-BEF5-B1B7626FC55B}"/>
    <hyperlink ref="B1562" r:id="rId4704" display="https://twitter.com/lutzrach" xr:uid="{B9225ED0-FBFD-4812-B6C5-D11488AEADDF}"/>
    <hyperlink ref="E1562" r:id="rId4705" display="https://twitter.com/lutzrach/status/722711741059219456" xr:uid="{740E8AB4-2A7B-49A1-87F2-AAC50F10108D}"/>
    <hyperlink ref="O1562" r:id="rId4706" display="https://pbs.twimg.com/profile_images/720402539955560448/s_pUNvlD_normal.jpg" xr:uid="{4E980186-1BD2-47CA-AE5B-D0D75FCD114F}"/>
    <hyperlink ref="B1563" r:id="rId4707" display="https://twitter.com/INDIZbot" xr:uid="{CED49373-BAD7-4F51-9BC8-C92388B140D6}"/>
    <hyperlink ref="E1563" r:id="rId4708" display="https://twitter.com/INDIZbot/status/722711828506271744" xr:uid="{FA1B8F67-D51D-4D06-8794-9E8CC8B50BCE}"/>
    <hyperlink ref="O1563" r:id="rId4709" display="https://pbs.twimg.com/profile_images/645716711723925506/t5G0qOS6_normal.jpg" xr:uid="{B0D36580-466D-48B2-A711-466E46DFD576}"/>
    <hyperlink ref="B1564" r:id="rId4710" display="https://twitter.com/INDIZbot" xr:uid="{867A71D1-F841-4E45-8BA7-B48073C59FFD}"/>
    <hyperlink ref="E1564" r:id="rId4711" display="https://twitter.com/INDIZbot/status/722711963009163264" xr:uid="{A9913328-F64D-4382-A616-34AA082E82A6}"/>
    <hyperlink ref="O1564" r:id="rId4712" display="https://pbs.twimg.com/profile_images/645716711723925506/t5G0qOS6_normal.jpg" xr:uid="{2CF5D03C-0440-4692-9A84-848DDBEC54FC}"/>
    <hyperlink ref="B1565" r:id="rId4713" display="https://twitter.com/INDIZbot" xr:uid="{3E810B62-26CF-4830-B846-E7A0C65CBCF4}"/>
    <hyperlink ref="E1565" r:id="rId4714" display="https://twitter.com/INDIZbot/status/722712025667866624" xr:uid="{BB525DC9-3D95-4C06-9025-8FF70F270E06}"/>
    <hyperlink ref="O1565" r:id="rId4715" display="https://pbs.twimg.com/profile_images/645716711723925506/t5G0qOS6_normal.jpg" xr:uid="{0448BEBD-55A2-45F4-8088-5548DC570736}"/>
    <hyperlink ref="B1566" r:id="rId4716" display="https://twitter.com/christianzeller" xr:uid="{68F36F48-6FF7-4841-97F0-A51C0E6D8932}"/>
    <hyperlink ref="E1566" r:id="rId4717" display="https://twitter.com/christianzeller/status/722713019806007296" xr:uid="{3F353504-AC3C-40BA-BA06-EB28DEBF605A}"/>
    <hyperlink ref="O1566" r:id="rId4718" display="https://pbs.twimg.com/profile_images/680807468964950017/8kwIv81h_normal.jpg" xr:uid="{2B369281-94C0-4A3F-B03C-DBDB25B9AF06}"/>
    <hyperlink ref="B1567" r:id="rId4719" display="https://twitter.com/cerratlan" xr:uid="{33E182F8-3787-4848-AAF2-03C37BDD7FDE}"/>
    <hyperlink ref="E1567" r:id="rId4720" display="https://twitter.com/cerratlan/status/722713648653824000" xr:uid="{A5585095-5A72-4BA5-B016-F88579D43EC7}"/>
    <hyperlink ref="O1567" r:id="rId4721" display="https://pbs.twimg.com/profile_images/689489673270509572/SdYuHEEE_normal.jpg" xr:uid="{9C3CECE8-6B1D-4338-9098-28B1C43F71AD}"/>
    <hyperlink ref="B1568" r:id="rId4722" display="https://twitter.com/Industrie_40" xr:uid="{4C67F082-AF35-44BE-9753-3D4B9BEAF10A}"/>
    <hyperlink ref="E1568" r:id="rId4723" display="https://twitter.com/Industrie_40/status/722714528136458240" xr:uid="{BC8DBE91-E58B-487F-991C-D3CD421E177B}"/>
    <hyperlink ref="O1568" r:id="rId4724" display="https://pbs.twimg.com/profile_images/3187517551/d49d77b3273cb499285ee666e06418f8_normal.jpeg" xr:uid="{4B89D599-92ED-4AB5-8963-EB9918B27357}"/>
    <hyperlink ref="B1569" r:id="rId4725" display="https://twitter.com/christophsmuell" xr:uid="{F479BBB7-C86F-4527-A6B2-4242EA408C4C}"/>
    <hyperlink ref="E1569" r:id="rId4726" display="https://twitter.com/christophsmuell/status/722714541541498881" xr:uid="{841F593B-D715-4783-8559-2DDE39CA9052}"/>
    <hyperlink ref="O1569" r:id="rId4727" display="https://pbs.twimg.com/profile_images/479685308884078592/aR3HWF5y_normal.jpeg" xr:uid="{932FF7D4-8E05-416D-A2F7-BC7A609DA1E7}"/>
    <hyperlink ref="B1570" r:id="rId4728" display="https://twitter.com/1ironbark1" xr:uid="{9211D202-36D9-47CD-98FC-4803A2049483}"/>
    <hyperlink ref="E1570" r:id="rId4729" display="https://twitter.com/1ironbark1/status/722715011701940225" xr:uid="{3EA44F0B-C82C-422F-95BE-B72A70182254}"/>
    <hyperlink ref="O1570" r:id="rId4730" display="https://pbs.twimg.com/profile_images/1610234082/jwstwitter_normal.jpg" xr:uid="{112C70D2-3CD3-4562-AFE9-FFD84E514416}"/>
    <hyperlink ref="B1571" r:id="rId4731" display="https://twitter.com/VDMAonline" xr:uid="{6EC79245-5A9E-4125-B9DA-70213C207808}"/>
    <hyperlink ref="E1571" r:id="rId4732" display="https://twitter.com/VDMAonline/status/722715265671102464" xr:uid="{6991F190-0325-41BD-B4A6-ABE07AD95033}"/>
    <hyperlink ref="O1571" r:id="rId4733" display="https://pbs.twimg.com/profile_images/609375510158774272/P5glOk4b_normal.jpg" xr:uid="{12CC3581-3191-4EBA-B178-DCB9E8AF4B71}"/>
    <hyperlink ref="B1572" r:id="rId4734" display="https://twitter.com/prxagentur" xr:uid="{C5BE8EF1-7D94-4C33-A1C6-D6B4B9D22D54}"/>
    <hyperlink ref="E1572" r:id="rId4735" display="https://twitter.com/prxagentur/status/722715627727818752" xr:uid="{EC4BED17-A387-44D8-A568-087F8F3BA98C}"/>
    <hyperlink ref="O1572" r:id="rId4736" display="https://pbs.twimg.com/profile_images/594934750122536960/nG4kmfDF_normal.jpg" xr:uid="{98DEED2B-1ACD-4388-B7B5-B76CF300DE3A}"/>
    <hyperlink ref="B1573" r:id="rId4737" display="https://twitter.com/TACookDE" xr:uid="{C83DC229-1798-4350-9C5C-4C4916134F0F}"/>
    <hyperlink ref="E1573" r:id="rId4738" display="https://twitter.com/TACookDE/status/722716129689518081" xr:uid="{BAEB0DE4-A414-4CFA-9019-F915DDE1E715}"/>
    <hyperlink ref="O1573" r:id="rId4739" display="https://pbs.twimg.com/profile_images/601649689117732864/sUg8zslR_normal.jpg" xr:uid="{03EEE22F-2796-47C3-B71F-6DFD2403FFD6}"/>
    <hyperlink ref="B1574" r:id="rId4740" display="https://twitter.com/Industrie_40" xr:uid="{DB31E575-B14B-4E75-AE14-44C9E1A81517}"/>
    <hyperlink ref="E1574" r:id="rId4741" display="https://twitter.com/Industrie_40/status/722716168075796480" xr:uid="{29A2EBB1-1C78-44C7-B67D-6864630CDC9F}"/>
    <hyperlink ref="O1574" r:id="rId4742" display="https://pbs.twimg.com/profile_images/3187517551/d49d77b3273cb499285ee666e06418f8_normal.jpeg" xr:uid="{68347370-B7B2-44A5-935C-E699B95B27D7}"/>
    <hyperlink ref="B1575" r:id="rId4743" display="https://twitter.com/Industrie_40" xr:uid="{B5363642-D6CB-4FB7-B26B-3C96E0450C61}"/>
    <hyperlink ref="E1575" r:id="rId4744" display="https://twitter.com/Industrie_40/status/722716547865829376" xr:uid="{48309D11-E77E-40BB-BE47-02C4FDD2E76C}"/>
    <hyperlink ref="O1575" r:id="rId4745" display="https://pbs.twimg.com/profile_images/3187517551/d49d77b3273cb499285ee666e06418f8_normal.jpeg" xr:uid="{C52D420E-65F8-4599-867E-AAC5F378B12E}"/>
    <hyperlink ref="B1576" r:id="rId4746" display="https://twitter.com/1ironbark1" xr:uid="{C3613C0C-957A-411F-AC4C-4573A2DF8FA1}"/>
    <hyperlink ref="E1576" r:id="rId4747" display="https://twitter.com/1ironbark1/status/722716579146907649" xr:uid="{ABF7F355-ED33-4D6B-8CB1-BC59A18E2A89}"/>
    <hyperlink ref="O1576" r:id="rId4748" display="https://pbs.twimg.com/profile_images/1610234082/jwstwitter_normal.jpg" xr:uid="{D219D5E9-6008-4C0B-9098-5E892FC3CC94}"/>
    <hyperlink ref="B1577" r:id="rId4749" display="https://twitter.com/INDIZbot" xr:uid="{5C0B610B-D6C0-4ACD-B384-7646BBBCB261}"/>
    <hyperlink ref="E1577" r:id="rId4750" display="https://twitter.com/INDIZbot/status/722716729563070466" xr:uid="{B46E500D-B8FD-410C-B354-7856CC34A34C}"/>
    <hyperlink ref="O1577" r:id="rId4751" display="https://pbs.twimg.com/profile_images/645716711723925506/t5G0qOS6_normal.jpg" xr:uid="{FACBE19B-B7FA-4119-8645-997E0BBD95D5}"/>
    <hyperlink ref="B1578" r:id="rId4752" display="https://twitter.com/THINK_ING" xr:uid="{FA82CE6F-C40B-4C0C-A3CE-D68599DCD3A9}"/>
    <hyperlink ref="E1578" r:id="rId4753" display="https://twitter.com/THINK_ING/status/722716753466417152" xr:uid="{91AE6D90-DFE2-4698-B36F-346CC6CAC229}"/>
    <hyperlink ref="O1578" r:id="rId4754" display="https://pbs.twimg.com/profile_images/3191720682/19efed020ebf3a2098abea8c1436d948_normal.jpeg" xr:uid="{81439783-99D9-4F70-AA6B-80A54C2DCCCA}"/>
    <hyperlink ref="B1579" r:id="rId4755" display="https://twitter.com/INDIZbot" xr:uid="{EB94839A-17C5-43B9-A174-BCB232C47863}"/>
    <hyperlink ref="E1579" r:id="rId4756" display="https://twitter.com/INDIZbot/status/722716841521582080" xr:uid="{3FD82985-3181-43E0-B43F-5F2075CBFBD1}"/>
    <hyperlink ref="O1579" r:id="rId4757" display="https://pbs.twimg.com/profile_images/645716711723925506/t5G0qOS6_normal.jpg" xr:uid="{24EDADDC-FA3E-4FD2-9CB3-C371B26F1ADF}"/>
    <hyperlink ref="B1580" r:id="rId4758" display="https://twitter.com/Industrie_40" xr:uid="{6426D64F-13E8-4E02-ABAD-DE3B1ECC0B04}"/>
    <hyperlink ref="E1580" r:id="rId4759" display="https://twitter.com/Industrie_40/status/722717006856916993" xr:uid="{6F0BCD61-E275-4512-99DB-D5471028A082}"/>
    <hyperlink ref="O1580" r:id="rId4760" display="https://pbs.twimg.com/profile_images/3187517551/d49d77b3273cb499285ee666e06418f8_normal.jpeg" xr:uid="{6060D33B-6095-4A18-94D5-04FAC7DB82C8}"/>
    <hyperlink ref="B1581" r:id="rId4761" display="https://twitter.com/FK_Verband" xr:uid="{572A4873-4565-4C13-BEAC-DBCB0B29C6EF}"/>
    <hyperlink ref="E1581" r:id="rId4762" display="https://twitter.com/FK_Verband/status/722717057222057986" xr:uid="{6C000079-AF9D-4FA7-BBE7-3AF841B9102A}"/>
    <hyperlink ref="O1581" r:id="rId4763" display="https://pbs.twimg.com/profile_images/459666685952151552/oULR8mG1_normal.png" xr:uid="{EED696A9-EFC5-4A57-A74A-6687268BE6CC}"/>
    <hyperlink ref="B1582" r:id="rId4764" display="https://twitter.com/_NewSearch_" xr:uid="{858F4832-18E5-474D-BAF4-F4643BE79526}"/>
    <hyperlink ref="E1582" r:id="rId4765" display="https://twitter.com/_NewSearch_/status/722717420746633217" xr:uid="{1D2A6A92-1989-4A68-9066-174C0DE4F9DB}"/>
    <hyperlink ref="O1582" r:id="rId4766" display="https://pbs.twimg.com/profile_images/481016015887687680/lDowdEUm_normal.jpeg" xr:uid="{4537713F-2EC1-43A6-9C29-DF17221C6E9B}"/>
    <hyperlink ref="B1583" r:id="rId4767" display="https://twitter.com/Gesamtmetall" xr:uid="{E9E732F2-D439-4A22-8E0B-DAA2C4451FDF}"/>
    <hyperlink ref="E1583" r:id="rId4768" display="https://twitter.com/Gesamtmetall/status/722717720316395520" xr:uid="{5160D653-1C56-4187-A6AC-19823E296005}"/>
    <hyperlink ref="O1583" r:id="rId4769" display="https://pbs.twimg.com/profile_images/572721926804488192/AGAGHTgy_normal.jpeg" xr:uid="{953ED4D1-2D4E-42E0-80C2-34B980A586CB}"/>
    <hyperlink ref="B1584" r:id="rId4770" display="https://twitter.com/MEArbeitgeber" xr:uid="{15503487-2B5D-4B91-83BA-4CA79F55DA29}"/>
    <hyperlink ref="E1584" r:id="rId4771" display="https://twitter.com/MEArbeitgeber/status/722717721335578625" xr:uid="{F8E0D754-75D9-462C-8041-3186A9DB3E8C}"/>
    <hyperlink ref="O1584" r:id="rId4772" display="https://pbs.twimg.com/profile_images/572722352144666624/2G6VnJJx_normal.jpeg" xr:uid="{D9EB8CB0-D878-4198-8BF2-EAF7FE3A9CEA}"/>
    <hyperlink ref="B1585" r:id="rId4773" display="https://twitter.com/mav0r1ze" xr:uid="{C52C81B1-63A9-496C-A311-AFF5D7510DBD}"/>
    <hyperlink ref="E1585" r:id="rId4774" display="https://twitter.com/mav0r1ze/status/722717757498900480" xr:uid="{E9F87AB3-53E8-4F66-99F1-82AFBDFFEFE3}"/>
    <hyperlink ref="O1585" r:id="rId4775" display="https://pbs.twimg.com/profile_images/678330336254783490/oGmDYFuf_normal.jpg" xr:uid="{11D91469-05B2-4E13-98E2-E2F9DAEB1FE1}"/>
    <hyperlink ref="B1586" r:id="rId4776" display="https://twitter.com/_NewSearch_" xr:uid="{D3901356-4C4B-453D-8E47-36163BCCBE58}"/>
    <hyperlink ref="E1586" r:id="rId4777" display="https://twitter.com/_NewSearch_/status/722718083719237632" xr:uid="{E9AB0ACF-14B9-444D-9C44-C6F81B700DE4}"/>
    <hyperlink ref="O1586" r:id="rId4778" display="https://pbs.twimg.com/profile_images/481016015887687680/lDowdEUm_normal.jpeg" xr:uid="{2DCC6CF6-C787-4E0F-A23E-10114EE6EE89}"/>
    <hyperlink ref="B1587" r:id="rId4779" display="https://twitter.com/ORBIT_DE" xr:uid="{512592F6-B99A-4FFD-AF0B-2606B6BA3043}"/>
    <hyperlink ref="E1587" r:id="rId4780" display="https://twitter.com/ORBIT_DE/status/722718273658298368" xr:uid="{E9BCE5D4-F892-474A-8F63-9F7814A72F97}"/>
    <hyperlink ref="O1587" r:id="rId4781" display="https://pbs.twimg.com/profile_images/709307199726755845/TL--bCmb_normal.jpg" xr:uid="{F4F06390-612F-4877-BB96-CD713C40830A}"/>
    <hyperlink ref="B1588" r:id="rId4782" display="https://twitter.com/infotipgmbh" xr:uid="{142DED5F-7866-4E5B-9EBA-DCCD7CE2FCB4}"/>
    <hyperlink ref="E1588" r:id="rId4783" display="https://twitter.com/infotipgmbh/status/722718323843194881" xr:uid="{04A3559B-DB0A-4220-8F91-62B5C31D6A34}"/>
    <hyperlink ref="O1588" r:id="rId4784" display="https://pbs.twimg.com/profile_images/570586847806357504/S9VbdCZX_normal.png" xr:uid="{B5FF364C-DC5D-4F11-9DD2-BADBAECA46DA}"/>
    <hyperlink ref="B1589" r:id="rId4785" display="https://twitter.com/RichardRALFS" xr:uid="{1E3ABA26-6D25-4B9E-81F3-5F69A65EE563}"/>
    <hyperlink ref="E1589" r:id="rId4786" display="https://twitter.com/RichardRALFS/status/722718779118120960" xr:uid="{E8C2353D-4922-4145-9CA6-88D04003C487}"/>
    <hyperlink ref="O1589" r:id="rId4787" display="https://pbs.twimg.com/profile_images/714617781107499009/pfUjM0_S_normal.jpg" xr:uid="{E5B9F68C-C10C-4201-BFA8-FAC3EE9E9A8F}"/>
    <hyperlink ref="B1590" r:id="rId4788" display="https://twitter.com/NeleReimers" xr:uid="{4A662D1D-B2E2-406B-9CFB-6429CB61A8DB}"/>
    <hyperlink ref="E1590" r:id="rId4789" display="https://twitter.com/NeleReimers/status/722719133733908481" xr:uid="{8A6007E9-D18E-4081-BAD7-3157AAAC7F04}"/>
    <hyperlink ref="O1590" r:id="rId4790" display="https://pbs.twimg.com/profile_images/667689986276392960/lHQvEvuO_normal.jpg" xr:uid="{3DA9C5E7-6B4D-4126-8C77-19B690CD8E96}"/>
    <hyperlink ref="B1591" r:id="rId4791" display="https://twitter.com/INDIZbot" xr:uid="{A150D0F0-11A2-46CE-951F-4EB714EA921C}"/>
    <hyperlink ref="E1591" r:id="rId4792" display="https://twitter.com/INDIZbot/status/722719378471575552" xr:uid="{221B0394-FAC4-4D5E-AB87-3423C60DACB8}"/>
    <hyperlink ref="O1591" r:id="rId4793" display="https://pbs.twimg.com/profile_images/645716711723925506/t5G0qOS6_normal.jpg" xr:uid="{BC816C3B-6984-4D42-B756-19A56BFFAA4D}"/>
    <hyperlink ref="B1592" r:id="rId4794" display="https://twitter.com/shootoke" xr:uid="{FE2A08E9-EAFC-4C8C-B8D4-4E92DBD74745}"/>
    <hyperlink ref="E1592" r:id="rId4795" display="https://twitter.com/shootoke/status/722719404358836224" xr:uid="{9943DFC6-4428-4886-9E1A-CDE0616D7242}"/>
    <hyperlink ref="O1592" r:id="rId4796" display="https://pbs.twimg.com/profile_images/714857598701465602/iKKrC3O9_normal.jpg" xr:uid="{47F1047B-3431-407E-990E-D7266103FA73}"/>
    <hyperlink ref="B1593" r:id="rId4797" display="https://twitter.com/INDIZbot" xr:uid="{5DA14F65-456E-4730-ABA7-93CD274F1FAC}"/>
    <hyperlink ref="E1593" r:id="rId4798" display="https://twitter.com/INDIZbot/status/722719604875870208" xr:uid="{7348AF69-4900-42A2-B75E-951ABDE58F45}"/>
    <hyperlink ref="O1593" r:id="rId4799" display="https://pbs.twimg.com/profile_images/645716711723925506/t5G0qOS6_normal.jpg" xr:uid="{D2CCBFD0-ACCB-4841-8ABB-3BEACCA593CB}"/>
    <hyperlink ref="B1594" r:id="rId4800" display="https://twitter.com/markherten" xr:uid="{E1A3B4FD-2FAC-4724-83EC-7B782C7D24FB}"/>
    <hyperlink ref="E1594" r:id="rId4801" display="https://twitter.com/markherten/status/722720827897225217" xr:uid="{C4B91B9C-B756-48FC-93ED-F3E90E2DC9A6}"/>
    <hyperlink ref="O1594" r:id="rId4802" display="https://pbs.twimg.com/profile_images/718175389890310145/GX8DLe_h_normal.jpg" xr:uid="{5CDC2F0F-5099-4255-9D75-D04D824C343D}"/>
    <hyperlink ref="B1595" r:id="rId4803" display="https://twitter.com/AlbrechtAstrid" xr:uid="{5A58DEE6-A9DC-49F5-9AEC-4719FA7DAC9D}"/>
    <hyperlink ref="E1595" r:id="rId4804" display="https://twitter.com/AlbrechtAstrid/status/722720870817492992" xr:uid="{CF876308-7576-444D-A1BD-DEF41C16D7ED}"/>
    <hyperlink ref="O1595" r:id="rId4805" display="https://pbs.twimg.com/profile_images/500197613988102144/YT-InrbJ_normal.jpeg" xr:uid="{A370DAC3-FEE1-4A9B-9D93-405B225152B1}"/>
    <hyperlink ref="B1596" r:id="rId4806" display="https://twitter.com/Industrie_40" xr:uid="{329685B2-3175-4B67-8C40-B4A1C28ED02A}"/>
    <hyperlink ref="E1596" r:id="rId4807" display="https://twitter.com/Industrie_40/status/722721088418017280" xr:uid="{7B794EED-6A5F-4941-8BE4-80358E125974}"/>
    <hyperlink ref="O1596" r:id="rId4808" display="https://pbs.twimg.com/profile_images/3187517551/d49d77b3273cb499285ee666e06418f8_normal.jpeg" xr:uid="{4318D213-C8FC-4AC5-8D7A-89B7795411C8}"/>
    <hyperlink ref="B1597" r:id="rId4809" display="https://twitter.com/AppianDE" xr:uid="{7E783152-7DC9-4E09-8BB3-C675599B044D}"/>
    <hyperlink ref="E1597" r:id="rId4810" display="https://twitter.com/AppianDE/status/722721818608594944" xr:uid="{104783E4-6C2D-4869-9A5B-01CD47428CAC}"/>
    <hyperlink ref="O1597" r:id="rId4811" display="https://pbs.twimg.com/profile_images/708243374000762880/nqsq5gIs_normal.jpg" xr:uid="{EDA3F670-1F23-49D4-A96E-4D8BF6D53AC7}"/>
    <hyperlink ref="B1598" r:id="rId4812" display="https://twitter.com/FabianMeisinger" xr:uid="{06FE3487-76DE-4D16-8FF2-267A6A1A3529}"/>
    <hyperlink ref="E1598" r:id="rId4813" display="https://twitter.com/FabianMeisinger/status/722721882970177536" xr:uid="{9551BF1A-B516-406A-BFEF-40D28D8A0659}"/>
    <hyperlink ref="O1598" r:id="rId4814" display="https://pbs.twimg.com/profile_images/652104556713742338/lEeMPHjz_normal.jpg" xr:uid="{E22E0E75-F183-4D0A-B632-CAEB047AEDEC}"/>
    <hyperlink ref="B1599" r:id="rId4815" display="https://twitter.com/UweKubach" xr:uid="{42CCB4DE-7059-4155-B2EC-4C2BE90C44DB}"/>
    <hyperlink ref="E1599" r:id="rId4816" display="https://twitter.com/UweKubach/status/722721931494039554" xr:uid="{1D9F5F4A-741E-4191-807F-26580005075C}"/>
    <hyperlink ref="O1599" r:id="rId4817" display="https://pbs.twimg.com/profile_images/710750672581484545/n4dPcodC_normal.jpg" xr:uid="{4A677282-571B-43FC-A5CC-1805FCA2164D}"/>
    <hyperlink ref="B1600" r:id="rId4818" display="https://twitter.com/Bosch_BCDS" xr:uid="{199A2FDA-3115-4AEB-8B03-EE976018B932}"/>
    <hyperlink ref="E1600" r:id="rId4819" display="https://twitter.com/Bosch_BCDS/status/722722071646707712" xr:uid="{CCF96E99-B38C-46C5-938F-516CCC6DC0CA}"/>
    <hyperlink ref="O1600" r:id="rId4820" display="https://pbs.twimg.com/profile_images/656085170995535873/WqzD_O5g_normal.jpg" xr:uid="{FFAB9F8A-1E97-4EB7-871B-CAA349AEB3CA}"/>
    <hyperlink ref="B1601" r:id="rId4821" display="https://twitter.com/INDIZbot" xr:uid="{EFDAF0A3-C481-471E-9D11-BB2C6C2C421F}"/>
    <hyperlink ref="E1601" r:id="rId4822" display="https://twitter.com/INDIZbot/status/722722120346779648" xr:uid="{D04A5B80-CE1A-4CE9-8D2C-29794FAFEC79}"/>
    <hyperlink ref="O1601" r:id="rId4823" display="https://pbs.twimg.com/profile_images/645716711723925506/t5G0qOS6_normal.jpg" xr:uid="{4B4062B4-D668-46B4-A53D-386CE271B12A}"/>
    <hyperlink ref="B1602" r:id="rId4824" display="https://twitter.com/VhUHessen" xr:uid="{DC20A556-FE98-4F43-80FA-E53944E54847}"/>
    <hyperlink ref="E1602" r:id="rId4825" display="https://twitter.com/VhUHessen/status/722722367286480896" xr:uid="{4CE731AF-3E12-4A39-93E4-ADB419825A9B}"/>
    <hyperlink ref="O1602" r:id="rId4826" display="https://pbs.twimg.com/profile_images/514736619115384832/edvgJxyt_normal.png" xr:uid="{8503139D-E9DF-4FF2-A578-BB9EEEB72A25}"/>
    <hyperlink ref="B1603" r:id="rId4827" display="https://twitter.com/DerKonstrukteu" xr:uid="{FCB812CC-7A72-4662-82E7-3B30597517E1}"/>
    <hyperlink ref="E1603" r:id="rId4828" display="https://twitter.com/DerKonstrukteu/status/722722494835245056" xr:uid="{D1FB6115-C34D-4010-84F1-84668981EE98}"/>
    <hyperlink ref="O1603" r:id="rId4829" display="https://pbs.twimg.com/profile_images/448785978165968896/SQOcI8cJ_normal.png" xr:uid="{E95EFFB7-DBD6-4C8F-9549-8ABB20F1687B}"/>
    <hyperlink ref="B1604" r:id="rId4830" display="https://twitter.com/VhUHessen" xr:uid="{13DF151E-9C5B-41F0-A508-9C318165F05C}"/>
    <hyperlink ref="E1604" r:id="rId4831" display="https://twitter.com/VhUHessen/status/722722725488435201" xr:uid="{F49C9AEB-FEBD-4549-ABFA-B64B8C2B97A5}"/>
    <hyperlink ref="O1604" r:id="rId4832" display="https://pbs.twimg.com/profile_images/514736619115384832/edvgJxyt_normal.png" xr:uid="{2B15E4C1-79E9-4EAC-98DA-039F5D7463CE}"/>
    <hyperlink ref="B1605" r:id="rId4833" display="https://twitter.com/HESSENMETALL" xr:uid="{ED32F0EF-936F-4AAD-9582-0DA35E82F3DB}"/>
    <hyperlink ref="E1605" r:id="rId4834" display="https://twitter.com/HESSENMETALL/status/722722866215694337" xr:uid="{1193E783-0C64-44E0-A98C-6DFA37E24B93}"/>
    <hyperlink ref="O1605" r:id="rId4835" display="https://pbs.twimg.com/profile_images/573131119459090433/chvdSZ_E_normal.png" xr:uid="{9F7188DC-AB9F-4EC5-B029-DDDDC4093BD4}"/>
    <hyperlink ref="B1606" r:id="rId4836" display="https://twitter.com/tech_ct_ath" xr:uid="{6672C627-05B5-451A-84C2-8D58141D9338}"/>
    <hyperlink ref="E1606" r:id="rId4837" display="https://twitter.com/tech_ct_ath/status/722722924017369088" xr:uid="{337A8EC6-F328-443B-8BD6-E7FABB870872}"/>
    <hyperlink ref="O1606" r:id="rId4838" display="https://pbs.twimg.com/profile_images/715611424811315200/RGuTAYX__normal.jpg" xr:uid="{E42FEF06-81F9-4952-8EDE-8B3FC4CADB87}"/>
    <hyperlink ref="B1607" r:id="rId4839" display="https://twitter.com/ZVEIorg" xr:uid="{BBA684B3-2C71-4356-914B-C67DA24EE010}"/>
    <hyperlink ref="E1607" r:id="rId4840" display="https://twitter.com/ZVEIorg/status/722723653574635520" xr:uid="{FBAE0351-0F29-403B-B371-8E87BCEC2DD3}"/>
    <hyperlink ref="O1607" r:id="rId4841" display="https://pbs.twimg.com/profile_images/479147477975588864/z94n3mRF_normal.jpeg" xr:uid="{E2EE7595-C1D0-47AC-8C13-5D55938C0E89}"/>
    <hyperlink ref="B1608" r:id="rId4842" display="https://twitter.com/VhUHessen" xr:uid="{E436B771-636B-4EEC-A7A1-1B5CC03D533F}"/>
    <hyperlink ref="E1608" r:id="rId4843" display="https://twitter.com/VhUHessen/status/722723656036716544" xr:uid="{E4AD2D2C-5844-4868-A3FF-645D6E81E7B8}"/>
    <hyperlink ref="O1608" r:id="rId4844" display="https://pbs.twimg.com/profile_images/514736619115384832/edvgJxyt_normal.png" xr:uid="{7530B89D-84EB-4618-8533-4CC78AA62AFC}"/>
    <hyperlink ref="B1609" r:id="rId4845" display="https://twitter.com/SusChem" xr:uid="{03951156-E7C0-492B-B51B-1EF48C2FAB3D}"/>
    <hyperlink ref="E1609" r:id="rId4846" display="https://twitter.com/SusChem/status/722724014834204672" xr:uid="{D5224647-0485-46A4-826C-723982DF17C7}"/>
    <hyperlink ref="O1609" r:id="rId4847" display="https://pbs.twimg.com/profile_images/1824550858/suschemlogo_twitter_normal.jpg" xr:uid="{B1B2E2D9-EEF6-4445-8F81-CACF58F7D277}"/>
    <hyperlink ref="B1610" r:id="rId4848" display="https://twitter.com/Gensearch_GER" xr:uid="{9AE7C757-E289-4C8A-AF09-98F47D41B591}"/>
    <hyperlink ref="E1610" r:id="rId4849" display="https://twitter.com/Gensearch_GER/status/722725205676802048" xr:uid="{60887270-0B60-451C-91EB-F1524E0A1D1F}"/>
    <hyperlink ref="O1610" r:id="rId4850" display="https://pbs.twimg.com/profile_images/685482363778936832/uyeJ4oAt_normal.jpg" xr:uid="{07F52497-EE14-4AB1-9836-9FC6EEBC66B5}"/>
    <hyperlink ref="B1611" r:id="rId4851" display="https://twitter.com/zen_mfg" xr:uid="{ACBC7194-1A52-46D9-84E0-DA633E0ADC5C}"/>
    <hyperlink ref="E1611" r:id="rId4852" display="https://twitter.com/zen_mfg/status/722725633311272961" xr:uid="{C662DA4E-1393-49CD-A5C3-CDF554A3C942}"/>
    <hyperlink ref="O1611" r:id="rId4853" display="https://pbs.twimg.com/profile_images/719855439022678017/ywr6leIV_normal.jpg" xr:uid="{ED078173-AAEC-4B13-B17A-C463953DF244}"/>
    <hyperlink ref="B1612" r:id="rId4854" display="https://twitter.com/Senfberg" xr:uid="{317E9532-D881-499B-9B70-84A0D9C7608E}"/>
    <hyperlink ref="E1612" r:id="rId4855" display="https://twitter.com/Senfberg/status/722725964032176128" xr:uid="{F1980633-B49B-4F46-BAE9-40B628E3F1FB}"/>
    <hyperlink ref="O1612" r:id="rId4856" display="https://pbs.twimg.com/profile_images/716046724981202946/KVuskSZN_normal.jpg" xr:uid="{CFB2D014-CA94-46AC-BF9C-0A6B75FA9C32}"/>
    <hyperlink ref="B1613" r:id="rId4857" display="https://twitter.com/Fujitsu_DE" xr:uid="{7DF385F2-6C51-442A-813C-DD6DCBC17C59}"/>
    <hyperlink ref="E1613" r:id="rId4858" display="https://twitter.com/Fujitsu_DE/status/722726472281169921" xr:uid="{373413B7-901F-483C-A605-CBBB2BE95B69}"/>
    <hyperlink ref="O1613" r:id="rId4859" display="https://pbs.twimg.com/profile_images/433533281326227456/t50WsDxe_normal.png" xr:uid="{256A05D1-9823-44D8-991C-7580BDAD1F0E}"/>
    <hyperlink ref="B1614" r:id="rId4860" display="https://twitter.com/cccsoftwaregmbh" xr:uid="{2DBA999A-78FC-4120-B353-EC6A73D9D45D}"/>
    <hyperlink ref="E1614" r:id="rId4861" display="https://twitter.com/cccsoftwaregmbh/status/722727953231175680" xr:uid="{027CDA39-437A-4B2B-B52B-8F2DFC06971A}"/>
    <hyperlink ref="O1614" r:id="rId4862" display="https://pbs.twimg.com/profile_images/664044971788509188/KRTH7qBq_normal.jpg" xr:uid="{7F5BD58F-374F-4927-994B-FE3868EF84BC}"/>
    <hyperlink ref="B1615" r:id="rId4863" display="https://twitter.com/AGiesenNRW" xr:uid="{2ABA2820-692E-47BB-8FEF-9CC723E9543D}"/>
    <hyperlink ref="E1615" r:id="rId4864" display="https://twitter.com/AGiesenNRW/status/722728692733108224" xr:uid="{FCDCDB66-9F51-4A8B-912B-04A8CB4939E1}"/>
    <hyperlink ref="O1615" r:id="rId4865" display="https://pbs.twimg.com/profile_images/687630441893900288/RvOaRxIg_normal.jpg" xr:uid="{B51754D6-2D5D-4E9E-A77A-F743604E243C}"/>
    <hyperlink ref="B1616" r:id="rId4866" display="https://twitter.com/ThomasSchulzGE" xr:uid="{1924D9AC-E6DA-4978-B88E-D4AF31338FC3}"/>
    <hyperlink ref="E1616" r:id="rId4867" display="https://twitter.com/ThomasSchulzGE/status/722728943015620608" xr:uid="{1110BD7C-6A5F-4523-A2CF-ED78D909117D}"/>
    <hyperlink ref="O1616" r:id="rId4868" display="https://pbs.twimg.com/profile_images/631516878830178304/X8gApwdt_normal.jpg" xr:uid="{BDB03F99-3396-46B3-9DF7-70616561555C}"/>
    <hyperlink ref="B1617" r:id="rId4869" display="https://twitter.com/AGiesenNRW" xr:uid="{3F892C15-121A-4AED-8022-4D9E95C4B9C1}"/>
    <hyperlink ref="E1617" r:id="rId4870" display="https://twitter.com/AGiesenNRW/status/722729004319576064" xr:uid="{7A7792E6-7F72-4E04-9B08-7F182AF0755F}"/>
    <hyperlink ref="O1617" r:id="rId4871" display="https://pbs.twimg.com/profile_images/687630441893900288/RvOaRxIg_normal.jpg" xr:uid="{5F758072-33E1-4056-BD54-D53665F1DD04}"/>
    <hyperlink ref="B1618" r:id="rId4872" display="https://twitter.com/Gruendercoaches" xr:uid="{94690EF9-B2EC-44C2-A664-C2F83EDEF259}"/>
    <hyperlink ref="E1618" r:id="rId4873" display="https://twitter.com/Gruendercoaches/status/722729839929794560" xr:uid="{6CC4A7C8-A351-4A90-8A52-8095203BAC23}"/>
    <hyperlink ref="O1618" r:id="rId4874" display="https://pbs.twimg.com/profile_images/561208179355185153/11KDu7Gt_normal.png" xr:uid="{4D46C261-5487-461C-9BB8-AAD3B61B84CF}"/>
    <hyperlink ref="B1619" r:id="rId4875" display="https://twitter.com/degenpa" xr:uid="{8002A4A3-B786-451D-AE31-9F3EB2411DEB}"/>
    <hyperlink ref="E1619" r:id="rId4876" display="https://twitter.com/degenpa/status/722729850008694784" xr:uid="{6237C900-57F7-4153-B7CE-F02951811D94}"/>
    <hyperlink ref="O1619" r:id="rId4877" display="https://pbs.twimg.com/profile_images/641488437963542528/ImZ4D7sS_normal.jpg" xr:uid="{9DBADE37-595F-4EF8-BA72-85B36E7ECBC0}"/>
    <hyperlink ref="B1620" r:id="rId4878" display="https://twitter.com/AGiesenNRW" xr:uid="{E127748D-3E6F-4CA5-A0A8-B0FD53A931F4}"/>
    <hyperlink ref="E1620" r:id="rId4879" display="https://twitter.com/AGiesenNRW/status/722730025942913024" xr:uid="{91A307B8-F395-4EB8-A32D-1666353A5B20}"/>
    <hyperlink ref="O1620" r:id="rId4880" display="https://pbs.twimg.com/profile_images/687630441893900288/RvOaRxIg_normal.jpg" xr:uid="{A2E65425-76CE-46BD-BC03-E886112601F1}"/>
    <hyperlink ref="B1621" r:id="rId4881" display="https://twitter.com/m_biscarrat" xr:uid="{DC5D59A6-F10F-442F-B573-189CD4BA5E3F}"/>
    <hyperlink ref="E1621" r:id="rId4882" display="https://twitter.com/m_biscarrat/status/722730653964464128" xr:uid="{19E26C9E-AA46-471C-A350-29797C35A73E}"/>
    <hyperlink ref="O1621" r:id="rId4883" display="https://pbs.twimg.com/profile_images/699724829713428484/rUT0r7Dq_normal.jpg" xr:uid="{9D0C45E1-7FDA-4D40-8C06-E89B32382CE9}"/>
    <hyperlink ref="B1622" r:id="rId4884" display="https://twitter.com/kybernesis" xr:uid="{7273DD56-5CD8-427A-B75D-377659D179B7}"/>
    <hyperlink ref="E1622" r:id="rId4885" display="https://twitter.com/kybernesis/status/722731121876803584" xr:uid="{1DB9AECF-2A05-4093-B3B7-D5E001D3D4DB}"/>
    <hyperlink ref="O1622" r:id="rId4886" display="https://pbs.twimg.com/profile_images/676420069510004737/LVtjbp6T_normal.jpg" xr:uid="{2F2D8080-8349-432A-A298-0B62C4DA0581}"/>
    <hyperlink ref="B1623" r:id="rId4887" display="https://twitter.com/ShowkuenstlerDe" xr:uid="{3A525727-3766-4C99-8354-44AD167C12D1}"/>
    <hyperlink ref="E1623" r:id="rId4888" display="https://twitter.com/ShowkuenstlerDe/status/722731422067355648" xr:uid="{91F9D2A5-8C86-43A8-B62D-5AD30ABEE428}"/>
    <hyperlink ref="O1623" r:id="rId4889" display="https://pbs.twimg.com/profile_images/1672470997/Longjeur_normal.gif" xr:uid="{BC16516C-985E-4D6E-A8FC-3784CA89F9AB}"/>
    <hyperlink ref="B1624" r:id="rId4890" display="https://twitter.com/INDIZbot" xr:uid="{82E4D571-4620-4201-A95D-335484121F25}"/>
    <hyperlink ref="E1624" r:id="rId4891" display="https://twitter.com/INDIZbot/status/722731936066760704" xr:uid="{89271329-0A94-42D0-89B3-8C457F051888}"/>
    <hyperlink ref="O1624" r:id="rId4892" display="https://pbs.twimg.com/profile_images/645716711723925506/t5G0qOS6_normal.jpg" xr:uid="{0BEAABE6-80F3-41DB-9486-DC643B04BEEA}"/>
    <hyperlink ref="B1625" r:id="rId4893" display="https://twitter.com/ThomasSchulzGE" xr:uid="{2E9489E8-F3E6-4737-8616-2B85E2B663D0}"/>
    <hyperlink ref="E1625" r:id="rId4894" display="https://twitter.com/ThomasSchulzGE/status/722732107768930308" xr:uid="{2D5A3B49-C3AD-481A-9326-2F4BE7B82EEC}"/>
    <hyperlink ref="O1625" r:id="rId4895" display="https://pbs.twimg.com/profile_images/631516878830178304/X8gApwdt_normal.jpg" xr:uid="{C852AED7-1479-457B-8FCE-73607B081D82}"/>
    <hyperlink ref="B1626" r:id="rId4896" display="https://twitter.com/ThomasSchulzGE" xr:uid="{C80BC2B6-1D38-4F7C-B7FF-CF65929E8066}"/>
    <hyperlink ref="E1626" r:id="rId4897" display="https://twitter.com/ThomasSchulzGE/status/722733622839623681" xr:uid="{8072BECC-3526-4570-BAB9-5812838AA348}"/>
    <hyperlink ref="O1626" r:id="rId4898" display="https://pbs.twimg.com/profile_images/631516878830178304/X8gApwdt_normal.jpg" xr:uid="{A7DDDC1D-4F64-4E47-BE6F-95B9AD8ED3E4}"/>
    <hyperlink ref="B1627" r:id="rId4899" display="https://twitter.com/joerghackhausen" xr:uid="{17F665E6-6757-4B37-A32D-636D1F3C1DB5}"/>
    <hyperlink ref="E1627" r:id="rId4900" display="https://twitter.com/joerghackhausen/status/722733663042080768" xr:uid="{91EFA800-D128-476D-80BC-507C1B591AD7}"/>
    <hyperlink ref="O1627" r:id="rId4901" display="https://pbs.twimg.com/profile_images/448356594233774080/9hP-J2os_normal.jpeg" xr:uid="{9FF87584-DC47-48EA-A5B2-06CEE360603C}"/>
    <hyperlink ref="B1628" r:id="rId4902" display="https://twitter.com/MEArbeitgeber" xr:uid="{58496993-34D1-4761-A38B-F052472D06ED}"/>
    <hyperlink ref="E1628" r:id="rId4903" display="https://twitter.com/MEArbeitgeber/status/722734096166821888" xr:uid="{386A7FBA-2581-4B92-A6A6-8FB7DBE8B136}"/>
    <hyperlink ref="O1628" r:id="rId4904" display="https://pbs.twimg.com/profile_images/572722352144666624/2G6VnJJx_normal.jpeg" xr:uid="{982FBDB7-6E9E-4123-8F62-866DCAD82A92}"/>
    <hyperlink ref="B1629" r:id="rId4905" display="https://twitter.com/Gesamtmetall" xr:uid="{516EDF07-D1B5-4467-AB51-AE84A6F97F0C}"/>
    <hyperlink ref="E1629" r:id="rId4906" display="https://twitter.com/Gesamtmetall/status/722734098918334464" xr:uid="{E0A27C86-F71C-4905-84C2-16EB78F73DBD}"/>
    <hyperlink ref="O1629" r:id="rId4907" display="https://pbs.twimg.com/profile_images/572721926804488192/AGAGHTgy_normal.jpeg" xr:uid="{B2157166-D315-403B-B1A9-5FBFE59F0471}"/>
    <hyperlink ref="B1630" r:id="rId4908" display="https://twitter.com/INDIZbot" xr:uid="{663D1CF2-AEE0-4D4D-B3D0-2C36C596B1BD}"/>
    <hyperlink ref="E1630" r:id="rId4909" display="https://twitter.com/INDIZbot/status/722734425897885696" xr:uid="{832C4D62-4E2A-4314-8CBE-43CDCD481344}"/>
    <hyperlink ref="O1630" r:id="rId4910" display="https://pbs.twimg.com/profile_images/645716711723925506/t5G0qOS6_normal.jpg" xr:uid="{65D14C0F-33E3-4F9C-BDC9-8C91CE76BFE8}"/>
    <hyperlink ref="B1631" r:id="rId4911" display="https://twitter.com/INDIZbot" xr:uid="{3873527B-1BB1-4F13-AFF0-FC1D75F5E175}"/>
    <hyperlink ref="E1631" r:id="rId4912" display="https://twitter.com/INDIZbot/status/722734536715563008" xr:uid="{E1154C2A-A0DD-4E30-A5FA-4F458FEA1230}"/>
    <hyperlink ref="O1631" r:id="rId4913" display="https://pbs.twimg.com/profile_images/645716711723925506/t5G0qOS6_normal.jpg" xr:uid="{20493904-60E7-4E4E-A79A-4F7883FC474E}"/>
    <hyperlink ref="B1632" r:id="rId4914" display="https://twitter.com/Industrie2025" xr:uid="{DEF8B3DB-245D-4E0D-967C-82333BEE83E6}"/>
    <hyperlink ref="E1632" r:id="rId4915" display="https://twitter.com/Industrie2025/status/722735267493318656" xr:uid="{DD636E5E-DA66-439E-AC61-B75305E93803}"/>
    <hyperlink ref="O1632" r:id="rId4916" display="https://pbs.twimg.com/profile_images/713001914993156096/BDotoIJf_normal.jpg" xr:uid="{CD5BC376-2601-44CE-B4F7-E70A83E7C138}"/>
    <hyperlink ref="B1633" r:id="rId4917" display="https://twitter.com/MaikPlischke" xr:uid="{6195ADA4-24A3-42E9-9D2D-ED3EC0E4C2AD}"/>
    <hyperlink ref="E1633" r:id="rId4918" display="https://twitter.com/MaikPlischke/status/722736142135599104" xr:uid="{364A05F8-2CC7-4A68-874E-267E98BFE703}"/>
    <hyperlink ref="O1633" r:id="rId4919" display="https://pbs.twimg.com/profile_images/561600740448153600/1SOPpS8W_normal.jpeg" xr:uid="{B662A1DC-E8BC-473F-9CE3-87F743E74643}"/>
    <hyperlink ref="B1634" r:id="rId4920" display="https://twitter.com/HDSintGroup" xr:uid="{E84F4941-DADE-4ACE-BBB1-604ACBD0AB9D}"/>
    <hyperlink ref="E1634" r:id="rId4921" display="https://twitter.com/HDSintGroup/status/722737259485782016" xr:uid="{C6AED60A-8DD3-4EE3-A2FC-D08B25AF41AC}"/>
    <hyperlink ref="O1634" r:id="rId4922" display="https://pbs.twimg.com/profile_images/699226610428420096/jjvfJFvl_normal.png" xr:uid="{EA5B5EE3-C4E7-463A-AED6-52A659ABEE63}"/>
    <hyperlink ref="B1635" r:id="rId4923" display="https://twitter.com/mschottenhammer" xr:uid="{5120C08F-54A8-4881-AEF2-8958419F01C5}"/>
    <hyperlink ref="E1635" r:id="rId4924" display="https://twitter.com/mschottenhammer/status/722737679364923392" xr:uid="{601442D9-C0B8-4F97-8964-8C7044EDA788}"/>
    <hyperlink ref="O1635" r:id="rId4925" display="https://pbs.twimg.com/profile_images/648593220293816325/eB4MGPgs_normal.jpg" xr:uid="{732A2443-E630-4E62-9F7D-96D57E053408}"/>
    <hyperlink ref="B1636" r:id="rId4926" display="https://twitter.com/mschottenhammer" xr:uid="{A8C5B5B1-2238-4351-A235-C02DCB06D619}"/>
    <hyperlink ref="E1636" r:id="rId4927" display="https://twitter.com/mschottenhammer/status/722737715880574976" xr:uid="{CE47AA9C-62B9-4683-ABDD-CB1BC6875372}"/>
    <hyperlink ref="O1636" r:id="rId4928" display="https://pbs.twimg.com/profile_images/648593220293816325/eB4MGPgs_normal.jpg" xr:uid="{BAE27281-B100-421E-9CE8-9DEF2671B790}"/>
    <hyperlink ref="B1637" r:id="rId4929" display="https://twitter.com/stefan_denz" xr:uid="{3219CA57-7006-434D-85C0-89DA92F2ABBA}"/>
    <hyperlink ref="E1637" r:id="rId4930" display="https://twitter.com/stefan_denz/status/722739593435549696" xr:uid="{FCCBFCDF-4B3C-470F-90F8-7762784BF08F}"/>
    <hyperlink ref="O1637" r:id="rId4931" display="https://pbs.twimg.com/profile_images/694465668897464320/YGd3ViJu_normal.jpg" xr:uid="{254C23E2-4544-44D9-B012-F0572202D55A}"/>
    <hyperlink ref="B1638" r:id="rId4932" display="https://twitter.com/Bitkom_I40" xr:uid="{B610AB24-6002-440B-A798-2DD39F04AE31}"/>
    <hyperlink ref="E1638" r:id="rId4933" display="https://twitter.com/Bitkom_I40/status/722740184228503552" xr:uid="{600CC360-D785-41F8-8A8E-EAFE02D539EE}"/>
    <hyperlink ref="O1638" r:id="rId4934" display="https://pbs.twimg.com/profile_images/723407487395713024/0hZv7R8S_normal.jpg" xr:uid="{1C9FC3AA-532D-47ED-BD60-413FE48F0C7B}"/>
    <hyperlink ref="B1639" r:id="rId4935" display="https://twitter.com/CKoaser" xr:uid="{27265622-A44A-4B71-90DB-12FA3F2B1A6C}"/>
    <hyperlink ref="E1639" r:id="rId4936" display="https://twitter.com/CKoaser/status/722740231561158657" xr:uid="{6B5A158A-0583-43B3-A5E3-D67A2716ED76}"/>
    <hyperlink ref="O1639" r:id="rId4937" display="https://pbs.twimg.com/profile_images/3590147827/c5f6a4a7cc66e7dd2f5810847cdd2d39_normal.jpeg" xr:uid="{98D3E659-DC1E-4BFA-BF5D-09D685248ACF}"/>
    <hyperlink ref="B1640" r:id="rId4938" display="https://twitter.com/Bitkom" xr:uid="{3E42AAFE-F582-4576-B493-3216B2F270F1}"/>
    <hyperlink ref="E1640" r:id="rId4939" display="https://twitter.com/Bitkom/status/722740335093366784" xr:uid="{F2448EEB-20E0-45B2-B750-142E61CF8594}"/>
    <hyperlink ref="O1640" r:id="rId4940" display="https://pbs.twimg.com/profile_images/615797525040136192/CKF9-v_o_normal.jpg" xr:uid="{A9EE98B2-4376-4C4B-BBE3-BEE0793ECD80}"/>
    <hyperlink ref="B1641" r:id="rId4941" display="https://twitter.com/SHC_GmbH" xr:uid="{FEE90C9B-77E0-4094-AB55-8E0E00CE2724}"/>
    <hyperlink ref="E1641" r:id="rId4942" display="https://twitter.com/SHC_GmbH/status/722740475363475456" xr:uid="{24E03A54-2444-4475-BCDD-BE8CCA297C2B}"/>
    <hyperlink ref="O1641" r:id="rId4943" display="https://pbs.twimg.com/profile_images/3726440228/9ba49ccb938cf571b195e3e83a4e1327_normal.jpeg" xr:uid="{CB2C4B35-FE83-47D1-A5D5-32439DE07AAF}"/>
    <hyperlink ref="B1642" r:id="rId4944" display="https://twitter.com/kommoptimierer" xr:uid="{6317DCE6-4F8E-4166-967F-CA84B0D62A48}"/>
    <hyperlink ref="E1642" r:id="rId4945" display="https://twitter.com/kommoptimierer/status/722742867748372480" xr:uid="{99689DD1-2D29-492D-AB32-8A1A2E951900}"/>
    <hyperlink ref="O1642" r:id="rId4946" display="https://pbs.twimg.com/profile_images/541146126158536704/IYardufS_normal.jpeg" xr:uid="{3563788E-D99A-4B3D-BD92-8542370FBFCE}"/>
    <hyperlink ref="B1643" r:id="rId4947" display="https://twitter.com/EAutoPionier" xr:uid="{F8A351B6-90EA-4234-A2FD-9E8BBA5E4FA8}"/>
    <hyperlink ref="E1643" r:id="rId4948" display="https://twitter.com/EAutoPionier/status/722742950938030084" xr:uid="{7B8264B8-27C3-4606-9619-2B5D6922AE6F}"/>
    <hyperlink ref="O1643" r:id="rId4949" display="https://pbs.twimg.com/profile_images/700576331407298560/RJ0M_dZd_normal.jpg" xr:uid="{F202B1C3-C438-4E6D-AA1B-CE00231F8542}"/>
    <hyperlink ref="B1644" r:id="rId4950" display="https://twitter.com/christophwitte" xr:uid="{95E0F831-0D9E-42D3-8ED2-3B12FA2671AC}"/>
    <hyperlink ref="E1644" r:id="rId4951" display="https://twitter.com/christophwitte/status/722743454862860288" xr:uid="{75C17BF0-D648-4BF5-86C7-B1713C8F7C39}"/>
    <hyperlink ref="O1644" r:id="rId4952" display="https://pbs.twimg.com/profile_images/618449316055748612/F_9LrZDf_normal.jpg" xr:uid="{3FF9B3E1-7C14-4F23-A5A7-8D7B665EC10C}"/>
    <hyperlink ref="B1645" r:id="rId4953" display="https://twitter.com/it_rebellen" xr:uid="{CB157E40-DA6D-4E5A-8ED6-E86A7EA7B81C}"/>
    <hyperlink ref="E1645" r:id="rId4954" display="https://twitter.com/it_rebellen/status/722743455106117632" xr:uid="{B5BAED6D-F777-4588-9EED-213A67CF8AF2}"/>
    <hyperlink ref="O1645" r:id="rId4955" display="https://pbs.twimg.com/profile_images/3625979673/acb661eae563d818836eb138c74e91f7_normal.jpeg" xr:uid="{C9D02D66-1B03-4E20-9C02-5A5296E40637}"/>
    <hyperlink ref="B1646" r:id="rId4956" display="https://twitter.com/AltenaTCS" xr:uid="{74BAB9DA-E702-4966-9BEF-ABECFF373917}"/>
    <hyperlink ref="E1646" r:id="rId4957" display="https://twitter.com/AltenaTCS/status/722743548664279040" xr:uid="{3C36DD79-07EB-4C01-9FFD-F03DBC4A4C90}"/>
    <hyperlink ref="O1646" r:id="rId4958" display="https://pbs.twimg.com/profile_images/709648582048157696/BnZ5RzQA_normal.jpg" xr:uid="{B7BDE7D8-D511-4D70-95F6-CA7CE79FA4C4}"/>
    <hyperlink ref="B1647" r:id="rId4959" display="https://twitter.com/Gruendercoaches" xr:uid="{06614489-AA08-45EF-9D0D-3F801B6987C6}"/>
    <hyperlink ref="E1647" r:id="rId4960" display="https://twitter.com/Gruendercoaches/status/722743690305880064" xr:uid="{995C37AF-A7C3-485C-8B47-0E6D8E72A220}"/>
    <hyperlink ref="O1647" r:id="rId4961" display="https://pbs.twimg.com/profile_images/561208179355185153/11KDu7Gt_normal.png" xr:uid="{7FF31ADA-D41F-4458-97C3-E60F63C3308E}"/>
    <hyperlink ref="B1648" r:id="rId4962" display="https://twitter.com/VDE_Group" xr:uid="{D52F6E07-CFC4-4C2D-BB2A-90317F44C637}"/>
    <hyperlink ref="E1648" r:id="rId4963" display="https://twitter.com/VDE_Group/status/722743800850812928" xr:uid="{02C3A243-3C49-4AB6-B663-A105F2681C6D}"/>
    <hyperlink ref="O1648" r:id="rId4964" display="https://pbs.twimg.com/profile_images/481000476872175616/HSvfIApp_normal.jpeg" xr:uid="{EF4A4DA2-06BC-4E18-823C-8A546E9564A3}"/>
    <hyperlink ref="B1649" r:id="rId4965" display="https://twitter.com/projectepos" xr:uid="{ABFF40AA-7531-4475-9871-C69ABF420306}"/>
    <hyperlink ref="E1649" r:id="rId4966" display="https://twitter.com/projectepos/status/722744333124952064" xr:uid="{2971F443-1F32-469B-B74E-385019DC02DF}"/>
    <hyperlink ref="O1649" r:id="rId4967" display="https://pbs.twimg.com/profile_images/669502955570241536/rh4E70Pk_normal.jpg" xr:uid="{6430E222-73F4-4829-8CD7-6276798CBF31}"/>
    <hyperlink ref="B1650" r:id="rId4968" display="https://twitter.com/MindCommerce" xr:uid="{51E0C7D5-67BF-4F4D-9F30-8D9904D5046C}"/>
    <hyperlink ref="E1650" r:id="rId4969" display="https://twitter.com/MindCommerce/status/722744713044959232" xr:uid="{687C2A2D-BA5A-4CE5-902D-6CC0385E0B0D}"/>
    <hyperlink ref="O1650" r:id="rId4970" display="https://pbs.twimg.com/profile_images/548030384030507008/utABqhj9_normal.png" xr:uid="{BC9CC8AF-8FE1-4312-A1F3-C9EB2D058608}"/>
    <hyperlink ref="B1651" r:id="rId4971" display="https://twitter.com/IfKom_eV" xr:uid="{CA8651C1-EC87-4780-970B-9633187C6A5D}"/>
    <hyperlink ref="E1651" r:id="rId4972" display="https://twitter.com/IfKom_eV/status/722745121494597632" xr:uid="{B40556A5-17BB-46E5-B886-FCC330952FA8}"/>
    <hyperlink ref="O1651" r:id="rId4973" display="https://pbs.twimg.com/profile_images/452796717688029186/3LJDW1UT_normal.jpeg" xr:uid="{671754B1-63B8-4B53-A418-229B331F697F}"/>
    <hyperlink ref="B1652" r:id="rId4974" display="https://twitter.com/MeinGeldMedien" xr:uid="{881C4ACD-A66B-4476-B230-85AD4015C501}"/>
    <hyperlink ref="E1652" r:id="rId4975" display="https://twitter.com/MeinGeldMedien/status/722745494485803008" xr:uid="{A54BA577-F9EF-4AE1-89BA-EBDCE9E47D56}"/>
    <hyperlink ref="O1652" r:id="rId4976" display="https://pbs.twimg.com/profile_images/473759721023758338/3CcJL-Vq_normal.jpeg" xr:uid="{C81B1D2D-3EF0-4EE2-9638-2F47B6CBA21E}"/>
    <hyperlink ref="B1653" r:id="rId4977" display="https://twitter.com/m_biscarrat" xr:uid="{1A23183C-0B59-4DF7-A5FD-C274E6BE6677}"/>
    <hyperlink ref="E1653" r:id="rId4978" display="https://twitter.com/m_biscarrat/status/722745618477793280" xr:uid="{A8291020-F4B3-4F32-A80B-09E2001A430F}"/>
    <hyperlink ref="F1653" r:id="rId4979" xr:uid="{4F4BC1D4-AF64-4481-8859-A0D1F1734CE1}"/>
    <hyperlink ref="O1653" r:id="rId4980" display="https://pbs.twimg.com/profile_images/699724829713428484/rUT0r7Dq_normal.jpg" xr:uid="{0FD7D652-20FC-42AE-922C-3770C32AFCAC}"/>
    <hyperlink ref="B1654" r:id="rId4981" display="https://twitter.com/EAutoPionier" xr:uid="{81252541-869C-44A0-B3AD-FEA1059F9569}"/>
    <hyperlink ref="E1654" r:id="rId4982" display="https://twitter.com/EAutoPionier/status/722746138726686720" xr:uid="{72B83886-56AF-43D8-88B6-2362491D2E98}"/>
    <hyperlink ref="O1654" r:id="rId4983" display="https://pbs.twimg.com/profile_images/700576331407298560/RJ0M_dZd_normal.jpg" xr:uid="{8769EBD7-3D6E-4E62-93A6-8C9A19C89FA6}"/>
    <hyperlink ref="B1655" r:id="rId4984" display="https://twitter.com/FK_Verband" xr:uid="{DEF8F00D-B5B0-4583-B7D3-4BCE0D06E101}"/>
    <hyperlink ref="E1655" r:id="rId4985" display="https://twitter.com/FK_Verband/status/722746497909923840" xr:uid="{D20FEF7B-400F-4168-B1B1-41391FD02DEA}"/>
    <hyperlink ref="O1655" r:id="rId4986" display="https://pbs.twimg.com/profile_images/459666685952151552/oULR8mG1_normal.png" xr:uid="{03CE8249-2F46-4D51-A903-761A3BB13DE2}"/>
    <hyperlink ref="B1656" r:id="rId4987" display="https://twitter.com/INDIZbot" xr:uid="{8FD3E1E5-E62A-4D20-B765-46D914D77605}"/>
    <hyperlink ref="E1656" r:id="rId4988" display="https://twitter.com/INDIZbot/status/722746924869267457" xr:uid="{05B11739-128F-4288-B3D6-103CDBB35BA5}"/>
    <hyperlink ref="O1656" r:id="rId4989" display="https://pbs.twimg.com/profile_images/645716711723925506/t5G0qOS6_normal.jpg" xr:uid="{4A5710FE-20F3-4DD4-A352-3813891974CE}"/>
    <hyperlink ref="B1657" r:id="rId4990" display="https://twitter.com/INDIZbot" xr:uid="{8CEFB298-C206-4AEE-99DC-2E742FA08796}"/>
    <hyperlink ref="E1657" r:id="rId4991" display="https://twitter.com/INDIZbot/status/722747173956411394" xr:uid="{88B29701-0914-49CE-893B-E00A14AE0429}"/>
    <hyperlink ref="O1657" r:id="rId4992" display="https://pbs.twimg.com/profile_images/645716711723925506/t5G0qOS6_normal.jpg" xr:uid="{4ECEA7F6-D570-484C-B1A2-A00E4F137DA7}"/>
    <hyperlink ref="B1658" r:id="rId4993" display="https://twitter.com/INDIZbot" xr:uid="{E9C9B4C8-E4C1-438A-98E9-B507D7222082}"/>
    <hyperlink ref="E1658" r:id="rId4994" display="https://twitter.com/INDIZbot/status/722747295888973825" xr:uid="{9047B939-D461-4040-98D5-9C88AE283A6B}"/>
    <hyperlink ref="O1658" r:id="rId4995" display="https://pbs.twimg.com/profile_images/645716711723925506/t5G0qOS6_normal.jpg" xr:uid="{6D6FC487-1577-44BC-842B-37C429363054}"/>
    <hyperlink ref="B1659" r:id="rId4996" display="https://twitter.com/StaplerPaul" xr:uid="{7066CD3A-1FAC-41CE-B45D-39368C7C89C6}"/>
    <hyperlink ref="E1659" r:id="rId4997" display="https://twitter.com/StaplerPaul/status/722747781069283329" xr:uid="{4B62463B-A19C-4093-AA8B-A09290D49D99}"/>
    <hyperlink ref="O1659" r:id="rId4998" display="https://pbs.twimg.com/profile_images/716882543551885312/GxRIW86z_normal.jpg" xr:uid="{46F8AD63-818F-4DE8-B1C3-84DBB734217C}"/>
    <hyperlink ref="B1660" r:id="rId4999" display="https://twitter.com/ScheerKarriere" xr:uid="{871C3791-9E45-449A-A542-83E120398334}"/>
    <hyperlink ref="E1660" r:id="rId5000" display="https://twitter.com/ScheerKarriere/status/722747784928043008" xr:uid="{117F3CBD-0003-4998-9E75-586D2AB4C649}"/>
    <hyperlink ref="O1660" r:id="rId5001" display="https://pbs.twimg.com/profile_images/704970625748697089/GQl2pOlK_normal.jpg" xr:uid="{A463928F-9D2C-46D0-816F-81926E2C6F07}"/>
    <hyperlink ref="B1661" r:id="rId5002" display="https://twitter.com/Stefan_Schaus" xr:uid="{92A1EDC4-96FC-4D9A-B3B4-7E1C05E4DD7D}"/>
    <hyperlink ref="E1661" r:id="rId5003" display="https://twitter.com/Stefan_Schaus/status/722748184515256321" xr:uid="{46FA0BFE-7EFD-43D1-BE77-B151B0F53A43}"/>
    <hyperlink ref="O1661" r:id="rId5004" display="https://pbs.twimg.com/profile_images/679303029431083008/S29_duNb_normal.jpg" xr:uid="{BEAE0077-6BA2-4313-90E0-5D9A08ACE19A}"/>
    <hyperlink ref="B1662" r:id="rId5005" display="https://twitter.com/SHC_GmbH" xr:uid="{BF9E5B91-D395-439B-A6BC-3AF3C367A5CA}"/>
    <hyperlink ref="E1662" r:id="rId5006" display="https://twitter.com/SHC_GmbH/status/722748379965624320" xr:uid="{0DD744C3-F6FD-43A8-8BA1-5ADA81971D62}"/>
    <hyperlink ref="O1662" r:id="rId5007" display="https://pbs.twimg.com/profile_images/3726440228/9ba49ccb938cf571b195e3e83a4e1327_normal.jpeg" xr:uid="{2D7031A1-B27A-4C14-980B-927B95C2156D}"/>
    <hyperlink ref="B1663" r:id="rId5008" display="https://twitter.com/Becker_AnnaLisa" xr:uid="{C6C1C624-FA40-43DB-A7DE-8419817C46B6}"/>
    <hyperlink ref="E1663" r:id="rId5009" display="https://twitter.com/Becker_AnnaLisa/status/722748644709916672" xr:uid="{419F1888-1CEC-4D4D-8008-E0D530144AA5}"/>
    <hyperlink ref="O1663" r:id="rId5010" display="https://pbs.twimg.com/profile_images/676325832600743936/gCXpokOx_normal.jpg" xr:uid="{1C84941F-A277-4950-988C-4DDD8DEDCA19}"/>
    <hyperlink ref="B1664" r:id="rId5011" display="https://twitter.com/miss_ypsilon" xr:uid="{EF3E5EB3-1704-409C-8F5C-C47CA8996538}"/>
    <hyperlink ref="E1664" r:id="rId5012" display="https://twitter.com/miss_ypsilon/status/722748743867633665" xr:uid="{5AD64227-5553-4C04-ACBC-370D22B1CD33}"/>
    <hyperlink ref="O1664" r:id="rId5013" display="https://pbs.twimg.com/profile_images/710019343636156416/IxXhDHFL_normal.jpg" xr:uid="{BDFB43EB-A993-4439-83F7-FD61F5DD270B}"/>
    <hyperlink ref="B1665" r:id="rId5014" display="https://twitter.com/UweKubach" xr:uid="{2B561D82-15A2-48A5-BB9A-00E231BD97F4}"/>
    <hyperlink ref="E1665" r:id="rId5015" display="https://twitter.com/UweKubach/status/722748874570481664" xr:uid="{DE341C80-4E88-44B0-92FE-95020861E89B}"/>
    <hyperlink ref="O1665" r:id="rId5016" display="https://pbs.twimg.com/profile_images/710750672581484545/n4dPcodC_normal.jpg" xr:uid="{24FA52ED-62E4-4DD4-971D-4EF5B3AE26CB}"/>
    <hyperlink ref="B1666" r:id="rId5017" display="https://twitter.com/smarasek" xr:uid="{8573E0B2-42DC-450C-B27B-0C337CCE7897}"/>
    <hyperlink ref="E1666" r:id="rId5018" display="https://twitter.com/smarasek/status/722749354130411521" xr:uid="{ADE9066D-A97F-49F2-A844-502B575216ED}"/>
    <hyperlink ref="O1666" r:id="rId5019" display="https://pbs.twimg.com/profile_images/288341769/IMG_7268web_normal.jpg" xr:uid="{221C8104-FD3C-4425-8695-A6EDA51B89D2}"/>
    <hyperlink ref="B1667" r:id="rId5020" display="https://twitter.com/kosslers" xr:uid="{62772A20-99B9-4266-950A-26C67A290B9E}"/>
    <hyperlink ref="E1667" r:id="rId5021" display="https://twitter.com/kosslers/status/722749371813474305" xr:uid="{5073C4F2-CE31-421E-8657-DC659F92BB66}"/>
    <hyperlink ref="O1667" r:id="rId5022" display="https://pbs.twimg.com/profile_images/571413718787080192/1XVW6exK_normal.jpeg" xr:uid="{56B3787E-E6CB-4F27-A315-92EC83629196}"/>
    <hyperlink ref="B1668" r:id="rId5023" display="https://twitter.com/INDIZbot" xr:uid="{8A8E3DFA-2ABC-4A1A-8D39-8D7D8B050AB5}"/>
    <hyperlink ref="E1668" r:id="rId5024" display="https://twitter.com/INDIZbot/status/722749445956313088" xr:uid="{EF4F03C5-D59D-4092-8EA6-88D314970DBA}"/>
    <hyperlink ref="O1668" r:id="rId5025" display="https://pbs.twimg.com/profile_images/645716711723925506/t5G0qOS6_normal.jpg" xr:uid="{9CFB6A0C-2CFF-43EF-AC66-88F5D2F57A07}"/>
    <hyperlink ref="B1669" r:id="rId5026" display="https://twitter.com/SHC_GmbH" xr:uid="{5C483B97-1D6C-41F7-855B-73DC0FCF1525}"/>
    <hyperlink ref="E1669" r:id="rId5027" display="https://twitter.com/SHC_GmbH/status/722749458383962112" xr:uid="{2F18A719-77EC-4A9B-9031-594E4C3CE7F1}"/>
    <hyperlink ref="O1669" r:id="rId5028" display="https://pbs.twimg.com/profile_images/3726440228/9ba49ccb938cf571b195e3e83a4e1327_normal.jpeg" xr:uid="{286BE021-97AA-4FE5-904F-1AFD08732457}"/>
    <hyperlink ref="B1670" r:id="rId5029" display="https://twitter.com/Becker_AnnaLisa" xr:uid="{C218C12C-3CDA-4E81-BFF8-AB6A60EAD60D}"/>
    <hyperlink ref="E1670" r:id="rId5030" display="https://twitter.com/Becker_AnnaLisa/status/722749626135273474" xr:uid="{5BFC48D3-CCE7-40B8-BAC0-D7D109C14A85}"/>
    <hyperlink ref="O1670" r:id="rId5031" display="https://pbs.twimg.com/profile_images/676325832600743936/gCXpokOx_normal.jpg" xr:uid="{FE2A118D-24E6-499E-AA3C-B629C44B98BF}"/>
    <hyperlink ref="B1671" r:id="rId5032" display="https://twitter.com/INDIZbot" xr:uid="{BC01468F-6B35-47E3-B12C-6B84D72FE553}"/>
    <hyperlink ref="E1671" r:id="rId5033" display="https://twitter.com/INDIZbot/status/722749630715424768" xr:uid="{DE131F69-9240-4859-8B9A-5F0C140BB892}"/>
    <hyperlink ref="O1671" r:id="rId5034" display="https://pbs.twimg.com/profile_images/645716711723925506/t5G0qOS6_normal.jpg" xr:uid="{045BED43-D411-4C1B-9B8E-8E57E426A3E5}"/>
    <hyperlink ref="B1672" r:id="rId5035" display="https://twitter.com/INDIZbot" xr:uid="{C01B8EFB-F67A-46D2-AC86-D9889F454242}"/>
    <hyperlink ref="E1672" r:id="rId5036" display="https://twitter.com/INDIZbot/status/722749817181642752" xr:uid="{B99F0690-A215-4FD8-8481-4B91EB6B022A}"/>
    <hyperlink ref="O1672" r:id="rId5037" display="https://pbs.twimg.com/profile_images/645716711723925506/t5G0qOS6_normal.jpg" xr:uid="{8DF46544-02C5-4807-B519-D3114C102114}"/>
    <hyperlink ref="B1673" r:id="rId5038" display="https://twitter.com/UweKubach" xr:uid="{24649FEC-C287-4E64-AECB-AAB042EF811D}"/>
    <hyperlink ref="E1673" r:id="rId5039" display="https://twitter.com/UweKubach/status/722750753102827520" xr:uid="{8B8CF471-2C15-4639-AB33-18FB4274ACFE}"/>
    <hyperlink ref="O1673" r:id="rId5040" display="https://pbs.twimg.com/profile_images/710750672581484545/n4dPcodC_normal.jpg" xr:uid="{8F8447E0-0F8A-4BE9-B747-69C222F532AF}"/>
    <hyperlink ref="B1674" r:id="rId5041" display="https://twitter.com/SICK_de" xr:uid="{4A1F0EEB-6B70-4CC8-9F1E-11EE6BF42626}"/>
    <hyperlink ref="E1674" r:id="rId5042" display="https://twitter.com/SICK_de/status/722751006799335424" xr:uid="{70BA25BE-D098-4AE6-98F8-81C09A986AE0}"/>
    <hyperlink ref="O1674" r:id="rId5043" display="https://pbs.twimg.com/profile_images/2144085015/sick_de_icon_normal.jpg" xr:uid="{598FD63A-3E67-4882-B767-0A57481CA6E1}"/>
    <hyperlink ref="B1675" r:id="rId5044" display="https://twitter.com/SHC_GmbH" xr:uid="{C2813EEC-E097-45C0-BC90-05163B546814}"/>
    <hyperlink ref="E1675" r:id="rId5045" display="https://twitter.com/SHC_GmbH/status/722751149959307264" xr:uid="{E0CF880F-BDF7-4737-97B9-40A7D4983548}"/>
    <hyperlink ref="O1675" r:id="rId5046" display="https://pbs.twimg.com/profile_images/3726440228/9ba49ccb938cf571b195e3e83a4e1327_normal.jpeg" xr:uid="{036F8671-16BF-4455-9546-9B39473E984B}"/>
    <hyperlink ref="B1676" r:id="rId5047" display="https://twitter.com/SHC_GmbH" xr:uid="{821F6C30-A052-4060-9631-AF7DB06D80F4}"/>
    <hyperlink ref="E1676" r:id="rId5048" display="https://twitter.com/SHC_GmbH/status/722751730149003265" xr:uid="{E57B41A0-F733-4616-88CD-96D117603A3B}"/>
    <hyperlink ref="O1676" r:id="rId5049" display="https://pbs.twimg.com/profile_images/3726440228/9ba49ccb938cf571b195e3e83a4e1327_normal.jpeg" xr:uid="{9A18FF53-F303-42F7-8018-C0BF23D36BF8}"/>
    <hyperlink ref="B1677" r:id="rId5050" display="https://twitter.com/catkinEU" xr:uid="{C72606C5-DBE0-4F75-B6F9-A120B7EC41B4}"/>
    <hyperlink ref="E1677" r:id="rId5051" display="https://twitter.com/catkinEU/status/722752187445555205" xr:uid="{76A96499-2A73-4AF5-ACCA-004A53330B5E}"/>
    <hyperlink ref="O1677" r:id="rId5052" display="https://pbs.twimg.com/profile_images/604338428227010560/6jzSa8us_normal.png" xr:uid="{A2EF3DE4-22D0-4D2B-AFE4-55B26F6BFCEA}"/>
    <hyperlink ref="B1678" r:id="rId5053" display="https://twitter.com/prxagentur" xr:uid="{2AE9A2E4-91EB-4093-8D2A-14B153AA7063}"/>
    <hyperlink ref="E1678" r:id="rId5054" display="https://twitter.com/prxagentur/status/722752436671094785" xr:uid="{568E29F9-2269-46B0-BC26-76FFF9290568}"/>
    <hyperlink ref="O1678" r:id="rId5055" display="https://pbs.twimg.com/profile_images/594934750122536960/nG4kmfDF_normal.jpg" xr:uid="{4B67BF22-27AA-4FDF-9B2F-6840FC7A20A6}"/>
    <hyperlink ref="B1679" r:id="rId5056" display="https://twitter.com/NeleReimers" xr:uid="{788A2158-2EA9-499A-94D6-6790C86BE0B6}"/>
    <hyperlink ref="E1679" r:id="rId5057" display="https://twitter.com/NeleReimers/status/722752625037287425" xr:uid="{949E90AA-1C5E-47B7-BE86-714B90913DB8}"/>
    <hyperlink ref="O1679" r:id="rId5058" display="https://pbs.twimg.com/profile_images/667689986276392960/lHQvEvuO_normal.jpg" xr:uid="{7A8EC623-F654-447A-A16B-10D3D47B3D33}"/>
    <hyperlink ref="B1680" r:id="rId5059" display="https://twitter.com/MagazinoGmbH" xr:uid="{A29337DE-FE4B-4237-9B8E-AA2287CD80EA}"/>
    <hyperlink ref="E1680" r:id="rId5060" display="https://twitter.com/MagazinoGmbH/status/722752750312775680" xr:uid="{C5A8E9D8-FDD4-4A60-B6F9-F37ADCC5BCC0}"/>
    <hyperlink ref="O1680" r:id="rId5061" display="https://pbs.twimg.com/profile_images/639810095942115329/xJWUw6Wr_normal.jpg" xr:uid="{4DF3AD82-337B-4167-A3ED-01C6F7F17A83}"/>
    <hyperlink ref="B1681" r:id="rId5062" display="https://twitter.com/HolgerPaul66" xr:uid="{BCAAD764-C548-457A-AFA2-54601E3F525F}"/>
    <hyperlink ref="E1681" r:id="rId5063" display="https://twitter.com/HolgerPaul66/status/722753738050572289" xr:uid="{AB04A11F-2226-4084-BDDF-17D42E9AA0C4}"/>
    <hyperlink ref="O1681" r:id="rId5064" display="https://pbs.twimg.com/profile_images/525998513264410624/ZHDocuJo_normal.jpeg" xr:uid="{D3C4CB13-CFB2-4349-8461-FAA9088289FF}"/>
    <hyperlink ref="B1682" r:id="rId5065" display="https://twitter.com/mGuardcom" xr:uid="{7AF124BC-A268-4338-B0FD-8E4D513A2765}"/>
    <hyperlink ref="E1682" r:id="rId5066" display="https://twitter.com/mGuardcom/status/722753881441087489" xr:uid="{CEC4FAB5-CDF0-46D0-A58C-6D2272821276}"/>
    <hyperlink ref="O1682" r:id="rId5067" display="https://pbs.twimg.com/profile_images/689452604405915648/JJBs_QZV_normal.jpg" xr:uid="{632D4860-76E6-464E-A722-C47C6557DF13}"/>
    <hyperlink ref="B1683" r:id="rId5068" display="https://twitter.com/konsultwerk" xr:uid="{66C51695-F6AD-4857-AC2D-3A3897454E1C}"/>
    <hyperlink ref="E1683" r:id="rId5069" display="https://twitter.com/konsultwerk/status/722754510054039553" xr:uid="{AB5ABAEC-C27D-42F2-88FB-30BF8322DAA9}"/>
    <hyperlink ref="O1683" r:id="rId5070" display="https://pbs.twimg.com/profile_images/1539645084/FB-KWlogo.004_normal.png" xr:uid="{7E359DAC-5CE4-4F48-A59E-511EEFB42E9C}"/>
    <hyperlink ref="B1684" r:id="rId5071" display="https://twitter.com/AGiesenNRW" xr:uid="{B41083A7-BF81-4D40-B769-0361E9A93E92}"/>
    <hyperlink ref="E1684" r:id="rId5072" display="https://twitter.com/AGiesenNRW/status/722754637133008896" xr:uid="{57892ECD-25E4-4093-9689-121F00005196}"/>
    <hyperlink ref="O1684" r:id="rId5073" display="https://pbs.twimg.com/profile_images/687630441893900288/RvOaRxIg_normal.jpg" xr:uid="{8BAE74D4-891B-4A41-BDE8-6F7472BA4B3D}"/>
    <hyperlink ref="B1685" r:id="rId5074" display="https://twitter.com/NeleReimers" xr:uid="{97F89CA3-3472-4147-A663-87B5310BFA02}"/>
    <hyperlink ref="E1685" r:id="rId5075" display="https://twitter.com/NeleReimers/status/722754966704619522" xr:uid="{2E4F384D-AE44-42BF-A06D-947444065BDE}"/>
    <hyperlink ref="O1685" r:id="rId5076" display="https://pbs.twimg.com/profile_images/667689986276392960/lHQvEvuO_normal.jpg" xr:uid="{E898B1D5-58FB-40C6-A84B-8E835C618CBC}"/>
    <hyperlink ref="B1686" r:id="rId5077" display="https://twitter.com/sepemindustries" xr:uid="{84D75D8B-58F3-4F47-8D7B-363940425604}"/>
    <hyperlink ref="E1686" r:id="rId5078" display="https://twitter.com/sepemindustries/status/722755048011239427" xr:uid="{BA250952-3C4F-420C-921D-84807934AF9A}"/>
    <hyperlink ref="O1686" r:id="rId5079" display="https://pbs.twimg.com/profile_images/552062940782686209/2IlN5g_v_normal.jpeg" xr:uid="{FD331BDE-77D3-4BDA-90BB-3F3942E0BD7E}"/>
    <hyperlink ref="B1687" r:id="rId5080" display="https://twitter.com/PMBG_biz" xr:uid="{34FE5A7C-A734-401B-9CC7-DBF21A92450A}"/>
    <hyperlink ref="E1687" r:id="rId5081" display="https://twitter.com/PMBG_biz/status/722755057544990720" xr:uid="{0BC881F3-4D82-4F83-ADDD-C64E61F6413F}"/>
    <hyperlink ref="O1687" r:id="rId5082" display="https://pbs.twimg.com/profile_images/510362027852709889/YhyF73uq_normal.jpeg" xr:uid="{34AD4628-B641-4EB1-8520-60B86C4D355E}"/>
    <hyperlink ref="B1688" r:id="rId5083" display="https://twitter.com/GenRob_Deutsch" xr:uid="{101FA56C-7431-434D-A5E1-ACBDE2DB4EB5}"/>
    <hyperlink ref="E1688" r:id="rId5084" display="https://twitter.com/GenRob_Deutsch/status/722756982248058881" xr:uid="{D37813B8-7DCC-45BA-8B31-8623A8FF862F}"/>
    <hyperlink ref="O1688" r:id="rId5085" display="https://pbs.twimg.com/profile_images/535016038396461058/q8XuQHUG_normal.png" xr:uid="{4DE0DBEB-AD9B-4DE1-9DD3-5E9F191C7558}"/>
    <hyperlink ref="B1689" r:id="rId5086" display="https://twitter.com/MSFT_Politik" xr:uid="{8F3D7BAF-EA0B-4C1F-9155-6EA98E8FAC2B}"/>
    <hyperlink ref="E1689" r:id="rId5087" display="https://twitter.com/MSFT_Politik/status/722757403695927296" xr:uid="{87C90331-1F40-4CD5-BFAA-35D607678BEF}"/>
    <hyperlink ref="O1689" r:id="rId5088" display="https://pbs.twimg.com/profile_images/423815982579085313/XVdEl1vG_normal.png" xr:uid="{8B565EEC-4974-423D-A1B6-FE1FBFEAB64A}"/>
    <hyperlink ref="B1690" r:id="rId5089" display="https://twitter.com/ke_NEXT" xr:uid="{4556AC34-D6FC-41B2-AD65-B03E1CC5C830}"/>
    <hyperlink ref="E1690" r:id="rId5090" display="https://twitter.com/ke_NEXT/status/722757733527629825" xr:uid="{53F86D81-C6CB-487E-9F6A-78AA9770FC02}"/>
    <hyperlink ref="O1690" r:id="rId5091" display="https://pbs.twimg.com/profile_images/672314625904541696/nkjpjIHy_normal.png" xr:uid="{ABBA043B-F497-4DBB-AD2C-5C28C9D84666}"/>
    <hyperlink ref="B1691" r:id="rId5092" display="https://twitter.com/Global_Fairs" xr:uid="{802E0267-2537-4945-8E1C-8983D35D5C08}"/>
    <hyperlink ref="E1691" r:id="rId5093" display="https://twitter.com/Global_Fairs/status/722757923701698560" xr:uid="{B281E4A9-130B-47BB-A6C7-0A549B6A1B93}"/>
    <hyperlink ref="O1691" r:id="rId5094" display="https://pbs.twimg.com/profile_images/694530943139315712/TQHmYxMT_normal.png" xr:uid="{2434E479-F4CF-40F7-8C84-CAFDF815CC04}"/>
    <hyperlink ref="B1692" r:id="rId5095" display="https://twitter.com/packagingJ" xr:uid="{D8D655DC-86A7-4380-A45B-883E430EABAA}"/>
    <hyperlink ref="E1692" r:id="rId5096" display="https://twitter.com/packagingJ/status/722759256831700993" xr:uid="{DE7AEBD5-987B-43D9-8B74-6FD32AC6475E}"/>
    <hyperlink ref="O1692" r:id="rId5097" display="https://pbs.twimg.com/profile_images/2240680734/pj-logo1_normal.png" xr:uid="{1B077ED6-C265-4D07-A6CF-60775C2622B7}"/>
    <hyperlink ref="B1693" r:id="rId5098" display="https://twitter.com/Alex_Franke" xr:uid="{1CB02A44-1DAF-4CE1-9DF7-8C49F5297ED8}"/>
    <hyperlink ref="E1693" r:id="rId5099" display="https://twitter.com/Alex_Franke/status/722759641571160064" xr:uid="{EDB66A90-8917-490F-80E1-A60CF1CA0FC6}"/>
    <hyperlink ref="O1693" r:id="rId5100" display="https://pbs.twimg.com/profile_images/521370977452953600/VBj1GUOy_normal.jpeg" xr:uid="{F2C38856-B3AC-467F-8473-F4955C13D044}"/>
    <hyperlink ref="B1694" r:id="rId5101" display="https://twitter.com/QuickFindsIn" xr:uid="{C67370B1-7575-4725-BA7C-6F0FBB69062D}"/>
    <hyperlink ref="E1694" r:id="rId5102" display="https://twitter.com/QuickFindsIn/status/722759728305033219" xr:uid="{B5347BC7-84F6-4E16-B4D9-744EBDE6EF43}"/>
    <hyperlink ref="O1694" r:id="rId5103" display="https://pbs.twimg.com/profile_images/591951396217327616/HbcCX2zX_normal.png" xr:uid="{948CFDF2-7B3F-4F21-9C87-CB37308C2DA0}"/>
    <hyperlink ref="B1695" r:id="rId5104" display="https://twitter.com/DAE_Blogger" xr:uid="{9608E8B3-01C5-4714-86B3-975131839881}"/>
    <hyperlink ref="E1695" r:id="rId5105" display="https://twitter.com/DAE_Blogger/status/722759818612576257" xr:uid="{9CB1DC49-ADDE-4617-9052-2D68A70B52DD}"/>
    <hyperlink ref="O1695" r:id="rId5106" display="https://pbs.twimg.com/profile_images/634064433971625984/Nk5HNqCE_normal.jpg" xr:uid="{82F568F1-A1B2-4B64-83C1-71C039C1732B}"/>
    <hyperlink ref="B1696" r:id="rId5107" display="https://twitter.com/ahk_frankreich" xr:uid="{D5946518-07A6-4052-8794-BA9EFED28389}"/>
    <hyperlink ref="E1696" r:id="rId5108" display="https://twitter.com/ahk_frankreich/status/722759856566853633" xr:uid="{4BA3C08D-A400-4E0D-9502-63A03C806431}"/>
    <hyperlink ref="O1696" r:id="rId5109" display="https://pbs.twimg.com/profile_images/672343322632024064/4z8q3pp4_normal.jpg" xr:uid="{FB86354F-7315-4AB7-9F93-37B01620F77F}"/>
    <hyperlink ref="B1697" r:id="rId5110" display="https://twitter.com/IoTMinded" xr:uid="{77EC207B-D6AB-4B22-82EF-BAC6BC7ECD57}"/>
    <hyperlink ref="E1697" r:id="rId5111" display="https://twitter.com/IoTMinded/status/722759857351344128" xr:uid="{9EC145C3-8449-4A7F-BA05-E78830AD7D79}"/>
    <hyperlink ref="O1697" r:id="rId5112" display="https://pbs.twimg.com/profile_images/603699032804859904/lb5IMG5x_normal.jpg" xr:uid="{BF2BB301-FADE-41A9-A081-B6056245D66D}"/>
    <hyperlink ref="B1698" r:id="rId5113" display="https://twitter.com/MEArbeitgeber" xr:uid="{ED707511-59D6-4EE0-8DC5-B6307DDA44CE}"/>
    <hyperlink ref="E1698" r:id="rId5114" display="https://twitter.com/MEArbeitgeber/status/722760534899236866" xr:uid="{AC1157F5-4753-4941-974C-D6C66D35E5E4}"/>
    <hyperlink ref="O1698" r:id="rId5115" display="https://pbs.twimg.com/profile_images/572722352144666624/2G6VnJJx_normal.jpeg" xr:uid="{2A43C494-DBAB-48F4-93D3-5DFAA57DDE65}"/>
    <hyperlink ref="B1699" r:id="rId5116" display="https://twitter.com/Gesamtmetall" xr:uid="{DC4CECB0-9395-49D5-B88D-5818CD7BA0DA}"/>
    <hyperlink ref="E1699" r:id="rId5117" display="https://twitter.com/Gesamtmetall/status/722760535847124992" xr:uid="{2FA5E736-2758-446F-A54B-2D14A1D37856}"/>
    <hyperlink ref="O1699" r:id="rId5118" display="https://pbs.twimg.com/profile_images/572721926804488192/AGAGHTgy_normal.jpeg" xr:uid="{A2A0286F-886B-4F7C-BE6C-2E0D43296E07}"/>
    <hyperlink ref="B1700" r:id="rId5119" display="https://twitter.com/RolandBent" xr:uid="{667F7DD4-9717-4A72-B5F4-CF4CB4363953}"/>
    <hyperlink ref="E1700" r:id="rId5120" display="https://twitter.com/RolandBent/status/722760929159573504" xr:uid="{32E25A2A-67AF-4FDD-B15B-B046A4EA783B}"/>
    <hyperlink ref="O1700" r:id="rId5121" display="https://pbs.twimg.com/profile_images/451994816889360385/SYPpc3iI_normal.jpeg" xr:uid="{9C366602-106F-4EE0-A611-23056CAB33F7}"/>
    <hyperlink ref="B1701" r:id="rId5122" display="https://twitter.com/ahk_frankreich" xr:uid="{0E707850-26CC-428B-9FEF-CAD3E992E64B}"/>
    <hyperlink ref="E1701" r:id="rId5123" display="https://twitter.com/ahk_frankreich/status/722761471625547776" xr:uid="{93D72648-681F-4261-9A87-FC09DCF93F73}"/>
    <hyperlink ref="O1701" r:id="rId5124" display="https://pbs.twimg.com/profile_images/672343322632024064/4z8q3pp4_normal.jpg" xr:uid="{4EF923FD-C894-4139-B451-A162611E8848}"/>
    <hyperlink ref="B1702" r:id="rId5125" display="https://twitter.com/mbaukarriere" xr:uid="{105F7B74-2A1E-4DEF-956E-85BD87D1F2FD}"/>
    <hyperlink ref="E1702" r:id="rId5126" display="https://twitter.com/mbaukarriere/status/722761805467095040" xr:uid="{5FB3E0A5-0A96-4975-B848-0EDE5B7692C2}"/>
    <hyperlink ref="O1702" r:id="rId5127" display="https://pbs.twimg.com/profile_images/690125049806884864/ET63bOiY_normal.jpg" xr:uid="{AAD60D56-AF61-4691-884C-2430DD99EA01}"/>
    <hyperlink ref="B1703" r:id="rId5128" display="https://twitter.com/ahk_frankreich" xr:uid="{92622B9E-9FA9-491B-AA81-BF637BFE647B}"/>
    <hyperlink ref="E1703" r:id="rId5129" display="https://twitter.com/ahk_frankreich/status/722761965697806336" xr:uid="{397D7ECF-071B-4C81-9516-1ED7ADE0B180}"/>
    <hyperlink ref="O1703" r:id="rId5130" display="https://pbs.twimg.com/profile_images/672343322632024064/4z8q3pp4_normal.jpg" xr:uid="{ADC0F366-3DEB-4C2E-9D9B-5A36CA41F9EE}"/>
    <hyperlink ref="B1704" r:id="rId5131" display="https://twitter.com/ATstandards" xr:uid="{359FB78B-4682-4EDB-99C8-5614265B15ED}"/>
    <hyperlink ref="E1704" r:id="rId5132" display="https://twitter.com/ATstandards/status/722761997058592768" xr:uid="{DE059543-617C-426D-BB37-884424511C62}"/>
    <hyperlink ref="O1704" r:id="rId5133" display="https://pbs.twimg.com/profile_images/459674891319382016/zbK0HhIT_normal.jpeg" xr:uid="{B9FE9691-8E5A-41E1-8947-7D0F548655C8}"/>
    <hyperlink ref="B1705" r:id="rId5134" display="https://twitter.com/INDIZbot" xr:uid="{75A92ACE-CEEB-4F8E-97B9-075F52603BA2}"/>
    <hyperlink ref="E1705" r:id="rId5135" display="https://twitter.com/INDIZbot/status/722762025122852864" xr:uid="{A892CFDF-633E-4219-8402-2F88E12B6A46}"/>
    <hyperlink ref="O1705" r:id="rId5136" display="https://pbs.twimg.com/profile_images/645716711723925506/t5G0qOS6_normal.jpg" xr:uid="{7D246D70-B2B2-451B-968B-E2CB697331CE}"/>
    <hyperlink ref="B1706" r:id="rId5137" display="https://twitter.com/Global_Fairs" xr:uid="{3F4F04EB-8468-4AFA-BD58-91B9C8DC1D0A}"/>
    <hyperlink ref="E1706" r:id="rId5138" display="https://twitter.com/Global_Fairs/status/722762072711368704" xr:uid="{A4B88DFF-D2A1-470E-9991-99C1398B1448}"/>
    <hyperlink ref="O1706" r:id="rId5139" display="https://pbs.twimg.com/profile_images/694530943139315712/TQHmYxMT_normal.png" xr:uid="{E053E45B-BA47-4118-9BAF-941004A80418}"/>
    <hyperlink ref="B1707" r:id="rId5140" display="https://twitter.com/INDIZbot" xr:uid="{353BD1C0-42AF-4719-AD1D-48F2AC6788B9}"/>
    <hyperlink ref="E1707" r:id="rId5141" display="https://twitter.com/INDIZbot/status/722762161144115200" xr:uid="{72C48A16-0328-4941-85EB-DBB28A429AD2}"/>
    <hyperlink ref="O1707" r:id="rId5142" display="https://pbs.twimg.com/profile_images/645716711723925506/t5G0qOS6_normal.jpg" xr:uid="{311610E3-89EF-4F59-BFF3-AF923D14FE65}"/>
    <hyperlink ref="B1708" r:id="rId5143" display="https://twitter.com/INDIZbot" xr:uid="{21C967AC-045F-402E-8FB0-996965612EBC}"/>
    <hyperlink ref="E1708" r:id="rId5144" display="https://twitter.com/INDIZbot/status/722762349543878656" xr:uid="{5B4992D8-E519-47FA-92A6-43C7504A4FDD}"/>
    <hyperlink ref="O1708" r:id="rId5145" display="https://pbs.twimg.com/profile_images/645716711723925506/t5G0qOS6_normal.jpg" xr:uid="{2F7CA719-1E29-48E8-805F-0ECDB4653F67}"/>
    <hyperlink ref="B1709" r:id="rId5146" display="https://twitter.com/AGiesenNRW" xr:uid="{F1599A1A-7405-4B8C-B3DC-1B7FE3CD0FAA}"/>
    <hyperlink ref="E1709" r:id="rId5147" display="https://twitter.com/AGiesenNRW/status/722762434633535489" xr:uid="{D10311E2-F0E5-4BD8-91FC-6CC8ED9B4B3A}"/>
    <hyperlink ref="O1709" r:id="rId5148" display="https://pbs.twimg.com/profile_images/687630441893900288/RvOaRxIg_normal.jpg" xr:uid="{2EC6C17D-0A19-4B20-B819-FDFBBFC526CA}"/>
    <hyperlink ref="B1710" r:id="rId5149" display="https://twitter.com/ahk_frankreich" xr:uid="{642938D7-1A8C-4963-B6D9-F209DFF2FDCF}"/>
    <hyperlink ref="E1710" r:id="rId5150" display="https://twitter.com/ahk_frankreich/status/722762687256526848" xr:uid="{9986FC28-2D2E-4B93-8351-CB7E65239179}"/>
    <hyperlink ref="O1710" r:id="rId5151" display="https://pbs.twimg.com/profile_images/672343322632024064/4z8q3pp4_normal.jpg" xr:uid="{557FEDCD-0453-4D01-A110-44E0A92537AF}"/>
    <hyperlink ref="B1711" r:id="rId5152" display="https://twitter.com/packagingJ" xr:uid="{1EDA8C65-8746-40E4-B949-E6C5EB249D12}"/>
    <hyperlink ref="E1711" r:id="rId5153" display="https://twitter.com/packagingJ/status/722763015737765888" xr:uid="{BDEBBBFD-6966-4741-B4DB-8BCB550AD393}"/>
    <hyperlink ref="O1711" r:id="rId5154" display="https://pbs.twimg.com/profile_images/2240680734/pj-logo1_normal.png" xr:uid="{1D342AF1-E637-4E41-A1B6-ED549DE801C9}"/>
    <hyperlink ref="B1712" r:id="rId5155" display="https://twitter.com/Der_BDI" xr:uid="{4C057E34-C1D4-4775-8926-A37B7169BD9B}"/>
    <hyperlink ref="E1712" r:id="rId5156" display="https://twitter.com/Der_BDI/status/722763114299523072" xr:uid="{FF4C6274-DE93-493C-8621-551AC47349B1}"/>
    <hyperlink ref="O1712" r:id="rId5157" display="https://pbs.twimg.com/profile_images/314979832/Dialogikon_normal.jpg" xr:uid="{093F0BFE-B1AC-45CE-89C0-B9F830C37535}"/>
    <hyperlink ref="B1713" r:id="rId5158" display="https://twitter.com/ahk_frankreich" xr:uid="{2D616F96-876D-4A7A-B701-095827613D88}"/>
    <hyperlink ref="E1713" r:id="rId5159" display="https://twitter.com/ahk_frankreich/status/722763806162624512" xr:uid="{51208670-0508-46A1-85FF-E071D6BAC2A3}"/>
    <hyperlink ref="O1713" r:id="rId5160" display="https://pbs.twimg.com/profile_images/672343322632024064/4z8q3pp4_normal.jpg" xr:uid="{979EEB4A-8B9F-4067-9F35-DD9624148102}"/>
    <hyperlink ref="B1714" r:id="rId5161" display="https://twitter.com/ahk_frankreich" xr:uid="{D2B80B8D-7736-47FA-AC43-B0B6A4D9D4B6}"/>
    <hyperlink ref="E1714" r:id="rId5162" display="https://twitter.com/ahk_frankreich/status/722764551834497024" xr:uid="{663394E2-E7EF-4A2A-A923-4C9634BB43C3}"/>
    <hyperlink ref="O1714" r:id="rId5163" display="https://pbs.twimg.com/profile_images/672343322632024064/4z8q3pp4_normal.jpg" xr:uid="{6ACD59F1-2D25-4746-888C-5D38923164AC}"/>
    <hyperlink ref="B1715" r:id="rId5164" display="https://twitter.com/aristaflow" xr:uid="{4D82F3F6-84B0-4945-BE61-E9C729EDF248}"/>
    <hyperlink ref="E1715" r:id="rId5165" display="https://twitter.com/aristaflow/status/722764624949436416" xr:uid="{9DFB5CE6-9E6E-4B6A-9443-5812E36DB16A}"/>
    <hyperlink ref="O1715" r:id="rId5166" display="https://pbs.twimg.com/profile_images/585430524338053122/A23ksFUL_normal.png" xr:uid="{B1F6AE1B-2A94-4556-BAB8-F820B57824AE}"/>
    <hyperlink ref="B1716" r:id="rId5167" display="https://twitter.com/PS_I_T" xr:uid="{C1994108-D65A-446C-AB53-8C3FBF0DC06F}"/>
    <hyperlink ref="E1716" r:id="rId5168" display="https://twitter.com/PS_I_T/status/722764904701292544" xr:uid="{13795C4A-7109-4C5A-82D6-B580B172734D}"/>
    <hyperlink ref="O1716" r:id="rId5169" display="https://pbs.twimg.com/profile_images/649119218064035840/KG3FwC7K_normal.jpg" xr:uid="{18565263-1A3E-4ADE-BEB7-DE1E108CC312}"/>
    <hyperlink ref="B1717" r:id="rId5170" display="https://twitter.com/S_Koebernick" xr:uid="{0BC073C8-0D72-4994-AC9B-843DFB19C311}"/>
    <hyperlink ref="E1717" r:id="rId5171" display="https://twitter.com/S_Koebernick/status/722765167835000834" xr:uid="{4CCA557F-1C6E-41F0-B8E6-DC4598ED84B6}"/>
    <hyperlink ref="O1717" r:id="rId5172" display="https://pbs.twimg.com/profile_images/567384025568776192/u-T3fEX2_normal.jpeg" xr:uid="{FD101A83-8008-48F8-BB87-2B8D120B4675}"/>
    <hyperlink ref="B1718" r:id="rId5173" display="https://twitter.com/DCAI4online" xr:uid="{ED314208-DE60-46AD-8CFB-CFD72F508CF3}"/>
    <hyperlink ref="E1718" r:id="rId5174" display="https://twitter.com/DCAI4online/status/722765535058890752" xr:uid="{1D1E2771-985C-4631-AAD4-EEC7A2A586AF}"/>
    <hyperlink ref="O1718" r:id="rId5175" display="https://pbs.twimg.com/profile_images/669471279158796288/iXgOCW46_normal.jpg" xr:uid="{2D81A50A-A066-4681-A5B8-39AECF526FD1}"/>
    <hyperlink ref="B1719" r:id="rId5176" display="https://twitter.com/Rossmanith_QM" xr:uid="{76EC7EF3-400D-413A-87FB-D6F0B03FA146}"/>
    <hyperlink ref="E1719" r:id="rId5177" display="https://twitter.com/Rossmanith_QM/status/722765787719725056" xr:uid="{4D4B3814-53AC-447E-B980-E91F5D72520F}"/>
    <hyperlink ref="O1719" r:id="rId5178" display="https://pbs.twimg.com/profile_images/719480494468030465/TQqK9N_3_normal.jpg" xr:uid="{2D3EE3C2-9D1B-44E9-B881-1022068F2EF6}"/>
    <hyperlink ref="B1720" r:id="rId5179" display="https://twitter.com/prxagentur" xr:uid="{F946290F-3A55-439D-AE1E-4856ABC37BB8}"/>
    <hyperlink ref="E1720" r:id="rId5180" display="https://twitter.com/prxagentur/status/722766167413243904" xr:uid="{4B85A0C6-9EB6-4491-9527-5D98BB7BBC6D}"/>
    <hyperlink ref="O1720" r:id="rId5181" display="https://pbs.twimg.com/profile_images/594934750122536960/nG4kmfDF_normal.jpg" xr:uid="{009E52F2-D6C7-4579-AA5B-CA3576649B94}"/>
    <hyperlink ref="B1721" r:id="rId5182" display="https://twitter.com/S_Koebernick" xr:uid="{14992133-C530-4F3A-BE5A-47DEF84D1CCE}"/>
    <hyperlink ref="E1721" r:id="rId5183" display="https://twitter.com/S_Koebernick/status/722766592933814272" xr:uid="{3E8FD26E-AEEC-4AA7-B99F-C1016E95A3B6}"/>
    <hyperlink ref="O1721" r:id="rId5184" display="https://pbs.twimg.com/profile_images/567384025568776192/u-T3fEX2_normal.jpeg" xr:uid="{C0B3EAE5-0FD9-4874-BF92-6FC248C2EF3C}"/>
    <hyperlink ref="B1722" r:id="rId5185" display="https://twitter.com/startupradioDE" xr:uid="{B847F54C-FB00-4EBF-A223-AF116FD91E0F}"/>
    <hyperlink ref="C1722" r:id="rId5186" xr:uid="{18FCA8DD-5F34-4A14-8AF7-A979790593F8}"/>
    <hyperlink ref="E1722" r:id="rId5187" display="https://twitter.com/startupradioDE/status/722766708214218753" xr:uid="{FD85259E-D4DE-4309-A931-B1E63926737E}"/>
    <hyperlink ref="O1722" r:id="rId5188" display="https://pbs.twimg.com/profile_images/686519244415176705/LBgib3O7_normal.png" xr:uid="{85E42ABA-3745-4A6E-9658-BE4EE270398F}"/>
    <hyperlink ref="B1723" r:id="rId5189" display="https://twitter.com/startupradioDE" xr:uid="{67036384-E12D-427A-A15B-B0A934287ECC}"/>
    <hyperlink ref="C1723" r:id="rId5190" xr:uid="{9BB4E9EF-934A-4D98-B3E2-AD4C3BECE35C}"/>
    <hyperlink ref="E1723" r:id="rId5191" display="https://twitter.com/startupradioDE/status/722766717924085760" xr:uid="{DA644435-3432-4212-BC0A-03FF8AB07163}"/>
    <hyperlink ref="O1723" r:id="rId5192" display="https://pbs.twimg.com/profile_images/686519244415176705/LBgib3O7_normal.png" xr:uid="{E9E90464-ED40-4197-9B20-971815E249A8}"/>
    <hyperlink ref="B1724" r:id="rId5193" display="https://twitter.com/Bitkom_I40" xr:uid="{DD1CD338-A297-4C89-B0E4-8DCFF1F9ED85}"/>
    <hyperlink ref="E1724" r:id="rId5194" display="https://twitter.com/Bitkom_I40/status/722767655950807040" xr:uid="{1D64E84A-4AF7-4002-B5B3-0C2F9E1E4001}"/>
    <hyperlink ref="O1724" r:id="rId5195" display="https://pbs.twimg.com/profile_images/723407487395713024/0hZv7R8S_normal.jpg" xr:uid="{83A4ACC0-7628-4944-9B7C-1B92F593C071}"/>
    <hyperlink ref="B1725" r:id="rId5196" display="https://twitter.com/bertramgeck" xr:uid="{5129A290-9F9E-4186-854E-046E69A3813E}"/>
    <hyperlink ref="E1725" r:id="rId5197" display="https://twitter.com/bertramgeck/status/722768225088454656" xr:uid="{13B868DA-82CC-4825-B115-BA688404CD85}"/>
    <hyperlink ref="O1725" r:id="rId5198" display="https://pbs.twimg.com/profile_images/378800000415342801/f9783795af2852561980e8bedb284896_normal.jpeg" xr:uid="{F8DD8AEB-ACA2-4C85-AA67-27BDD3236A49}"/>
    <hyperlink ref="B1726" r:id="rId5199" display="https://twitter.com/Bitkom" xr:uid="{F65405C6-3CC7-404E-8835-D2FBB984CBF7}"/>
    <hyperlink ref="E1726" r:id="rId5200" display="https://twitter.com/Bitkom/status/722768396899774464" xr:uid="{CC682864-717A-454A-A0E8-3FA514490A7C}"/>
    <hyperlink ref="O1726" r:id="rId5201" display="https://pbs.twimg.com/profile_images/615797525040136192/CKF9-v_o_normal.jpg" xr:uid="{3274F8B3-B42C-41FA-9587-AB67EF7F16AE}"/>
    <hyperlink ref="B1727" r:id="rId5202" display="https://twitter.com/rfidimblick" xr:uid="{F7E2F161-F92E-48E7-8784-978C3C233370}"/>
    <hyperlink ref="E1727" r:id="rId5203" display="https://twitter.com/rfidimblick/status/722768500972883968" xr:uid="{8A55B60C-2042-4241-A814-6984CA6FE9BF}"/>
    <hyperlink ref="O1727" r:id="rId5204" display="https://pbs.twimg.com/profile_images/1801172351/logo-quadratisch-gross_normal.jpg" xr:uid="{BD33E520-3301-4DA0-83F7-C9A5246828AB}"/>
    <hyperlink ref="B1728" r:id="rId5205" display="https://twitter.com/JETZT_PRde" xr:uid="{C6B28623-7B9A-4F7A-90D6-93207D248D3B}"/>
    <hyperlink ref="E1728" r:id="rId5206" display="https://twitter.com/JETZT_PRde/status/722768684402536448" xr:uid="{68E451BA-4A48-4E35-8C81-11B8408122E8}"/>
    <hyperlink ref="O1728" r:id="rId5207" display="https://pbs.twimg.com/profile_images/593011135428882432/BGMPkrwp_normal.jpg" xr:uid="{A7C51646-54E3-40A6-AFE5-16DCBA29FC39}"/>
    <hyperlink ref="B1729" r:id="rId5208" display="https://twitter.com/Ronald_Heinze" xr:uid="{885B6BDD-7016-40A5-9D8A-97100F86A9DD}"/>
    <hyperlink ref="E1729" r:id="rId5209" display="https://twitter.com/Ronald_Heinze/status/722769418103627776" xr:uid="{4A55A842-37BA-4787-AA71-350023B6C517}"/>
    <hyperlink ref="O1729" r:id="rId5210" display="https://pbs.twimg.com/profile_images/596283853507010560/rOqlbvhj_normal.jpg" xr:uid="{2043C24F-29F6-43A5-BCB3-9D77BCA7F1DD}"/>
    <hyperlink ref="B1730" r:id="rId5211" display="https://twitter.com/PolarionNews_de" xr:uid="{1E18195F-9BE7-458C-B847-682B78A8809C}"/>
    <hyperlink ref="E1730" r:id="rId5212" display="https://twitter.com/PolarionNews_de/status/722769432825597952" xr:uid="{9E13B9BC-F5AD-437F-83CF-5E949EBF7D3B}"/>
    <hyperlink ref="O1730" r:id="rId5213" display="https://pbs.twimg.com/profile_images/644041606304256000/yOHTHLkX_normal.jpg" xr:uid="{B2B5260B-D876-4A5F-A3DC-4935DCC07225}"/>
    <hyperlink ref="B1731" r:id="rId5214" display="https://twitter.com/LuisB" xr:uid="{CF35E1F9-E37A-4BA1-9C72-EDD234B2F0CD}"/>
    <hyperlink ref="E1731" r:id="rId5215" display="https://twitter.com/LuisB/status/722769524232220673" xr:uid="{2104AE99-2897-41AE-B901-DA1EE27C8487}"/>
    <hyperlink ref="O1731" r:id="rId5216" display="https://pbs.twimg.com/profile_images/1696353623/293271_10150382599031103_777251102_9693277_1829558054_n_normal.jpg" xr:uid="{A04AE71E-F13B-4F02-97DD-12CDED61E693}"/>
    <hyperlink ref="B1732" r:id="rId5217" display="https://twitter.com/VISAMgmbh" xr:uid="{22DBF24E-6B01-43E4-9365-01552AD0D3B0}"/>
    <hyperlink ref="E1732" r:id="rId5218" display="https://twitter.com/VISAMgmbh/status/722769804256481280" xr:uid="{9E287E06-8F3D-4458-B8D6-3618EF555296}"/>
    <hyperlink ref="O1732" r:id="rId5219" display="https://pbs.twimg.com/profile_images/1576784595/VISAM_normal.png" xr:uid="{0E6CDDC8-B01D-40B9-849A-CFFC434B6276}"/>
    <hyperlink ref="B1733" r:id="rId5220" display="https://twitter.com/RFIDDirectory" xr:uid="{3EA2D237-576B-4E0B-BC30-0C5452BE157D}"/>
    <hyperlink ref="E1733" r:id="rId5221" display="https://twitter.com/RFIDDirectory/status/722770524577931264" xr:uid="{578FFCB9-2E97-40EB-9652-F88BAE4B29DF}"/>
    <hyperlink ref="O1733" r:id="rId5222" display="https://pbs.twimg.com/profile_images/931716957/rfid-logo_normal.png" xr:uid="{0E76E58A-68F4-4A48-901E-3796DE1CAD56}"/>
    <hyperlink ref="B1734" r:id="rId5223" display="https://twitter.com/FACTS4WORKERS" xr:uid="{C3890D35-8729-4C02-B3CF-F9FDE76486CB}"/>
    <hyperlink ref="E1734" r:id="rId5224" display="https://twitter.com/FACTS4WORKERS/status/722770916158124032" xr:uid="{4648A102-A47B-4B50-B05C-CBB3C1F2A336}"/>
    <hyperlink ref="O1734" r:id="rId5225" display="https://pbs.twimg.com/profile_images/585755321416687616/BYqDL_No_normal.png" xr:uid="{FE2FE1AC-8D1B-4111-ACDF-8CD60D38A0CC}"/>
    <hyperlink ref="B1735" r:id="rId5226" display="https://twitter.com/thfege" xr:uid="{69DCA2DD-C54B-4B82-9B6A-839BDBC5FD63}"/>
    <hyperlink ref="E1735" r:id="rId5227" display="https://twitter.com/thfege/status/722770978250616833" xr:uid="{FA1D5FC5-6351-4FC5-A16E-932A5877C278}"/>
    <hyperlink ref="O1735" r:id="rId5228" display="https://pbs.twimg.com/profile_images/566346805752131584/AT6u6uJU_normal.jpeg" xr:uid="{8AF7C028-9374-4EAD-A1FC-EAE53BFC1A99}"/>
    <hyperlink ref="B1736" r:id="rId5229" display="https://twitter.com/Markenartikler" xr:uid="{1E5710B9-904C-46D2-BCFB-0BAEDBD7775A}"/>
    <hyperlink ref="E1736" r:id="rId5230" display="https://twitter.com/Markenartikler/status/722771061092167680" xr:uid="{2AB27800-F887-48F5-A8A2-2379392EE6E6}"/>
    <hyperlink ref="O1736" r:id="rId5231" display="https://pbs.twimg.com/profile_images/684297499461423104/URLCw8tn_normal.jpg" xr:uid="{BDD7796A-49BC-425A-B4DF-5DD2ED9AB638}"/>
    <hyperlink ref="B1737" r:id="rId5232" display="https://twitter.com/Ronald_Heinze" xr:uid="{A66C6CB4-E86B-4F96-89EA-4249AAF8F9F2}"/>
    <hyperlink ref="E1737" r:id="rId5233" display="https://twitter.com/Ronald_Heinze/status/722771095183450112" xr:uid="{3823D59A-9236-4C50-BE04-B8C6D83F6310}"/>
    <hyperlink ref="O1737" r:id="rId5234" display="https://pbs.twimg.com/profile_images/596283853507010560/rOqlbvhj_normal.jpg" xr:uid="{07737620-0185-4CAB-A8DD-1FF7D5195FB4}"/>
    <hyperlink ref="B1738" r:id="rId5235" display="https://twitter.com/kid_magdeburg" xr:uid="{1C2883D2-FD3A-424B-8E63-5A0FEB348858}"/>
    <hyperlink ref="E1738" r:id="rId5236" display="https://twitter.com/kid_magdeburg/status/722771721271390208" xr:uid="{6D7B5ECA-01AC-4DBE-AEED-94828EF9CF60}"/>
    <hyperlink ref="O1738" r:id="rId5237" display="https://pbs.twimg.com/profile_images/1281536153/KID_Logo_gro__normal.jpg" xr:uid="{C5771F5E-D257-4E2C-B748-AE92568311ED}"/>
    <hyperlink ref="B1739" r:id="rId5238" display="https://twitter.com/JETZT_PRde" xr:uid="{71C5A755-5C1D-4979-8873-67C87EE91211}"/>
    <hyperlink ref="E1739" r:id="rId5239" display="https://twitter.com/JETZT_PRde/status/722771778557247489" xr:uid="{B2052BAB-B835-4FEF-B13A-9B0A975E9615}"/>
    <hyperlink ref="O1739" r:id="rId5240" display="https://pbs.twimg.com/profile_images/593011135428882432/BGMPkrwp_normal.jpg" xr:uid="{537A3E1E-9599-42A0-956D-532B8AE4B752}"/>
    <hyperlink ref="B1740" r:id="rId5241" display="https://twitter.com/acatech_de" xr:uid="{43D2370C-1B23-4535-9E3A-F04B301260B9}"/>
    <hyperlink ref="E1740" r:id="rId5242" display="https://twitter.com/acatech_de/status/722772671830827008" xr:uid="{6514D956-2BD1-418F-AA6D-CA22463E6B88}"/>
    <hyperlink ref="O1740" r:id="rId5243" display="https://pbs.twimg.com/profile_images/600969802908356609/3JqGMg38_normal.png" xr:uid="{8492CCA5-F3F6-45C8-8B00-E045D2F35464}"/>
    <hyperlink ref="B1741" r:id="rId5244" display="https://twitter.com/inqaaudit" xr:uid="{34A0DFB5-A24B-4882-A065-82A233211D4B}"/>
    <hyperlink ref="C1741" r:id="rId5245" xr:uid="{26831EFE-1332-4B18-8277-79B73E9D8E4E}"/>
    <hyperlink ref="E1741" r:id="rId5246" display="https://twitter.com/inqaaudit/status/722772807214567424" xr:uid="{030A2065-33AF-44F4-BD9D-D51D4BC20C22}"/>
    <hyperlink ref="O1741" r:id="rId5247" display="https://pbs.twimg.com/profile_images/634340215511994368/YcpVETOa_normal.jpg" xr:uid="{4ACEE70C-EAB6-470A-9217-618D08B9AE2D}"/>
    <hyperlink ref="B1742" r:id="rId5248" display="https://twitter.com/Apandia" xr:uid="{0ED3B2BF-C83B-4ADB-A01A-2AC35CFD377A}"/>
    <hyperlink ref="E1742" r:id="rId5249" display="https://twitter.com/Apandia/status/722773847058067456" xr:uid="{4F5E34BE-9D98-4D60-9349-08DAE66EE5F1}"/>
    <hyperlink ref="O1742" r:id="rId5250" display="https://pbs.twimg.com/profile_images/685327213/Apandia_normal.gif" xr:uid="{6765E8B4-17D9-4300-AB5E-D22229504470}"/>
    <hyperlink ref="B1743" r:id="rId5251" display="https://twitter.com/faktenkontor" xr:uid="{084D3FF4-E766-4E90-A3C5-A014B200FBC5}"/>
    <hyperlink ref="E1743" r:id="rId5252" display="https://twitter.com/faktenkontor/status/722774709012549632" xr:uid="{E526A9F7-DEF7-483F-8AA8-35398ED4AC91}"/>
    <hyperlink ref="O1743" r:id="rId5253" display="https://pbs.twimg.com/profile_images/378800000073394505/cd91c3368bdada700bdb52bacb961fb5_normal.png" xr:uid="{8D3450E6-0D9A-4B51-A9FC-E342F9ABB1D3}"/>
    <hyperlink ref="B1744" r:id="rId5254" display="https://twitter.com/lotsize1" xr:uid="{BD6DD5B1-F834-4D88-9F4D-148F6A4328D8}"/>
    <hyperlink ref="E1744" r:id="rId5255" display="https://twitter.com/lotsize1/status/722774774695374848" xr:uid="{4DC03C47-6E1A-42AD-A1E6-B1838F310867}"/>
    <hyperlink ref="O1744" r:id="rId5256" display="https://abs.twimg.com/sticky/default_profile_images/default_profile_2_normal.png" xr:uid="{37CAE8D1-A8FE-47FA-B836-BFE25F98EFDE}"/>
    <hyperlink ref="B1745" r:id="rId5257" display="https://twitter.com/packagingJ" xr:uid="{6CE68BD2-62BE-4702-BD47-9E896177AD5C}"/>
    <hyperlink ref="E1745" r:id="rId5258" display="https://twitter.com/packagingJ/status/722776092956733441" xr:uid="{39B5B10F-75E3-4F38-9DF1-878A296146CA}"/>
    <hyperlink ref="O1745" r:id="rId5259" display="https://pbs.twimg.com/profile_images/2240680734/pj-logo1_normal.png" xr:uid="{378B0F52-F370-4C7E-A8F6-8DF7B3B9E1F2}"/>
    <hyperlink ref="B1746" r:id="rId5260" display="https://twitter.com/SECbuddy_de" xr:uid="{229C612D-DB5A-4C62-BE03-4CCDF82C03EF}"/>
    <hyperlink ref="E1746" r:id="rId5261" display="https://twitter.com/SECbuddy_de/status/722776348889083904" xr:uid="{E1DD7102-0757-4D86-8851-25C4A37072D3}"/>
    <hyperlink ref="O1746" r:id="rId5262" display="https://pbs.twimg.com/profile_images/583155768666505216/fzvNGieB_normal.png" xr:uid="{521C45E7-6E88-499C-97C8-3DBE996FE394}"/>
    <hyperlink ref="B1747" r:id="rId5263" display="https://twitter.com/stefanklix" xr:uid="{5D773D07-B687-4141-B497-E59BE8094A81}"/>
    <hyperlink ref="E1747" r:id="rId5264" display="https://twitter.com/stefanklix/status/722776445186084864" xr:uid="{D6CFCB35-80EC-4961-8D62-6329B8EEFEC9}"/>
    <hyperlink ref="O1747" r:id="rId5265" display="https://pbs.twimg.com/profile_images/3664039115/b3a9108e679badd26a706db043fb4866_normal.jpeg" xr:uid="{AF4DDBFE-DEB0-4C5E-9EF9-C7B931B6951F}"/>
    <hyperlink ref="B1748" r:id="rId5266" display="https://twitter.com/Ralf_Kuder" xr:uid="{5EE67490-E838-46D4-AC75-9A2EB9AA4041}"/>
    <hyperlink ref="E1748" r:id="rId5267" display="https://twitter.com/Ralf_Kuder/status/722778577180045312" xr:uid="{7E630BFE-ACCD-4352-8FF5-BB3EAFE47B9D}"/>
    <hyperlink ref="O1748" r:id="rId5268" display="https://pbs.twimg.com/profile_images/721292749069291520/oMrDhdql_normal.jpg" xr:uid="{5B2089D6-26D4-4CA9-80A2-8A93CF45C76F}"/>
    <hyperlink ref="B1749" r:id="rId5269" display="https://twitter.com/NRWinEU" xr:uid="{81C2F06B-FC2C-4625-8F03-5184913B1A1A}"/>
    <hyperlink ref="E1749" r:id="rId5270" display="https://twitter.com/NRWinEU/status/722778912145731584" xr:uid="{5F623694-B946-472E-BB6D-8C50D9CEEE32}"/>
    <hyperlink ref="O1749" r:id="rId5271" display="https://pbs.twimg.com/profile_images/454290279252500480/JkMkXwUd_normal.jpeg" xr:uid="{5273CCF6-3F6F-49F9-AB70-2C8B0F1F8BD4}"/>
    <hyperlink ref="B1750" r:id="rId5272" display="https://twitter.com/WirtschaftNRW" xr:uid="{4C5F51D9-6126-450E-A132-1CD5C3ED463C}"/>
    <hyperlink ref="E1750" r:id="rId5273" display="https://twitter.com/WirtschaftNRW/status/722779245437657088" xr:uid="{496BF59E-E998-425C-9A55-D1422D8246C1}"/>
    <hyperlink ref="O1750" r:id="rId5274" display="https://pbs.twimg.com/profile_images/378800000468774437/ab56654542801735d8e239cf7f71582a_normal.jpeg" xr:uid="{9D23B86E-4789-4C1A-A06A-487F6457E1BC}"/>
    <hyperlink ref="B1751" r:id="rId5275" display="https://twitter.com/INDIZbot" xr:uid="{89075980-9881-45DF-A90D-B976525A979F}"/>
    <hyperlink ref="E1751" r:id="rId5276" display="https://twitter.com/INDIZbot/status/722779816035028992" xr:uid="{CFCE4A31-CFD2-4863-AAB1-C7384DA6C1EB}"/>
    <hyperlink ref="O1751" r:id="rId5277" display="https://pbs.twimg.com/profile_images/645716711723925506/t5G0qOS6_normal.jpg" xr:uid="{E0C022E6-2D71-4D65-8296-D0708BC14027}"/>
    <hyperlink ref="B1752" r:id="rId5278" display="https://twitter.com/lotsizeone" xr:uid="{2F4D540D-680D-4C6A-87EE-486A6D2D32E5}"/>
    <hyperlink ref="E1752" r:id="rId5279" display="https://twitter.com/lotsizeone/status/722780419561631745" xr:uid="{AB682564-A980-43AD-BC5B-A474C5B47B1E}"/>
    <hyperlink ref="O1752" r:id="rId5280" display="https://abs.twimg.com/sticky/default_profile_images/default_profile_0_normal.png" xr:uid="{5631F262-5291-419D-A37D-6C64EC8B2AC6}"/>
    <hyperlink ref="B1753" r:id="rId5281" display="https://twitter.com/lotsizeone" xr:uid="{E1D2E833-7F57-4B7D-9918-74809A9CF7B6}"/>
    <hyperlink ref="E1753" r:id="rId5282" display="https://twitter.com/lotsizeone/status/722780459571109888" xr:uid="{DABAEE05-8B24-48CC-85C4-E1AE3D4E8912}"/>
    <hyperlink ref="O1753" r:id="rId5283" display="https://abs.twimg.com/sticky/default_profile_images/default_profile_0_normal.png" xr:uid="{33A1EB16-32F7-457E-B6A6-DE68138CC160}"/>
    <hyperlink ref="B1754" r:id="rId5284" display="https://twitter.com/H_IT_D" xr:uid="{E52DDAC7-FC71-42E3-BC63-1AE2C632636E}"/>
    <hyperlink ref="E1754" r:id="rId5285" display="https://twitter.com/H_IT_D/status/722781545564491776" xr:uid="{B7722865-AE13-45B3-97CC-90F105F018D3}"/>
    <hyperlink ref="O1754" r:id="rId5286" display="https://pbs.twimg.com/profile_images/662723326096224256/5V4KH9_O_normal.jpg" xr:uid="{2073A5C2-73E5-440C-ADE8-49EB062A60B1}"/>
    <hyperlink ref="B1755" r:id="rId5287" display="https://twitter.com/croXXing_IBD" xr:uid="{9C54B5F1-B7F0-44CA-B187-F9CE87535F6B}"/>
    <hyperlink ref="E1755" r:id="rId5288" display="https://twitter.com/croXXing_IBD/status/722781999698735104" xr:uid="{F4E7CCE5-155F-4512-969A-2DB6094C1E0F}"/>
    <hyperlink ref="O1755" r:id="rId5289" display="https://pbs.twimg.com/profile_images/600279861282869249/IpIJ3MKX_normal.png" xr:uid="{51C90D91-CF3F-4180-A264-FAC34BD7B862}"/>
    <hyperlink ref="B1756" r:id="rId5290" display="https://twitter.com/TrendONE" xr:uid="{22C697C6-C23B-4F0B-A3E9-740D7546FED3}"/>
    <hyperlink ref="E1756" r:id="rId5291" display="https://twitter.com/TrendONE/status/722783909172420608" xr:uid="{7FD07277-5586-4765-9EDF-296869AC6C96}"/>
    <hyperlink ref="O1756" r:id="rId5292" display="https://pbs.twimg.com/profile_images/520196618650255360/_jlLFoBs_normal.png" xr:uid="{52CE7D55-C451-47AA-8276-3F5FC884B98B}"/>
    <hyperlink ref="B1757" r:id="rId5293" display="https://twitter.com/ITK_OWL" xr:uid="{69E2C092-2799-434C-B155-105A4D87AA95}"/>
    <hyperlink ref="E1757" r:id="rId5294" display="https://twitter.com/ITK_OWL/status/722783918064300037" xr:uid="{308CF510-7A90-4CD3-B6C4-7356182E9D47}"/>
    <hyperlink ref="O1757" r:id="rId5295" display="https://pbs.twimg.com/profile_images/601673968551075840/MnulnKkj_normal.png" xr:uid="{E2E14C33-A1BB-4AA5-AD6A-691E8E0FB8FE}"/>
    <hyperlink ref="B1758" r:id="rId5296" display="https://twitter.com/lotsize1" xr:uid="{CF3D92EC-EEE6-404F-A861-B2AC31E2B1BE}"/>
    <hyperlink ref="E1758" r:id="rId5297" display="https://twitter.com/lotsize1/status/722787602349301761" xr:uid="{198D6CFC-62F3-402F-9FF9-3EBD18FC665E}"/>
    <hyperlink ref="O1758" r:id="rId5298" display="https://abs.twimg.com/sticky/default_profile_images/default_profile_2_normal.png" xr:uid="{D0C70611-6D02-46B1-8549-8B0370295912}"/>
    <hyperlink ref="B1759" r:id="rId5299" display="https://twitter.com/lotsize1" xr:uid="{702CEC5F-C966-4085-B700-635D28DA17BA}"/>
    <hyperlink ref="E1759" r:id="rId5300" display="https://twitter.com/lotsize1/status/722788077333143552" xr:uid="{209B6D20-7DB2-4469-957D-0B4AF14817DD}"/>
    <hyperlink ref="O1759" r:id="rId5301" display="https://abs.twimg.com/sticky/default_profile_images/default_profile_2_normal.png" xr:uid="{2D2B6FFA-41B2-4C9B-9DA4-CA39FB52746F}"/>
    <hyperlink ref="B1760" r:id="rId5302" display="https://twitter.com/kommoptimierer" xr:uid="{36A7C5CC-E57A-4A3C-950E-332D47214FFC}"/>
    <hyperlink ref="E1760" r:id="rId5303" display="https://twitter.com/kommoptimierer/status/722788166479048704" xr:uid="{300DF655-CAF3-42A9-B15B-3E99856AB0B3}"/>
    <hyperlink ref="O1760" r:id="rId5304" display="https://pbs.twimg.com/profile_images/541146126158536704/IYardufS_normal.jpeg" xr:uid="{AC3C74EF-60A3-41FF-B8E6-B0F4CA4D7636}"/>
    <hyperlink ref="B1761" r:id="rId5305" display="https://twitter.com/BoschPresse" xr:uid="{C75DA869-7307-4F6C-BB93-501DBBA83C1C}"/>
    <hyperlink ref="E1761" r:id="rId5306" display="https://twitter.com/BoschPresse/status/722789220935458816" xr:uid="{EE0558D0-74C7-48DE-AE50-05C0B5223CF5}"/>
    <hyperlink ref="O1761" r:id="rId5307" display="https://pbs.twimg.com/profile_images/2619086509/ld3z97zhhdbs2essw7s9_normal.jpeg" xr:uid="{FE87B272-D7B0-4CCE-8C63-FED4BA565CA4}"/>
    <hyperlink ref="B1762" r:id="rId5308" display="https://twitter.com/JETZT_PRde" xr:uid="{49863EED-02C9-4823-B9EC-74832892CC45}"/>
    <hyperlink ref="E1762" r:id="rId5309" display="https://twitter.com/JETZT_PRde/status/722789463013785600" xr:uid="{0047CA55-7123-460E-8BB9-1A699E8E760B}"/>
    <hyperlink ref="O1762" r:id="rId5310" display="https://pbs.twimg.com/profile_images/593011135428882432/BGMPkrwp_normal.jpg" xr:uid="{B4387F5A-B380-4D2A-B50D-7B894745DF91}"/>
    <hyperlink ref="B1763" r:id="rId5311" display="https://twitter.com/INDIZbot" xr:uid="{6B6007BB-F800-43D7-A637-B7E6779861B6}"/>
    <hyperlink ref="E1763" r:id="rId5312" display="https://twitter.com/INDIZbot/status/722789709357981696" xr:uid="{59BDCF22-B162-4054-9820-73D04713F9DA}"/>
    <hyperlink ref="O1763" r:id="rId5313" display="https://pbs.twimg.com/profile_images/645716711723925506/t5G0qOS6_normal.jpg" xr:uid="{000C5BD1-DA5F-4C38-8FBF-A960F6150D57}"/>
    <hyperlink ref="B1764" r:id="rId5314" display="https://twitter.com/INDIZbot" xr:uid="{4B5992CB-E9DC-4313-B225-404A67E0574D}"/>
    <hyperlink ref="E1764" r:id="rId5315" display="https://twitter.com/INDIZbot/status/722789787992764416" xr:uid="{EFAFCB70-B5E4-438B-BBEF-97C3D7FED0EB}"/>
    <hyperlink ref="O1764" r:id="rId5316" display="https://pbs.twimg.com/profile_images/645716711723925506/t5G0qOS6_normal.jpg" xr:uid="{3AE1E719-5C69-42B8-97D0-FB8D8C482096}"/>
    <hyperlink ref="B1765" r:id="rId5317" display="https://twitter.com/INDIZbot" xr:uid="{7D18A095-BBFF-49BF-A742-C9A7DBEBD1AF}"/>
    <hyperlink ref="E1765" r:id="rId5318" display="https://twitter.com/INDIZbot/status/722790070667882496" xr:uid="{625DA9BD-19C0-4AA9-A448-CA737C36EBAE}"/>
    <hyperlink ref="O1765" r:id="rId5319" display="https://pbs.twimg.com/profile_images/645716711723925506/t5G0qOS6_normal.jpg" xr:uid="{0F78FF12-4387-45E0-B9AA-4E06D431359E}"/>
    <hyperlink ref="B1766" r:id="rId5320" display="https://twitter.com/birolkahveci82" xr:uid="{8A683EAC-5DDC-4864-8E02-02423074C0C0}"/>
    <hyperlink ref="E1766" r:id="rId5321" display="https://twitter.com/birolkahveci82/status/722790388252209152" xr:uid="{16D44D10-31ED-43D4-93BC-14234DE645DA}"/>
    <hyperlink ref="O1766" r:id="rId5322" display="https://pbs.twimg.com/profile_images/714119842257903616/t7CHgf02_normal.jpg" xr:uid="{3F055818-BB30-44D2-94C3-198B53CE726D}"/>
    <hyperlink ref="B1767" r:id="rId5323" display="https://twitter.com/BoschPresse" xr:uid="{DD02BB63-937C-4415-996C-566F45830910}"/>
    <hyperlink ref="E1767" r:id="rId5324" display="https://twitter.com/BoschPresse/status/722790724509528064" xr:uid="{245CBF9B-2993-4AB5-B39C-10AC233FABE4}"/>
    <hyperlink ref="O1767" r:id="rId5325" display="https://pbs.twimg.com/profile_images/2619086509/ld3z97zhhdbs2essw7s9_normal.jpeg" xr:uid="{2EEB9A25-D55D-4C47-9F30-7FB415795AA2}"/>
    <hyperlink ref="B1768" r:id="rId5326" display="https://twitter.com/Becker_AnnaLisa" xr:uid="{AA1C5BFD-2801-4E77-A808-2C47E3C701AA}"/>
    <hyperlink ref="E1768" r:id="rId5327" display="https://twitter.com/Becker_AnnaLisa/status/722790885293998080" xr:uid="{D131B3A8-255C-4357-ABFD-844465A62C35}"/>
    <hyperlink ref="O1768" r:id="rId5328" display="https://pbs.twimg.com/profile_images/676325832600743936/gCXpokOx_normal.jpg" xr:uid="{734DCF65-D346-4B8F-84E7-0EECCD8FE2E6}"/>
    <hyperlink ref="B1769" r:id="rId5329" display="https://twitter.com/kion_group" xr:uid="{331A69DF-39E6-4003-96A4-F6354FF69D71}"/>
    <hyperlink ref="E1769" r:id="rId5330" display="https://twitter.com/kion_group/status/722791768714907651" xr:uid="{ECB86C43-E472-434A-A0EC-E83BC06DD2C0}"/>
    <hyperlink ref="O1769" r:id="rId5331" display="https://pbs.twimg.com/profile_images/502066779590385665/YElxw-eg_normal.jpeg" xr:uid="{19DE8CD1-DD8A-45E7-891A-AD2D6F34C260}"/>
    <hyperlink ref="B1770" r:id="rId5332" display="https://twitter.com/AfD_Fraktion_HH" xr:uid="{94EA2CF5-5FD6-4D6B-9891-A347C6ACE8E4}"/>
    <hyperlink ref="E1770" r:id="rId5333" display="https://twitter.com/AfD_Fraktion_HH/status/722791773307678720" xr:uid="{047C2243-CE7A-4047-A231-7359A6535296}"/>
    <hyperlink ref="O1770" r:id="rId5334" display="https://pbs.twimg.com/profile_images/680343304240803840/OEs4gD8T_normal.png" xr:uid="{94728C36-D6D4-4B0C-967C-E4E330EFE4EC}"/>
    <hyperlink ref="B1771" r:id="rId5335" display="https://twitter.com/BoschPresse" xr:uid="{4548542C-A772-406A-8A48-027B13E1B5B1}"/>
    <hyperlink ref="E1771" r:id="rId5336" display="https://twitter.com/BoschPresse/status/722791829532446721" xr:uid="{564711A8-3713-4830-ADE2-9289850998BB}"/>
    <hyperlink ref="O1771" r:id="rId5337" display="https://pbs.twimg.com/profile_images/2619086509/ld3z97zhhdbs2essw7s9_normal.jpeg" xr:uid="{56E0C9F4-5C62-4030-8DDC-682FE66FC138}"/>
    <hyperlink ref="B1772" r:id="rId5338" display="https://twitter.com/JuergenGietl" xr:uid="{9C4F3299-2168-441D-BB2E-1A906440AF9B}"/>
    <hyperlink ref="E1772" r:id="rId5339" display="https://twitter.com/JuergenGietl/status/722791855763693568" xr:uid="{649FA741-C8F7-4447-A7E6-C2B3D941B8B6}"/>
    <hyperlink ref="O1772" r:id="rId5340" display="https://pbs.twimg.com/profile_images/647699835118817280/Em18Kfoc_normal.jpg" xr:uid="{EFB79505-0B7B-4FC8-B5C0-54A3DE3F08CC}"/>
    <hyperlink ref="B1773" r:id="rId5341" display="https://twitter.com/ScheerKarriere" xr:uid="{59A680FE-30E9-4965-9C5A-647EF229F02C}"/>
    <hyperlink ref="E1773" r:id="rId5342" display="https://twitter.com/ScheerKarriere/status/722793297757007872" xr:uid="{3CEEE78C-E80E-4743-848A-21CDD9FE2890}"/>
    <hyperlink ref="O1773" r:id="rId5343" display="https://pbs.twimg.com/profile_images/704970625748697089/GQl2pOlK_normal.jpg" xr:uid="{1DA6E8B1-BDC1-413E-989B-938E7EA48E55}"/>
    <hyperlink ref="B1774" r:id="rId5344" display="https://twitter.com/Bitkom" xr:uid="{D2DB020D-9B2B-45BC-A5C0-2FB35A502455}"/>
    <hyperlink ref="E1774" r:id="rId5345" display="https://twitter.com/Bitkom/status/722793930610368512" xr:uid="{B33D170B-1C73-4ED2-8139-869DC615F38F}"/>
    <hyperlink ref="O1774" r:id="rId5346" display="https://pbs.twimg.com/profile_images/615797525040136192/CKF9-v_o_normal.jpg" xr:uid="{672C2D77-7676-4568-9A56-EFAF538CD22F}"/>
    <hyperlink ref="B1775" r:id="rId5347" display="https://twitter.com/Bitkom_I40" xr:uid="{A44075DF-34C6-47FC-A39C-875A6A8A9642}"/>
    <hyperlink ref="E1775" r:id="rId5348" display="https://twitter.com/Bitkom_I40/status/722794552717742080" xr:uid="{95363F9A-303F-43EF-8183-8352EB0E7824}"/>
    <hyperlink ref="O1775" r:id="rId5349" display="https://pbs.twimg.com/profile_images/723407487395713024/0hZv7R8S_normal.jpg" xr:uid="{2FE464C9-ADE9-4A6A-B142-2C9966C7004F}"/>
    <hyperlink ref="B1776" r:id="rId5350" display="https://twitter.com/INDIZbot" xr:uid="{4AE89B3B-E927-41DD-A60F-FF01C687FCE8}"/>
    <hyperlink ref="E1776" r:id="rId5351" display="https://twitter.com/INDIZbot/status/722794741809750017" xr:uid="{359BEC85-EB46-40E6-8EA0-D1720BD22E98}"/>
    <hyperlink ref="O1776" r:id="rId5352" display="https://pbs.twimg.com/profile_images/645716711723925506/t5G0qOS6_normal.jpg" xr:uid="{C2E7972A-FC2F-42CE-8D33-5BF1CD8570E4}"/>
    <hyperlink ref="B1777" r:id="rId5353" display="https://twitter.com/innovationbawue" xr:uid="{12D921E6-A0D8-4840-9A0C-1D8FCA012B68}"/>
    <hyperlink ref="C1777" r:id="rId5354" xr:uid="{EBB95EF7-D612-4F0B-99CF-324C7C0CF52E}"/>
    <hyperlink ref="E1777" r:id="rId5355" display="https://twitter.com/innovationbawue/status/722794842695213057" xr:uid="{CE8D107D-6777-4AE5-90CE-62E1B4142B6D}"/>
    <hyperlink ref="O1777" r:id="rId5356" display="https://pbs.twimg.com/profile_images/719538951988592641/7lKnB2dG_normal.jpg" xr:uid="{68783C87-1BB8-46BD-B01E-879C497E2A39}"/>
    <hyperlink ref="B1778" r:id="rId5357" display="https://twitter.com/INDIZbot" xr:uid="{4B51BC0E-AC3E-4D04-B819-565849042AA5}"/>
    <hyperlink ref="E1778" r:id="rId5358" display="https://twitter.com/INDIZbot/status/722794871757676544" xr:uid="{12095466-3D87-4C08-B428-9A85AED0BC34}"/>
    <hyperlink ref="O1778" r:id="rId5359" display="https://pbs.twimg.com/profile_images/645716711723925506/t5G0qOS6_normal.jpg" xr:uid="{A9FFCC14-E8E3-4E7A-A0FE-7EDD7C8CAFE1}"/>
    <hyperlink ref="B1779" r:id="rId5360" display="https://twitter.com/INDIZbot" xr:uid="{25B5E226-5344-47E7-864B-F3393527E754}"/>
    <hyperlink ref="E1779" r:id="rId5361" display="https://twitter.com/INDIZbot/status/722794920151486464" xr:uid="{BC48D59D-AA78-471B-AB73-2D35CD52F4CF}"/>
    <hyperlink ref="O1779" r:id="rId5362" display="https://pbs.twimg.com/profile_images/645716711723925506/t5G0qOS6_normal.jpg" xr:uid="{257A6A2D-DC06-4A50-BF0F-E4C0F1D73DCF}"/>
    <hyperlink ref="B1780" r:id="rId5363" display="https://twitter.com/WidasConcepts" xr:uid="{B1749DF7-CC3D-451F-BC7B-36042BEF7287}"/>
    <hyperlink ref="E1780" r:id="rId5364" display="https://twitter.com/WidasConcepts/status/722795301539414017" xr:uid="{1816076E-8B27-4802-AC15-E86F8A89636D}"/>
    <hyperlink ref="O1780" r:id="rId5365" display="https://pbs.twimg.com/profile_images/1985145006/WidasConceptsLogo_Twitter_normal.png" xr:uid="{EEB8184E-2357-4219-98E3-20C3258B7F28}"/>
    <hyperlink ref="B1781" r:id="rId5366" display="https://twitter.com/croXXing_IBD" xr:uid="{2C80D9D2-725F-4A9B-B9FD-2E16C8898543}"/>
    <hyperlink ref="E1781" r:id="rId5367" display="https://twitter.com/croXXing_IBD/status/722795387136905216" xr:uid="{467376D9-C53E-4DC5-B97C-5ED503BF1FBD}"/>
    <hyperlink ref="O1781" r:id="rId5368" display="https://pbs.twimg.com/profile_images/600279861282869249/IpIJ3MKX_normal.png" xr:uid="{2CE6A5D5-5469-4DAB-95E8-3499703ECFD8}"/>
    <hyperlink ref="B1782" r:id="rId5369" display="https://twitter.com/AccenturePresse" xr:uid="{5E132AE8-54FF-4A83-81AF-6251C4F01FFA}"/>
    <hyperlink ref="E1782" r:id="rId5370" display="https://twitter.com/AccenturePresse/status/722796229890043904" xr:uid="{243BA0A2-11E0-4E0B-ACF9-E067D81150FA}"/>
    <hyperlink ref="O1782" r:id="rId5371" display="https://pbs.twimg.com/profile_images/470826247132438529/xf6oFNFR_normal.jpeg" xr:uid="{5B880820-F3E0-473F-B6AB-47E6F5E495B2}"/>
    <hyperlink ref="B1783" r:id="rId5372" display="https://twitter.com/UmweltDialog" xr:uid="{9FAC0F04-F809-45AA-9D4B-C04CDB6E2846}"/>
    <hyperlink ref="E1783" r:id="rId5373" display="https://twitter.com/UmweltDialog/status/722796403706073088" xr:uid="{2FA26AA2-CC59-4250-BDDF-93CC3009D9A9}"/>
    <hyperlink ref="O1783" r:id="rId5374" display="https://pbs.twimg.com/profile_images/440425795119374336/BDp2SFKw_normal.jpeg" xr:uid="{EA438C4A-0193-41A7-9C0F-19A026275E27}"/>
    <hyperlink ref="B1784" r:id="rId5375" display="https://twitter.com/H_IT_D" xr:uid="{F9E9C66F-DED2-4884-A08D-D12EF6E19D48}"/>
    <hyperlink ref="E1784" r:id="rId5376" display="https://twitter.com/H_IT_D/status/722796890534711296" xr:uid="{3DACC41A-3297-4969-A02B-ACF0FB680F8C}"/>
    <hyperlink ref="O1784" r:id="rId5377" display="https://pbs.twimg.com/profile_images/662723326096224256/5V4KH9_O_normal.jpg" xr:uid="{F5FD5055-E259-4060-A1B9-0FE3B536C5E4}"/>
    <hyperlink ref="B1785" r:id="rId5378" display="https://twitter.com/INDIZbot" xr:uid="{DE617F14-2A2C-4029-AA57-AFD497F6ECD2}"/>
    <hyperlink ref="E1785" r:id="rId5379" display="https://twitter.com/INDIZbot/status/722797257825906691" xr:uid="{A8A6EF34-DBC9-4536-946D-4E9CDBF869F6}"/>
    <hyperlink ref="O1785" r:id="rId5380" display="https://pbs.twimg.com/profile_images/645716711723925506/t5G0qOS6_normal.jpg" xr:uid="{446934E4-0AE9-4089-942D-9620CA8B351C}"/>
    <hyperlink ref="B1786" r:id="rId5381" display="https://twitter.com/aidegare" xr:uid="{7A31B05C-C86E-4453-81AC-A1D8DC579D6A}"/>
    <hyperlink ref="E1786" r:id="rId5382" display="https://twitter.com/aidegare/status/722797312242790400" xr:uid="{60B9FEFA-1D05-4357-9467-B2A1A9599290}"/>
    <hyperlink ref="O1786" r:id="rId5383" display="https://pbs.twimg.com/profile_images/1720535585/eh11_normal.jpg" xr:uid="{D17A9F26-2DCE-4140-B1DB-184D68A1B3A4}"/>
    <hyperlink ref="B1787" r:id="rId5384" display="https://twitter.com/INDIZbot" xr:uid="{E4DC83F1-4C11-4B40-9B46-93E16DE04AE7}"/>
    <hyperlink ref="E1787" r:id="rId5385" display="https://twitter.com/INDIZbot/status/722797327115804672" xr:uid="{7A7AB103-E8C5-4AFE-AD15-EFB72DE6A442}"/>
    <hyperlink ref="O1787" r:id="rId5386" display="https://pbs.twimg.com/profile_images/645716711723925506/t5G0qOS6_normal.jpg" xr:uid="{D757CE73-4A87-4ACD-8656-E86E8BE098BF}"/>
    <hyperlink ref="B1788" r:id="rId5387" display="https://twitter.com/INDIZbot" xr:uid="{FA610789-59E2-4C1C-84FF-58A760E4FE55}"/>
    <hyperlink ref="E1788" r:id="rId5388" display="https://twitter.com/INDIZbot/status/722797515725266945" xr:uid="{90CCE0BB-EFEC-475C-A7CC-57495521BC94}"/>
    <hyperlink ref="O1788" r:id="rId5389" display="https://pbs.twimg.com/profile_images/645716711723925506/t5G0qOS6_normal.jpg" xr:uid="{726F10B4-2402-47CE-B792-C58A57DEF5DA}"/>
    <hyperlink ref="B1789" r:id="rId5390" display="https://twitter.com/ITK_OWL" xr:uid="{0F0AFD11-48B1-4A31-9183-028DB9804AD3}"/>
    <hyperlink ref="E1789" r:id="rId5391" display="https://twitter.com/ITK_OWL/status/722797541398601728" xr:uid="{85D363EF-0CD8-42F4-A5EC-DF605B9DABE6}"/>
    <hyperlink ref="O1789" r:id="rId5392" display="https://pbs.twimg.com/profile_images/601673968551075840/MnulnKkj_normal.png" xr:uid="{502377E5-DA53-4D6E-8A80-3EDA12A161DE}"/>
    <hyperlink ref="B1790" r:id="rId5393" display="https://twitter.com/rene_ziegler" xr:uid="{89AD7360-6255-4ACC-B24A-09FDF5BEA16B}"/>
    <hyperlink ref="E1790" r:id="rId5394" display="https://twitter.com/rene_ziegler/status/722797693630869505" xr:uid="{97FDD23E-6087-43A6-B8A0-F555EF3C0E6D}"/>
    <hyperlink ref="O1790" r:id="rId5395" display="https://pbs.twimg.com/profile_images/643892666695073792/IDQzvziq_normal.jpg" xr:uid="{742E671D-4CD0-492D-A89F-0D0A43974E63}"/>
    <hyperlink ref="B1791" r:id="rId5396" display="https://twitter.com/iisyseki" xr:uid="{493B11BB-BF19-4A49-A3E8-D3A068678082}"/>
    <hyperlink ref="E1791" r:id="rId5397" display="https://twitter.com/iisyseki/status/722797796726804480" xr:uid="{EA30D137-1866-4B0F-B8CE-9465A5521CC2}"/>
    <hyperlink ref="O1791" r:id="rId5398" display="https://abs.twimg.com/sticky/default_profile_images/default_profile_5_normal.png" xr:uid="{32B09B9A-29A6-41CE-ABE0-468CB5DE57EA}"/>
    <hyperlink ref="B1792" r:id="rId5399" display="https://twitter.com/OasysSW" xr:uid="{BA70633F-2F80-4DB2-8A1E-13966BF5B41B}"/>
    <hyperlink ref="E1792" r:id="rId5400" display="https://twitter.com/OasysSW/status/722798030571737088" xr:uid="{6BB6257D-DF99-4821-A772-2A8ED6869A7A}"/>
    <hyperlink ref="O1792" r:id="rId5401" display="https://pbs.twimg.com/profile_images/598145456795975680/6tjj5yUz_normal.jpg" xr:uid="{C94383B2-9DC1-4A6D-B9B0-0E73A3418F7C}"/>
    <hyperlink ref="B1793" r:id="rId5402" display="https://twitter.com/OasysSW" xr:uid="{91B33F5B-46DD-4BA1-9B1C-C780C5C955FA}"/>
    <hyperlink ref="E1793" r:id="rId5403" display="https://twitter.com/OasysSW/status/722798057142661120" xr:uid="{A7895FCB-0EFA-4509-9D5B-8791D50EB553}"/>
    <hyperlink ref="O1793" r:id="rId5404" display="https://pbs.twimg.com/profile_images/598145456795975680/6tjj5yUz_normal.jpg" xr:uid="{FF12FB2A-1189-47F1-83C8-E5673A941DAB}"/>
    <hyperlink ref="B1794" r:id="rId5405" display="https://twitter.com/BoschPresse" xr:uid="{DB657C0D-DBEC-4A8B-B5CB-25C0B5289CB6}"/>
    <hyperlink ref="E1794" r:id="rId5406" display="https://twitter.com/BoschPresse/status/722798287091318784" xr:uid="{862C6680-9884-48EE-95DD-A26117644E7A}"/>
    <hyperlink ref="O1794" r:id="rId5407" display="https://pbs.twimg.com/profile_images/2619086509/ld3z97zhhdbs2essw7s9_normal.jpeg" xr:uid="{7FE42CB0-A1C6-4AE7-8083-0CA72B9FF21F}"/>
    <hyperlink ref="B1795" r:id="rId5408" display="https://twitter.com/JanFirsching" xr:uid="{60697666-0256-4EE8-950E-AAF4429725B3}"/>
    <hyperlink ref="E1795" r:id="rId5409" display="https://twitter.com/JanFirsching/status/722798848918294529" xr:uid="{D7FE9D13-9C1A-4673-AC42-105BF28403F6}"/>
    <hyperlink ref="O1795" r:id="rId5410" display="https://pbs.twimg.com/profile_images/613272387015061505/1UAowpCJ_normal.jpg" xr:uid="{D1E73BD6-4607-4C29-B186-41270CE36CEF}"/>
    <hyperlink ref="B1796" r:id="rId5411" display="https://twitter.com/medinfode" xr:uid="{57BE3CDF-B537-4565-890E-ED1442097FFE}"/>
    <hyperlink ref="E1796" r:id="rId5412" display="https://twitter.com/medinfode/status/722799095665057792" xr:uid="{D1F547ED-7461-4D08-9F5B-B151C410A589}"/>
    <hyperlink ref="O1796" r:id="rId5413" display="https://pbs.twimg.com/profile_images/434355223109189632/WBPtiY7E_normal.png" xr:uid="{F48D6148-87C4-4D69-B5EF-E77135BF56DD}"/>
    <hyperlink ref="B1797" r:id="rId5414" display="https://twitter.com/BoschPresse" xr:uid="{8A0E3D58-5440-49BC-8180-2934962EB385}"/>
    <hyperlink ref="E1797" r:id="rId5415" display="https://twitter.com/BoschPresse/status/722799285218226177" xr:uid="{677D205B-8DFC-473F-9CEE-BC4D7111DFC2}"/>
    <hyperlink ref="O1797" r:id="rId5416" display="https://pbs.twimg.com/profile_images/2619086509/ld3z97zhhdbs2essw7s9_normal.jpeg" xr:uid="{3B93C2AB-EE25-455A-B14E-3F0F9B36ECF9}"/>
    <hyperlink ref="B1798" r:id="rId5417" display="https://twitter.com/TheRealMo99" xr:uid="{97B8394D-FFDA-4C21-8FD1-82F40B90DB18}"/>
    <hyperlink ref="E1798" r:id="rId5418" display="https://twitter.com/TheRealMo99/status/722799388037222400" xr:uid="{8C5F2D11-3699-4896-AB92-8FE01A89E762}"/>
    <hyperlink ref="O1798" r:id="rId5419" display="https://abs.twimg.com/sticky/default_profile_images/default_profile_5_normal.png" xr:uid="{9A911649-C43B-439D-86E7-6EC21DEA4CCA}"/>
    <hyperlink ref="B1799" r:id="rId5420" display="https://twitter.com/Databanque" xr:uid="{ADDE05A7-C17E-4E13-900A-3441E7E8F34E}"/>
    <hyperlink ref="E1799" r:id="rId5421" display="https://twitter.com/Databanque/status/722799744754429952" xr:uid="{C22EB1BE-78D1-4CC9-AE97-0944CB5E08B3}"/>
    <hyperlink ref="O1799" r:id="rId5422" display="https://pbs.twimg.com/profile_images/552211771360940032/CmEYO0l3_normal.png" xr:uid="{3CAC80B2-8A15-49A3-AF3B-F3CD8C6E77E6}"/>
    <hyperlink ref="B1800" r:id="rId5423" display="https://twitter.com/ChRothe" xr:uid="{829A5B68-8B71-409C-B4D2-2350C55852C9}"/>
    <hyperlink ref="E1800" r:id="rId5424" display="https://twitter.com/ChRothe/status/722799940120907776" xr:uid="{0619DFF2-CD1D-49CB-876A-4F4035583546}"/>
    <hyperlink ref="O1800" r:id="rId5425" display="https://pbs.twimg.com/profile_images/673216629782806528/GAAyze8N_normal.jpg" xr:uid="{D6621912-2886-4C1D-BE48-A3A3B57F0BC6}"/>
    <hyperlink ref="B1801" r:id="rId5426" display="https://twitter.com/Global_Fairs" xr:uid="{BEBCA296-A018-4CBD-9AB0-AA8EA25C03E8}"/>
    <hyperlink ref="E1801" r:id="rId5427" display="https://twitter.com/Global_Fairs/status/722800028541030400" xr:uid="{EA015BFF-86CC-4ADD-8F69-F7DD637E026B}"/>
    <hyperlink ref="O1801" r:id="rId5428" display="https://pbs.twimg.com/profile_images/694530943139315712/TQHmYxMT_normal.png" xr:uid="{A9402D88-6A4D-4456-BF47-FBB326C2C3B2}"/>
    <hyperlink ref="B1802" r:id="rId5429" display="https://twitter.com/siemens_press" xr:uid="{65239F1D-369F-402A-B182-C9B06A45B1E0}"/>
    <hyperlink ref="E1802" r:id="rId5430" display="https://twitter.com/siemens_press/status/722802234950619136" xr:uid="{3A7780C9-2372-4FB5-B581-073FD2D07828}"/>
    <hyperlink ref="O1802" r:id="rId5431" display="https://pbs.twimg.com/profile_images/459331247488004096/2K0groDQ_normal.png" xr:uid="{AD778FE8-E429-464A-AF04-9CDAE3B5C236}"/>
    <hyperlink ref="B1803" r:id="rId5432" display="https://twitter.com/IT2Industry" xr:uid="{53D35331-C4AC-475B-AF92-8DD3F57992C0}"/>
    <hyperlink ref="E1803" r:id="rId5433" display="https://twitter.com/IT2Industry/status/722802554317455360" xr:uid="{3A01299B-B00D-4DCD-A420-D8ACA0E911EA}"/>
    <hyperlink ref="F1803" r:id="rId5434" xr:uid="{22BB7E30-A394-489D-8022-EBDCAC298540}"/>
    <hyperlink ref="O1803" r:id="rId5435" display="https://pbs.twimg.com/profile_images/489403559394304001/8SQlWWA1_normal.jpeg" xr:uid="{02187386-021F-45B2-A60F-B022E721E838}"/>
    <hyperlink ref="B1804" r:id="rId5436" display="https://twitter.com/texdatacom" xr:uid="{6B6110B9-2640-4EB8-B917-6BE76271A5A2}"/>
    <hyperlink ref="E1804" r:id="rId5437" display="https://twitter.com/texdatacom/status/722803045218848768" xr:uid="{D40E25C2-9972-4536-9EC4-94B7FD632D0F}"/>
    <hyperlink ref="O1804" r:id="rId5438" display="https://pbs.twimg.com/profile_images/664500546099912704/hBqsuX6w_normal.jpg" xr:uid="{ADB277E6-6487-4D34-9061-DED92DCD3AAF}"/>
    <hyperlink ref="B1805" r:id="rId5439" display="https://twitter.com/BoschPresse" xr:uid="{DDEDBAE4-E377-4415-B78D-357F682B5BEC}"/>
    <hyperlink ref="E1805" r:id="rId5440" display="https://twitter.com/BoschPresse/status/722804583626620928" xr:uid="{EFEF7A74-C7FB-4860-8B5C-B9C855C9064B}"/>
    <hyperlink ref="O1805" r:id="rId5441" display="https://pbs.twimg.com/profile_images/2619086509/ld3z97zhhdbs2essw7s9_normal.jpeg" xr:uid="{71B10484-37DB-41F7-B30D-C0D8E4EFA6F3}"/>
    <hyperlink ref="B1806" r:id="rId5442" display="https://twitter.com/INDIZbot" xr:uid="{9450AD4F-DB51-4398-BCC9-359BC94A8C01}"/>
    <hyperlink ref="E1806" r:id="rId5443" display="https://twitter.com/INDIZbot/status/722804908408352769" xr:uid="{9722570F-BA0B-4D61-BE09-9BC1937BAADE}"/>
    <hyperlink ref="O1806" r:id="rId5444" display="https://pbs.twimg.com/profile_images/645716711723925506/t5G0qOS6_normal.jpg" xr:uid="{C308B916-C820-4CD5-9D59-8B389E2B82EE}"/>
    <hyperlink ref="B1807" r:id="rId5445" display="https://twitter.com/QuickFindsIn" xr:uid="{710F2C71-8074-433B-B3A9-CB2AEEAEFCA0}"/>
    <hyperlink ref="E1807" r:id="rId5446" display="https://twitter.com/QuickFindsIn/status/722805024435245056" xr:uid="{FC29F04F-4238-4C81-ADF1-4CB2DEE7A2BC}"/>
    <hyperlink ref="O1807" r:id="rId5447" display="https://pbs.twimg.com/profile_images/591951396217327616/HbcCX2zX_normal.png" xr:uid="{092A936A-0EA2-4AAC-A2DE-F60EE649D8CC}"/>
    <hyperlink ref="B1808" r:id="rId5448" display="https://twitter.com/AliceTimm1" xr:uid="{76A92212-5EE2-40DC-9E88-B2F456D564AE}"/>
    <hyperlink ref="E1808" r:id="rId5449" display="https://twitter.com/AliceTimm1/status/722807797545594880" xr:uid="{5075EB3E-0B28-4105-943C-E3408B786F01}"/>
    <hyperlink ref="O1808" r:id="rId5450" display="https://pbs.twimg.com/profile_images/712401306082795521/Y0gvhjUD_normal.jpg" xr:uid="{C787F1F6-56CF-4B1A-BB5C-DE77A706E034}"/>
    <hyperlink ref="B1809" r:id="rId5451" display="https://twitter.com/AccenturePresse" xr:uid="{C4163BC0-6D25-454B-8C7D-4572915D9155}"/>
    <hyperlink ref="E1809" r:id="rId5452" display="https://twitter.com/AccenturePresse/status/722808306654322688" xr:uid="{33C320DC-ADD9-40FA-8811-6DC8B7B226D0}"/>
    <hyperlink ref="O1809" r:id="rId5453" display="https://pbs.twimg.com/profile_images/470826247132438529/xf6oFNFR_normal.jpeg" xr:uid="{74EAE3EE-9D3F-4800-8082-3A5A7966663B}"/>
    <hyperlink ref="B1810" r:id="rId5454" display="https://twitter.com/giocosopress" xr:uid="{5E482273-12EA-447D-BA53-4CD33F4A3BFD}"/>
    <hyperlink ref="E1810" r:id="rId5455" display="https://twitter.com/giocosopress/status/722808381652779008" xr:uid="{B52DD6A7-1B90-4FB3-965B-A09C43AF3248}"/>
    <hyperlink ref="O1810" r:id="rId5456" display="https://pbs.twimg.com/profile_images/698777247940005888/aZXu9Jf5_normal.jpg" xr:uid="{423F384C-4689-4FB1-A7FE-A0689CE43A1E}"/>
    <hyperlink ref="B1811" r:id="rId5457" display="https://twitter.com/RalphRio" xr:uid="{DDC8BE27-CFC4-42A2-9A20-09DCF92C4A85}"/>
    <hyperlink ref="E1811" r:id="rId5458" display="https://twitter.com/RalphRio/status/722811836958027776" xr:uid="{7B68AFEA-F826-4101-A3D1-C5218E4C508D}"/>
    <hyperlink ref="O1811" r:id="rId5459" display="https://pbs.twimg.com/profile_images/578551032625672192/aO-Yyvjx_normal.jpeg" xr:uid="{0DADAAA7-AE71-48B9-B084-BFCE3F7BCE19}"/>
    <hyperlink ref="B1812" r:id="rId5460" display="https://twitter.com/predigcorp" xr:uid="{A1FF8AF3-127E-4D8B-8DF8-5510CB92E08C}"/>
    <hyperlink ref="E1812" r:id="rId5461" display="https://twitter.com/predigcorp/status/722812327922376704" xr:uid="{D83EE0B6-E8B5-4135-AC7E-0DDC31986937}"/>
    <hyperlink ref="O1812" r:id="rId5462" display="https://pbs.twimg.com/profile_images/513076194527285248/9M5kEuN6_normal.jpeg" xr:uid="{8C296849-F464-4FA2-962C-E10D86026EB5}"/>
    <hyperlink ref="B1813" r:id="rId5463" display="https://twitter.com/steffi04d" xr:uid="{94002CF6-80DA-4DA3-A810-734054D98539}"/>
    <hyperlink ref="E1813" r:id="rId5464" display="https://twitter.com/steffi04d/status/722812426362744833" xr:uid="{DAF63A0D-51B4-4522-90C2-23FF27199F79}"/>
    <hyperlink ref="O1813" r:id="rId5465" display="https://pbs.twimg.com/profile_images/698459430262853632/aWQTuDjj_normal.jpg" xr:uid="{0C09157C-1E45-421B-99AC-FB5257F5D401}"/>
    <hyperlink ref="B1814" r:id="rId5466" display="https://twitter.com/H_IT_D" xr:uid="{C420D819-39C0-4CED-B0A4-59E9F2A1CEA0}"/>
    <hyperlink ref="E1814" r:id="rId5467" display="https://twitter.com/H_IT_D/status/722812966031138816" xr:uid="{1565CEE9-0417-4674-A53A-60EFCCE4012B}"/>
    <hyperlink ref="O1814" r:id="rId5468" display="https://pbs.twimg.com/profile_images/662723326096224256/5V4KH9_O_normal.jpg" xr:uid="{B5525BFC-C465-4437-9074-C03EEA89147B}"/>
    <hyperlink ref="B1815" r:id="rId5469" display="https://twitter.com/Faheem_Farooq" xr:uid="{F19BC7BA-A5A3-4C66-8454-82D1D6CD1793}"/>
    <hyperlink ref="E1815" r:id="rId5470" display="https://twitter.com/Faheem_Farooq/status/722813817944678400" xr:uid="{F26D7C40-6C62-4F80-98C3-CC374D6303AA}"/>
    <hyperlink ref="O1815" r:id="rId5471" display="https://pbs.twimg.com/profile_images/640925612421414912/bO2Nzo73_normal.jpg" xr:uid="{66457DD2-2EEC-45AA-BCCB-6AC076C2C4F2}"/>
    <hyperlink ref="B1816" r:id="rId5472" display="https://twitter.com/Telit_IoT" xr:uid="{DEC1167C-ED10-439B-B036-BBD02200EEA6}"/>
    <hyperlink ref="E1816" r:id="rId5473" display="https://twitter.com/Telit_IoT/status/722814907188690944" xr:uid="{4C923858-A1B5-4C4D-ACE4-4811B9FDAE67}"/>
    <hyperlink ref="O1816" r:id="rId5474" display="https://pbs.twimg.com/profile_images/639545317889822720/PXoKiaJf_normal.jpg" xr:uid="{60C460D2-1F45-4092-B975-6DE09AADFE7F}"/>
    <hyperlink ref="B1817" r:id="rId5475" display="https://twitter.com/Global_Fairs" xr:uid="{923A8F92-E29E-4086-9AE0-6824E8483F7F}"/>
    <hyperlink ref="E1817" r:id="rId5476" display="https://twitter.com/Global_Fairs/status/722815026520698880" xr:uid="{856A86B9-9BF9-493A-B65C-6024AA96082A}"/>
    <hyperlink ref="O1817" r:id="rId5477" display="https://pbs.twimg.com/profile_images/694530943139315712/TQHmYxMT_normal.png" xr:uid="{222FD86E-DD75-418B-B674-6758B85289ED}"/>
    <hyperlink ref="B1818" r:id="rId5478" display="https://twitter.com/INDIZbot" xr:uid="{549CE2CA-5295-46A4-83F1-A6682EC0B700}"/>
    <hyperlink ref="E1818" r:id="rId5479" display="https://twitter.com/INDIZbot/status/722815297896509443" xr:uid="{F8C6AA9A-94F9-4DF3-8E64-8AA50AFD8AA5}"/>
    <hyperlink ref="O1818" r:id="rId5480" display="https://pbs.twimg.com/profile_images/645716711723925506/t5G0qOS6_normal.jpg" xr:uid="{99CACD07-8D47-4AAF-84AA-D40915679E60}"/>
    <hyperlink ref="B1819" r:id="rId5481" display="https://twitter.com/Global_Fairs" xr:uid="{0BBFC7EC-B7EC-475C-878B-EE2BD334E71A}"/>
    <hyperlink ref="E1819" r:id="rId5482" display="https://twitter.com/Global_Fairs/status/722816359822786560" xr:uid="{A5BA748C-583C-4E86-9EAB-9512CA53FB91}"/>
    <hyperlink ref="O1819" r:id="rId5483" display="https://pbs.twimg.com/profile_images/694530943139315712/TQHmYxMT_normal.png" xr:uid="{0B81E3A3-38CC-4652-B4C7-B0E9D480DD18}"/>
    <hyperlink ref="B1820" r:id="rId5484" display="https://twitter.com/HIVBERN" xr:uid="{5A0EE240-FCBA-4D7A-ACB0-569D4114BD91}"/>
    <hyperlink ref="E1820" r:id="rId5485" display="https://twitter.com/HIVBERN/status/722816919045320704" xr:uid="{A8D202BE-6037-4E71-898A-EE769A8AEE17}"/>
    <hyperlink ref="O1820" r:id="rId5486" display="https://pbs.twimg.com/profile_images/591535147239002112/g9kA6jE8_normal.jpg" xr:uid="{4E54E905-4A99-4CD6-87A8-C364B042F818}"/>
    <hyperlink ref="B1821" r:id="rId5487" display="https://twitter.com/bamitav" xr:uid="{51387B73-02CD-439B-840A-4C341544997A}"/>
    <hyperlink ref="E1821" r:id="rId5488" display="https://twitter.com/bamitav/status/722817737584607234" xr:uid="{E8AF23F8-A990-4A7E-B183-E262AD9D5733}"/>
    <hyperlink ref="O1821" r:id="rId5489" display="https://pbs.twimg.com/profile_images/672794348442877952/m6Is-Nrc_normal.jpg" xr:uid="{510D19E2-1CD0-4E36-A4F9-8C6BE066F6F2}"/>
    <hyperlink ref="B1822" r:id="rId5490" display="https://twitter.com/m_biscarrat" xr:uid="{56FCED6C-AE7E-49FD-9823-A4D0912F35A2}"/>
    <hyperlink ref="E1822" r:id="rId5491" display="https://twitter.com/m_biscarrat/status/722818477405265921" xr:uid="{9F1CD0B7-437F-4ADE-B06F-F5EDED9DE002}"/>
    <hyperlink ref="O1822" r:id="rId5492" display="https://pbs.twimg.com/profile_images/699724829713428484/rUT0r7Dq_normal.jpg" xr:uid="{046E4FCC-7944-462A-A026-9BAFFC6BF6D5}"/>
    <hyperlink ref="B1823" r:id="rId5493" display="https://twitter.com/m_biscarrat" xr:uid="{DBFB6D3D-B314-499C-BE40-B016746DD386}"/>
    <hyperlink ref="E1823" r:id="rId5494" display="https://twitter.com/m_biscarrat/status/722818541108355072" xr:uid="{32507883-76AA-4FF3-B945-993D4576B97A}"/>
    <hyperlink ref="O1823" r:id="rId5495" display="https://pbs.twimg.com/profile_images/699724829713428484/rUT0r7Dq_normal.jpg" xr:uid="{2D4EAD08-D943-44ED-AC42-327BD136935B}"/>
    <hyperlink ref="B1824" r:id="rId5496" display="https://twitter.com/EskenSaskia" xr:uid="{F5ED1526-FA29-4B10-84D2-7786019114D8}"/>
    <hyperlink ref="E1824" r:id="rId5497" display="https://twitter.com/EskenSaskia/status/722820065545097218" xr:uid="{69CFDF76-E452-4FFF-9D88-06CA3527F561}"/>
    <hyperlink ref="O1824" r:id="rId5498" display="https://pbs.twimg.com/profile_images/690542309776171008/TMMelY5K_normal.jpg" xr:uid="{53BBA698-0887-43B0-9A6B-B9CA437DE621}"/>
    <hyperlink ref="B1825" r:id="rId5499" display="https://twitter.com/gpodagrosi" xr:uid="{A9E2A56B-ED8A-46F2-92F4-B36D88833DF4}"/>
    <hyperlink ref="E1825" r:id="rId5500" display="https://twitter.com/gpodagrosi/status/722823569357565952" xr:uid="{62026201-2871-4D9D-9ADF-91F34478372D}"/>
    <hyperlink ref="O1825" r:id="rId5501" display="https://pbs.twimg.com/profile_images/588981131996966912/55KBnYR7_normal.jpg" xr:uid="{17AC5849-2AFC-4AA4-9389-53F8D3C1B10D}"/>
    <hyperlink ref="B1826" r:id="rId5502" display="https://twitter.com/GTAI_com" xr:uid="{CA116F0D-4E60-4CB0-AE7D-015B92F04264}"/>
    <hyperlink ref="E1826" r:id="rId5503" display="https://twitter.com/GTAI_com/status/722824871969951744" xr:uid="{86E94E97-98A9-4193-ADE9-965D1FB73C50}"/>
    <hyperlink ref="O1826" r:id="rId5504" display="https://pbs.twimg.com/profile_images/716977461079179268/JVN5NZO8_normal.jpg" xr:uid="{A96D3766-E405-4371-B0D1-E9C34CA146A7}"/>
    <hyperlink ref="B1827" r:id="rId5505" display="https://twitter.com/INDIZbot" xr:uid="{E469F72D-63CA-4E5C-A8BC-43F41684B67D}"/>
    <hyperlink ref="E1827" r:id="rId5506" display="https://twitter.com/INDIZbot/status/722827696313667584" xr:uid="{18C64F44-75D6-446D-8C1F-429F521F1E61}"/>
    <hyperlink ref="O1827" r:id="rId5507" display="https://pbs.twimg.com/profile_images/645716711723925506/t5G0qOS6_normal.jpg" xr:uid="{32BC7B4A-B672-404B-908C-D30995DCC406}"/>
    <hyperlink ref="B1828" r:id="rId5508" display="https://twitter.com/EpicsBot" xr:uid="{77B4A822-0E6D-4FD2-AEC8-45D025B65426}"/>
    <hyperlink ref="E1828" r:id="rId5509" display="https://twitter.com/EpicsBot/status/722828445995122688" xr:uid="{5E3412A2-7234-4361-814B-3CEF67AD6D53}"/>
    <hyperlink ref="O1828" r:id="rId5510" display="https://pbs.twimg.com/profile_images/658401095023226880/4qMv3IiK_normal.png" xr:uid="{CCBEBB92-68F1-4FE8-9C4A-722CB2944CA4}"/>
    <hyperlink ref="B1829" r:id="rId5511" display="https://twitter.com/INDIZbot" xr:uid="{EEA577AB-A11B-4188-84E7-F5E7CE04677B}"/>
    <hyperlink ref="E1829" r:id="rId5512" display="https://twitter.com/INDIZbot/status/722830344500723717" xr:uid="{AE67E9ED-AE69-4C80-8788-458BD41B2009}"/>
    <hyperlink ref="O1829" r:id="rId5513" display="https://pbs.twimg.com/profile_images/645716711723925506/t5G0qOS6_normal.jpg" xr:uid="{24B5F009-C34E-4E49-ABFB-C983388B9BFB}"/>
    <hyperlink ref="B1830" r:id="rId5514" display="https://twitter.com/mfmberlin" xr:uid="{64BDD794-4AE3-4F67-8490-24A53D2B9B4B}"/>
    <hyperlink ref="E1830" r:id="rId5515" display="https://twitter.com/mfmberlin/status/722830738962317315" xr:uid="{4016E3C5-42E4-4C2C-841B-C3DACF38A86A}"/>
    <hyperlink ref="O1830" r:id="rId5516" display="https://pbs.twimg.com/profile_images/677089590499540992/Dli24AC7_normal.png" xr:uid="{AF1C4BE0-C417-4E25-BF36-261047E7869C}"/>
    <hyperlink ref="B1831" r:id="rId5517" display="https://twitter.com/INDIZbot" xr:uid="{4898D010-2CA0-4D31-A22C-64E84C9EFD18}"/>
    <hyperlink ref="E1831" r:id="rId5518" display="https://twitter.com/INDIZbot/status/722832661941772288" xr:uid="{26091391-BDBB-40C6-B49C-0E7367745B4D}"/>
    <hyperlink ref="O1831" r:id="rId5519" display="https://pbs.twimg.com/profile_images/645716711723925506/t5G0qOS6_normal.jpg" xr:uid="{2E53F4B2-BDB1-44F8-8A17-F115FF13CCF6}"/>
    <hyperlink ref="B1832" r:id="rId5520" display="https://twitter.com/bamitav" xr:uid="{FE0DDE2E-1B60-4876-9C76-81037464C4F0}"/>
    <hyperlink ref="E1832" r:id="rId5521" display="https://twitter.com/bamitav/status/722836509779369985" xr:uid="{1706B1D4-2821-4B22-BADB-7F4A9B102C77}"/>
    <hyperlink ref="O1832" r:id="rId5522" display="https://pbs.twimg.com/profile_images/672794348442877952/m6Is-Nrc_normal.jpg" xr:uid="{02B6E26F-A7AF-485E-A3E8-654CCEF9406A}"/>
    <hyperlink ref="B1833" r:id="rId5523" display="https://twitter.com/Uli_Schumacher" xr:uid="{E563492F-2E97-4E06-B4AA-1336E4BFFD3D}"/>
    <hyperlink ref="E1833" r:id="rId5524" display="https://twitter.com/Uli_Schumacher/status/722837940888403971" xr:uid="{681C3C78-9E2B-4521-B5D0-4BED99F5DC77}"/>
    <hyperlink ref="O1833" r:id="rId5525" display="https://pbs.twimg.com/profile_images/645978534981292032/RdDVZDZZ_normal.jpg" xr:uid="{3CD8508B-6580-4397-AC94-184BEF157050}"/>
    <hyperlink ref="B1834" r:id="rId5526" display="https://twitter.com/acatech_de" xr:uid="{C4CDD98D-0424-4206-AD0E-0D4A3457768C}"/>
    <hyperlink ref="E1834" r:id="rId5527" display="https://twitter.com/acatech_de/status/722839274039562241" xr:uid="{D4C718A2-D0E5-4D3F-9533-A180288EE712}"/>
    <hyperlink ref="O1834" r:id="rId5528" display="https://pbs.twimg.com/profile_images/600969802908356609/3JqGMg38_normal.png" xr:uid="{27ED8165-0AC8-4807-9BF8-F0455B41899E}"/>
    <hyperlink ref="B1835" r:id="rId5529" display="https://twitter.com/andre_mundo" xr:uid="{FBE1E74A-816F-4300-80CA-A897F877B66D}"/>
    <hyperlink ref="E1835" r:id="rId5530" display="https://twitter.com/andre_mundo/status/722840041421193220" xr:uid="{4DE1484C-89D8-4303-885C-AE8C3148FEF4}"/>
    <hyperlink ref="O1835" r:id="rId5531" display="https://pbs.twimg.com/profile_images/699337426729361408/CRQQAGZq_normal.jpg" xr:uid="{C964F84A-FDB4-4914-9A71-A118D217A171}"/>
    <hyperlink ref="B1836" r:id="rId5532" display="https://twitter.com/UCoester" xr:uid="{FC265F8A-0169-4AAD-BC3C-875D3CA5C656}"/>
    <hyperlink ref="E1836" r:id="rId5533" display="https://twitter.com/UCoester/status/722840219427295233" xr:uid="{ADFE2D1B-2035-41D6-9808-1C45A09C708F}"/>
    <hyperlink ref="O1836" r:id="rId5534" display="https://pbs.twimg.com/profile_images/639837071213993984/W3GFbdQL_normal.png" xr:uid="{81E7CF7B-418F-4411-A358-4D03824595B9}"/>
    <hyperlink ref="B1837" r:id="rId5535" display="https://twitter.com/critmatrix" xr:uid="{50C2120B-6452-40C0-981B-AE93A5FA1E4D}"/>
    <hyperlink ref="E1837" r:id="rId5536" display="https://twitter.com/critmatrix/status/722840794479140864" xr:uid="{E9C69780-8553-4560-957A-18604FA12643}"/>
    <hyperlink ref="O1837" r:id="rId5537" display="https://pbs.twimg.com/profile_images/722786285123977216/jpQ6qPff_normal.jpg" xr:uid="{D82F93AB-81D3-4E4B-90E6-5F12840634CD}"/>
    <hyperlink ref="B1838" r:id="rId5538" display="https://twitter.com/HOHMANN_Chris" xr:uid="{11255F7A-307C-4F62-A844-5F98F8A04E52}"/>
    <hyperlink ref="E1838" r:id="rId5539" display="https://twitter.com/HOHMANN_Chris/status/722841040370208768" xr:uid="{EA2C1448-C324-44CD-8B9B-A726CD676144}"/>
    <hyperlink ref="O1838" r:id="rId5540" display="https://pbs.twimg.com/profile_images/713694636490039296/ykcgR5ct_normal.jpg" xr:uid="{71B7074D-F731-40AC-A5DF-A692547F1558}"/>
    <hyperlink ref="B1839" r:id="rId5541" display="https://twitter.com/SiemensSensors" xr:uid="{713036FA-ED9B-4481-A597-C31C8917EAF5}"/>
    <hyperlink ref="E1839" r:id="rId5542" display="https://twitter.com/SiemensSensors/status/722841306834300928" xr:uid="{876A76A3-749F-483E-941F-C176A2EB402D}"/>
    <hyperlink ref="O1839" r:id="rId5543" display="https://pbs.twimg.com/profile_images/2709830901/804e985d337713b6f00e871606ed67e1_normal.png" xr:uid="{913467F3-6729-4647-BC85-A68FE972C68C}"/>
    <hyperlink ref="B1840" r:id="rId5544" display="https://twitter.com/Gruendercoaches" xr:uid="{F4E76D4F-A0A4-4744-8CF8-846F7D0BFF75}"/>
    <hyperlink ref="E1840" r:id="rId5545" display="https://twitter.com/Gruendercoaches/status/722843952177668096" xr:uid="{7A96E07D-81DF-4A13-A223-18A974A59EA9}"/>
    <hyperlink ref="O1840" r:id="rId5546" display="https://pbs.twimg.com/profile_images/561208179355185153/11KDu7Gt_normal.png" xr:uid="{E21C33D5-7E29-42C9-AFC2-2AD36CCA5707}"/>
    <hyperlink ref="B1841" r:id="rId5547" display="https://twitter.com/H_IT_D" xr:uid="{9964FE50-A6D5-4419-A424-20632D433B2D}"/>
    <hyperlink ref="E1841" r:id="rId5548" display="https://twitter.com/H_IT_D/status/722844160282112002" xr:uid="{20CCC86D-6C92-4216-BC92-D711746B38EB}"/>
    <hyperlink ref="O1841" r:id="rId5549" display="https://pbs.twimg.com/profile_images/662723326096224256/5V4KH9_O_normal.jpg" xr:uid="{5F380B2F-7074-4004-9ABD-06242F8CBD06}"/>
    <hyperlink ref="B1842" r:id="rId5550" display="https://twitter.com/m_biscarrat" xr:uid="{FD64EF7F-0458-49AD-BBBB-BF59A4460DA5}"/>
    <hyperlink ref="E1842" r:id="rId5551" display="https://twitter.com/m_biscarrat/status/722845989380468736" xr:uid="{1B1DC8F3-3B87-4611-9390-F90E50C56DC6}"/>
    <hyperlink ref="O1842" r:id="rId5552" display="https://pbs.twimg.com/profile_images/699724829713428484/rUT0r7Dq_normal.jpg" xr:uid="{4F6B6CD8-DC33-4B68-9E61-F38A42EFEB4F}"/>
    <hyperlink ref="B1843" r:id="rId5553" display="https://twitter.com/KesslerEllis" xr:uid="{2A997E0E-4542-4915-A155-9C8910931ED0}"/>
    <hyperlink ref="E1843" r:id="rId5554" display="https://twitter.com/KesslerEllis/status/722850486009737216" xr:uid="{1C02E9E0-0A24-4FEC-BFDE-511EE477E04D}"/>
    <hyperlink ref="O1843" r:id="rId5555" display="https://pbs.twimg.com/profile_images/472122304088924160/kQxIVFut_normal.jpeg" xr:uid="{AAD9601A-24BA-4804-8004-892805CD229D}"/>
    <hyperlink ref="B1844" r:id="rId5556" display="https://twitter.com/brohleder" xr:uid="{E8D0604A-6956-4BA4-A0FE-917929FDA947}"/>
    <hyperlink ref="E1844" r:id="rId5557" display="https://twitter.com/brohleder/status/722851296504651776" xr:uid="{A8762F08-C036-4B96-B720-F4B3A1F89DA4}"/>
    <hyperlink ref="O1844" r:id="rId5558" display="https://pbs.twimg.com/profile_images/477353857727492096/0AUf0UI-_normal.jpeg" xr:uid="{7AA87F05-26D3-4F3B-9AF4-5055EADEA738}"/>
    <hyperlink ref="B1845" r:id="rId5559" display="https://twitter.com/CapgeminiDE" xr:uid="{3E0719DC-A297-4891-96AD-D6C33EE0B57B}"/>
    <hyperlink ref="E1845" r:id="rId5560" display="https://twitter.com/CapgeminiDE/status/722852486088957952" xr:uid="{943B6E6F-404C-45F9-8A77-5FAF47755912}"/>
    <hyperlink ref="O1845" r:id="rId5561" display="https://pbs.twimg.com/profile_images/666911961599315968/aP7ID_qm_normal.png" xr:uid="{BDB7C4F4-332E-4D94-B9D3-DE61318F6ABC}"/>
    <hyperlink ref="B1846" r:id="rId5562" display="https://twitter.com/AMETRAInge" xr:uid="{9AF88756-77A0-4260-99CB-FBB38E5EDD2F}"/>
    <hyperlink ref="E1846" r:id="rId5563" display="https://twitter.com/AMETRAInge/status/722853171811495936" xr:uid="{A5CCA8C1-8DC0-4A8F-B981-C210F445ED8B}"/>
    <hyperlink ref="O1846" r:id="rId5564" display="https://pbs.twimg.com/profile_images/677781149037514752/TcTK8Bpv_normal.png" xr:uid="{8F9E48A9-AB2D-4563-A61B-B5303137BFCB}"/>
    <hyperlink ref="B1847" r:id="rId5565" display="https://twitter.com/tcerisier_johan" xr:uid="{872F78BD-654C-4F9B-A823-49BA81C8259C}"/>
    <hyperlink ref="E1847" r:id="rId5566" display="https://twitter.com/tcerisier_johan/status/722853271543660544" xr:uid="{07B6EEF5-5356-46F1-87F7-2A7925F18FCE}"/>
    <hyperlink ref="O1847" r:id="rId5567" display="https://pbs.twimg.com/profile_images/710982607606038528/t8IYX_cK_normal.jpg" xr:uid="{5AD8FEA5-5690-4EAD-B50D-3E32503E5D29}"/>
    <hyperlink ref="B1848" r:id="rId5568" display="https://twitter.com/Louis55225271" xr:uid="{9C7EEFDA-0A61-47EA-9A15-2C70278F04AE}"/>
    <hyperlink ref="E1848" r:id="rId5569" display="https://twitter.com/Louis55225271/status/722853881059758080" xr:uid="{2F32E1D2-1C0E-4C80-97C5-709D5F683ABC}"/>
    <hyperlink ref="O1848" r:id="rId5570" display="https://abs.twimg.com/sticky/default_profile_images/default_profile_1_normal.png" xr:uid="{C91A29B2-99BB-4DE6-AB49-810B3B0D25A6}"/>
    <hyperlink ref="B1849" r:id="rId5571" display="https://twitter.com/Nicola_Ciensk" xr:uid="{CD059EBA-D5A9-478F-89EA-AFC796B43C3E}"/>
    <hyperlink ref="E1849" r:id="rId5572" display="https://twitter.com/Nicola_Ciensk/status/722854817970921472" xr:uid="{CFCFE3D6-30AD-4792-9885-0CD0E4B65EFA}"/>
    <hyperlink ref="O1849" r:id="rId5573" display="https://pbs.twimg.com/profile_images/658999934973321216/_4OxPNYS_normal.jpg" xr:uid="{09302A4D-C67A-4808-96C1-2899A08B48FC}"/>
    <hyperlink ref="B1850" r:id="rId5574" display="https://twitter.com/quickfindseotip" xr:uid="{379A3FF6-DC70-4380-831E-47821151CFB8}"/>
    <hyperlink ref="E1850" r:id="rId5575" display="https://twitter.com/quickfindseotip/status/722857371341422592" xr:uid="{CF76873A-2DEA-4B64-82D8-F217C227E3B5}"/>
    <hyperlink ref="O1850" r:id="rId5576" display="https://pbs.twimg.com/profile_images/592208932988264449/bM2abhue_normal.png" xr:uid="{EAAE73A0-DCAE-43A0-96D7-1E4EC1110F1E}"/>
    <hyperlink ref="B1851" r:id="rId5577" display="https://twitter.com/H_IT_D" xr:uid="{D12D73DB-FF27-469C-9874-CCAE6C1D6AB6}"/>
    <hyperlink ref="E1851" r:id="rId5578" display="https://twitter.com/H_IT_D/status/722859616338444288" xr:uid="{BD28549A-E9E2-4792-8CF9-C22D50C0027A}"/>
    <hyperlink ref="O1851" r:id="rId5579" display="https://pbs.twimg.com/profile_images/662723326096224256/5V4KH9_O_normal.jpg" xr:uid="{4EAC618F-E676-4989-901A-9992DF224616}"/>
    <hyperlink ref="B1852" r:id="rId5580" display="https://twitter.com/brad_fedburn" xr:uid="{EC9F6658-958D-4AD3-9EC4-045EE8EB75DC}"/>
    <hyperlink ref="E1852" r:id="rId5581" display="https://twitter.com/brad_fedburn/status/722860256259256320" xr:uid="{C0FBE2DB-582C-407F-AE03-973B424559CE}"/>
    <hyperlink ref="O1852" r:id="rId5582" display="https://pbs.twimg.com/profile_images/722859460138549248/9TXlqP2__normal.jpg" xr:uid="{D988D6CC-527E-4D0E-9CEF-AAEAEF50FB21}"/>
    <hyperlink ref="B1853" r:id="rId5583" display="https://twitter.com/kommoptimierer" xr:uid="{722D229D-8C24-4602-BD9E-C6643EEEAD58}"/>
    <hyperlink ref="E1853" r:id="rId5584" display="https://twitter.com/kommoptimierer/status/722862408184786945" xr:uid="{6870F3FE-EEA0-4E84-B72C-F5934C7F2EEA}"/>
    <hyperlink ref="O1853" r:id="rId5585" display="https://pbs.twimg.com/profile_images/541146126158536704/IYardufS_normal.jpeg" xr:uid="{191F35B4-8CF5-4E18-8B13-F60AF5D072F1}"/>
    <hyperlink ref="B1854" r:id="rId5586" display="https://twitter.com/INDIZbot" xr:uid="{47A18F11-5B92-47C0-B5B4-72C0D0C552E5}"/>
    <hyperlink ref="E1854" r:id="rId5587" display="https://twitter.com/INDIZbot/status/722863068842192896" xr:uid="{8ED0A0D4-610F-458D-8361-1CAABDF7FF53}"/>
    <hyperlink ref="O1854" r:id="rId5588" display="https://pbs.twimg.com/profile_images/645716711723925506/t5G0qOS6_normal.jpg" xr:uid="{7CA830B0-E8E8-4832-A5A6-AA8C27D54C2B}"/>
    <hyperlink ref="B1855" r:id="rId5589" display="https://twitter.com/INDIZbot" xr:uid="{E902D42B-1C27-45BA-A9DA-EBE215D2FDA3}"/>
    <hyperlink ref="E1855" r:id="rId5590" display="https://twitter.com/INDIZbot/status/722863299331825668" xr:uid="{43105555-403C-4BE1-80CF-6CA58F0508AE}"/>
    <hyperlink ref="O1855" r:id="rId5591" display="https://pbs.twimg.com/profile_images/645716711723925506/t5G0qOS6_normal.jpg" xr:uid="{D77EEDD5-A442-49CE-8400-DF52CDEB5827}"/>
    <hyperlink ref="B1856" r:id="rId5592" display="https://twitter.com/ThomasMannIT" xr:uid="{534496B2-3D68-4A78-95B3-DEA38F2EEFFE}"/>
    <hyperlink ref="E1856" r:id="rId5593" display="https://twitter.com/ThomasMannIT/status/722863939613134848" xr:uid="{24CDD184-A0B8-4875-8924-268957912B53}"/>
    <hyperlink ref="O1856" r:id="rId5594" display="https://pbs.twimg.com/profile_images/454513656097566721/lzKn3ze7_normal.jpeg" xr:uid="{00A72B37-2065-49FC-8E12-CB4665724D15}"/>
    <hyperlink ref="B1857" r:id="rId5595" display="https://twitter.com/kommoptimierer" xr:uid="{E5080BFF-D4DE-4EF1-A688-F7072CBA3DBD}"/>
    <hyperlink ref="E1857" r:id="rId5596" display="https://twitter.com/kommoptimierer/status/722869951690907651" xr:uid="{4B2ADBDC-9F9E-46B3-9C42-2BFD164C06E7}"/>
    <hyperlink ref="O1857" r:id="rId5597" display="https://pbs.twimg.com/profile_images/541146126158536704/IYardufS_normal.jpeg" xr:uid="{0AEE79AF-76E2-4BFC-8F76-95D05765C1AD}"/>
    <hyperlink ref="B1858" r:id="rId5598" display="https://twitter.com/OJaeger" xr:uid="{066DC471-04C2-4A56-A9AD-AD61F8A865D2}"/>
    <hyperlink ref="E1858" r:id="rId5599" display="https://twitter.com/OJaeger/status/722874122880073729" xr:uid="{28598248-F2C0-4545-B571-1DFD63DA0910}"/>
    <hyperlink ref="O1858" r:id="rId5600" display="https://pbs.twimg.com/profile_images/510721015945498624/1UpjmZMi_normal.jpeg" xr:uid="{7F566435-7236-4726-A31B-515A58BAAA7A}"/>
    <hyperlink ref="B1859" r:id="rId5601" display="https://twitter.com/kommoptimierer" xr:uid="{65B5E45F-85F1-4907-B671-4A75F613444A}"/>
    <hyperlink ref="E1859" r:id="rId5602" display="https://twitter.com/kommoptimierer/status/722878761239240704" xr:uid="{F583417A-833C-46F1-B8B5-79CF792C19F3}"/>
    <hyperlink ref="O1859" r:id="rId5603" display="https://pbs.twimg.com/profile_images/541146126158536704/IYardufS_normal.jpeg" xr:uid="{1DDAD309-9A9E-4054-A6F6-B5FB0F47B0BD}"/>
    <hyperlink ref="B1860" r:id="rId5604" display="https://twitter.com/SiePing" xr:uid="{ECC9D6F9-E20C-492E-B9AA-18AEA90936EB}"/>
    <hyperlink ref="E1860" r:id="rId5605" display="https://twitter.com/SiePing/status/722887870541729793" xr:uid="{72BF13D4-5C56-4607-98E7-C947B5F6B821}"/>
    <hyperlink ref="O1860" r:id="rId5606" display="https://pbs.twimg.com/profile_images/479235073674182657/VBPTQP9b_normal.jpeg" xr:uid="{7D2654B2-8AB7-4985-B29B-8F8F9223F295}"/>
    <hyperlink ref="B1861" r:id="rId5607" display="https://twitter.com/vemdiearbeitgeb" xr:uid="{9880913A-AC67-4280-9FDF-FD3B3327FA75}"/>
    <hyperlink ref="E1861" r:id="rId5608" display="https://twitter.com/vemdiearbeitgeb/status/722889310844747777" xr:uid="{04C08F02-6565-4D45-A1F0-1F6F88363492}"/>
    <hyperlink ref="O1861" r:id="rId5609" display="https://pbs.twimg.com/profile_images/1281327600/VEM_LOGO_1101_4c_o_Twitter_normal.jpg" xr:uid="{B8CCA49F-7FBE-402E-9D75-A3F8B82457C3}"/>
    <hyperlink ref="B1862" r:id="rId5610" display="https://twitter.com/vemdiearbeitgeb" xr:uid="{78E6EFA4-E234-46B1-B5C8-A27F01F8DC77}"/>
    <hyperlink ref="E1862" r:id="rId5611" display="https://twitter.com/vemdiearbeitgeb/status/722889440377475072" xr:uid="{B9C72350-D91B-45F1-9CAD-A4AAD743DF0C}"/>
    <hyperlink ref="O1862" r:id="rId5612" display="https://pbs.twimg.com/profile_images/1281327600/VEM_LOGO_1101_4c_o_Twitter_normal.jpg" xr:uid="{1008100D-80E0-46A6-B958-0710CF82B89C}"/>
    <hyperlink ref="B1863" r:id="rId5613" display="https://twitter.com/QuickFindsIn" xr:uid="{A563706D-FCFD-4D71-93FF-993CC0B399C3}"/>
    <hyperlink ref="E1863" r:id="rId5614" display="https://twitter.com/QuickFindsIn/status/722889581473849344" xr:uid="{B471A6DA-55B8-4DF9-BBD2-6C93E7A56879}"/>
    <hyperlink ref="O1863" r:id="rId5615" display="https://pbs.twimg.com/profile_images/591951396217327616/HbcCX2zX_normal.png" xr:uid="{D4FC8CA0-F0D2-4558-977C-04EB72472B13}"/>
    <hyperlink ref="B1864" r:id="rId5616" display="https://twitter.com/INDIZbot" xr:uid="{6320C676-CD70-4EAF-92F4-3F296BF450E1}"/>
    <hyperlink ref="E1864" r:id="rId5617" display="https://twitter.com/INDIZbot/status/722890377909276672" xr:uid="{F57205D8-F3E4-40F6-B935-2F2D39E9DF4D}"/>
    <hyperlink ref="O1864" r:id="rId5618" display="https://pbs.twimg.com/profile_images/645716711723925506/t5G0qOS6_normal.jpg" xr:uid="{6BBB8750-6D73-408F-B51C-71422E8B9E94}"/>
    <hyperlink ref="B1865" r:id="rId5619" display="https://twitter.com/arnaud_the" xr:uid="{506F4DA8-636F-403D-A718-95C1887C9172}"/>
    <hyperlink ref="E1865" r:id="rId5620" display="https://twitter.com/arnaud_the/status/722891168451731456" xr:uid="{128F0E07-ADCC-466F-BC68-A3F90F801B8F}"/>
    <hyperlink ref="O1865" r:id="rId5621" display="https://pbs.twimg.com/profile_images/665654555267461120/j3FKW-UG_normal.jpg" xr:uid="{A34A5406-ABC3-4EFD-AF59-6709AD2D8960}"/>
    <hyperlink ref="B1866" r:id="rId5622" display="https://twitter.com/vemdiearbeitgeb" xr:uid="{90C8CED6-8279-4F32-85AF-FA8D05B18368}"/>
    <hyperlink ref="E1866" r:id="rId5623" display="https://twitter.com/vemdiearbeitgeb/status/722892202972590081" xr:uid="{48B4D3FF-12E7-4E17-B02F-C4B9DEC10AD0}"/>
    <hyperlink ref="O1866" r:id="rId5624" display="https://pbs.twimg.com/profile_images/1281327600/VEM_LOGO_1101_4c_o_Twitter_normal.jpg" xr:uid="{7A10B0B4-5B27-4F93-90C5-975F5A03BD63}"/>
    <hyperlink ref="B1867" r:id="rId5625" display="https://twitter.com/vemdiearbeitgeb" xr:uid="{9E1E9926-534C-4CE5-AB2B-1D1B6E8D6E61}"/>
    <hyperlink ref="E1867" r:id="rId5626" display="https://twitter.com/vemdiearbeitgeb/status/722892331955826688" xr:uid="{1A9D9BC9-2D30-4E38-81DF-0226A727FFB1}"/>
    <hyperlink ref="O1867" r:id="rId5627" display="https://pbs.twimg.com/profile_images/1281327600/VEM_LOGO_1101_4c_o_Twitter_normal.jpg" xr:uid="{00F59A40-0C22-41DF-BBF7-F6A1D02E42BF}"/>
    <hyperlink ref="B1868" r:id="rId5628" display="https://twitter.com/Cathy_Brennan" xr:uid="{A24F7849-F350-43C2-9E38-79A1B7B4B10F}"/>
    <hyperlink ref="E1868" r:id="rId5629" display="https://twitter.com/Cathy_Brennan/status/722892622751080449" xr:uid="{FE096468-A632-43AA-ACA3-C995A907C9A0}"/>
    <hyperlink ref="O1868" r:id="rId5630" display="https://pbs.twimg.com/profile_images/530100288472903680/89b39upH_normal.jpeg" xr:uid="{F97765C4-6FE6-4A7F-BCBE-A9A512F313DC}"/>
    <hyperlink ref="B1869" r:id="rId5631" display="https://twitter.com/INDIZbot" xr:uid="{A55BC868-AB9B-4135-8FCC-9965F8508996}"/>
    <hyperlink ref="E1869" r:id="rId5632" display="https://twitter.com/INDIZbot/status/722892890767122434" xr:uid="{1786EAB3-7270-4679-9C78-9F02393D4ECF}"/>
    <hyperlink ref="O1869" r:id="rId5633" display="https://pbs.twimg.com/profile_images/645716711723925506/t5G0qOS6_normal.jpg" xr:uid="{DB031FF3-A0A5-42B9-B261-F6DC177D4F2F}"/>
    <hyperlink ref="B1870" r:id="rId5634" display="https://twitter.com/APGuha" xr:uid="{C98FA3D8-CDE3-4CC6-86E6-E107F377C05D}"/>
    <hyperlink ref="E1870" r:id="rId5635" display="https://twitter.com/APGuha/status/722892899952697345" xr:uid="{7C67A759-283E-4058-A3C7-751E4C6B3083}"/>
    <hyperlink ref="O1870" r:id="rId5636" display="https://pbs.twimg.com/profile_images/480533400743182336/w7vvPFUY_normal.png" xr:uid="{BB8F05D2-6239-440B-89B0-249019B5260F}"/>
    <hyperlink ref="B1871" r:id="rId5637" display="https://twitter.com/Cathy_Brennan" xr:uid="{2BE1721E-E8E5-4E13-B9B9-1C828646B413}"/>
    <hyperlink ref="E1871" r:id="rId5638" display="https://twitter.com/Cathy_Brennan/status/722893330573471745" xr:uid="{9F40290B-DC42-4DED-B394-EB4CE680C484}"/>
    <hyperlink ref="O1871" r:id="rId5639" display="https://pbs.twimg.com/profile_images/530100288472903680/89b39upH_normal.jpeg" xr:uid="{FF489B4D-8144-49BF-8716-FDEAC24BCB8E}"/>
    <hyperlink ref="B1872" r:id="rId5640" display="https://twitter.com/ARichter_" xr:uid="{799F8319-9090-4E12-A908-B53C07B907E1}"/>
    <hyperlink ref="E1872" r:id="rId5641" display="https://twitter.com/ARichter_/status/722894647102611456" xr:uid="{0F6735FF-DB43-4C42-ADCD-D603B72B897B}"/>
    <hyperlink ref="O1872" r:id="rId5642" display="https://pbs.twimg.com/profile_images/722893980682362880/3c3Rk9yE_normal.jpg" xr:uid="{54672C7D-1C38-4D8A-AD32-6176B10614C0}"/>
    <hyperlink ref="B1873" r:id="rId5643" display="https://twitter.com/prxpragma" xr:uid="{BA9DA0FC-6270-4085-AED1-F32491D9C5FA}"/>
    <hyperlink ref="E1873" r:id="rId5644" display="https://twitter.com/prxpragma/status/722895001772957696" xr:uid="{6C7E0CB9-1731-4394-A332-BF818421E43E}"/>
    <hyperlink ref="O1873" r:id="rId5645" display="https://pbs.twimg.com/profile_images/595629691249233920/PnZxF5UO_normal.jpg" xr:uid="{391687A8-37B2-495D-880E-4E116A0E7755}"/>
    <hyperlink ref="B1874" r:id="rId5646" display="https://twitter.com/DosOz42" xr:uid="{12C44E03-2D99-4E01-88E3-F14B1D25C616}"/>
    <hyperlink ref="E1874" r:id="rId5647" display="https://twitter.com/DosOz42/status/722895501721403392" xr:uid="{D5B61EBE-196E-45C9-B2F4-048ADD907672}"/>
    <hyperlink ref="O1874" r:id="rId5648" display="https://pbs.twimg.com/profile_images/550418294231273473/jfA3pOoK_normal.jpeg" xr:uid="{985D2218-D4DF-4853-B1B3-6B8F5D85B09C}"/>
    <hyperlink ref="B1875" r:id="rId5649" display="https://twitter.com/prxagentur" xr:uid="{3AB980AA-1B11-47B4-8C8C-C8C38CD6E188}"/>
    <hyperlink ref="E1875" r:id="rId5650" display="https://twitter.com/prxagentur/status/722899072282009600" xr:uid="{4483E1BD-0460-4010-B9CD-72EA96A1A126}"/>
    <hyperlink ref="O1875" r:id="rId5651" display="https://pbs.twimg.com/profile_images/594934750122536960/nG4kmfDF_normal.jpg" xr:uid="{4AEC76D9-5EFF-4799-A9FE-8F6C8AFE8269}"/>
    <hyperlink ref="B1876" r:id="rId5652" display="https://twitter.com/prxagentur" xr:uid="{E7D3E662-A408-46EC-A29E-BC7F0332EB80}"/>
    <hyperlink ref="E1876" r:id="rId5653" display="https://twitter.com/prxagentur/status/722899331196432384" xr:uid="{9B31EEFC-EF68-4540-B17D-1DCB75A97F02}"/>
    <hyperlink ref="O1876" r:id="rId5654" display="https://pbs.twimg.com/profile_images/594934750122536960/nG4kmfDF_normal.jpg" xr:uid="{AF3FAD5B-790D-43A9-8F5B-DFEADB63C4F4}"/>
    <hyperlink ref="B1877" r:id="rId5655" display="https://twitter.com/prxagentur" xr:uid="{56A640E7-625E-4E07-8DE5-EB737A4B1468}"/>
    <hyperlink ref="E1877" r:id="rId5656" display="https://twitter.com/prxagentur/status/722900394456645635" xr:uid="{D0EE786D-72FB-4CFF-B498-FBF970546F81}"/>
    <hyperlink ref="O1877" r:id="rId5657" display="https://pbs.twimg.com/profile_images/594934750122536960/nG4kmfDF_normal.jpg" xr:uid="{31BE6A79-D5D7-4057-A6BC-D73565FB938F}"/>
    <hyperlink ref="B1878" r:id="rId5658" display="https://twitter.com/Stormchild3" xr:uid="{DAC2D536-638F-4E7D-9DAF-F4D44636DE8A}"/>
    <hyperlink ref="E1878" r:id="rId5659" display="https://twitter.com/Stormchild3/status/722903309015654400" xr:uid="{618CDBE4-1607-433D-87C0-D401B8783D88}"/>
    <hyperlink ref="O1878" r:id="rId5660" display="https://pbs.twimg.com/profile_images/429025632186429440/cK_cYt3I_normal.jpeg" xr:uid="{1FA6EFD5-2610-44DC-847D-E6861265EA28}"/>
    <hyperlink ref="B1879" r:id="rId5661" display="https://twitter.com/RolandBent" xr:uid="{BC4DC480-E0CD-40BF-85C3-DB39087D3E25}"/>
    <hyperlink ref="E1879" r:id="rId5662" display="https://twitter.com/RolandBent/status/722903527140397056" xr:uid="{5CE9D70B-52A8-4EBD-80ED-04C576532EF3}"/>
    <hyperlink ref="O1879" r:id="rId5663" display="https://pbs.twimg.com/profile_images/451994816889360385/SYPpc3iI_normal.jpeg" xr:uid="{EA280735-3040-4304-A28F-861C215BD791}"/>
    <hyperlink ref="B1880" r:id="rId5664" display="https://twitter.com/RolandBent" xr:uid="{BB9304E0-1CF9-407B-A068-EF346FDD1EC0}"/>
    <hyperlink ref="E1880" r:id="rId5665" display="https://twitter.com/RolandBent/status/722903793424183297" xr:uid="{708F3F31-4792-495F-8F86-CDDBEB500A64}"/>
    <hyperlink ref="O1880" r:id="rId5666" display="https://pbs.twimg.com/profile_images/451994816889360385/SYPpc3iI_normal.jpeg" xr:uid="{1EA8D16C-950F-4C7A-9596-1B76D640C552}"/>
    <hyperlink ref="B1881" r:id="rId5667" display="https://twitter.com/watumudeveku" xr:uid="{DD27B01F-1596-47FE-9F6E-7C70F9AEB163}"/>
    <hyperlink ref="E1881" r:id="rId5668" display="https://twitter.com/watumudeveku/status/722909720898461697" xr:uid="{EE906BB3-7928-4B1F-8DDE-64719F8EEF8C}"/>
    <hyperlink ref="O1881" r:id="rId5669" display="https://pbs.twimg.com/profile_images/545472777956782081/TcFbbwNP_normal.jpeg" xr:uid="{9CB003DC-2011-412E-A9B7-73AEE2AAF095}"/>
    <hyperlink ref="B1882" r:id="rId5670" display="https://twitter.com/INDIZbot" xr:uid="{FF62803E-56E2-49D4-8DBD-94D027BBDE68}"/>
    <hyperlink ref="E1882" r:id="rId5671" display="https://twitter.com/INDIZbot/status/722910503547179008" xr:uid="{9FBB1CC4-2C9A-433D-9E80-413D1A942070}"/>
    <hyperlink ref="O1882" r:id="rId5672" display="https://pbs.twimg.com/profile_images/645716711723925506/t5G0qOS6_normal.jpg" xr:uid="{E290455A-7731-43E8-8F27-352BBBD47C49}"/>
    <hyperlink ref="B1883" r:id="rId5673" display="https://twitter.com/INDIZbot" xr:uid="{E1527DEF-4AFB-43CB-9F57-9823FD2D8CA4}"/>
    <hyperlink ref="E1883" r:id="rId5674" display="https://twitter.com/INDIZbot/status/722910729414664192" xr:uid="{CCF6AE8D-98B2-40B1-96F2-288754D16C0C}"/>
    <hyperlink ref="O1883" r:id="rId5675" display="https://pbs.twimg.com/profile_images/645716711723925506/t5G0qOS6_normal.jpg" xr:uid="{1A8CEDB4-0D2B-4DF1-854E-E916AD5EB5FD}"/>
    <hyperlink ref="B1884" r:id="rId5676" display="https://twitter.com/CSGermany" xr:uid="{5000877F-0FF9-4EFC-903B-F1F112D8BF4A}"/>
    <hyperlink ref="E1884" r:id="rId5677" display="https://twitter.com/CSGermany/status/722921664846151680" xr:uid="{1A654E94-6C50-46A4-94B1-745361DCCC45}"/>
    <hyperlink ref="O1884" r:id="rId5678" display="https://pbs.twimg.com/profile_images/518189608098869249/udoveSaH_normal.jpeg" xr:uid="{C93BA9E7-4628-4F94-B38B-0764D740937B}"/>
    <hyperlink ref="B1885" r:id="rId5679" display="https://twitter.com/mhaller1979" xr:uid="{36834872-445F-40C7-8BC4-11556AABE8B0}"/>
    <hyperlink ref="E1885" r:id="rId5680" display="https://twitter.com/mhaller1979/status/722927599953969153" xr:uid="{5771D9FD-97F8-457E-97B2-75E38EDC4082}"/>
    <hyperlink ref="O1885" r:id="rId5681" display="https://pbs.twimg.com/profile_images/538796736/mike-sunglasses_normal.jpg" xr:uid="{D2ADED39-8F5A-42AA-B815-9846DDDD89D9}"/>
    <hyperlink ref="B1886" r:id="rId5682" display="https://twitter.com/INDIZbot" xr:uid="{EA139C3E-FBF3-4B93-8AC6-9E9BC5EDC967}"/>
    <hyperlink ref="E1886" r:id="rId5683" display="https://twitter.com/INDIZbot/status/722928118890110977" xr:uid="{420E9CA3-3348-450E-A699-6B2AD9F0EA94}"/>
    <hyperlink ref="O1886" r:id="rId5684" display="https://pbs.twimg.com/profile_images/645716711723925506/t5G0qOS6_normal.jpg" xr:uid="{A679615D-8FFC-4E06-9B40-B4D0BADB0F51}"/>
    <hyperlink ref="B1887" r:id="rId5685" display="https://twitter.com/ExportArizona" xr:uid="{0983151D-673C-48DB-8EE1-25B8650F6B10}"/>
    <hyperlink ref="E1887" r:id="rId5686" display="https://twitter.com/ExportArizona/status/722932995703705600" xr:uid="{9281EAB8-F0D8-46E4-A1F6-A49D05596F36}"/>
    <hyperlink ref="O1887" r:id="rId5687" display="https://pbs.twimg.com/profile_images/1245871742/AZDEC_normal.jpg" xr:uid="{EC493C0C-5EBB-41F6-94D8-E6BFE435B5E2}"/>
    <hyperlink ref="B1888" r:id="rId5688" display="https://twitter.com/H_IT_D" xr:uid="{799C8A99-A5BB-447C-BB8D-027DEA17445E}"/>
    <hyperlink ref="E1888" r:id="rId5689" display="https://twitter.com/H_IT_D/status/722938963174887424" xr:uid="{BEDB27CC-64B5-4B58-BAFD-7FBCC27B3646}"/>
    <hyperlink ref="O1888" r:id="rId5690" display="https://pbs.twimg.com/profile_images/662723326096224256/5V4KH9_O_normal.jpg" xr:uid="{9C3B4FD2-0A06-4196-A078-25B4BFC47B6C}"/>
    <hyperlink ref="B1889" r:id="rId5691" display="https://twitter.com/nicfm_usa" xr:uid="{06125F49-A512-4BF3-8E50-0A4923E2964D}"/>
    <hyperlink ref="E1889" r:id="rId5692" display="https://twitter.com/nicfm_usa/status/722940233088647168" xr:uid="{2CF56026-59EF-41BD-A57D-BF96DE858F6F}"/>
    <hyperlink ref="O1889" r:id="rId5693" display="https://pbs.twimg.com/profile_images/662969927985405952/Ufa-12SJ_normal.jpg" xr:uid="{3B9467C0-2F13-437E-A59D-862AE91832F7}"/>
    <hyperlink ref="B1890" r:id="rId5694" display="https://twitter.com/INDIZbot" xr:uid="{9A8E2CCF-9661-4B94-898D-8433B2174713}"/>
    <hyperlink ref="E1890" r:id="rId5695" display="https://twitter.com/INDIZbot/status/722940801966350336" xr:uid="{E60E90F7-DF23-4C1B-88C3-99A774893780}"/>
    <hyperlink ref="O1890" r:id="rId5696" display="https://pbs.twimg.com/profile_images/645716711723925506/t5G0qOS6_normal.jpg" xr:uid="{923E891B-367B-4E8C-81AC-C579F4606F58}"/>
    <hyperlink ref="B1891" r:id="rId5697" display="https://twitter.com/MelanieVogel_" xr:uid="{3FAEC6B5-1489-4318-8B36-C141A1F66CA1}"/>
    <hyperlink ref="E1891" r:id="rId5698" display="https://twitter.com/MelanieVogel_/status/722945525495001090" xr:uid="{9059578C-82F6-44C9-A98C-61DC34746356}"/>
    <hyperlink ref="O1891" r:id="rId5699" display="https://pbs.twimg.com/profile_images/696007904596463617/Y_yX9fUv_normal.jpg" xr:uid="{F1BBED75-4014-4C12-90B5-4331E1C625C1}"/>
    <hyperlink ref="B1892" r:id="rId5700" display="https://twitter.com/INDIZbot" xr:uid="{5D0C057B-82C8-4ED7-9338-7DD698975DCB}"/>
    <hyperlink ref="E1892" r:id="rId5701" display="https://twitter.com/INDIZbot/status/722945735797391360" xr:uid="{B2B8BA57-6827-4466-93CD-7A15CCC9CE0C}"/>
    <hyperlink ref="O1892" r:id="rId5702" display="https://pbs.twimg.com/profile_images/645716711723925506/t5G0qOS6_normal.jpg" xr:uid="{E0444259-8669-4A02-839A-360B685DA187}"/>
    <hyperlink ref="B1893" r:id="rId5703" display="https://twitter.com/H_IT_D" xr:uid="{B2F48E00-9FD8-4C55-B88E-AFD93F8E3DFC}"/>
    <hyperlink ref="E1893" r:id="rId5704" display="https://twitter.com/H_IT_D/status/722953664881512448" xr:uid="{DF6316E9-1B02-40F2-BBA3-D25D2709D142}"/>
    <hyperlink ref="O1893" r:id="rId5705" display="https://pbs.twimg.com/profile_images/662723326096224256/5V4KH9_O_normal.jpg" xr:uid="{0EAB4554-512E-45E1-A445-2D21B3FC00E7}"/>
    <hyperlink ref="B1894" r:id="rId5706" display="https://twitter.com/mhaller1979" xr:uid="{3864F67F-441B-4C28-8115-BA7DE95E1B8C}"/>
    <hyperlink ref="E1894" r:id="rId5707" display="https://twitter.com/mhaller1979/status/722955778185797633" xr:uid="{963117FB-32AB-4F8A-866F-40FE57E67182}"/>
    <hyperlink ref="O1894" r:id="rId5708" display="https://pbs.twimg.com/profile_images/538796736/mike-sunglasses_normal.jpg" xr:uid="{861A37EE-4158-4847-9B6E-9B6C9502DEEC}"/>
    <hyperlink ref="B1895" r:id="rId5709" display="https://twitter.com/INDIZbot" xr:uid="{7A2C083E-55B7-4ACC-82B7-D98AB60ADB79}"/>
    <hyperlink ref="E1895" r:id="rId5710" display="https://twitter.com/INDIZbot/status/722955806426144768" xr:uid="{AFAEDD21-874D-4B01-913B-8E6D257CAAE7}"/>
    <hyperlink ref="O1895" r:id="rId5711" display="https://pbs.twimg.com/profile_images/645716711723925506/t5G0qOS6_normal.jpg" xr:uid="{353A9EE8-578F-496F-8A22-E9F73494B133}"/>
    <hyperlink ref="B1896" r:id="rId5712" display="https://twitter.com/PierreKusz" xr:uid="{3863C7AC-50D3-492D-AD5D-603D0CD5D448}"/>
    <hyperlink ref="E1896" r:id="rId5713" display="https://twitter.com/PierreKusz/status/722966449132806144" xr:uid="{C257F84C-424D-4930-8BC7-7A3090EFB5FC}"/>
    <hyperlink ref="O1896" r:id="rId5714" display="https://pbs.twimg.com/profile_images/722962855323119616/Zc0SkLPv_normal.jpg" xr:uid="{E9B4F57C-3F91-4687-96F1-5B52EE7C6026}"/>
    <hyperlink ref="B1897" r:id="rId5715" display="https://twitter.com/intranettoday" xr:uid="{59D35755-FAB6-48C4-B76C-6C948812FF88}"/>
    <hyperlink ref="E1897" r:id="rId5716" display="https://twitter.com/intranettoday/status/722970395679305728" xr:uid="{333E7226-DEBB-49AE-80D2-1F16E5C7529E}"/>
    <hyperlink ref="O1897" r:id="rId5717" display="https://pbs.twimg.com/profile_images/615138499931570176/w-VYMBPx_normal.jpg" xr:uid="{30279771-ACF9-47F6-920F-E5252854F81B}"/>
    <hyperlink ref="B1898" r:id="rId5718" display="https://twitter.com/INDIZbot" xr:uid="{F04E2D72-D63C-4727-BD07-A4B262483677}"/>
    <hyperlink ref="E1898" r:id="rId5719" display="https://twitter.com/INDIZbot/status/722970907967426560" xr:uid="{45F60F6D-7098-4C3A-99F6-248B663AEC6F}"/>
    <hyperlink ref="O1898" r:id="rId5720" display="https://pbs.twimg.com/profile_images/645716711723925506/t5G0qOS6_normal.jpg" xr:uid="{C6644C99-308A-41C7-AA8C-C70298E998C7}"/>
    <hyperlink ref="B1899" r:id="rId5721" display="https://twitter.com/AgustiPandora" xr:uid="{065B720F-4C9C-4415-8F4A-EF6BFF0A3006}"/>
    <hyperlink ref="E1899" r:id="rId5722" display="https://twitter.com/AgustiPandora/status/723000175137030144" xr:uid="{BEB447F0-98CE-44A8-B0CD-5DCC218CAFA4}"/>
    <hyperlink ref="O1899" r:id="rId5723" display="https://pbs.twimg.com/profile_images/633279999945121792/PAxArY72_normal.jpg" xr:uid="{A9CE4B74-704D-4DB7-97ED-BDBF06B40DC4}"/>
    <hyperlink ref="B1900" r:id="rId5724" display="https://twitter.com/brill_stefan" xr:uid="{215E4785-C2CB-46F4-ABDE-71BC0E7615A6}"/>
    <hyperlink ref="E1900" r:id="rId5725" display="https://twitter.com/brill_stefan/status/723000551680692224" xr:uid="{828A0894-B1A2-4479-B0BC-BBEFDF4D51C9}"/>
    <hyperlink ref="O1900" r:id="rId5726" display="https://pbs.twimg.com/profile_images/598166829174005760/M39Pe098_normal.jpg" xr:uid="{9A2D68EB-6D30-4737-8A4C-B4CA99DFC291}"/>
    <hyperlink ref="B1901" r:id="rId5727" display="https://twitter.com/kommoptimierer" xr:uid="{90835602-4BA8-4954-AC99-7DBC1593221E}"/>
    <hyperlink ref="E1901" r:id="rId5728" display="https://twitter.com/kommoptimierer/status/723006900208472065" xr:uid="{393A8EEC-9008-46C1-AD7E-3DBE58EC81D8}"/>
    <hyperlink ref="O1901" r:id="rId5729" display="https://pbs.twimg.com/profile_images/541146126158536704/IYardufS_normal.jpeg" xr:uid="{8BA5CCEC-8D0D-44A3-8334-7BDC3EDB6E74}"/>
    <hyperlink ref="B1902" r:id="rId5730" display="https://twitter.com/kommoptimierer" xr:uid="{F7646E1F-0FD8-4CE1-9560-EA53C631621B}"/>
    <hyperlink ref="E1902" r:id="rId5731" display="https://twitter.com/kommoptimierer/status/723013503859060737" xr:uid="{48EEA37F-4840-4ED4-9968-EFBBBD73F179}"/>
    <hyperlink ref="O1902" r:id="rId5732" display="https://pbs.twimg.com/profile_images/541146126158536704/IYardufS_normal.jpeg" xr:uid="{72294C4D-8931-449A-95C9-09A62F8748C8}"/>
    <hyperlink ref="B1903" r:id="rId5733" display="https://twitter.com/INDIZbot" xr:uid="{990F26AB-3EDE-412C-B2C5-3F6DE2E0FC27}"/>
    <hyperlink ref="E1903" r:id="rId5734" display="https://twitter.com/INDIZbot/status/723013680015794176" xr:uid="{20B913C8-01E7-4BDC-9F09-EFBDE49708B1}"/>
    <hyperlink ref="O1903" r:id="rId5735" display="https://pbs.twimg.com/profile_images/645716711723925506/t5G0qOS6_normal.jpg" xr:uid="{A80E6147-FE2E-445E-8CF5-B0065AC01EA7}"/>
    <hyperlink ref="B1904" r:id="rId5736" display="https://twitter.com/WalesBuzz" xr:uid="{4C982AAF-78D5-4D3B-809C-F9BD63849EB4}"/>
    <hyperlink ref="E1904" r:id="rId5737" display="https://twitter.com/WalesBuzz/status/723013925428682752" xr:uid="{C1D589E9-4BBB-4902-ADED-CD075FD2A6F3}"/>
    <hyperlink ref="O1904" r:id="rId5738" display="https://pbs.twimg.com/profile_images/624966917669974016/Sl2SOVQ0_normal.jpg" xr:uid="{8B0B9476-A554-40FD-A337-B68730F0E010}"/>
    <hyperlink ref="B1905" r:id="rId5739" display="https://twitter.com/oxaion" xr:uid="{55521EE7-3449-4883-80A5-A907258CCD88}"/>
    <hyperlink ref="E1905" r:id="rId5740" display="https://twitter.com/oxaion/status/723017450745294850" xr:uid="{B5F30A25-B916-4641-B0BC-CD2882D94E80}"/>
    <hyperlink ref="O1905" r:id="rId5741" display="https://pbs.twimg.com/profile_images/654964085600165888/ptgcu9ub_normal.png" xr:uid="{5E65823D-33C0-4A14-92C2-FDB0E63237D8}"/>
    <hyperlink ref="B1906" r:id="rId5742" display="https://twitter.com/NicolaPeschke" xr:uid="{0EBB1934-34D7-47CB-9FAB-9867BE0C0E10}"/>
    <hyperlink ref="E1906" r:id="rId5743" display="https://twitter.com/NicolaPeschke/status/723020670586654722" xr:uid="{A487DAC1-EBC0-491F-BAC5-79698B0705DF}"/>
    <hyperlink ref="O1906" r:id="rId5744" display="https://pbs.twimg.com/profile_images/676695083283062784/riUxKLio_normal.jpg" xr:uid="{0B8A539C-34C3-4C88-B733-402BD74CEBD2}"/>
    <hyperlink ref="B1907" r:id="rId5745" display="https://twitter.com/m_brueser" xr:uid="{553F1F2B-DE76-486A-B9E6-BF6B76C8E343}"/>
    <hyperlink ref="E1907" r:id="rId5746" display="https://twitter.com/m_brueser/status/723023102775537664" xr:uid="{24D50661-DC8E-4824-98B0-D0BBBF0AC62B}"/>
    <hyperlink ref="O1907" r:id="rId5747" display="https://pbs.twimg.com/profile_images/654297739132579840/RSnR7-8J_normal.jpg" xr:uid="{FE6F319F-0077-4A7D-A618-3EB9B20CE471}"/>
    <hyperlink ref="B1908" r:id="rId5748" display="https://twitter.com/Schulrat" xr:uid="{24D16E02-68C4-4C9E-810B-9F352ACBAFE4}"/>
    <hyperlink ref="E1908" r:id="rId5749" display="https://twitter.com/Schulrat/status/723023948322095104" xr:uid="{C978A86A-87E6-408C-834D-971EC3EC23F8}"/>
    <hyperlink ref="O1908" r:id="rId5750" display="https://pbs.twimg.com/profile_images/718079596034449412/I-W1Ldpd_normal.jpg" xr:uid="{61A77A6A-84A1-4428-8EAE-3A71DEBB4C35}"/>
    <hyperlink ref="B1909" r:id="rId5751" display="https://twitter.com/LNI40" xr:uid="{580281C5-0F56-4236-9800-195B6EBE925F}"/>
    <hyperlink ref="E1909" r:id="rId5752" display="https://twitter.com/LNI40/status/723024168153964544" xr:uid="{63E953C9-716F-4E0F-8B84-2DCC5F6350EE}"/>
    <hyperlink ref="O1909" r:id="rId5753" display="https://pbs.twimg.com/profile_images/722098538604281856/CcBxk1_M_normal.jpg" xr:uid="{326027CA-B9CA-4B04-BB53-3A1DB4F0D5A4}"/>
    <hyperlink ref="B1910" r:id="rId5754" display="https://twitter.com/PW_InCub" xr:uid="{FB7FE6B6-D932-481A-84F8-4378134F21E3}"/>
    <hyperlink ref="E1910" r:id="rId5755" display="https://twitter.com/PW_InCub/status/723026029246308353" xr:uid="{CBDE1361-CC12-4B0C-A9FA-8BEF278EEB43}"/>
    <hyperlink ref="O1910" r:id="rId5756" display="https://pbs.twimg.com/profile_images/714369025355202560/vNKUaCLA_normal.jpg" xr:uid="{1B1BB833-54E6-45F3-BBD8-F70B394BA22C}"/>
    <hyperlink ref="B1911" r:id="rId5757" display="https://twitter.com/TLinn_Visionico" xr:uid="{9A29F0ED-B82E-4106-8189-B4F9CD192E8D}"/>
    <hyperlink ref="E1911" r:id="rId5758" display="https://twitter.com/TLinn_Visionico/status/723028487380946948" xr:uid="{C3F0C6F8-1B9F-4EF1-A490-B7A70B7F546E}"/>
    <hyperlink ref="O1911" r:id="rId5759" display="https://pbs.twimg.com/profile_images/692017435269054464/uFlgRwyV_normal.jpg" xr:uid="{5453AC09-EE3C-40E2-A01D-B5A085464175}"/>
    <hyperlink ref="B1912" r:id="rId5760" display="https://twitter.com/CapgeminiDE" xr:uid="{615C68AB-B0D5-45D4-AE25-93B7E033CC91}"/>
    <hyperlink ref="E1912" r:id="rId5761" display="https://twitter.com/CapgeminiDE/status/723028773986246656" xr:uid="{416FA324-59CF-4344-A207-88BCACEEBA7E}"/>
    <hyperlink ref="O1912" r:id="rId5762" display="https://pbs.twimg.com/profile_images/666911961599315968/aP7ID_qm_normal.png" xr:uid="{837051B1-9C4B-4294-86CC-7A439810899A}"/>
    <hyperlink ref="B1913" r:id="rId5763" display="https://twitter.com/UL_Commercial" xr:uid="{22F87469-BD15-4038-8DCD-19443B826EDC}"/>
    <hyperlink ref="E1913" r:id="rId5764" display="https://twitter.com/UL_Commercial/status/723030511514345472" xr:uid="{49AFFC10-58A8-484F-BE1F-1844A5D21D07}"/>
    <hyperlink ref="O1913" r:id="rId5765" display="https://pbs.twimg.com/profile_images/661569725550469124/-Uzw8rQt_normal.jpg" xr:uid="{9A7CE930-EDB6-427E-AEDB-BCA2C14CF506}"/>
    <hyperlink ref="B1914" r:id="rId5766" display="https://twitter.com/ULdialogue" xr:uid="{6D3F73E4-71DE-47EA-B766-2DC0F38BA154}"/>
    <hyperlink ref="E1914" r:id="rId5767" display="https://twitter.com/ULdialogue/status/723030513087213569" xr:uid="{011FC303-7960-42A7-8C29-4D62AAB30E46}"/>
    <hyperlink ref="O1914" r:id="rId5768" display="https://pbs.twimg.com/profile_images/458696399211606016/rUZELqAc_normal.jpeg" xr:uid="{5F2F4FC5-872C-4304-A5E5-FD736718924D}"/>
    <hyperlink ref="B1915" r:id="rId5769" display="https://twitter.com/AnnKatrin_K" xr:uid="{8E6ECD6E-8A8A-4810-8DFA-B15019247309}"/>
    <hyperlink ref="E1915" r:id="rId5770" display="https://twitter.com/AnnKatrin_K/status/723035153136640000" xr:uid="{925E03F9-DB0F-4469-BAF8-D16B51A867B5}"/>
    <hyperlink ref="O1915" r:id="rId5771" display="https://pbs.twimg.com/profile_images/620239829855563777/w-0wO7mb_normal.jpg" xr:uid="{68938634-D991-41F1-99EC-AAE1831E86EA}"/>
    <hyperlink ref="B1916" r:id="rId5772" display="https://twitter.com/GTAI_com" xr:uid="{D6F81D57-3F9E-4E75-B87D-AA55C1428F30}"/>
    <hyperlink ref="E1916" r:id="rId5773" display="https://twitter.com/GTAI_com/status/723036196625108992" xr:uid="{8B162645-FC33-4EE5-9414-B0CAAE1271DE}"/>
    <hyperlink ref="O1916" r:id="rId5774" display="https://pbs.twimg.com/profile_images/716977461079179268/JVN5NZO8_normal.jpg" xr:uid="{BE1F217A-A5C4-4974-9A6A-6DDE521B103D}"/>
    <hyperlink ref="B1917" r:id="rId5775" display="https://twitter.com/Aravind_blr" xr:uid="{DEC05C17-2B97-4ECE-A229-5B4A00FF814B}"/>
    <hyperlink ref="E1917" r:id="rId5776" display="https://twitter.com/Aravind_blr/status/723037334501892096" xr:uid="{6F1C7CB5-B6AF-4704-B31F-FCB587A50C9B}"/>
    <hyperlink ref="O1917" r:id="rId5777" display="https://pbs.twimg.com/profile_images/378800000073107689/42be2e11591e72a4201ea41030ecef16_normal.jpeg" xr:uid="{F428951B-045B-4675-B45E-D76391A35761}"/>
    <hyperlink ref="B1918" r:id="rId5778" display="https://twitter.com/BOLDLYGO_FFM" xr:uid="{F0A5412A-024A-4343-A6EC-7B4D7ADA4A66}"/>
    <hyperlink ref="E1918" r:id="rId5779" display="https://twitter.com/BOLDLYGO_FFM/status/723039314880397312" xr:uid="{B0225DEC-20CB-4763-B91B-366376BBFE82}"/>
    <hyperlink ref="O1918" r:id="rId5780" display="https://pbs.twimg.com/profile_images/636836616263311360/-akWmcev_normal.png" xr:uid="{8DDC1D3F-3529-4ADD-9F2E-D093199846C6}"/>
    <hyperlink ref="B1919" r:id="rId5781" display="https://twitter.com/SAPFrance" xr:uid="{DB0642B6-3B28-4C4E-A621-81FD9B7B1B8C}"/>
    <hyperlink ref="E1919" r:id="rId5782" display="https://twitter.com/SAPFrance/status/723040187786366976" xr:uid="{670A1C4A-F3CB-40AD-AA43-64466DD146CC}"/>
    <hyperlink ref="O1919" r:id="rId5783" display="https://pbs.twimg.com/profile_images/713021101106995200/w4EIzjMN_normal.jpg" xr:uid="{3DE15ECD-21E5-45F8-BE68-99FA46A90849}"/>
    <hyperlink ref="B1920" r:id="rId5784" display="https://twitter.com/VDI_News" xr:uid="{3DB67FBF-6288-4C8C-B61A-AEF4ECF87EC2}"/>
    <hyperlink ref="E1920" r:id="rId5785" display="https://twitter.com/VDI_News/status/723041087632334849" xr:uid="{014A1C92-2003-4414-A9E0-513D51E765EF}"/>
    <hyperlink ref="O1920" r:id="rId5786" display="https://pbs.twimg.com/profile_images/469070945483628546/iD8AeJP6_normal.png" xr:uid="{9B964035-1835-47A5-A58A-E2C33841BF14}"/>
    <hyperlink ref="B1921" r:id="rId5787" display="https://twitter.com/viermac" xr:uid="{91A8D951-8028-4E7C-9D3A-54AD6AA4DB6D}"/>
    <hyperlink ref="E1921" r:id="rId5788" display="https://twitter.com/viermac/status/723041929156419586" xr:uid="{8621F494-CB33-43D5-85BE-9DF9BC66FF43}"/>
    <hyperlink ref="O1921" r:id="rId5789" display="https://pbs.twimg.com/profile_images/445540366637223937/HX8VPgJH_normal.jpeg" xr:uid="{856A7E39-AF6B-4805-95E4-8BD8E0403384}"/>
    <hyperlink ref="B1922" r:id="rId5790" display="https://twitter.com/YCOLLOT" xr:uid="{5CE2A584-AA58-49DC-9A29-C29D1AF94D8E}"/>
    <hyperlink ref="E1922" r:id="rId5791" display="https://twitter.com/YCOLLOT/status/723042206752333824" xr:uid="{D08DB748-2EF7-4443-B52E-B2D1C9F8E799}"/>
    <hyperlink ref="O1922" r:id="rId5792" display="https://pbs.twimg.com/profile_images/698088548205989888/DZKE5qbX_normal.jpg" xr:uid="{D4C3207A-C1E3-488F-AAE6-9C4C71D9EAED}"/>
    <hyperlink ref="B1923" r:id="rId5793" display="https://twitter.com/Gesamtmetall" xr:uid="{F0F6099F-55A5-42BE-BD48-DBBCF13B87C3}"/>
    <hyperlink ref="E1923" r:id="rId5794" display="https://twitter.com/Gesamtmetall/status/723043221010550784" xr:uid="{907C1A8F-05A7-46D3-8A95-9552FD719D69}"/>
    <hyperlink ref="O1923" r:id="rId5795" display="https://pbs.twimg.com/profile_images/572721926804488192/AGAGHTgy_normal.jpeg" xr:uid="{2E73143E-D2F5-4961-8BF6-E9F59A244F82}"/>
    <hyperlink ref="B1924" r:id="rId5796" display="https://twitter.com/MEArbeitgeber" xr:uid="{8DC00C03-BCCC-4617-8F68-9F7CD4622B2B}"/>
    <hyperlink ref="E1924" r:id="rId5797" display="https://twitter.com/MEArbeitgeber/status/723043221249642496" xr:uid="{9C8D6AE8-9E49-49FB-AD3A-A8B8422C46C5}"/>
    <hyperlink ref="O1924" r:id="rId5798" display="https://pbs.twimg.com/profile_images/572722352144666624/2G6VnJJx_normal.jpeg" xr:uid="{CD359187-24AA-4393-B211-560656FBD99A}"/>
    <hyperlink ref="B1925" r:id="rId5799" display="https://twitter.com/INDIZbot" xr:uid="{8220DD01-AEBE-45CC-9D41-39DC326CB092}"/>
    <hyperlink ref="E1925" r:id="rId5800" display="https://twitter.com/INDIZbot/status/723044109800361984" xr:uid="{05265DB5-2BF7-45B8-9A1C-FC03961EF637}"/>
    <hyperlink ref="O1925" r:id="rId5801" display="https://pbs.twimg.com/profile_images/645716711723925506/t5G0qOS6_normal.jpg" xr:uid="{7EAB6DA1-92FE-4FC3-A60A-619F60EC218C}"/>
    <hyperlink ref="B1926" r:id="rId5802" display="https://twitter.com/INDIZbot" xr:uid="{65C815CB-AC09-4008-9986-38D093BD29E8}"/>
    <hyperlink ref="E1926" r:id="rId5803" display="https://twitter.com/INDIZbot/status/723044231837847552" xr:uid="{F393B6A6-1B8A-4D91-A2EE-94B035ABEA73}"/>
    <hyperlink ref="O1926" r:id="rId5804" display="https://pbs.twimg.com/profile_images/645716711723925506/t5G0qOS6_normal.jpg" xr:uid="{E5C452FF-1C44-49A4-AFF3-2A4F6FDE32D1}"/>
    <hyperlink ref="B1927" r:id="rId5805" display="https://twitter.com/m_biscarrat" xr:uid="{23066D2B-9667-4D95-B8E9-E72E10530607}"/>
    <hyperlink ref="E1927" r:id="rId5806" display="https://twitter.com/m_biscarrat/status/723044718091841536" xr:uid="{C51FCBF8-5C44-4238-9F68-16AF8C4F578B}"/>
    <hyperlink ref="F1927" r:id="rId5807" xr:uid="{4E39095D-8708-4CB5-8210-2F97AA98D330}"/>
    <hyperlink ref="O1927" r:id="rId5808" display="https://pbs.twimg.com/profile_images/699724829713428484/rUT0r7Dq_normal.jpg" xr:uid="{018C024F-0D06-4BD3-A022-0A388235A6AD}"/>
    <hyperlink ref="B1928" r:id="rId5809" display="https://twitter.com/Bitkom" xr:uid="{D5653592-0B37-4D97-832C-F5599A21A179}"/>
    <hyperlink ref="E1928" r:id="rId5810" display="https://twitter.com/Bitkom/status/723045108455612416" xr:uid="{1E018E19-45D2-4E15-ABE5-21578A5F9D1B}"/>
    <hyperlink ref="O1928" r:id="rId5811" display="https://pbs.twimg.com/profile_images/615797525040136192/CKF9-v_o_normal.jpg" xr:uid="{E2D327CF-9162-4304-8AC5-51B7A6CF5012}"/>
    <hyperlink ref="B1929" r:id="rId5812" display="https://twitter.com/AccenturePresse" xr:uid="{EDBE7373-0252-4AF4-9F8E-805A196205C0}"/>
    <hyperlink ref="E1929" r:id="rId5813" display="https://twitter.com/AccenturePresse/status/723046284626530304" xr:uid="{47B3ADBE-EFE0-457A-B582-4987903EAB96}"/>
    <hyperlink ref="O1929" r:id="rId5814" display="https://pbs.twimg.com/profile_images/470826247132438529/xf6oFNFR_normal.jpeg" xr:uid="{F9DB42F8-181C-4AB6-B925-CFB5BE669B02}"/>
    <hyperlink ref="B1930" r:id="rId5815" display="https://twitter.com/H_IT_D" xr:uid="{969A64F0-F655-4114-AA08-FC933D914A0B}"/>
    <hyperlink ref="E1930" r:id="rId5816" display="https://twitter.com/H_IT_D/status/723046736671821824" xr:uid="{E1D1BAF1-65E5-4A9C-AEFB-821963397C11}"/>
    <hyperlink ref="O1930" r:id="rId5817" display="https://pbs.twimg.com/profile_images/662723326096224256/5V4KH9_O_normal.jpg" xr:uid="{53EB3847-0519-4811-9622-0073B6FA3BF5}"/>
    <hyperlink ref="B1931" r:id="rId5818" display="https://twitter.com/DegosSandrine" xr:uid="{A5B11CCD-7083-47D6-9D6A-C47DEBFD365F}"/>
    <hyperlink ref="E1931" r:id="rId5819" display="https://twitter.com/DegosSandrine/status/723046897544470528" xr:uid="{E2FAFA6B-60DC-49BB-96B9-822F45C550CC}"/>
    <hyperlink ref="O1931" r:id="rId5820" display="https://pbs.twimg.com/profile_images/3339096919/cc86be1409630f4274c8e25c831e58f6_normal.jpeg" xr:uid="{F7672D35-8ACF-4CD7-9FAD-84ADDAC3968F}"/>
    <hyperlink ref="B1932" r:id="rId5821" display="https://twitter.com/HilgerVoss" xr:uid="{E2E72DB4-94D3-4A4E-B58D-5CD562665677}"/>
    <hyperlink ref="E1932" r:id="rId5822" display="https://twitter.com/HilgerVoss/status/723047590762147840" xr:uid="{6113DCC8-C3A7-416B-8B67-E2C6E33EC2B9}"/>
    <hyperlink ref="O1932" r:id="rId5823" display="https://pbs.twimg.com/profile_images/647052308170297344/Q29AIuZ__normal.jpg" xr:uid="{2CA7372A-4551-4C7F-B365-05649BBC8FD8}"/>
    <hyperlink ref="B1933" r:id="rId5824" display="https://twitter.com/foresight_lab" xr:uid="{B226A95C-5CBA-4954-B522-9F3A1C6EABF6}"/>
    <hyperlink ref="E1933" r:id="rId5825" display="https://twitter.com/foresight_lab/status/723047818269597696" xr:uid="{421901E6-660E-400D-B6BE-0C5D4959DEDA}"/>
    <hyperlink ref="O1933" r:id="rId5826" display="https://pbs.twimg.com/profile_images/665798535779065856/sbUN3m6Q_normal.jpg" xr:uid="{7A3EB4D7-815A-4E2F-AE96-E19DF95FF1F3}"/>
    <hyperlink ref="B1934" r:id="rId5827" display="https://twitter.com/VDMAonline" xr:uid="{23B69436-046C-40C8-8DF4-F1DDF5BCDD3C}"/>
    <hyperlink ref="E1934" r:id="rId5828" display="https://twitter.com/VDMAonline/status/723048490838962176" xr:uid="{C2227C8A-7C88-48C6-8ED7-CED69560F10E}"/>
    <hyperlink ref="O1934" r:id="rId5829" display="https://pbs.twimg.com/profile_images/609375510158774272/P5glOk4b_normal.jpg" xr:uid="{F89295F3-1DBE-4113-A2B1-66818DE1BCA1}"/>
    <hyperlink ref="B1935" r:id="rId5830" display="https://twitter.com/ChrStebler" xr:uid="{76EDFF7C-2B49-4952-A12C-6C6BDC2ADC33}"/>
    <hyperlink ref="E1935" r:id="rId5831" display="https://twitter.com/ChrStebler/status/723048844422983681" xr:uid="{3AC3E15F-BDC4-4ECD-AB67-0A5F06538390}"/>
    <hyperlink ref="O1935" r:id="rId5832" display="https://pbs.twimg.com/profile_images/591103646370287616/y7wAOMwj_normal.jpg" xr:uid="{4290AB56-9513-4A09-BE54-88C32BA2B39B}"/>
    <hyperlink ref="B1936" r:id="rId5833" display="https://twitter.com/m_biscarrat" xr:uid="{22612C60-7FD9-4384-BE76-B7677D9695CF}"/>
    <hyperlink ref="E1936" r:id="rId5834" display="https://twitter.com/m_biscarrat/status/723051404798099456" xr:uid="{F592FE16-2799-4679-B210-39E6B0870014}"/>
    <hyperlink ref="F1936" r:id="rId5835" xr:uid="{9BC6426D-F76C-42C9-B4B5-55CC8DC84343}"/>
    <hyperlink ref="O1936" r:id="rId5836" display="https://pbs.twimg.com/profile_images/699724829713428484/rUT0r7Dq_normal.jpg" xr:uid="{BA066BDE-D4A0-4192-98A9-8A4E202B647A}"/>
    <hyperlink ref="B1937" r:id="rId5837" display="https://twitter.com/fh_stpoelten" xr:uid="{E07920F9-1635-4AF7-9CCA-974919AAB1E9}"/>
    <hyperlink ref="E1937" r:id="rId5838" display="https://twitter.com/fh_stpoelten/status/723051455985246208" xr:uid="{63FF32B8-7E44-4FD3-BB3D-1106650A0F8F}"/>
    <hyperlink ref="O1937" r:id="rId5839" display="https://pbs.twimg.com/profile_images/211406395/FH_logobox_4c_normal.jpg" xr:uid="{9C88C109-ABA4-4AE8-BEE1-A95FE04CC10E}"/>
    <hyperlink ref="B1938" r:id="rId5840" display="https://twitter.com/handling" xr:uid="{F199DF0A-04BD-4865-BF13-948B595ACDDA}"/>
    <hyperlink ref="E1938" r:id="rId5841" display="https://twitter.com/handling/status/723051526726377472" xr:uid="{7E4FC72C-AD93-4F95-BEE2-D34D7EFD3A5A}"/>
    <hyperlink ref="O1938" r:id="rId5842" display="https://pbs.twimg.com/profile_images/648776467464212480/zcXaLLGc_normal.png" xr:uid="{CD283512-285F-4C96-B316-CF0FD0A8038E}"/>
    <hyperlink ref="B1939" r:id="rId5843" display="https://twitter.com/TRUMPF_News" xr:uid="{E9211FC6-1DA0-4982-830F-048E91EB628C}"/>
    <hyperlink ref="E1939" r:id="rId5844" display="https://twitter.com/TRUMPF_News/status/723052545275469824" xr:uid="{4FAEFBE3-F303-479D-81FD-6C9682B4ACF3}"/>
    <hyperlink ref="O1939" r:id="rId5845" display="https://pbs.twimg.com/profile_images/378800000636761416/0c916a417072b2289236209bec90b201_normal.jpeg" xr:uid="{5DD9B88F-FC8B-4AFA-8AF4-E9A38350BFCB}"/>
    <hyperlink ref="B1940" r:id="rId5846" display="https://twitter.com/bigdata_insider" xr:uid="{BC0DB10C-DC75-4D60-B912-08E6D3B57BDE}"/>
    <hyperlink ref="E1940" r:id="rId5847" display="https://twitter.com/bigdata_insider/status/723053521851961344" xr:uid="{62544777-E655-4074-8C4E-8071C0F825AA}"/>
    <hyperlink ref="O1940" r:id="rId5848" display="https://pbs.twimg.com/profile_images/494807363572875265/EUm9CELG_normal.jpeg" xr:uid="{D04E2294-4520-4DFD-8CE1-DE40A96C0700}"/>
    <hyperlink ref="B1941" r:id="rId5849" display="https://twitter.com/Apandia" xr:uid="{CAA0EC69-B399-484E-ADB7-3C5F9A55FA23}"/>
    <hyperlink ref="E1941" r:id="rId5850" display="https://twitter.com/Apandia/status/723053682086944769" xr:uid="{9DE950DC-9A9D-4371-B83C-6DBC36EA11F2}"/>
    <hyperlink ref="O1941" r:id="rId5851" display="https://pbs.twimg.com/profile_images/685327213/Apandia_normal.gif" xr:uid="{2AA036CC-5AFF-4145-BF6F-D5A5F08C2C21}"/>
    <hyperlink ref="B1942" r:id="rId5852" display="https://twitter.com/INDIZbot" xr:uid="{C545A7B2-5070-4E14-8646-2E78D29C1441}"/>
    <hyperlink ref="E1942" r:id="rId5853" display="https://twitter.com/INDIZbot/status/723054018327646208" xr:uid="{1B821AE7-FE2C-4290-BBBF-AE102977DD0C}"/>
    <hyperlink ref="O1942" r:id="rId5854" display="https://pbs.twimg.com/profile_images/645716711723925506/t5G0qOS6_normal.jpg" xr:uid="{0542A554-97EC-4A65-9A38-CA6BC2C915B0}"/>
    <hyperlink ref="B1943" r:id="rId5855" display="https://twitter.com/reanvent" xr:uid="{39537CD7-80CC-414D-9227-D9F1AED721BB}"/>
    <hyperlink ref="E1943" r:id="rId5856" display="https://twitter.com/reanvent/status/723054998939140096" xr:uid="{0C36ABA7-17D3-4A41-9B72-9DAE727158CA}"/>
    <hyperlink ref="O1943" r:id="rId5857" display="https://pbs.twimg.com/profile_images/698748740811821056/qse_j83N_normal.jpg" xr:uid="{76205A82-044A-4164-86D6-1B9C6663C571}"/>
    <hyperlink ref="B1944" r:id="rId5858" display="https://twitter.com/FM_Elektro" xr:uid="{AAD8CCD0-D3B8-47DB-8EFF-EC17B764A58F}"/>
    <hyperlink ref="E1944" r:id="rId5859" display="https://twitter.com/FM_Elektro/status/723055410308112384" xr:uid="{A6549615-2087-4EE2-A00E-5F6FD3AEE70D}"/>
    <hyperlink ref="O1944" r:id="rId5860" display="https://pbs.twimg.com/profile_images/699912588302426112/2kZQzAuA_normal.jpg" xr:uid="{CC9B71A6-0D48-4961-A810-FE5CB6ECA4F2}"/>
    <hyperlink ref="B1945" r:id="rId5861" display="https://twitter.com/topometric" xr:uid="{64451DFE-22C5-408E-A8EE-28DA31F70A6D}"/>
    <hyperlink ref="E1945" r:id="rId5862" display="https://twitter.com/topometric/status/723055487667695621" xr:uid="{00956254-51F0-41A9-A15B-1904219A4AC6}"/>
    <hyperlink ref="O1945" r:id="rId5863" display="https://pbs.twimg.com/profile_images/2852333596/b758613f0f0e093a5895033c8ef9e6d1_normal.png" xr:uid="{279CF302-3B4D-48EE-8734-30A52A26F1BC}"/>
    <hyperlink ref="B1946" r:id="rId5864" display="https://twitter.com/itsOWL_Cluster" xr:uid="{3BC5F3BA-D1FA-4BD7-A81F-EBA6A8CA34C1}"/>
    <hyperlink ref="E1946" r:id="rId5865" display="https://twitter.com/itsOWL_Cluster/status/723055981697982464" xr:uid="{FEFED7BC-2CA6-4719-89A4-9BCDEFF52462}"/>
    <hyperlink ref="O1946" r:id="rId5866" display="https://pbs.twimg.com/profile_images/3542998130/5e65449daa56d18e9aab7f6535dc25fc_normal.jpeg" xr:uid="{213D7881-A2C6-46CA-BD75-FBE39AC1D5D2}"/>
    <hyperlink ref="B1947" r:id="rId5867" display="https://twitter.com/itsOWL_Cluster" xr:uid="{2B275CB1-2D58-4791-9D9D-F17A8FFBF7B2}"/>
    <hyperlink ref="E1947" r:id="rId5868" display="https://twitter.com/itsOWL_Cluster/status/723056768725590016" xr:uid="{72976C75-ADFD-4781-AB70-7F4573296A39}"/>
    <hyperlink ref="O1947" r:id="rId5869" display="https://pbs.twimg.com/profile_images/3542998130/5e65449daa56d18e9aab7f6535dc25fc_normal.jpeg" xr:uid="{9337B83C-8A3E-4255-960F-C7686DDCA773}"/>
    <hyperlink ref="B1948" r:id="rId5870" display="https://twitter.com/itelligence_de" xr:uid="{C87E055A-07FC-4C23-87C2-FBC65BEC7846}"/>
    <hyperlink ref="E1948" r:id="rId5871" display="https://twitter.com/itelligence_de/status/723056817014628352" xr:uid="{2F7D10D3-596C-4367-A3D5-E2E7977F47D8}"/>
    <hyperlink ref="O1948" r:id="rId5872" display="https://pbs.twimg.com/profile_images/712650491361157121/__DqibYq_normal.jpg" xr:uid="{6D110FD9-08F2-478A-A4AE-BA3BBE8F56FF}"/>
    <hyperlink ref="B1949" r:id="rId5873" display="https://twitter.com/bamitav" xr:uid="{88BCBC00-C3F4-47BB-9FA9-2EC480373157}"/>
    <hyperlink ref="E1949" r:id="rId5874" display="https://twitter.com/bamitav/status/723057261652791296" xr:uid="{235991D7-AD10-4EC2-8E1F-002DDCFF82D6}"/>
    <hyperlink ref="O1949" r:id="rId5875" display="https://pbs.twimg.com/profile_images/672794348442877952/m6Is-Nrc_normal.jpg" xr:uid="{74BB19C4-89E5-4AC9-A97A-35465D08A83E}"/>
    <hyperlink ref="B1950" r:id="rId5876" display="https://twitter.com/aengelhorn" xr:uid="{B0D61492-C9F0-4BD7-AFDF-2A99E6F16064}"/>
    <hyperlink ref="E1950" r:id="rId5877" display="https://twitter.com/aengelhorn/status/723057355961692161" xr:uid="{85341E0A-E400-4DC1-96F8-DE60D269A722}"/>
    <hyperlink ref="O1950" r:id="rId5878" display="https://pbs.twimg.com/profile_images/104506457/100_0328_normal.JPG" xr:uid="{2934A387-D7A7-42B5-BC4E-2C8E9210A0D3}"/>
    <hyperlink ref="B1951" r:id="rId5879" display="https://twitter.com/DerKonstrukteu" xr:uid="{6C8F09CC-6853-43BE-A935-ADFC33E34113}"/>
    <hyperlink ref="E1951" r:id="rId5880" display="https://twitter.com/DerKonstrukteu/status/723058107039911936" xr:uid="{4EE29405-1F76-40F9-B5AD-4FA6F0259968}"/>
    <hyperlink ref="O1951" r:id="rId5881" display="https://pbs.twimg.com/profile_images/448785978165968896/SQOcI8cJ_normal.png" xr:uid="{C6E9C80B-CE63-4EC2-A34A-6F6BB6E9AB3E}"/>
    <hyperlink ref="B1952" r:id="rId5882" display="https://twitter.com/kvdnews" xr:uid="{0493B930-F3F0-41A1-BC9C-25EDA84EFF62}"/>
    <hyperlink ref="E1952" r:id="rId5883" display="https://twitter.com/kvdnews/status/723058109946556416" xr:uid="{93B9BE08-B910-4DAE-BE28-7E968916AF02}"/>
    <hyperlink ref="O1952" r:id="rId5884" display="https://pbs.twimg.com/profile_images/378800000821000829/bd0a7e59cc638909a219a082e3383993_normal.png" xr:uid="{BBD1C100-55E0-402D-947C-591D45F9FAC3}"/>
    <hyperlink ref="B1953" r:id="rId5885" display="https://twitter.com/kion_group" xr:uid="{FD495744-8728-4181-A518-4D26545EC40F}"/>
    <hyperlink ref="E1953" r:id="rId5886" display="https://twitter.com/kion_group/status/723058916175798272" xr:uid="{561D36C9-B199-47EF-A447-405A645B062B}"/>
    <hyperlink ref="O1953" r:id="rId5887" display="https://pbs.twimg.com/profile_images/502066779590385665/YElxw-eg_normal.jpeg" xr:uid="{D612F29B-EF07-47B6-86D5-3B63039AAC8F}"/>
    <hyperlink ref="B1954" r:id="rId5888" display="https://twitter.com/markherten" xr:uid="{F8B0416C-9EE9-486A-BA51-DAD888D3CC21}"/>
    <hyperlink ref="E1954" r:id="rId5889" display="https://twitter.com/markherten/status/723058974140993537" xr:uid="{5102FD6D-2D1C-4225-A1DF-E89AC118AFBF}"/>
    <hyperlink ref="O1954" r:id="rId5890" display="https://pbs.twimg.com/profile_images/718175389890310145/GX8DLe_h_normal.jpg" xr:uid="{C92FA346-8A10-4CC6-83E0-995E56E85DF4}"/>
    <hyperlink ref="B1955" r:id="rId5891" display="https://twitter.com/ITK_OWL" xr:uid="{4484FE65-E586-47DE-BC4A-CF1A50A3936B}"/>
    <hyperlink ref="E1955" r:id="rId5892" display="https://twitter.com/ITK_OWL/status/723059833621102592" xr:uid="{4775DB61-4F1D-4A08-9EC0-A00640588A45}"/>
    <hyperlink ref="O1955" r:id="rId5893" display="https://pbs.twimg.com/profile_images/601673968551075840/MnulnKkj_normal.png" xr:uid="{62103ABE-741C-4AD1-A449-29B845CDCA8D}"/>
    <hyperlink ref="B1956" r:id="rId5894" display="https://twitter.com/ITK_OWL" xr:uid="{93A8D6EA-98BC-4482-BA3A-4FE3CDA72E9F}"/>
    <hyperlink ref="E1956" r:id="rId5895" display="https://twitter.com/ITK_OWL/status/723059835781189632" xr:uid="{3B1A9CD4-AC99-401F-B3F8-9947B456BDF2}"/>
    <hyperlink ref="O1956" r:id="rId5896" display="https://pbs.twimg.com/profile_images/601673968551075840/MnulnKkj_normal.png" xr:uid="{E3805F40-E860-4D03-8EC3-19169FCBE93A}"/>
    <hyperlink ref="B1957" r:id="rId5897" display="https://twitter.com/Bitkom" xr:uid="{CC8691D5-61E8-440D-BA5A-F81A8F614DE8}"/>
    <hyperlink ref="E1957" r:id="rId5898" display="https://twitter.com/Bitkom/status/723060513177899008" xr:uid="{B18DA01F-6F88-43E3-BD5A-2BE6CBBC5C90}"/>
    <hyperlink ref="O1957" r:id="rId5899" display="https://pbs.twimg.com/profile_images/615797525040136192/CKF9-v_o_normal.jpg" xr:uid="{1DC63B9A-3F7E-45B9-B43E-C79FC5D65870}"/>
    <hyperlink ref="B1958" r:id="rId5900" display="https://twitter.com/mkoeppen" xr:uid="{E83C9942-D753-42C4-8EF6-A56C47616600}"/>
    <hyperlink ref="E1958" r:id="rId5901" display="https://twitter.com/mkoeppen/status/723060743424380928" xr:uid="{F95899AE-4B9A-4397-9A31-0DDE26519882}"/>
    <hyperlink ref="O1958" r:id="rId5902" display="https://pbs.twimg.com/profile_images/655007155955875841/PtDd93ap_normal.png" xr:uid="{FA8D7767-5A9C-4005-82EF-BBDE8BE17615}"/>
    <hyperlink ref="B1959" r:id="rId5903" display="https://twitter.com/foresight_lab" xr:uid="{3BFC7539-17EB-416C-B8D6-EA31BB03DF7A}"/>
    <hyperlink ref="E1959" r:id="rId5904" display="https://twitter.com/foresight_lab/status/723060745756237825" xr:uid="{186C46D0-84C7-429C-AB58-05FCB8EAF524}"/>
    <hyperlink ref="O1959" r:id="rId5905" display="https://pbs.twimg.com/profile_images/665798535779065856/sbUN3m6Q_normal.jpg" xr:uid="{6C4F08BD-4E3C-435B-B3BE-AE7B429B7455}"/>
    <hyperlink ref="B1960" r:id="rId5906" display="https://twitter.com/BakerMcGER" xr:uid="{359F8CF2-3580-4883-B091-4D2F64BB5194}"/>
    <hyperlink ref="E1960" r:id="rId5907" display="https://twitter.com/BakerMcGER/status/723060846658613248" xr:uid="{10F33C2C-5C8F-4970-BB57-AA34C9C828EC}"/>
    <hyperlink ref="O1960" r:id="rId5908" display="https://pbs.twimg.com/profile_images/707877685721231360/0WBLwHQ-_normal.jpg" xr:uid="{C0875C72-E3C6-4244-A3AD-0E2096CF83F9}"/>
    <hyperlink ref="B1961" r:id="rId5909" display="https://twitter.com/bizadilly" xr:uid="{AE22635C-0DD6-4CED-BBE2-5392597806A4}"/>
    <hyperlink ref="E1961" r:id="rId5910" display="https://twitter.com/bizadilly/status/723060859296047104" xr:uid="{F1782EE2-C6B8-47AE-8A7B-6F70D3C62FDE}"/>
    <hyperlink ref="O1961" r:id="rId5911" display="https://pbs.twimg.com/profile_images/711938400417419264/wOo1VTyR_normal.jpg" xr:uid="{789E3461-6A17-46DC-A65F-F8571ECF93CE}"/>
    <hyperlink ref="B1962" r:id="rId5912" display="https://twitter.com/RolandDuerre" xr:uid="{760391B2-37CA-47CF-BDBD-1D5A3ED8B5B8}"/>
    <hyperlink ref="E1962" r:id="rId5913" display="https://twitter.com/RolandDuerre/status/723060941726732288" xr:uid="{985DF34D-04F7-4AE7-902A-ECD3053B702C}"/>
    <hyperlink ref="O1962" r:id="rId5914" display="https://pbs.twimg.com/profile_images/3083763260/1ea674655cb6144191e83d3ee23b16b6_normal.jpeg" xr:uid="{48A23C8A-AEFA-421A-8A90-7A9BB2E54760}"/>
    <hyperlink ref="B1963" r:id="rId5915" display="https://twitter.com/SICK_Karriere" xr:uid="{F5B53D5B-ADFF-486F-B0D1-E40E10AABE6B}"/>
    <hyperlink ref="E1963" r:id="rId5916" display="https://twitter.com/SICK_Karriere/status/723061248426913793" xr:uid="{0427A164-9944-453F-AF08-A886216AB0A0}"/>
    <hyperlink ref="O1963" r:id="rId5917" display="https://pbs.twimg.com/profile_images/616135945973317632/te85BV7p_normal.jpg" xr:uid="{72387155-3771-49C4-A1DD-7A87425D1C37}"/>
    <hyperlink ref="B1964" r:id="rId5918" display="https://twitter.com/INDIZbot" xr:uid="{20FE43EF-068E-428D-A688-67329707812D}"/>
    <hyperlink ref="E1964" r:id="rId5919" display="https://twitter.com/INDIZbot/status/723061615537606657" xr:uid="{7DBBFA36-83D6-4D22-8B60-5C100849794F}"/>
    <hyperlink ref="O1964" r:id="rId5920" display="https://pbs.twimg.com/profile_images/645716711723925506/t5G0qOS6_normal.jpg" xr:uid="{C329D458-A1C1-4240-9120-11EA6D16402F}"/>
    <hyperlink ref="B1965" r:id="rId5921" display="https://twitter.com/INDIZbot" xr:uid="{C6C64772-9488-4615-8A22-281FDCACFCD6}"/>
    <hyperlink ref="E1965" r:id="rId5922" display="https://twitter.com/INDIZbot/status/723061721259237376" xr:uid="{893CB146-9356-42FA-8CF2-6BED298B9D0C}"/>
    <hyperlink ref="O1965" r:id="rId5923" display="https://pbs.twimg.com/profile_images/645716711723925506/t5G0qOS6_normal.jpg" xr:uid="{A20ADE14-358C-42EB-A910-B7A57E5349B7}"/>
    <hyperlink ref="B1966" r:id="rId5924" display="https://twitter.com/GermanIOD" xr:uid="{28C0A559-0B1E-4F78-991B-C5A14EDD83DA}"/>
    <hyperlink ref="E1966" r:id="rId5925" display="https://twitter.com/GermanIOD/status/723061940734414848" xr:uid="{CC14E7B0-E2AF-4B66-963E-0921644FE34A}"/>
    <hyperlink ref="O1966" r:id="rId5926" display="https://pbs.twimg.com/profile_images/637652033793851392/sK5pDpLB_normal.png" xr:uid="{6CB4C46D-2F7F-4474-933A-26543F546CF1}"/>
    <hyperlink ref="B1967" r:id="rId5927" display="https://twitter.com/H_IT_D" xr:uid="{6132E75F-1BEF-49C3-8CC2-ECB0F2ECA939}"/>
    <hyperlink ref="E1967" r:id="rId5928" display="https://twitter.com/H_IT_D/status/723062174227132417" xr:uid="{82263C01-7D4F-4486-BC18-B1AB6FC50D0E}"/>
    <hyperlink ref="O1967" r:id="rId5929" display="https://pbs.twimg.com/profile_images/662723326096224256/5V4KH9_O_normal.jpg" xr:uid="{FBDE4EDA-4116-4EB4-A079-018E3DFB88A5}"/>
    <hyperlink ref="B1968" r:id="rId5930" display="https://twitter.com/ManaleOss" xr:uid="{28CAD693-A49D-47D7-B457-C125A7B5F3E4}"/>
    <hyperlink ref="E1968" r:id="rId5931" display="https://twitter.com/ManaleOss/status/723062302568681472" xr:uid="{F0681E36-22F0-4DF8-BB82-B3C99480C30C}"/>
    <hyperlink ref="O1968" r:id="rId5932" display="https://pbs.twimg.com/profile_images/719878563600691201/rtZLKfp__normal.jpg" xr:uid="{FDB7103E-4305-40B6-9CCA-02F18BFEE4B5}"/>
    <hyperlink ref="B1969" r:id="rId5933" display="https://twitter.com/markherten" xr:uid="{F9D79786-6E5F-4025-8BA2-3FA26D62485D}"/>
    <hyperlink ref="E1969" r:id="rId5934" display="https://twitter.com/markherten/status/723062368968826880" xr:uid="{D22DCA3E-ECA4-4C73-881B-55766366DE89}"/>
    <hyperlink ref="O1969" r:id="rId5935" display="https://pbs.twimg.com/profile_images/718175389890310145/GX8DLe_h_normal.jpg" xr:uid="{F018FE1E-C063-4BA2-A2A2-27954F088420}"/>
    <hyperlink ref="B1970" r:id="rId5936" display="https://twitter.com/BStBKaktuell" xr:uid="{2D02A44A-C21B-4076-80B4-6FE6F90DEF77}"/>
    <hyperlink ref="E1970" r:id="rId5937" display="https://twitter.com/BStBKaktuell/status/723063657383383040" xr:uid="{DB35A395-C1FD-4A32-A11B-F2EF528FCD68}"/>
    <hyperlink ref="O1970" r:id="rId5938" display="https://pbs.twimg.com/profile_images/654600500386603008/CLtAW2Jp_normal.jpg" xr:uid="{520E1302-85B3-4896-BF63-7B4024E98440}"/>
    <hyperlink ref="B1971" r:id="rId5939" display="https://twitter.com/itmeetsindustry" xr:uid="{C95F0244-7A47-42A2-BE21-6969B8BA4AB0}"/>
    <hyperlink ref="E1971" r:id="rId5940" display="https://twitter.com/itmeetsindustry/status/723064110443683840" xr:uid="{967F7E77-2865-4D30-BCEC-4480A7BE7B74}"/>
    <hyperlink ref="O1971" r:id="rId5941" display="https://pbs.twimg.com/profile_images/703227748383330304/U06-eqpr_normal.jpg" xr:uid="{F337338C-D6AD-4668-9B4D-6B1DDB1C4348}"/>
    <hyperlink ref="B1972" r:id="rId5942" display="https://twitter.com/JoergNbr" xr:uid="{06C192F6-9E32-4454-92A3-1B6E067DE3CB}"/>
    <hyperlink ref="E1972" r:id="rId5943" display="https://twitter.com/JoergNbr/status/723064154614059008" xr:uid="{E3C93564-7D6D-4E30-8792-D74C11B59217}"/>
    <hyperlink ref="O1972" r:id="rId5944" display="https://pbs.twimg.com/profile_images/644766811079213056/zcG4l1nW_normal.jpg" xr:uid="{103F6F51-F1B6-452A-9F50-C342E62C4ED1}"/>
    <hyperlink ref="B1973" r:id="rId5945" display="https://twitter.com/HTxAlive" xr:uid="{A25616FA-AA22-4D3C-A345-3DC8A1E57F7B}"/>
    <hyperlink ref="E1973" r:id="rId5946" display="https://twitter.com/HTxAlive/status/723065014672863232" xr:uid="{A68AA44E-7AF9-4C9B-BBAF-096783E2DE5B}"/>
    <hyperlink ref="O1973" r:id="rId5947" display="https://pbs.twimg.com/profile_images/705302839937990656/1KfW5-Ht_normal.jpg" xr:uid="{780EE1A6-5657-4C9B-9233-06DBD0ECD22F}"/>
    <hyperlink ref="B1974" r:id="rId5948" display="https://twitter.com/BoschPresse" xr:uid="{44B53119-CD07-4CCB-8FF8-F0FAE379F4FD}"/>
    <hyperlink ref="E1974" r:id="rId5949" display="https://twitter.com/BoschPresse/status/723065027306115072" xr:uid="{A1FA8C8D-5A71-457D-9B18-CD5DBA1C6901}"/>
    <hyperlink ref="O1974" r:id="rId5950" display="https://pbs.twimg.com/profile_images/2619086509/ld3z97zhhdbs2essw7s9_normal.jpeg" xr:uid="{E831E0C4-B05C-436D-BC9B-EE0035DD374C}"/>
    <hyperlink ref="B1975" r:id="rId5951" display="https://twitter.com/Bitkom_I40" xr:uid="{4B07A4F9-029A-4E4D-B7D8-C0AA95B84064}"/>
    <hyperlink ref="E1975" r:id="rId5952" display="https://twitter.com/Bitkom_I40/status/723065115201953792" xr:uid="{A3D5F6F3-F1B4-47FE-BA50-8A0580A98A8E}"/>
    <hyperlink ref="O1975" r:id="rId5953" display="https://pbs.twimg.com/profile_images/723407487395713024/0hZv7R8S_normal.jpg" xr:uid="{DC2A8E21-265D-43E2-959C-D79E60DC59A3}"/>
    <hyperlink ref="B1976" r:id="rId5954" display="https://twitter.com/AHK_Oesterreich" xr:uid="{23E8B354-F087-4ACB-95B2-DC9705743E78}"/>
    <hyperlink ref="E1976" r:id="rId5955" display="https://twitter.com/AHK_Oesterreich/status/723065182583296001" xr:uid="{22D96FC6-213C-4CDC-A7F9-1F929473782D}"/>
    <hyperlink ref="O1976" r:id="rId5956" display="https://pbs.twimg.com/profile_images/714710040301666304/f92qxjPD_normal.jpg" xr:uid="{A547D930-EAFA-473A-AF4F-725F8A6B0033}"/>
    <hyperlink ref="B1977" r:id="rId5957" display="https://twitter.com/Bitkom_I40" xr:uid="{03EAA15A-A515-4699-8A77-E5E47C9E4967}"/>
    <hyperlink ref="E1977" r:id="rId5958" display="https://twitter.com/Bitkom_I40/status/723065321964339200" xr:uid="{7324DFFF-31D1-4E96-AA05-A2567B6ED2CA}"/>
    <hyperlink ref="O1977" r:id="rId5959" display="https://pbs.twimg.com/profile_images/723407487395713024/0hZv7R8S_normal.jpg" xr:uid="{9A8DD799-5C9B-429A-BF60-F75792571B3A}"/>
    <hyperlink ref="B1978" r:id="rId5960" display="https://twitter.com/croXXing_IBD" xr:uid="{9FE20D91-5B46-4A21-B1EB-9F9F66EB17E2}"/>
    <hyperlink ref="E1978" r:id="rId5961" display="https://twitter.com/croXXing_IBD/status/723065718024097792" xr:uid="{B0A4B500-8168-4F51-BDC4-867EBE341E2B}"/>
    <hyperlink ref="O1978" r:id="rId5962" display="https://pbs.twimg.com/profile_images/600279861282869249/IpIJ3MKX_normal.png" xr:uid="{DDF9BE03-8508-456B-84CD-92B4F90C7031}"/>
    <hyperlink ref="B1979" r:id="rId5963" display="https://twitter.com/EugenieNicoud" xr:uid="{AFA2536A-9CCF-48FA-8A1E-AF8EF56F0C1C}"/>
    <hyperlink ref="E1979" r:id="rId5964" display="https://twitter.com/EugenieNicoud/status/723065833165987840" xr:uid="{42CF7E88-5AF5-44FD-933D-22A008662464}"/>
    <hyperlink ref="O1979" r:id="rId5965" display="https://pbs.twimg.com/profile_images/687181037000994816/jJUieqYp_normal.jpg" xr:uid="{6387381C-F91E-45E0-ABF0-4B8CA5B0BFFA}"/>
    <hyperlink ref="B1980" r:id="rId5966" display="https://twitter.com/MargotReb" xr:uid="{5437D7DA-8950-4698-B072-1D75F0D99A03}"/>
    <hyperlink ref="E1980" r:id="rId5967" display="https://twitter.com/MargotReb/status/723065867055992833" xr:uid="{143D79CF-309F-444B-A9CE-522E9A418206}"/>
    <hyperlink ref="O1980" r:id="rId5968" display="https://pbs.twimg.com/profile_images/720617927934943232/xmh2VSTG_normal.jpg" xr:uid="{E3143562-2B3D-4330-9EC3-FA6CEBFF979C}"/>
    <hyperlink ref="B1981" r:id="rId5969" display="https://twitter.com/FM_Elektro" xr:uid="{302FAF72-B67A-4BCB-9FAA-0EB12EAD9336}"/>
    <hyperlink ref="E1981" r:id="rId5970" display="https://twitter.com/FM_Elektro/status/723065981342502913" xr:uid="{C4B93426-2964-42CA-8534-5C1E542470BA}"/>
    <hyperlink ref="O1981" r:id="rId5971" display="https://pbs.twimg.com/profile_images/699912588302426112/2kZQzAuA_normal.jpg" xr:uid="{0D94C9A5-F080-442F-A582-2A83197EA0E5}"/>
    <hyperlink ref="B1982" r:id="rId5972" display="https://twitter.com/EugenieNicoud" xr:uid="{6A4261BD-62D7-477B-B2FD-C56BB1AB1DB9}"/>
    <hyperlink ref="E1982" r:id="rId5973" display="https://twitter.com/EugenieNicoud/status/723066059163463680" xr:uid="{9365C278-BF08-4824-9FD5-9446B86B0F05}"/>
    <hyperlink ref="O1982" r:id="rId5974" display="https://pbs.twimg.com/profile_images/687181037000994816/jJUieqYp_normal.jpg" xr:uid="{6FF4FBBF-398C-432D-88C3-D96955BC8A46}"/>
    <hyperlink ref="B1983" r:id="rId5975" display="https://twitter.com/einkauf_mgmt" xr:uid="{15174A06-C443-4472-A561-4448C55F5470}"/>
    <hyperlink ref="E1983" r:id="rId5976" display="https://twitter.com/einkauf_mgmt/status/723066282728255489" xr:uid="{463B17B5-0107-4EEF-96C5-43C97F1A0F79}"/>
    <hyperlink ref="O1983" r:id="rId5977" display="https://pbs.twimg.com/profile_images/463608454624448512/0DV5XX08_normal.jpeg" xr:uid="{CBA16F3B-CC13-4B30-833B-6C4EB75574B2}"/>
    <hyperlink ref="B1984" r:id="rId5978" display="https://twitter.com/BitkomResearch" xr:uid="{3BA8BB4C-A46C-4226-BC51-749CE6FCAFC5}"/>
    <hyperlink ref="E1984" r:id="rId5979" display="https://twitter.com/BitkomResearch/status/723066590623752193" xr:uid="{C81A97A8-4646-4704-876B-0860403FC09B}"/>
    <hyperlink ref="O1984" r:id="rId5980" display="https://pbs.twimg.com/profile_images/631021673857290240/dsNYkRwd_normal.jpg" xr:uid="{A87D9582-483D-4775-8918-825EA3986901}"/>
    <hyperlink ref="B1985" r:id="rId5981" display="https://twitter.com/einkauf_mgmt" xr:uid="{05F8E478-E4F7-4FFA-B770-45F361C42C19}"/>
    <hyperlink ref="E1985" r:id="rId5982" display="https://twitter.com/einkauf_mgmt/status/723067350652579840" xr:uid="{24EA5FDE-995D-4C29-8F40-1DE4F6EBEC4C}"/>
    <hyperlink ref="O1985" r:id="rId5983" display="https://pbs.twimg.com/profile_images/463608454624448512/0DV5XX08_normal.jpeg" xr:uid="{7428D9DC-C591-4F33-88CA-D0838950F101}"/>
    <hyperlink ref="B1986" r:id="rId5984" display="https://twitter.com/it_rebellen" xr:uid="{DF1881B5-7C41-4FDB-8816-31D574F2E81D}"/>
    <hyperlink ref="E1986" r:id="rId5985" display="https://twitter.com/it_rebellen/status/723067408269889536" xr:uid="{C4B19E39-CD35-412F-A738-33BE6F03EDFC}"/>
    <hyperlink ref="O1986" r:id="rId5986" display="https://pbs.twimg.com/profile_images/3625979673/acb661eae563d818836eb138c74e91f7_normal.jpeg" xr:uid="{3745C2DA-D93A-4E57-91AB-9807C6DEF19A}"/>
    <hyperlink ref="B1987" r:id="rId5987" display="https://twitter.com/christophwitte" xr:uid="{3002C5DF-FF92-4E72-9D7A-843C6711EC70}"/>
    <hyperlink ref="E1987" r:id="rId5988" display="https://twitter.com/christophwitte/status/723067408307617792" xr:uid="{02682616-2EFD-48B2-9B4F-00A844DBB55F}"/>
    <hyperlink ref="O1987" r:id="rId5989" display="https://pbs.twimg.com/profile_images/618449316055748612/F_9LrZDf_normal.jpg" xr:uid="{AF4DA399-22C9-4DB4-9F49-86BE99D060F9}"/>
    <hyperlink ref="B1988" r:id="rId5990" display="https://twitter.com/TUI_InfoTec" xr:uid="{364C07F9-110E-4C36-A346-6774670355E7}"/>
    <hyperlink ref="E1988" r:id="rId5991" display="https://twitter.com/TUI_InfoTec/status/723067560007217152" xr:uid="{819AE546-C1A1-4FDF-B3C6-E2B21BFA8F01}"/>
    <hyperlink ref="O1988" r:id="rId5992" display="https://pbs.twimg.com/profile_images/565062387749773313/MqpJDTDP_normal.png" xr:uid="{D87AB0B4-EA41-4B0D-AE1E-31534D618B89}"/>
    <hyperlink ref="B1989" r:id="rId5993" display="https://twitter.com/QuickFindsIn" xr:uid="{3A26B9EE-5724-418D-B38C-96AA58C1CD9A}"/>
    <hyperlink ref="E1989" r:id="rId5994" display="https://twitter.com/QuickFindsIn/status/723067755981762561" xr:uid="{44E60399-4A82-45BD-8CB6-93A17A1857C2}"/>
    <hyperlink ref="O1989" r:id="rId5995" display="https://pbs.twimg.com/profile_images/591951396217327616/HbcCX2zX_normal.png" xr:uid="{4903DE05-26F3-406D-A0B1-2C0B8BB6786B}"/>
    <hyperlink ref="B1990" r:id="rId5996" display="https://twitter.com/ITK_OWL" xr:uid="{A9676683-05F9-4423-8DE9-37E2F5B2939F}"/>
    <hyperlink ref="E1990" r:id="rId5997" display="https://twitter.com/ITK_OWL/status/723068109054201856" xr:uid="{A13AB0D4-8E41-49B6-9B15-B3C4AD1A2BC2}"/>
    <hyperlink ref="O1990" r:id="rId5998" display="https://pbs.twimg.com/profile_images/601673968551075840/MnulnKkj_normal.png" xr:uid="{3EF2B9CC-4077-4468-92A9-B6AA782D475C}"/>
    <hyperlink ref="B1991" r:id="rId5999" display="https://twitter.com/Apandia" xr:uid="{C1AE24A9-300D-4E3A-AF7E-25559F58B3F0}"/>
    <hyperlink ref="E1991" r:id="rId6000" display="https://twitter.com/Apandia/status/723068773800906753" xr:uid="{09E408EC-4B2F-4820-B9E8-B7858C0429C4}"/>
    <hyperlink ref="O1991" r:id="rId6001" display="https://pbs.twimg.com/profile_images/685327213/Apandia_normal.gif" xr:uid="{ECC4C037-6B7A-48B6-8CA6-EFC221BC7C6F}"/>
    <hyperlink ref="B1992" r:id="rId6002" display="https://twitter.com/kklive" xr:uid="{4D05B3B0-4010-4E3E-845A-4CE13368F1F4}"/>
    <hyperlink ref="E1992" r:id="rId6003" display="https://twitter.com/kklive/status/723070021069582336" xr:uid="{641D572E-89D6-4755-BE78-F7AAE1C33394}"/>
    <hyperlink ref="O1992" r:id="rId6004" display="https://pbs.twimg.com/profile_images/639031651515920384/qwABQBI8_normal.jpg" xr:uid="{A51D11BB-E49D-46B4-9E06-9DED5AD1DDB2}"/>
    <hyperlink ref="B1993" r:id="rId6005" display="https://twitter.com/SGE" xr:uid="{C8DEA0BB-DD6A-4F14-A4E3-BCCD114EE074}"/>
    <hyperlink ref="E1993" r:id="rId6006" display="https://twitter.com/SGE/status/723070869552025600" xr:uid="{767AFEAA-FC20-457B-9649-3107B03AAB43}"/>
    <hyperlink ref="O1993" r:id="rId6007" display="https://pbs.twimg.com/profile_images/471312276767535104/TIanhngf_normal.jpeg" xr:uid="{DB50076A-C22F-4E62-AE81-AA48CDD41F30}"/>
    <hyperlink ref="B1994" r:id="rId6008" display="https://twitter.com/edmundkomar" xr:uid="{4D259FD3-D737-423E-940D-07568758BE31}"/>
    <hyperlink ref="E1994" r:id="rId6009" display="https://twitter.com/edmundkomar/status/723070959503200256" xr:uid="{99F0F4E9-02BA-4D83-B2D4-0143212D375E}"/>
    <hyperlink ref="O1994" r:id="rId6010" display="https://pbs.twimg.com/profile_images/2389009916/image_normal.jpg" xr:uid="{9A935235-9E81-4BA7-8F7D-774938CB22F9}"/>
    <hyperlink ref="B1995" r:id="rId6011" display="https://twitter.com/SY_HCL" xr:uid="{8910E257-D64F-4522-B69C-953A305AED8D}"/>
    <hyperlink ref="E1995" r:id="rId6012" display="https://twitter.com/SY_HCL/status/723071700707991552" xr:uid="{F02468C8-D41E-496D-9A40-CF8D7D53E4AB}"/>
    <hyperlink ref="O1995" r:id="rId6013" display="https://pbs.twimg.com/profile_images/509470222244249600/93cDgKgI_normal.jpeg" xr:uid="{E5A7F8C1-D375-4101-9362-0865704CD3B3}"/>
    <hyperlink ref="B1996" r:id="rId6014" display="https://twitter.com/ZVEIorg" xr:uid="{2484AE7F-E863-4EB9-A86A-7B6EF257495A}"/>
    <hyperlink ref="E1996" r:id="rId6015" display="https://twitter.com/ZVEIorg/status/723071812498644992" xr:uid="{B889D37C-F343-4A70-88D5-96DB7B4FE38F}"/>
    <hyperlink ref="O1996" r:id="rId6016" display="https://pbs.twimg.com/profile_images/479147477975588864/z94n3mRF_normal.jpeg" xr:uid="{37C2F57F-DA38-4543-8123-0C9B2136B497}"/>
    <hyperlink ref="B1997" r:id="rId6017" display="https://twitter.com/ZuliefermarktDE" xr:uid="{A77D135F-0D47-4BFB-9103-483A92FDEF93}"/>
    <hyperlink ref="E1997" r:id="rId6018" display="https://twitter.com/ZuliefermarktDE/status/723071926122479616" xr:uid="{4CBBA3A6-F3B0-4C51-BD5D-A6CD78D15E2F}"/>
    <hyperlink ref="O1997" r:id="rId6019" display="https://pbs.twimg.com/profile_images/621343128902107136/CU4aO3wi_normal.jpg" xr:uid="{9682FF9E-7774-40C9-B900-AC7A937F9AB9}"/>
    <hyperlink ref="B1998" r:id="rId6020" display="https://twitter.com/NicolasChulot" xr:uid="{724D5A56-A724-4486-849A-D4A61883099F}"/>
    <hyperlink ref="E1998" r:id="rId6021" display="https://twitter.com/NicolasChulot/status/723072017054867456" xr:uid="{C9A74803-49E4-4F52-AD72-E02AAF377B5B}"/>
    <hyperlink ref="O1998" r:id="rId6022" display="https://pbs.twimg.com/profile_images/712259533599580160/jLEP38YT_normal.jpg" xr:uid="{DA460B4F-B1AB-4590-A57C-A8538FFE3B92}"/>
    <hyperlink ref="B1999" r:id="rId6023" display="https://twitter.com/Balluff_Service" xr:uid="{91DF3164-8876-46C5-ADE9-F02E0F8E665A}"/>
    <hyperlink ref="E1999" r:id="rId6024" display="https://twitter.com/Balluff_Service/status/723072455422529536" xr:uid="{F424575F-EFB0-40F6-87AB-CC30D8CE1E8B}"/>
    <hyperlink ref="O1999" r:id="rId6025" display="https://pbs.twimg.com/profile_images/576038384629469184/KCHV0Anq_normal.png" xr:uid="{477D4C66-DF6B-4748-8BA3-F551D33C88C1}"/>
    <hyperlink ref="B2000" r:id="rId6026" display="https://twitter.com/Balluff_Service" xr:uid="{770CD587-6EB6-4015-B1C6-055D273AB957}"/>
    <hyperlink ref="E2000" r:id="rId6027" display="https://twitter.com/Balluff_Service/status/723072518202904577" xr:uid="{18F09562-0826-4822-A103-672223D90C04}"/>
    <hyperlink ref="O2000" r:id="rId6028" display="https://pbs.twimg.com/profile_images/576038384629469184/KCHV0Anq_normal.png" xr:uid="{552EEA49-C787-4680-AC1B-DB0584036E8A}"/>
    <hyperlink ref="B2001" r:id="rId6029" display="https://twitter.com/DigitalTrans_HS" xr:uid="{2A95D66A-E2DA-456F-871E-D13083618ADC}"/>
    <hyperlink ref="E2001" r:id="rId6030" display="https://twitter.com/DigitalTrans_HS/status/723072565586042880" xr:uid="{7713AFF1-25EF-4D6D-B15A-2F93978E3D51}"/>
    <hyperlink ref="O2001" r:id="rId6031" display="https://pbs.twimg.com/profile_images/685894100067991553/nISPLP0O_normal.jpg" xr:uid="{04C17D17-0ECA-4B29-BFD5-639904D3FC21}"/>
    <hyperlink ref="B2002" r:id="rId6032" display="https://twitter.com/HolgerSchmidt" xr:uid="{EEE76C0B-9D22-4E8A-95AA-FC539C5E0940}"/>
    <hyperlink ref="E2002" r:id="rId6033" display="https://twitter.com/HolgerSchmidt/status/723072565879672833" xr:uid="{3051ACF8-D752-4E40-B035-E1325A27FAD5}"/>
    <hyperlink ref="O2002" r:id="rId6034" display="https://pbs.twimg.com/profile_images/643020582188130304/nh8hXpkM_normal.jpg" xr:uid="{83945213-16C4-4B8B-8B01-402127694CF6}"/>
    <hyperlink ref="B2003" r:id="rId6035" display="https://twitter.com/EKlingenburg" xr:uid="{5A4B6DB0-3C75-4D35-B36A-EB4F7E12FA82}"/>
    <hyperlink ref="E2003" r:id="rId6036" display="https://twitter.com/EKlingenburg/status/723072618316873728" xr:uid="{438554DC-0F4F-4D2B-83A5-5AA2F34FC261}"/>
    <hyperlink ref="O2003" r:id="rId6037" display="https://pbs.twimg.com/profile_images/668918617162055680/1_xGD9Jm_normal.jpg" xr:uid="{2B114B42-5F78-4DE6-9FB5-F5B1B1575D30}"/>
    <hyperlink ref="B2004" r:id="rId6038" display="https://twitter.com/ATS_news" xr:uid="{3B7A36B1-125D-4C5F-85D8-86572F25ABCA}"/>
    <hyperlink ref="E2004" r:id="rId6039" display="https://twitter.com/ATS_news/status/723072672461152256" xr:uid="{DC65B708-F02A-43E4-9EDB-8D41E6365B24}"/>
    <hyperlink ref="O2004" r:id="rId6040" display="https://pbs.twimg.com/profile_images/699901160942149632/lf7nX7j1_normal.jpg" xr:uid="{029B1B46-6BAC-4D5B-AAFF-23253461279D}"/>
    <hyperlink ref="B2005" r:id="rId6041" display="https://twitter.com/itandbusinessDE" xr:uid="{51F2A147-ED0B-4A25-BE5B-19384E44207F}"/>
    <hyperlink ref="E2005" r:id="rId6042" display="https://twitter.com/itandbusinessDE/status/723072913008656384" xr:uid="{EB3A21ED-EAC8-476E-95A2-5A4D03F3F855}"/>
    <hyperlink ref="O2005" r:id="rId6043" display="https://pbs.twimg.com/profile_images/563252945509036033/3wwTevl0_normal.jpeg" xr:uid="{2C654869-24AF-4B75-A4E4-417A6A8C3444}"/>
    <hyperlink ref="B2006" r:id="rId6044" display="https://twitter.com/ZuliefermarktDE" xr:uid="{C032AAFA-FE3E-407E-8632-7578E0DF1234}"/>
    <hyperlink ref="E2006" r:id="rId6045" display="https://twitter.com/ZuliefermarktDE/status/723072948635078656" xr:uid="{FAA00E7A-C176-4621-87D9-AA9F363EDF6F}"/>
    <hyperlink ref="O2006" r:id="rId6046" display="https://pbs.twimg.com/profile_images/621343128902107136/CU4aO3wi_normal.jpg" xr:uid="{25AE5BB9-CFF2-4109-B86B-5EF3779B9133}"/>
    <hyperlink ref="B2007" r:id="rId6047" display="https://twitter.com/tobias_goers" xr:uid="{91F3B4B0-8485-4599-BFF4-AC944327C041}"/>
    <hyperlink ref="E2007" r:id="rId6048" display="https://twitter.com/tobias_goers/status/723073168924008448" xr:uid="{EF5101FC-8021-4798-A3F0-B6AFDB8838E3}"/>
    <hyperlink ref="O2007" r:id="rId6049" display="https://pbs.twimg.com/profile_images/619429467434434560/ywWYiH5V_normal.jpg" xr:uid="{145BCD66-315E-4021-BF89-313DE554A1CC}"/>
    <hyperlink ref="B2008" r:id="rId6050" display="https://twitter.com/BMAS_Bund" xr:uid="{1355A823-D2CD-4B76-BBC8-01F2C309702D}"/>
    <hyperlink ref="E2008" r:id="rId6051" display="https://twitter.com/BMAS_Bund/status/723073217242476544" xr:uid="{DE92D0B6-BCE4-461D-9B5D-D26383A2009A}"/>
    <hyperlink ref="O2008" r:id="rId6052" display="https://pbs.twimg.com/profile_images/458890407313559552/jLyIiacO_normal.png" xr:uid="{75472C9C-80CF-4D14-88AE-DC8FD83EFA87}"/>
    <hyperlink ref="B2009" r:id="rId6053" display="https://twitter.com/VhUHessen" xr:uid="{FE21C7D1-9863-41A1-B7C2-CD4E274634C4}"/>
    <hyperlink ref="E2009" r:id="rId6054" display="https://twitter.com/VhUHessen/status/723073283554455552" xr:uid="{733941E8-113E-4410-8190-07183E2E9446}"/>
    <hyperlink ref="O2009" r:id="rId6055" display="https://pbs.twimg.com/profile_images/514736619115384832/edvgJxyt_normal.png" xr:uid="{59070970-9B6E-46F2-9204-D976C4741E9D}"/>
    <hyperlink ref="B2010" r:id="rId6056" display="https://twitter.com/LWalendy" xr:uid="{A8D0DFA2-37A0-455A-90FE-E166AC39AC99}"/>
    <hyperlink ref="E2010" r:id="rId6057" display="https://twitter.com/LWalendy/status/723073569589063680" xr:uid="{96206E2D-4878-448D-9E05-D706BC2495BD}"/>
    <hyperlink ref="O2010" r:id="rId6058" display="https://pbs.twimg.com/profile_images/606758558391246848/OeI4jq0j_normal.jpg" xr:uid="{7D80547C-BE6A-47AC-B713-690AA49460DE}"/>
    <hyperlink ref="B2011" r:id="rId6059" display="https://twitter.com/EFFRA_Live" xr:uid="{1F73E99A-44FF-4161-B7E2-FCF60956B7BD}"/>
    <hyperlink ref="E2011" r:id="rId6060" display="https://twitter.com/EFFRA_Live/status/723073710144380928" xr:uid="{EFFA07BC-BA88-4D8C-B04C-D1D0B064A7CA}"/>
    <hyperlink ref="O2011" r:id="rId6061" display="https://pbs.twimg.com/profile_images/1666247023/Logo1_normal.jpg" xr:uid="{916A1ED7-8603-46DE-9551-4C710166E36F}"/>
    <hyperlink ref="B2012" r:id="rId6062" display="https://twitter.com/verlinked" xr:uid="{4F806DC5-D0FE-42D0-8310-E92146B5DCB3}"/>
    <hyperlink ref="E2012" r:id="rId6063" display="https://twitter.com/verlinked/status/723073864222175233" xr:uid="{313E5B19-D29C-4296-8D1A-170CB475EE33}"/>
    <hyperlink ref="O2012" r:id="rId6064" display="https://pbs.twimg.com/profile_images/722385992343285760/ww8YLZ2q_normal.jpg" xr:uid="{46DCA1B4-4CB1-458B-88AE-CC4E455E0B73}"/>
    <hyperlink ref="B2013" r:id="rId6065" display="https://twitter.com/Bitkom_I40" xr:uid="{8818B099-0B5A-4A4C-A7CE-BAA5E48B335E}"/>
    <hyperlink ref="E2013" r:id="rId6066" display="https://twitter.com/Bitkom_I40/status/723073894484086784" xr:uid="{2D995646-0A74-4BB1-81D3-009CE77ADA24}"/>
    <hyperlink ref="O2013" r:id="rId6067" display="https://pbs.twimg.com/profile_images/723407487395713024/0hZv7R8S_normal.jpg" xr:uid="{4DD34EF7-72D7-495D-9B84-AAB3ECF19A0B}"/>
    <hyperlink ref="B2014" r:id="rId6068" display="https://twitter.com/kommoptimierer" xr:uid="{08C496AD-9559-431E-96B4-4C623E30FE6E}"/>
    <hyperlink ref="E2014" r:id="rId6069" display="https://twitter.com/kommoptimierer/status/723073902134603778" xr:uid="{CAAAA4E1-8114-4302-AA2C-0BA885C753EA}"/>
    <hyperlink ref="O2014" r:id="rId6070" display="https://pbs.twimg.com/profile_images/541146126158536704/IYardufS_normal.jpeg" xr:uid="{292998B0-A676-4044-B128-613244C70D83}"/>
    <hyperlink ref="B2015" r:id="rId6071" display="https://twitter.com/koernerpark" xr:uid="{84EB491B-5A1F-4B8C-B6DE-E9A8D474A67E}"/>
    <hyperlink ref="E2015" r:id="rId6072" display="https://twitter.com/koernerpark/status/723073999308115968" xr:uid="{26C69AD7-56AE-45FA-92BE-41EA90F91D0B}"/>
    <hyperlink ref="O2015" r:id="rId6073" display="https://pbs.twimg.com/profile_images/554579761817600000/2PbZshfI_normal.jpeg" xr:uid="{1C893AE0-E89D-48DF-B6FE-2FD548AC795F}"/>
    <hyperlink ref="B2016" r:id="rId6074" display="https://twitter.com/b2b_nachrichten" xr:uid="{5405C9D6-C5B4-4EA2-AC47-604C74530733}"/>
    <hyperlink ref="E2016" r:id="rId6075" display="https://twitter.com/b2b_nachrichten/status/723074024503287809" xr:uid="{5C3EDADA-CF5B-44B2-B82C-3834B1196410}"/>
    <hyperlink ref="O2016" r:id="rId6076" display="https://pbs.twimg.com/profile_images/641773023/b2b-news_normal.jpg" xr:uid="{8B261ACE-84AD-4F94-AA22-B095C171E075}"/>
    <hyperlink ref="B2017" r:id="rId6077" display="https://twitter.com/IDKOMPASS" xr:uid="{22044712-386D-4EBB-A175-05763ED621F8}"/>
    <hyperlink ref="E2017" r:id="rId6078" display="https://twitter.com/IDKOMPASS/status/723074062390456321" xr:uid="{1D6C1D8C-8FA5-4093-AE02-5E4B0FCBDD51}"/>
    <hyperlink ref="O2017" r:id="rId6079" display="https://pbs.twimg.com/profile_images/574932942327144450/RsjsUSUd_normal.jpeg" xr:uid="{8A1E549F-7275-4FE9-8535-FE0415D408D4}"/>
    <hyperlink ref="B2018" r:id="rId6080" display="https://twitter.com/INDIZbot" xr:uid="{9BA1666C-E87E-4318-85B6-99035C7F4F29}"/>
    <hyperlink ref="E2018" r:id="rId6081" display="https://twitter.com/INDIZbot/status/723074079868223492" xr:uid="{6B99F0D6-7E3C-485D-9EFC-B341A9CA8000}"/>
    <hyperlink ref="O2018" r:id="rId6082" display="https://pbs.twimg.com/profile_images/645716711723925506/t5G0qOS6_normal.jpg" xr:uid="{F3FDF584-2C2F-4F45-B69D-2BF918984639}"/>
    <hyperlink ref="B2019" r:id="rId6083" display="https://twitter.com/INDIZbot" xr:uid="{98C0CB53-A9C6-43FB-AFA2-C74C347999FB}"/>
    <hyperlink ref="E2019" r:id="rId6084" display="https://twitter.com/INDIZbot/status/723074128786415616" xr:uid="{E9C71B7A-E52E-4953-97F6-F1DAF03E9E7D}"/>
    <hyperlink ref="O2019" r:id="rId6085" display="https://pbs.twimg.com/profile_images/645716711723925506/t5G0qOS6_normal.jpg" xr:uid="{BFE7A4D1-3555-4C39-AA85-FED9D99F7284}"/>
    <hyperlink ref="B2020" r:id="rId6086" display="https://twitter.com/MoradSalehi" xr:uid="{3DE485C5-00BC-46DE-A14C-9E8923D20D1A}"/>
    <hyperlink ref="E2020" r:id="rId6087" display="https://twitter.com/MoradSalehi/status/723074200294952965" xr:uid="{5F11032F-6721-49D0-BA4D-8E58C6862C88}"/>
    <hyperlink ref="O2020" r:id="rId6088" display="https://pbs.twimg.com/profile_images/574251461883789312/ixWyym3U_normal.jpeg" xr:uid="{8F8051E1-7D3E-4C2D-AB49-837B9F83DF62}"/>
    <hyperlink ref="B2021" r:id="rId6089" display="https://twitter.com/INDIZbot" xr:uid="{5AD13331-CD0D-433A-BFBD-13DB8E95A67D}"/>
    <hyperlink ref="E2021" r:id="rId6090" display="https://twitter.com/INDIZbot/status/723074209182830592" xr:uid="{DCDC2D5A-2F8D-4CB4-887D-D90D2D5FEAEA}"/>
    <hyperlink ref="O2021" r:id="rId6091" display="https://pbs.twimg.com/profile_images/645716711723925506/t5G0qOS6_normal.jpg" xr:uid="{69AD27E2-32FA-4C9F-8D43-8A53E7C9E911}"/>
    <hyperlink ref="B2022" r:id="rId6092" display="https://twitter.com/Balluff_Service" xr:uid="{541FA160-068D-4A29-B792-45155381EF28}"/>
    <hyperlink ref="E2022" r:id="rId6093" display="https://twitter.com/Balluff_Service/status/723074229202083842" xr:uid="{1F6D1AA9-F992-4EF8-AFA5-F1D4927DCE09}"/>
    <hyperlink ref="O2022" r:id="rId6094" display="https://pbs.twimg.com/profile_images/576038384629469184/KCHV0Anq_normal.png" xr:uid="{53269457-CD4D-4AD8-9CDD-513DA5B5C10A}"/>
    <hyperlink ref="B2023" r:id="rId6095" display="https://twitter.com/INDIZbot" xr:uid="{F39809A7-3689-4FAE-A1CC-42A4C510E172}"/>
    <hyperlink ref="E2023" r:id="rId6096" display="https://twitter.com/INDIZbot/status/723074280297250816" xr:uid="{2462A22B-DFCD-44E2-A8C5-51DBDBBA2066}"/>
    <hyperlink ref="O2023" r:id="rId6097" display="https://pbs.twimg.com/profile_images/645716711723925506/t5G0qOS6_normal.jpg" xr:uid="{87EA496D-E5B9-4298-92C8-65D2B7B05A43}"/>
    <hyperlink ref="B2024" r:id="rId6098" display="https://twitter.com/Angela_Josephs" xr:uid="{C0CCA837-88F7-493D-B225-A028BDA5181A}"/>
    <hyperlink ref="E2024" r:id="rId6099" display="https://twitter.com/Angela_Josephs/status/723074324144504832" xr:uid="{1A90A626-1295-48F7-BB96-33677D67B19E}"/>
    <hyperlink ref="O2024" r:id="rId6100" display="https://pbs.twimg.com/profile_images/649572788148285440/Sxl5vTa3_normal.jpg" xr:uid="{FB2A3B2E-54BB-4DA3-8AF3-0F26184B481E}"/>
    <hyperlink ref="B2025" r:id="rId6101" display="https://twitter.com/INDIZbot" xr:uid="{EAD0F7B3-4B70-497A-9BF2-F4B322BA43A0}"/>
    <hyperlink ref="E2025" r:id="rId6102" display="https://twitter.com/INDIZbot/status/723074342305861632" xr:uid="{88C72B6F-BFDA-4B18-AE57-C768E68C7C7C}"/>
    <hyperlink ref="O2025" r:id="rId6103" display="https://pbs.twimg.com/profile_images/645716711723925506/t5G0qOS6_normal.jpg" xr:uid="{CBD0DDDC-AC5A-444E-AF41-3933615B0FF4}"/>
    <hyperlink ref="B2026" r:id="rId6104" display="https://twitter.com/MoellerHorcher" xr:uid="{81744C83-9525-4251-9403-48AB5303E18D}"/>
    <hyperlink ref="E2026" r:id="rId6105" display="https://twitter.com/MoellerHorcher/status/723074382164320256" xr:uid="{87B4C9AE-8E87-4981-B38E-290C59C96540}"/>
    <hyperlink ref="O2026" r:id="rId6106" display="https://pbs.twimg.com/profile_images/593771436461977601/JLe43OHw_normal.png" xr:uid="{6A2CE13F-91A1-409D-B67B-360D63A12989}"/>
    <hyperlink ref="B2027" r:id="rId6107" display="https://twitter.com/HESSENMETALL" xr:uid="{69B3EB37-E908-4E70-B0CC-1D76FB39E0AD}"/>
    <hyperlink ref="E2027" r:id="rId6108" display="https://twitter.com/HESSENMETALL/status/723074522077904896" xr:uid="{83693861-7E68-4BA4-8021-A93F617484DB}"/>
    <hyperlink ref="O2027" r:id="rId6109" display="https://pbs.twimg.com/profile_images/573131119459090433/chvdSZ_E_normal.png" xr:uid="{3734E3C4-AB90-4E5F-A09D-C75606F6E740}"/>
    <hyperlink ref="B2028" r:id="rId6110" display="https://twitter.com/OuestValo" xr:uid="{37142B28-1203-4C34-8C22-56866F31D067}"/>
    <hyperlink ref="E2028" r:id="rId6111" display="https://twitter.com/OuestValo/status/723074993379225600" xr:uid="{E5297095-71CD-47D7-B894-DECEC65F4416}"/>
    <hyperlink ref="F2028" r:id="rId6112" xr:uid="{B7012271-852F-4F9C-BAA9-FB71C1F4F000}"/>
    <hyperlink ref="O2028" r:id="rId6113" display="https://pbs.twimg.com/profile_images/3078390929/8847ca0ee77a15179992b5695c5c4905_normal.png" xr:uid="{8DC16EA1-FA42-4A36-B36A-8D713B398EC5}"/>
    <hyperlink ref="B2029" r:id="rId6114" display="https://twitter.com/FOMforscht" xr:uid="{A0906ED1-CA45-41E1-8E39-4D54A900706D}"/>
    <hyperlink ref="E2029" r:id="rId6115" display="https://twitter.com/FOMforscht/status/723075030435958784" xr:uid="{A0BEA228-1D65-4C4C-9E76-E564A725065C}"/>
    <hyperlink ref="O2029" r:id="rId6116" display="https://pbs.twimg.com/profile_images/719800651530821632/YzeSH6er_normal.jpg" xr:uid="{2484CC2D-4C8A-4DC9-96FE-3B621E26519F}"/>
    <hyperlink ref="B2030" r:id="rId6117" display="https://twitter.com/lotsize1" xr:uid="{D9810F04-004E-4907-8D46-F640C07FF2AF}"/>
    <hyperlink ref="E2030" r:id="rId6118" display="https://twitter.com/lotsize1/status/723075074949939200" xr:uid="{6C740293-9C02-432D-91A4-CE843DC76872}"/>
    <hyperlink ref="O2030" r:id="rId6119" display="https://abs.twimg.com/sticky/default_profile_images/default_profile_2_normal.png" xr:uid="{5E8D45A2-5244-46BA-B1DE-D48DF3C8ECEA}"/>
    <hyperlink ref="B2031" r:id="rId6120" display="https://twitter.com/Infineon" xr:uid="{F6053C77-374B-4F32-A3E7-3DAE032AB974}"/>
    <hyperlink ref="E2031" r:id="rId6121" display="https://twitter.com/Infineon/status/723076154345820160" xr:uid="{231A0E30-E148-431E-B6E2-BA01D51F9913}"/>
    <hyperlink ref="O2031" r:id="rId6122" display="https://pbs.twimg.com/profile_images/713304949757755392/c4EhSmgZ_normal.jpg" xr:uid="{5C95E1AD-0BC6-40CE-80E0-5A1CE5C1CD19}"/>
    <hyperlink ref="B2032" r:id="rId6123" display="https://twitter.com/INDIZbot" xr:uid="{9C92E47E-6CD8-4937-811C-23FB6597516E}"/>
    <hyperlink ref="E2032" r:id="rId6124" display="https://twitter.com/INDIZbot/status/723076770233200640" xr:uid="{B97637FE-D318-4A1B-92E1-12DCB1C8BBD3}"/>
    <hyperlink ref="O2032" r:id="rId6125" display="https://pbs.twimg.com/profile_images/645716711723925506/t5G0qOS6_normal.jpg" xr:uid="{77CDF221-EB48-4C38-8FF9-5170857437AA}"/>
    <hyperlink ref="B2033" r:id="rId6126" display="https://twitter.com/EAutoPionier" xr:uid="{ACB377E4-CB1F-4D09-A026-DE6B67F42C81}"/>
    <hyperlink ref="E2033" r:id="rId6127" display="https://twitter.com/EAutoPionier/status/723076801342246913" xr:uid="{018B87B0-89D7-4019-93FD-AC9423BFA2EF}"/>
    <hyperlink ref="O2033" r:id="rId6128" display="https://pbs.twimg.com/profile_images/700576331407298560/RJ0M_dZd_normal.jpg" xr:uid="{F317DFBA-8FCC-465B-99C2-85ADD5DF101F}"/>
    <hyperlink ref="B2034" r:id="rId6129" display="https://twitter.com/Scheer_GmbH" xr:uid="{FFF70910-EC64-49CF-9427-F784E6046577}"/>
    <hyperlink ref="E2034" r:id="rId6130" display="https://twitter.com/Scheer_GmbH/status/723077078334087168" xr:uid="{33FFE3A1-5CD0-4C36-8E52-922155F0B9C2}"/>
    <hyperlink ref="O2034" r:id="rId6131" display="https://pbs.twimg.com/profile_images/686924088154140672/1_ZIe3FE_normal.png" xr:uid="{9D198509-93DC-4249-AB80-34C3259A2902}"/>
    <hyperlink ref="B2035" r:id="rId6132" display="https://twitter.com/H_IT_D" xr:uid="{A910D1D5-6FA6-4557-BD34-A99AF016F5A1}"/>
    <hyperlink ref="E2035" r:id="rId6133" display="https://twitter.com/H_IT_D/status/723077901743087618" xr:uid="{CCB2B973-C90B-4978-B8F8-A9640275676C}"/>
    <hyperlink ref="O2035" r:id="rId6134" display="https://pbs.twimg.com/profile_images/662723326096224256/5V4KH9_O_normal.jpg" xr:uid="{5B8C0060-9657-4242-AD29-0A63AFBDD24D}"/>
    <hyperlink ref="B2036" r:id="rId6135" display="https://twitter.com/SAP_IoT" xr:uid="{5CAB6C57-5996-4717-B75C-CF41F63A2285}"/>
    <hyperlink ref="E2036" r:id="rId6136" display="https://twitter.com/SAP_IoT/status/723079335461183488" xr:uid="{664E965F-3CE9-4F89-8362-729912295B4E}"/>
    <hyperlink ref="O2036" r:id="rId6137" display="https://pbs.twimg.com/profile_images/557581621725908992/S7PfOb5r_normal.png" xr:uid="{917E7752-2627-4DBA-B0A8-D1F8589485D3}"/>
    <hyperlink ref="B2037" r:id="rId6138" display="https://twitter.com/startuptickerCH" xr:uid="{B72780BA-A7DC-4E51-ACB8-D21FCE927DC3}"/>
    <hyperlink ref="E2037" r:id="rId6139" display="https://twitter.com/startuptickerCH/status/723079369686695936" xr:uid="{80DA4DAA-0E90-478A-9E1A-85F2B26B4CE3}"/>
    <hyperlink ref="O2037" r:id="rId6140" display="https://pbs.twimg.com/profile_images/598501391561134080/_vzA3Neu_normal.jpg" xr:uid="{8CD7C2D9-FF0E-4069-BB60-03FD9E787ACE}"/>
    <hyperlink ref="B2038" r:id="rId6141" display="https://twitter.com/Markenartikler" xr:uid="{3804F89D-48E5-4B76-B21A-5DE063945A56}"/>
    <hyperlink ref="E2038" r:id="rId6142" display="https://twitter.com/Markenartikler/status/723079611886624769" xr:uid="{DA99AA41-E44A-4F16-86EB-05077FA09E17}"/>
    <hyperlink ref="O2038" r:id="rId6143" display="https://pbs.twimg.com/profile_images/684297499461423104/URLCw8tn_normal.jpg" xr:uid="{C7B6941A-55B1-4311-8481-56D658F18D01}"/>
    <hyperlink ref="B2039" r:id="rId6144" display="https://twitter.com/catkinEU" xr:uid="{5797CEE0-54F3-4349-AB98-687796474B22}"/>
    <hyperlink ref="E2039" r:id="rId6145" display="https://twitter.com/catkinEU/status/723079846415323137" xr:uid="{A6E00B7F-4643-4735-AE09-7A09239322C9}"/>
    <hyperlink ref="O2039" r:id="rId6146" display="https://pbs.twimg.com/profile_images/604338428227010560/6jzSa8us_normal.png" xr:uid="{D77CB99B-0E2C-4640-8FD2-17DB2DE9EE8F}"/>
    <hyperlink ref="B2040" r:id="rId6147" display="https://twitter.com/Apandia" xr:uid="{9E525724-A653-442D-8AA9-504B7482CE82}"/>
    <hyperlink ref="E2040" r:id="rId6148" display="https://twitter.com/Apandia/status/723081117771939840" xr:uid="{71191860-5399-4774-B78F-EE02CB017FE5}"/>
    <hyperlink ref="O2040" r:id="rId6149" display="https://pbs.twimg.com/profile_images/685327213/Apandia_normal.gif" xr:uid="{03187BC6-2AAE-42A0-8DAA-CB9F7A9C6F8F}"/>
    <hyperlink ref="B2041" r:id="rId6150" display="https://twitter.com/AbockAngela" xr:uid="{0020A294-E15F-48C8-B660-D4C2F3F579DC}"/>
    <hyperlink ref="E2041" r:id="rId6151" display="https://twitter.com/AbockAngela/status/723081511768068096" xr:uid="{95667091-3816-4376-9B58-1C6272B88D03}"/>
    <hyperlink ref="O2041" r:id="rId6152" display="https://abs.twimg.com/sticky/default_profile_images/default_profile_1_normal.png" xr:uid="{FB88B934-1841-4B1D-8A58-87B4F51AF8EA}"/>
    <hyperlink ref="B2042" r:id="rId6153" display="https://twitter.com/ECKELMANN_AG" xr:uid="{4BB1B420-8EF1-4118-85C0-8359C32E222C}"/>
    <hyperlink ref="E2042" r:id="rId6154" display="https://twitter.com/ECKELMANN_AG/status/723081967797829632" xr:uid="{F8F87C78-B656-4276-95A5-AEB0E1AD48AE}"/>
    <hyperlink ref="O2042" r:id="rId6155" display="https://pbs.twimg.com/profile_images/2360611695/a72vv3lrlnwxhpk618rk_normal.jpeg" xr:uid="{B76F7137-77E2-4DD6-BFE2-08756CB1F829}"/>
    <hyperlink ref="B2043" r:id="rId6156" display="https://twitter.com/hbde_wirtschaft" xr:uid="{7B9D3A43-44AB-43AD-AF0C-2F8DDE641F33}"/>
    <hyperlink ref="E2043" r:id="rId6157" display="https://twitter.com/hbde_wirtschaft/status/723082351551635456" xr:uid="{8114494F-666B-4B45-B8C8-A58498386C29}"/>
    <hyperlink ref="O2043" r:id="rId6158" display="https://pbs.twimg.com/profile_images/666267785098616832/qQ9r56p0_normal.jpg" xr:uid="{F69C7E14-6390-447B-8220-8F0348A78675}"/>
    <hyperlink ref="B2044" r:id="rId6159" display="https://twitter.com/IT_Connection" xr:uid="{E2683C69-463F-4FEF-8744-0EE2E73CD074}"/>
    <hyperlink ref="E2044" r:id="rId6160" display="https://twitter.com/IT_Connection/status/723082660311097344" xr:uid="{E37FACB1-F719-4AB0-BB81-25AABD941AFC}"/>
    <hyperlink ref="O2044" r:id="rId6161" display="https://pbs.twimg.com/profile_images/566986293888835584/_uYTcau__normal.png" xr:uid="{35A00E61-9970-47FA-85E0-B80AE067BA4E}"/>
    <hyperlink ref="B2045" r:id="rId6162" display="https://twitter.com/AvidokKiel" xr:uid="{EB9E653C-DA9A-408D-A66D-4623320AF658}"/>
    <hyperlink ref="E2045" r:id="rId6163" display="https://twitter.com/AvidokKiel/status/723082674106175492" xr:uid="{F16EAC57-49DB-4C97-A1DF-52F425DC77D3}"/>
    <hyperlink ref="O2045" r:id="rId6164" display="https://pbs.twimg.com/profile_images/502433997083770880/CUYqr_Em_normal.jpeg" xr:uid="{7E5FD0A5-7FE3-4E26-B56A-6E79E8F2E09F}"/>
    <hyperlink ref="B2046" r:id="rId6165" display="https://twitter.com/THINK_ING" xr:uid="{D8FDA979-1A52-4141-BABF-9F012CF02198}"/>
    <hyperlink ref="E2046" r:id="rId6166" display="https://twitter.com/THINK_ING/status/723082751138652160" xr:uid="{6E0F7F04-8E9D-4963-8DB6-83F41A2ECA77}"/>
    <hyperlink ref="O2046" r:id="rId6167" display="https://pbs.twimg.com/profile_images/3191720682/19efed020ebf3a2098abea8c1436d948_normal.jpeg" xr:uid="{B2E82A17-53CE-4AC9-BC3E-875FA921D619}"/>
    <hyperlink ref="B2047" r:id="rId6168" display="https://twitter.com/LReehten" xr:uid="{6946148B-AE34-4FB7-8F09-7CFBEDA41131}"/>
    <hyperlink ref="E2047" r:id="rId6169" display="https://twitter.com/LReehten/status/723083312072261632" xr:uid="{EC4F8A47-EA42-4DB0-9E98-D8350097D6D0}"/>
    <hyperlink ref="O2047" r:id="rId6170" display="https://pbs.twimg.com/profile_images/623849156159868928/BetFDR_i_normal.jpg" xr:uid="{F73DDBBA-2019-422C-ABBD-2AB5346FC2C6}"/>
    <hyperlink ref="B2048" r:id="rId6171" display="https://twitter.com/CapgeminiDE" xr:uid="{5EC511A5-732B-4970-AF1E-0FCF1FF0C93C}"/>
    <hyperlink ref="E2048" r:id="rId6172" display="https://twitter.com/CapgeminiDE/status/723083531371569152" xr:uid="{1A2A77BF-8649-4690-B9C6-99E2DF24B71C}"/>
    <hyperlink ref="O2048" r:id="rId6173" display="https://pbs.twimg.com/profile_images/666911961599315968/aP7ID_qm_normal.png" xr:uid="{054DA30E-342B-4620-9AF4-218AA654888F}"/>
    <hyperlink ref="B2049" r:id="rId6174" display="https://twitter.com/LReehten" xr:uid="{839B3EE0-6501-4E1F-AE32-FD35F9D4C591}"/>
    <hyperlink ref="E2049" r:id="rId6175" display="https://twitter.com/LReehten/status/723083532709416960" xr:uid="{163328B5-9889-4013-A400-26B1E9060FF9}"/>
    <hyperlink ref="O2049" r:id="rId6176" display="https://pbs.twimg.com/profile_images/623849156159868928/BetFDR_i_normal.jpg" xr:uid="{C1D68FBF-28DD-4804-981A-5DBB91541192}"/>
    <hyperlink ref="B2050" r:id="rId6177" display="https://twitter.com/Bridge_imp" xr:uid="{A35FE4DD-7748-401D-8E74-7B62E380C4A8}"/>
    <hyperlink ref="E2050" r:id="rId6178" display="https://twitter.com/Bridge_imp/status/723085159650598912" xr:uid="{B4804E8A-FCC0-4C7F-870A-91E52D06AB23}"/>
    <hyperlink ref="O2050" r:id="rId6179" display="https://pbs.twimg.com/profile_images/717643307002646532/K0aVxfqN_normal.jpg" xr:uid="{F60FE1FB-FBDE-4433-9FE0-D3DC24CCA6CE}"/>
    <hyperlink ref="B2051" r:id="rId6180" display="https://twitter.com/LReehten" xr:uid="{A98355EF-EBC3-4E70-B8F6-A5D582E9B399}"/>
    <hyperlink ref="E2051" r:id="rId6181" display="https://twitter.com/LReehten/status/723085233818468352" xr:uid="{A0AE7146-41BF-4DC0-BB06-439758881B45}"/>
    <hyperlink ref="O2051" r:id="rId6182" display="https://pbs.twimg.com/profile_images/623849156159868928/BetFDR_i_normal.jpg" xr:uid="{D03DDDDF-7F4A-4300-804D-D0A891181A91}"/>
    <hyperlink ref="B2052" r:id="rId6183" display="https://twitter.com/Bitkom" xr:uid="{1FCEC94D-04BD-4A5D-AF95-4D1FDEF394AF}"/>
    <hyperlink ref="E2052" r:id="rId6184" display="https://twitter.com/Bitkom/status/723085281251856392" xr:uid="{39F96BDF-014D-46D0-AD7F-CFAD4C56E30F}"/>
    <hyperlink ref="O2052" r:id="rId6185" display="https://pbs.twimg.com/profile_images/615797525040136192/CKF9-v_o_normal.jpg" xr:uid="{BCB24C95-4061-44D9-9434-960ABC92978F}"/>
    <hyperlink ref="B2053" r:id="rId6186" display="https://twitter.com/LReehten" xr:uid="{52F1A38C-342C-40BF-8D69-DB746920BFA9}"/>
    <hyperlink ref="E2053" r:id="rId6187" display="https://twitter.com/LReehten/status/723085949400281088" xr:uid="{ADC087B6-42AC-410D-9AA2-D77E0CEB06B1}"/>
    <hyperlink ref="O2053" r:id="rId6188" display="https://pbs.twimg.com/profile_images/623849156159868928/BetFDR_i_normal.jpg" xr:uid="{2C9B97CE-0A4C-4E2B-B694-3286EE0ACBE4}"/>
    <hyperlink ref="B2054" r:id="rId6189" display="https://twitter.com/tagderlogistik" xr:uid="{E8EBBBFB-B204-47EA-91EE-EAAC263CA1D1}"/>
    <hyperlink ref="E2054" r:id="rId6190" display="https://twitter.com/tagderlogistik/status/723086054471786497" xr:uid="{ADF6D68B-C50E-42B4-B008-FD9A3363E9E2}"/>
    <hyperlink ref="O2054" r:id="rId6191" display="https://pbs.twimg.com/profile_images/464022439555395585/vhqz1-ar_normal.jpeg" xr:uid="{010A1FDC-85D9-4675-894B-A3E468FABD80}"/>
    <hyperlink ref="B2055" r:id="rId6192" display="https://twitter.com/AndyBaldauf" xr:uid="{1C23F1FF-2BB9-4A0A-8435-DB00542CD10B}"/>
    <hyperlink ref="E2055" r:id="rId6193" display="https://twitter.com/AndyBaldauf/status/723086830049042432" xr:uid="{412A710B-98CB-42DE-A6BE-31569B9E7455}"/>
    <hyperlink ref="O2055" r:id="rId6194" display="https://pbs.twimg.com/profile_images/573719685306388481/QCug9raA_normal.jpeg" xr:uid="{D1802BDC-9FCC-4F91-8700-9FC3CEE619AD}"/>
    <hyperlink ref="B2056" r:id="rId6195" display="https://twitter.com/APRIOR24" xr:uid="{FD35CF11-CB27-4323-A455-12E3BC8BB6A5}"/>
    <hyperlink ref="E2056" r:id="rId6196" display="https://twitter.com/APRIOR24/status/723087361316253698" xr:uid="{19FF9D34-F12D-4D6B-9DF7-40B0A695D363}"/>
    <hyperlink ref="O2056" r:id="rId6197" display="https://pbs.twimg.com/profile_images/3378366810/363099b91cc6453286c2eed06f36a6c4_normal.jpeg" xr:uid="{81365654-EE2E-4766-ADE7-538BE36A8411}"/>
    <hyperlink ref="B2057" r:id="rId6198" display="https://twitter.com/joachimjoachim" xr:uid="{FC512F0A-3F31-4855-85E1-058223AA89B1}"/>
    <hyperlink ref="E2057" r:id="rId6199" display="https://twitter.com/joachimjoachim/status/723087409928351744" xr:uid="{DD77801C-E7C3-439A-A29C-EEB05B17927E}"/>
    <hyperlink ref="O2057" r:id="rId6200" display="https://pbs.twimg.com/profile_images/3196289737/ef73448b33a643e43b6371349d10a761_normal.jpeg" xr:uid="{BB2FBC69-5695-4709-A87F-AAF8C3A81978}"/>
    <hyperlink ref="B2058" r:id="rId6201" display="https://twitter.com/Marcvanderham" xr:uid="{2EF1A9D6-B76D-4225-A276-116C76708419}"/>
    <hyperlink ref="E2058" r:id="rId6202" display="https://twitter.com/Marcvanderham/status/723087801747558400" xr:uid="{CBEBA36C-60AD-4D1F-B9C7-D317A3AB0AE9}"/>
    <hyperlink ref="O2058" r:id="rId6203" display="https://pbs.twimg.com/profile_images/703485385662451712/O77nJKVS_normal.jpg" xr:uid="{19A40DA4-3064-4513-8417-9F8B2711EBBF}"/>
    <hyperlink ref="B2059" r:id="rId6204" display="https://twitter.com/JETZT_PRde" xr:uid="{D46D8B54-31AF-4113-806C-7518AABDA115}"/>
    <hyperlink ref="E2059" r:id="rId6205" display="https://twitter.com/JETZT_PRde/status/723087974695469056" xr:uid="{E5D9218B-3291-40C9-9474-B652F58B64C0}"/>
    <hyperlink ref="O2059" r:id="rId6206" display="https://pbs.twimg.com/profile_images/593011135428882432/BGMPkrwp_normal.jpg" xr:uid="{F897BF1B-4229-42F3-8086-7D3D31434A4D}"/>
    <hyperlink ref="B2060" r:id="rId6207" display="https://twitter.com/IBM_Insider" xr:uid="{CA901C08-EF3C-4961-BF17-537302F42F75}"/>
    <hyperlink ref="E2060" r:id="rId6208" display="https://twitter.com/IBM_Insider/status/723088055352086528" xr:uid="{3C11DAFF-6292-4146-9518-3B25623E3B01}"/>
    <hyperlink ref="M2060" r:id="rId6209" xr:uid="{025E8A29-9384-4220-A98B-67F0E35BF82E}"/>
    <hyperlink ref="O2060" r:id="rId6210" display="https://pbs.twimg.com/profile_images/527033706687369216/VgfQAMV8_normal.jpeg" xr:uid="{06C206F9-D41E-468A-A9D4-8102035999B3}"/>
    <hyperlink ref="B2061" r:id="rId6211" display="https://twitter.com/APRIOR24" xr:uid="{02B6141B-06BE-4FEE-9E36-8167CCDE3A26}"/>
    <hyperlink ref="E2061" r:id="rId6212" display="https://twitter.com/APRIOR24/status/723088245349703680" xr:uid="{5A09CD88-D7F8-41BB-A1AA-2A481590899F}"/>
    <hyperlink ref="O2061" r:id="rId6213" display="https://pbs.twimg.com/profile_images/3378366810/363099b91cc6453286c2eed06f36a6c4_normal.jpeg" xr:uid="{D94BC651-ED83-4BED-AA20-0D6F46A0E6B5}"/>
    <hyperlink ref="B2062" r:id="rId6214" display="https://twitter.com/JETZT_PRde" xr:uid="{1DA93DAF-B5C1-4636-B6B4-05560EF7B439}"/>
    <hyperlink ref="E2062" r:id="rId6215" display="https://twitter.com/JETZT_PRde/status/723088298659344386" xr:uid="{F6092091-1623-40E9-B76C-E529E3ECBDC3}"/>
    <hyperlink ref="O2062" r:id="rId6216" display="https://pbs.twimg.com/profile_images/593011135428882432/BGMPkrwp_normal.jpg" xr:uid="{99AEAEB4-17AE-4B33-A5E3-3CA19B4D7AF2}"/>
    <hyperlink ref="B2063" r:id="rId6217" display="https://twitter.com/gp_und_services" xr:uid="{3F51C658-0439-45DD-A04D-0CDEA81D92BA}"/>
    <hyperlink ref="E2063" r:id="rId6218" display="https://twitter.com/gp_und_services/status/723088381626974208" xr:uid="{48BE54CF-A2F5-432F-ADBF-EDAA7EC261A6}"/>
    <hyperlink ref="O2063" r:id="rId6219" display="https://pbs.twimg.com/profile_images/645597459/Gerd_Profilbild_2_normal.jpg" xr:uid="{BEA14A75-3421-4302-AE92-7B3BC1852395}"/>
    <hyperlink ref="B2064" r:id="rId6220" display="https://twitter.com/JETZT_PRde" xr:uid="{63F4192E-C693-41E5-B113-98BCA06CCFF1}"/>
    <hyperlink ref="E2064" r:id="rId6221" display="https://twitter.com/JETZT_PRde/status/723088643909255168" xr:uid="{8AC238C0-AC8C-4CA7-8E5A-F6EDD83BF339}"/>
    <hyperlink ref="O2064" r:id="rId6222" display="https://pbs.twimg.com/profile_images/593011135428882432/BGMPkrwp_normal.jpg" xr:uid="{C81FF696-5B94-47B2-BE69-A12FEE0DFC82}"/>
    <hyperlink ref="B2065" r:id="rId6223" display="https://twitter.com/schaefflergroup" xr:uid="{02F57D79-5FF2-425A-B1FC-0C66A157C9A6}"/>
    <hyperlink ref="E2065" r:id="rId6224" display="https://twitter.com/schaefflergroup/status/723088919185731584" xr:uid="{454FBCE3-FDA5-4DBB-AC62-B8AE215947B9}"/>
    <hyperlink ref="O2065" r:id="rId6225" display="https://pbs.twimg.com/profile_images/499907997418532865/R4wRstHe_normal.jpeg" xr:uid="{A50CC941-02A8-47AC-8798-E1444ACDD622}"/>
    <hyperlink ref="B2066" r:id="rId6226" display="https://twitter.com/technikzukunft" xr:uid="{AE200BF7-DAEE-441F-A334-7E0CBAD4D2CA}"/>
    <hyperlink ref="E2066" r:id="rId6227" display="https://twitter.com/technikzukunft/status/723090178261278720" xr:uid="{2483A108-5653-4EAC-90A2-BF2214AC30AC}"/>
    <hyperlink ref="O2066" r:id="rId6228" display="https://pbs.twimg.com/profile_images/3698248361/9b2b51aa54a0947dae3c180f5e6570c0_normal.jpeg" xr:uid="{024EF4ED-827B-4B79-815A-6D7F474FCC25}"/>
    <hyperlink ref="B2067" r:id="rId6229" display="https://twitter.com/tuevnord" xr:uid="{2BFE5623-CF69-444F-9E1F-BAA086E7C9BB}"/>
    <hyperlink ref="E2067" r:id="rId6230" display="https://twitter.com/tuevnord/status/723090428577366016" xr:uid="{600EAF33-3135-47E1-A0DB-3AE8D115D85A}"/>
    <hyperlink ref="O2067" r:id="rId6231" display="https://pbs.twimg.com/profile_images/378800000104294821/5a742075b9441c9de8a86c75a712b0c7_normal.png" xr:uid="{00F47A97-D6A5-4586-B774-441F148F9E0E}"/>
    <hyperlink ref="B2068" r:id="rId6232" display="https://twitter.com/JETZT_PRde" xr:uid="{3E107C22-A47F-407A-BB3B-D412F58352CC}"/>
    <hyperlink ref="E2068" r:id="rId6233" display="https://twitter.com/JETZT_PRde/status/723090646139969536" xr:uid="{C60B21D1-C63F-44F5-872E-D0B56B2B1C99}"/>
    <hyperlink ref="O2068" r:id="rId6234" display="https://pbs.twimg.com/profile_images/593011135428882432/BGMPkrwp_normal.jpg" xr:uid="{59BE2F7E-82D6-4370-A2DE-429398B6CF77}"/>
    <hyperlink ref="B2069" r:id="rId6235" display="https://twitter.com/Val_D_R" xr:uid="{5E7B2854-3156-4C0C-8809-9A74C7A77C2E}"/>
    <hyperlink ref="E2069" r:id="rId6236" display="https://twitter.com/Val_D_R/status/723091084100820992" xr:uid="{94293C38-BC4B-4E5C-8F5A-D4B654EDB9C9}"/>
    <hyperlink ref="O2069" r:id="rId6237" display="https://pbs.twimg.com/profile_images/3739991141/3402d7cafb5f19e352103f146cf09f15_normal.jpeg" xr:uid="{25AEA6FB-F488-43C9-84EE-2754BEE97860}"/>
    <hyperlink ref="B2070" r:id="rId6238" display="https://twitter.com/boerni_w" xr:uid="{0386C364-80A9-48E3-BB48-00D85129A2F3}"/>
    <hyperlink ref="E2070" r:id="rId6239" display="https://twitter.com/boerni_w/status/723091114035691520" xr:uid="{7877F89B-E856-4DD7-BDF4-BB4193E817FC}"/>
    <hyperlink ref="O2070" r:id="rId6240" display="https://pbs.twimg.com/profile_images/378800000832540984/08f85f5a644d0edf1fc387140334494b_normal.jpeg" xr:uid="{3B421D12-3F2E-4FD4-8FD0-4323B0081C26}"/>
    <hyperlink ref="B2071" r:id="rId6241" display="https://twitter.com/OliverS2010" xr:uid="{66056E34-DDB1-45C4-959B-BFA3735CF30A}"/>
    <hyperlink ref="E2071" r:id="rId6242" display="https://twitter.com/OliverS2010/status/723091530244743168" xr:uid="{EC1C895D-F564-4536-9B05-D3ECAFA8B92D}"/>
    <hyperlink ref="O2071" r:id="rId6243" display="https://pbs.twimg.com/profile_images/520204781394993153/KgKmEmB2_normal.jpeg" xr:uid="{D87427B1-2DBB-4590-A19B-D47227607C35}"/>
    <hyperlink ref="B2072" r:id="rId6244" display="https://twitter.com/AnnaWypior" xr:uid="{569A412B-2B6C-4841-8630-62AB3CDE572C}"/>
    <hyperlink ref="E2072" r:id="rId6245" display="https://twitter.com/AnnaWypior/status/723091534447562752" xr:uid="{1E3A5A7D-9283-413E-A3F1-A27B3A40E897}"/>
    <hyperlink ref="O2072" r:id="rId6246" display="https://pbs.twimg.com/profile_images/648137141999017989/QfJy2m6F_normal.png" xr:uid="{A5702C3A-5ABE-49CA-BF91-36181D94DB7D}"/>
    <hyperlink ref="B2073" r:id="rId6247" display="https://twitter.com/vemdiearbeitgeb" xr:uid="{C1D3CEB6-531F-4D99-8993-0EE2930C2417}"/>
    <hyperlink ref="E2073" r:id="rId6248" display="https://twitter.com/vemdiearbeitgeb/status/723091891563065344" xr:uid="{82F14D0C-3503-45D8-93D5-31DED9DEA682}"/>
    <hyperlink ref="O2073" r:id="rId6249" display="https://pbs.twimg.com/profile_images/1281327600/VEM_LOGO_1101_4c_o_Twitter_normal.jpg" xr:uid="{9BBB303A-3511-4AAD-BA24-EBFEC2AC3882}"/>
    <hyperlink ref="B2074" r:id="rId6250" display="https://twitter.com/neitzelsecuweb" xr:uid="{828A66EB-825B-41B2-A94B-3AD78203FECA}"/>
    <hyperlink ref="E2074" r:id="rId6251" display="https://twitter.com/neitzelsecuweb/status/723093310592577536" xr:uid="{9A782C13-8927-4925-A69C-8EBB5C991653}"/>
    <hyperlink ref="O2074" r:id="rId6252" display="https://pbs.twimg.com/profile_images/1906449052/nw_normal.jpg" xr:uid="{8B9871E3-5DA1-48A7-8002-858076890F2B}"/>
    <hyperlink ref="B2075" r:id="rId6253" display="https://twitter.com/H_IT_D" xr:uid="{997A96BF-63C0-41CE-A8AA-F965EA11CE8D}"/>
    <hyperlink ref="E2075" r:id="rId6254" display="https://twitter.com/H_IT_D/status/723093706723598336" xr:uid="{5382D014-7FDA-467B-91C0-B56C1366FEB9}"/>
    <hyperlink ref="O2075" r:id="rId6255" display="https://pbs.twimg.com/profile_images/662723326096224256/5V4KH9_O_normal.jpg" xr:uid="{E9211FAC-4891-499E-BBDF-92498BBC3DD5}"/>
    <hyperlink ref="B2076" r:id="rId6256" display="https://twitter.com/prxagentur" xr:uid="{897893CD-17C1-45B3-B347-E6E7E5DCA728}"/>
    <hyperlink ref="E2076" r:id="rId6257" display="https://twitter.com/prxagentur/status/723093721479303169" xr:uid="{C0C2EA98-8C7B-4156-955D-307AF8A962E5}"/>
    <hyperlink ref="O2076" r:id="rId6258" display="https://pbs.twimg.com/profile_images/594934750122536960/nG4kmfDF_normal.jpg" xr:uid="{7DD4BED7-B345-4D4F-BF90-A4EDB2FECB57}"/>
    <hyperlink ref="B2077" r:id="rId6259" display="https://twitter.com/INDIZbot" xr:uid="{048125EA-1BB4-4CF3-884B-9F8D336C8FCA}"/>
    <hyperlink ref="E2077" r:id="rId6260" display="https://twitter.com/INDIZbot/status/723094211902464000" xr:uid="{C4573236-65C9-4F5A-9129-CEC66EC93C25}"/>
    <hyperlink ref="O2077" r:id="rId6261" display="https://pbs.twimg.com/profile_images/645716711723925506/t5G0qOS6_normal.jpg" xr:uid="{EAE814F4-52F4-4D85-B9F1-BACBC2EFA39D}"/>
    <hyperlink ref="B2078" r:id="rId6262" display="https://twitter.com/INDIZbot" xr:uid="{917250A8-D894-4F00-ABC2-B99DF31E7FAF}"/>
    <hyperlink ref="E2078" r:id="rId6263" display="https://twitter.com/INDIZbot/status/723094311471058944" xr:uid="{200E7B3A-9D4F-497F-B983-902E97F2D338}"/>
    <hyperlink ref="O2078" r:id="rId6264" display="https://pbs.twimg.com/profile_images/645716711723925506/t5G0qOS6_normal.jpg" xr:uid="{9BC378D5-69C1-42F7-8601-E8C8B1A5EE70}"/>
    <hyperlink ref="B2079" r:id="rId6265" display="https://twitter.com/snetworkingde" xr:uid="{93EAABC0-09E6-4A6D-A235-4E2581515E47}"/>
    <hyperlink ref="C2079" r:id="rId6266" xr:uid="{5E9F1682-347B-4287-8953-3FE885E2EAB8}"/>
    <hyperlink ref="E2079" r:id="rId6267" display="https://twitter.com/snetworkingde/status/723095984352333824" xr:uid="{2ED4E50D-8AE0-4E51-9E06-B1706519252E}"/>
    <hyperlink ref="O2079" r:id="rId6268" display="https://pbs.twimg.com/profile_images/697004911867736065/FPTsHobf_normal.jpg" xr:uid="{271F3E83-24D8-4FB1-9DC9-246A66B9FF9C}"/>
    <hyperlink ref="B2080" r:id="rId6269" display="https://twitter.com/WTI_FfM" xr:uid="{54B46624-4780-4AB1-9664-654601BAD716}"/>
    <hyperlink ref="E2080" r:id="rId6270" display="https://twitter.com/WTI_FfM/status/723098361356677120" xr:uid="{DE6D1E38-1C31-4179-9B53-037C0B363E7A}"/>
    <hyperlink ref="O2080" r:id="rId6271" display="https://pbs.twimg.com/profile_images/653873123536805889/EF71GQzy_normal.jpg" xr:uid="{142083BD-E276-4CB3-8FB2-2DCB1409FE52}"/>
    <hyperlink ref="B2081" r:id="rId6272" display="https://twitter.com/SGE" xr:uid="{A1334B65-1647-456A-9734-BF524B006E98}"/>
    <hyperlink ref="E2081" r:id="rId6273" display="https://twitter.com/SGE/status/723099744285896705" xr:uid="{F08C5577-9D4C-4BDF-BD41-6871186E7384}"/>
    <hyperlink ref="O2081" r:id="rId6274" display="https://pbs.twimg.com/profile_images/471312276767535104/TIanhngf_normal.jpeg" xr:uid="{D4C25044-739A-46A2-BFA5-2EA438038B82}"/>
    <hyperlink ref="B2082" r:id="rId6275" display="https://twitter.com/SGE" xr:uid="{949892AC-67B2-451D-8824-E407DBCFBBAB}"/>
    <hyperlink ref="E2082" r:id="rId6276" display="https://twitter.com/SGE/status/723100519191994368" xr:uid="{F181621A-8CE7-4607-9833-8AFC57F8CCAC}"/>
    <hyperlink ref="O2082" r:id="rId6277" display="https://pbs.twimg.com/profile_images/471312276767535104/TIanhngf_normal.jpeg" xr:uid="{03AA871D-A370-4AB9-BB4F-4EF0F243507F}"/>
    <hyperlink ref="B2083" r:id="rId6278" display="https://twitter.com/prxpragma" xr:uid="{CA43D1F9-0600-450C-B3E5-55515D24AF56}"/>
    <hyperlink ref="E2083" r:id="rId6279" display="https://twitter.com/prxpragma/status/723101523018809344" xr:uid="{72516A51-9F38-4892-ABB9-1C73968C3CA8}"/>
    <hyperlink ref="O2083" r:id="rId6280" display="https://pbs.twimg.com/profile_images/595629691249233920/PnZxF5UO_normal.jpg" xr:uid="{37FA93DB-7EA7-452C-9D87-7EC51EF458B1}"/>
    <hyperlink ref="B2084" r:id="rId6281" display="https://twitter.com/SGE" xr:uid="{1C277FDE-21F1-486C-A52A-DD34B842B460}"/>
    <hyperlink ref="E2084" r:id="rId6282" display="https://twitter.com/SGE/status/723101862199701504" xr:uid="{3EBFB850-D331-4DCF-AEE1-2A10CD6FE882}"/>
    <hyperlink ref="O2084" r:id="rId6283" display="https://pbs.twimg.com/profile_images/471312276767535104/TIanhngf_normal.jpeg" xr:uid="{9296E47D-24EC-41BC-8CD6-6C9079469D09}"/>
    <hyperlink ref="B2085" r:id="rId6284" display="https://twitter.com/PwC_Switzerland" xr:uid="{47220C4C-B991-49F4-BAAA-BF886E2DE176}"/>
    <hyperlink ref="E2085" r:id="rId6285" display="https://twitter.com/PwC_Switzerland/status/723102231382360064" xr:uid="{0742D0FD-AEB5-48CC-B476-CDB2955DFFD6}"/>
    <hyperlink ref="O2085" r:id="rId6286" display="https://pbs.twimg.com/profile_images/458972132387479552/TasOImER_normal.png" xr:uid="{220B9CAF-C27F-43F1-BB98-049D209C01EA}"/>
    <hyperlink ref="B2086" r:id="rId6287" display="https://twitter.com/AltimFrance" xr:uid="{C4CF7662-D599-49C0-B047-50032B8592E3}"/>
    <hyperlink ref="E2086" r:id="rId6288" display="https://twitter.com/AltimFrance/status/723102382054240256" xr:uid="{E182BFCF-9631-41D8-B482-61A2992A1700}"/>
    <hyperlink ref="O2086" r:id="rId6289" display="https://pbs.twimg.com/profile_images/683944253291130880/vT0fYGlv_normal.jpg" xr:uid="{42C83199-0947-4FAE-BA7C-DEC3D78014F5}"/>
    <hyperlink ref="B2087" r:id="rId6290" display="https://twitter.com/verlinked" xr:uid="{E0F9FF72-0A39-4C62-97E6-6F1A59F98303}"/>
    <hyperlink ref="E2087" r:id="rId6291" display="https://twitter.com/verlinked/status/723104087462404097" xr:uid="{46EF4F41-BEC4-4A17-B1D4-39273A08BFED}"/>
    <hyperlink ref="O2087" r:id="rId6292" display="https://pbs.twimg.com/profile_images/722385992343285760/ww8YLZ2q_normal.jpg" xr:uid="{626677A4-A7D0-4567-A2FA-6D4548242BD0}"/>
    <hyperlink ref="B2088" r:id="rId6293" display="https://twitter.com/MartinaWeidmann" xr:uid="{55D9D283-66FA-4315-A4B2-F1B1CF143856}"/>
    <hyperlink ref="E2088" r:id="rId6294" display="https://twitter.com/MartinaWeidmann/status/723104990491877376" xr:uid="{3EBD8B4F-60F8-4ECC-8AD4-88808C49EC71}"/>
    <hyperlink ref="O2088" r:id="rId6295" display="https://pbs.twimg.com/profile_images/618382584221986816/uq4RrR-L_normal.png" xr:uid="{1ABCD359-D5F6-42AD-B98C-CBD81FF9C021}"/>
    <hyperlink ref="B2089" r:id="rId6296" display="https://twitter.com/kommoptimierer" xr:uid="{7F8444BF-D71F-4D5B-8BD8-3D8EA9BA06DA}"/>
    <hyperlink ref="E2089" r:id="rId6297" display="https://twitter.com/kommoptimierer/status/723105255190335488" xr:uid="{F479B52C-FCF9-4B45-B0C8-F08273CF41BD}"/>
    <hyperlink ref="O2089" r:id="rId6298" display="https://pbs.twimg.com/profile_images/541146126158536704/IYardufS_normal.jpeg" xr:uid="{759B35A8-9C2F-401C-ACA5-8B19F8C9CB45}"/>
    <hyperlink ref="B2090" r:id="rId6299" display="https://twitter.com/KlemensRoth" xr:uid="{67284DBD-BCD5-404D-9206-6294489F7AAC}"/>
    <hyperlink ref="E2090" r:id="rId6300" display="https://twitter.com/KlemensRoth/status/723105354943500288" xr:uid="{FD5E27A8-CAA3-47B2-8EE5-06C09A4163FF}"/>
    <hyperlink ref="F2090" r:id="rId6301" xr:uid="{4D8E9EDC-0799-495C-A0E4-58B063098AE6}"/>
    <hyperlink ref="O2090" r:id="rId6302" display="https://pbs.twimg.com/profile_images/529288477775380480/2D39vWzF_normal.jpeg" xr:uid="{0F52BAFF-71A1-41AF-A624-A45418FE8D5D}"/>
    <hyperlink ref="B2091" r:id="rId6303" display="https://twitter.com/M_Exchange_AG" xr:uid="{F4DE4FBF-8A45-491F-B227-55B47E95B38B}"/>
    <hyperlink ref="E2091" r:id="rId6304" display="https://twitter.com/M_Exchange_AG/status/723106286900899842" xr:uid="{EAF4B783-D083-4277-AFC4-59961BBC35CC}"/>
    <hyperlink ref="O2091" r:id="rId6305" display="https://pbs.twimg.com/profile_images/537298701991952384/R67TRucJ_normal.png" xr:uid="{EEC1B6D8-DA8D-4C9B-959A-6644F2736CC0}"/>
    <hyperlink ref="B2092" r:id="rId6306" display="https://twitter.com/Stefan_Roggatz" xr:uid="{796F3734-B7DC-40EF-BC36-62FC23C73176}"/>
    <hyperlink ref="E2092" r:id="rId6307" display="https://twitter.com/Stefan_Roggatz/status/723106835352293376" xr:uid="{658F5978-81F8-4C81-BDEF-8445A2B9000F}"/>
    <hyperlink ref="O2092" r:id="rId6308" display="https://pbs.twimg.com/profile_images/691601983199928320/2N-yzhWP_normal.jpg" xr:uid="{982D1643-26E1-48AC-BFC2-A590442F982D}"/>
    <hyperlink ref="B2093" r:id="rId6309" display="https://twitter.com/LWalendy" xr:uid="{7862C632-58BB-4DFA-BB9B-ADB70729EB28}"/>
    <hyperlink ref="E2093" r:id="rId6310" display="https://twitter.com/LWalendy/status/723108996358365185" xr:uid="{B68A6AB4-58A5-4988-B6CD-FD5C81167908}"/>
    <hyperlink ref="O2093" r:id="rId6311" display="https://pbs.twimg.com/profile_images/606758558391246848/OeI4jq0j_normal.jpg" xr:uid="{040E880A-18EE-4AF5-B28B-E767C4D3EBB0}"/>
    <hyperlink ref="B2094" r:id="rId6312" display="https://twitter.com/H_IT_D" xr:uid="{1A54D6F7-7B68-4974-9F78-3832DB44A3FA}"/>
    <hyperlink ref="E2094" r:id="rId6313" display="https://twitter.com/H_IT_D/status/723109583661604864" xr:uid="{4EDA269B-2E2F-46AF-B2FE-430C10830150}"/>
    <hyperlink ref="O2094" r:id="rId6314" display="https://pbs.twimg.com/profile_images/662723326096224256/5V4KH9_O_normal.jpg" xr:uid="{9A089778-D4E5-4410-824F-55DD97B0CD42}"/>
    <hyperlink ref="B2095" r:id="rId6315" display="https://twitter.com/HESSENMETALL" xr:uid="{0DBE1AC4-EEC3-4F7A-B15F-B2E6FC1E6E3E}"/>
    <hyperlink ref="E2095" r:id="rId6316" display="https://twitter.com/HESSENMETALL/status/723111134321106944" xr:uid="{DDE3F366-DCCC-49F3-B7A0-474E6DACA7CF}"/>
    <hyperlink ref="O2095" r:id="rId6317" display="https://pbs.twimg.com/profile_images/573131119459090433/chvdSZ_E_normal.png" xr:uid="{CB97A795-D748-4798-A0C5-394B372C0F67}"/>
    <hyperlink ref="B2096" r:id="rId6318" display="https://twitter.com/Apandia" xr:uid="{5DF63D6B-2C8B-49F0-845B-F19A5983C225}"/>
    <hyperlink ref="E2096" r:id="rId6319" display="https://twitter.com/Apandia/status/723112069252272128" xr:uid="{FF612054-FD61-4747-AE93-6FC3E30F7EAF}"/>
    <hyperlink ref="O2096" r:id="rId6320" display="https://pbs.twimg.com/profile_images/685327213/Apandia_normal.gif" xr:uid="{55545F9C-0F52-4B7F-AC8E-44F566CFE2B2}"/>
    <hyperlink ref="B2097" r:id="rId6321" display="https://twitter.com/Alpict" xr:uid="{922FB59C-B066-4DD5-925A-4EDEFA06002B}"/>
    <hyperlink ref="E2097" r:id="rId6322" display="https://twitter.com/Alpict/status/723112245853442049" xr:uid="{DE52BFDD-0E0A-4169-870B-4157C17C0D67}"/>
    <hyperlink ref="O2097" r:id="rId6323" display="https://pbs.twimg.com/profile_images/687255709180796928/1ccBfNwK_normal.png" xr:uid="{A6506AD6-2320-4BC3-8675-10A6F51BDC70}"/>
    <hyperlink ref="B2098" r:id="rId6324" display="https://twitter.com/CEP_Jurabernois" xr:uid="{0C6FF866-ED5A-4AAF-AF81-C40956D36F68}"/>
    <hyperlink ref="E2098" r:id="rId6325" display="https://twitter.com/CEP_Jurabernois/status/723112534824374272" xr:uid="{F8EAEE36-42F8-42E5-B88A-908AC56A5224}"/>
    <hyperlink ref="O2098" r:id="rId6326" display="https://pbs.twimg.com/profile_images/652462653143687168/SJCmIDQL_normal.png" xr:uid="{CA1A6628-F65F-4C31-8095-9479FCA0426C}"/>
    <hyperlink ref="B2099" r:id="rId6327" display="https://twitter.com/FoF_EU" xr:uid="{DC96E7F5-ECC3-4DED-8EED-4F69CA98A78D}"/>
    <hyperlink ref="E2099" r:id="rId6328" display="https://twitter.com/FoF_EU/status/723113045002719232" xr:uid="{7D40BDD1-BE8E-467F-A73C-8ED5507B0966}"/>
    <hyperlink ref="O2099" r:id="rId6329" display="https://pbs.twimg.com/profile_images/655344031321464832/2odd3LvS_normal.jpg" xr:uid="{80FBDC82-3903-4E8D-8F14-0CD898A39B9C}"/>
    <hyperlink ref="B2100" r:id="rId6330" display="https://twitter.com/BMWi_Bund" xr:uid="{50A4B8DF-44A3-4876-86B5-EC15467B3095}"/>
    <hyperlink ref="E2100" r:id="rId6331" display="https://twitter.com/BMWi_Bund/status/723113094935928832" xr:uid="{29C3958B-4CAC-41C6-B610-34DD151B151E}"/>
    <hyperlink ref="F2100" r:id="rId6332" xr:uid="{35C66019-FC44-4D7F-8527-98B709D334FA}"/>
    <hyperlink ref="O2100" r:id="rId6333" display="https://pbs.twimg.com/profile_images/413009203163189249/-Ajd3VZR_normal.jpeg" xr:uid="{AD17F1D6-989F-4DD0-9886-1DEE218E2D3C}"/>
    <hyperlink ref="B2101" r:id="rId6334" display="https://twitter.com/inno_swissmem" xr:uid="{9623DC98-2C76-46BC-A9A9-CEC185740781}"/>
    <hyperlink ref="E2101" r:id="rId6335" display="https://twitter.com/inno_swissmem/status/723114359929577472" xr:uid="{ED6AEC2F-7BC3-4FBA-9C7B-3673A3C3F44C}"/>
    <hyperlink ref="O2101" r:id="rId6336" display="https://pbs.twimg.com/profile_images/530502164116828160/uy27F1-j_normal.jpeg" xr:uid="{9EF194ED-5AE8-44DD-AAED-BFB3BD36217D}"/>
    <hyperlink ref="B2102" r:id="rId6337" display="https://twitter.com/BeuthBonus" xr:uid="{312FD4A1-77B2-4573-8DA9-FA6915C24DBD}"/>
    <hyperlink ref="E2102" r:id="rId6338" display="https://twitter.com/BeuthBonus/status/723114760800206848" xr:uid="{20FA7EE0-8BC6-4984-8BFC-1698651BBBB3}"/>
    <hyperlink ref="O2102" r:id="rId6339" display="https://pbs.twimg.com/profile_images/664422401862705152/zj9DvYBD_normal.jpg" xr:uid="{B0938C09-0C6D-49D9-9AF7-BEC876476F20}"/>
    <hyperlink ref="B2103" r:id="rId6340" display="https://twitter.com/INDIZbot" xr:uid="{909CA82C-2CF3-4CC8-AE03-D29E14B41A18}"/>
    <hyperlink ref="E2103" r:id="rId6341" display="https://twitter.com/INDIZbot/status/723114790814683136" xr:uid="{6E5D98FD-22CA-4EE8-975D-86058C7678B6}"/>
    <hyperlink ref="O2103" r:id="rId6342" display="https://pbs.twimg.com/profile_images/645716711723925506/t5G0qOS6_normal.jpg" xr:uid="{CF2A55AB-5AD4-4556-8194-E3216D8583F4}"/>
    <hyperlink ref="B2104" r:id="rId6343" display="https://twitter.com/ROKAutomationDE" xr:uid="{D54F3156-24BC-4400-ADB5-D58A272FF8A3}"/>
    <hyperlink ref="E2104" r:id="rId6344" display="https://twitter.com/ROKAutomationDE/status/723115347667079168" xr:uid="{F700EB43-3B95-41D7-AC0F-189CE945FFE7}"/>
    <hyperlink ref="O2104" r:id="rId6345" display="https://pbs.twimg.com/profile_images/495214827963297793/ZW7qWnoK_normal.jpeg" xr:uid="{1072E201-B308-4854-A89F-2BDFF9CE2332}"/>
    <hyperlink ref="B2105" r:id="rId6346" display="https://twitter.com/ROKAutomationAT" xr:uid="{2A85DFEE-B200-4ED2-A394-CE2D6928DFF9}"/>
    <hyperlink ref="E2105" r:id="rId6347" display="https://twitter.com/ROKAutomationAT/status/723115350376615936" xr:uid="{4FB89E17-9E81-48AA-85E8-AF36CB4B75AD}"/>
    <hyperlink ref="O2105" r:id="rId6348" display="https://pbs.twimg.com/profile_images/494911375034945537/txB_J-VC_normal.jpeg" xr:uid="{CC8A2ED0-082E-432A-A592-029DBB37E3B0}"/>
    <hyperlink ref="B2106" r:id="rId6349" display="https://twitter.com/ROKAutoCHDE" xr:uid="{5CC5C29F-A2A6-441E-97FF-2844247F10CB}"/>
    <hyperlink ref="E2106" r:id="rId6350" display="https://twitter.com/ROKAutoCHDE/status/723115350703796224" xr:uid="{F8B16A94-0456-471B-B05F-366EA1F5FF16}"/>
    <hyperlink ref="O2106" r:id="rId6351" display="https://pbs.twimg.com/profile_images/498942077325963264/l5q550Kh_normal.jpeg" xr:uid="{CDAC1B9B-F13A-42F4-A0AE-48FB4F5761C5}"/>
    <hyperlink ref="B2107" r:id="rId6352" display="https://twitter.com/FHNWTechnik" xr:uid="{E9816127-D0D3-453A-852F-21885C7DDA2E}"/>
    <hyperlink ref="E2107" r:id="rId6353" display="https://twitter.com/FHNWTechnik/status/723115441636302848" xr:uid="{1F41C865-74D5-45F7-A369-2523B4C37CF1}"/>
    <hyperlink ref="O2107" r:id="rId6354" display="https://pbs.twimg.com/profile_images/662199310969360384/A66r-VNa_normal.jpg" xr:uid="{D43C8816-F780-4BD6-9F51-391003B09952}"/>
    <hyperlink ref="B2108" r:id="rId6355" display="https://twitter.com/FHNWTechnik" xr:uid="{4EF16AD9-00A6-4677-8C83-9EFD28961306}"/>
    <hyperlink ref="E2108" r:id="rId6356" display="https://twitter.com/FHNWTechnik/status/723116372826329088" xr:uid="{E9F63031-1294-4761-A857-2AC663853A42}"/>
    <hyperlink ref="O2108" r:id="rId6357" display="https://pbs.twimg.com/profile_images/662199310969360384/A66r-VNa_normal.jpg" xr:uid="{A71F485F-EBCC-4716-A50E-66F0BF7F6233}"/>
    <hyperlink ref="B2109" r:id="rId6358" display="https://twitter.com/SHC_GmbH" xr:uid="{4FDB32BD-3159-46F6-BD6A-46D2D42FCF37}"/>
    <hyperlink ref="E2109" r:id="rId6359" display="https://twitter.com/SHC_GmbH/status/723116434134421504" xr:uid="{EA5DA326-F86A-4815-B4F2-8EC0D1B2E469}"/>
    <hyperlink ref="O2109" r:id="rId6360" display="https://pbs.twimg.com/profile_images/3726440228/9ba49ccb938cf571b195e3e83a4e1327_normal.jpeg" xr:uid="{23CACD15-E2A0-4096-99BE-07CD22CD31E9}"/>
    <hyperlink ref="B2110" r:id="rId6361" display="https://twitter.com/innovationbawue" xr:uid="{47ABD4C2-2629-4585-B18A-0705462C3852}"/>
    <hyperlink ref="C2110" r:id="rId6362" xr:uid="{8BF4A33B-F3B7-45B7-89CA-6800F8C2A8A4}"/>
    <hyperlink ref="E2110" r:id="rId6363" display="https://twitter.com/innovationbawue/status/723116507941601281" xr:uid="{1B72F8D9-E57D-4FDA-9061-E060804BE194}"/>
    <hyperlink ref="O2110" r:id="rId6364" display="https://pbs.twimg.com/profile_images/719538951988592641/7lKnB2dG_normal.jpg" xr:uid="{0336991B-AAC5-4241-93F1-B0E5BE0F85C1}"/>
    <hyperlink ref="B2111" r:id="rId6365" display="https://twitter.com/SGE" xr:uid="{B20B2DF7-0486-479B-B53F-5320782A191B}"/>
    <hyperlink ref="E2111" r:id="rId6366" display="https://twitter.com/SGE/status/723116630239252480" xr:uid="{F3F8E235-6512-4030-9A2B-EE8FA32A13C3}"/>
    <hyperlink ref="O2111" r:id="rId6367" display="https://pbs.twimg.com/profile_images/471312276767535104/TIanhngf_normal.jpeg" xr:uid="{2732F10B-AA3F-45A1-863E-3586D1C04134}"/>
    <hyperlink ref="B2112" r:id="rId6368" display="https://twitter.com/IT_Connection" xr:uid="{BF55601F-CEAF-4C5C-B60B-C24F02391C1E}"/>
    <hyperlink ref="E2112" r:id="rId6369" display="https://twitter.com/IT_Connection/status/723116661906264064" xr:uid="{4331B0E0-176A-41C6-A3BC-B4B24FF44F67}"/>
    <hyperlink ref="O2112" r:id="rId6370" display="https://pbs.twimg.com/profile_images/566986293888835584/_uYTcau__normal.png" xr:uid="{BC7BBCA4-338F-4B10-B50D-B7FA8220D8A7}"/>
    <hyperlink ref="B2113" r:id="rId6371" display="https://twitter.com/aabirkner" xr:uid="{8976DDAE-37DE-4118-9BB2-7E18723587A4}"/>
    <hyperlink ref="E2113" r:id="rId6372" display="https://twitter.com/aabirkner/status/723116979599495169" xr:uid="{4753FA37-1882-4193-BEB3-C40163230116}"/>
    <hyperlink ref="O2113" r:id="rId6373" display="https://pbs.twimg.com/profile_images/670603819370332160/adLx3Uuh_normal.jpg" xr:uid="{6EA67179-060A-45AF-9814-6891EC73AE8C}"/>
    <hyperlink ref="B2114" r:id="rId6374" display="https://twitter.com/TechXB" xr:uid="{84A19F54-04F5-4748-9AB0-6FC93307D9FF}"/>
    <hyperlink ref="E2114" r:id="rId6375" display="https://twitter.com/TechXB/status/723117235624116225" xr:uid="{5CEAAD19-AF52-4D1C-B382-9075BC803D0F}"/>
    <hyperlink ref="O2114" r:id="rId6376" display="https://pbs.twimg.com/profile_images/2679762722/946e3e1372fd9cf7c92ed14c414d3a4a_normal.png" xr:uid="{F2316A15-9A3F-4258-A546-33D2B115C2EC}"/>
    <hyperlink ref="B2115" r:id="rId6377" display="https://twitter.com/schliin" xr:uid="{A425D004-4AC5-4B87-9F3E-A1F904808364}"/>
    <hyperlink ref="E2115" r:id="rId6378" display="https://twitter.com/schliin/status/723117267404247040" xr:uid="{B72CFBF1-0E65-416F-AEE8-536ED0F5C9BA}"/>
    <hyperlink ref="O2115" r:id="rId6379" display="https://pbs.twimg.com/profile_images/489007947788218368/o6QnDS0Q_normal.jpeg" xr:uid="{EC28D31A-45AD-4957-9770-710819EFF4EE}"/>
    <hyperlink ref="B2116" r:id="rId6380" display="https://twitter.com/DerKonstrukteu" xr:uid="{7E64F7B9-16EB-49AC-8FC7-AC10D13F70E4}"/>
    <hyperlink ref="E2116" r:id="rId6381" display="https://twitter.com/DerKonstrukteu/status/723117383817138178" xr:uid="{4780AA52-E404-4CC9-9C38-43395FE8A6A0}"/>
    <hyperlink ref="O2116" r:id="rId6382" display="https://pbs.twimg.com/profile_images/448785978165968896/SQOcI8cJ_normal.png" xr:uid="{7DABF570-F781-483F-AA1B-547019931673}"/>
    <hyperlink ref="B2117" r:id="rId6383" display="https://twitter.com/SGE" xr:uid="{522D4137-9C00-488A-8041-52970E0845E1}"/>
    <hyperlink ref="E2117" r:id="rId6384" display="https://twitter.com/SGE/status/723117724067618816" xr:uid="{8481FF16-1B47-44E1-A2C8-DE85C4AA33E1}"/>
    <hyperlink ref="O2117" r:id="rId6385" display="https://pbs.twimg.com/profile_images/471312276767535104/TIanhngf_normal.jpeg" xr:uid="{2C69246D-4701-4CB8-861F-3ABD2C8B83BF}"/>
    <hyperlink ref="B2118" r:id="rId6386" display="https://twitter.com/SGE" xr:uid="{91733F89-4456-4B12-969F-A8D6131B993C}"/>
    <hyperlink ref="E2118" r:id="rId6387" display="https://twitter.com/SGE/status/723118424059158528" xr:uid="{14F1CB13-D4B9-4EA2-A70C-4CC8A78A1FF4}"/>
    <hyperlink ref="O2118" r:id="rId6388" display="https://pbs.twimg.com/profile_images/471312276767535104/TIanhngf_normal.jpeg" xr:uid="{4A595E6A-E36B-4010-8F1C-0BD6E3A9B928}"/>
    <hyperlink ref="B2119" r:id="rId6389" display="https://twitter.com/SEWEURODRIVE" xr:uid="{A29FC321-28C0-4F88-BE2C-2D48F134CD59}"/>
    <hyperlink ref="E2119" r:id="rId6390" display="https://twitter.com/SEWEURODRIVE/status/723118602128257025" xr:uid="{7067B695-53B4-41AF-835F-187A86EE1641}"/>
    <hyperlink ref="O2119" r:id="rId6391" display="https://pbs.twimg.com/profile_images/490060130231132160/qLmnir1s_normal.jpeg" xr:uid="{DF2E616C-526A-404E-86EE-11436CD73AC6}"/>
    <hyperlink ref="B2120" r:id="rId6392" display="https://twitter.com/dictaJet" xr:uid="{C982A680-C1DA-40AA-AB01-D0A0062D2A1D}"/>
    <hyperlink ref="E2120" r:id="rId6393" display="https://twitter.com/dictaJet/status/723118705299861505" xr:uid="{FB07FA72-CF85-4FF2-BA90-E2DDC6FBB089}"/>
    <hyperlink ref="O2120" r:id="rId6394" display="https://pbs.twimg.com/profile_images/3151814681/889304b58206053d6f22bd0b52344369_normal.jpeg" xr:uid="{A8289017-3D1B-41A4-8378-84119F32D7E7}"/>
    <hyperlink ref="B2121" r:id="rId6395" display="https://twitter.com/MetalEcoCity" xr:uid="{DAF8EBED-03FB-404E-AED3-B4E083ABA537}"/>
    <hyperlink ref="E2121" r:id="rId6396" display="https://twitter.com/MetalEcoCity/status/723118856986750976" xr:uid="{4200BFAF-3569-4D17-8D1B-B3D5ACC9DA92}"/>
    <hyperlink ref="O2121" r:id="rId6397" display="https://pbs.twimg.com/profile_images/664442346432540672/42-gzHf9_normal.jpg" xr:uid="{7A7B8345-154E-4F21-82EB-37B5DC800082}"/>
    <hyperlink ref="B2122" r:id="rId6398" display="https://twitter.com/SEWEURODRIVE" xr:uid="{7E316280-9DCA-4CD5-A67C-7D0BCEFF545B}"/>
    <hyperlink ref="E2122" r:id="rId6399" display="https://twitter.com/SEWEURODRIVE/status/723119326354509826" xr:uid="{645EE770-C26F-45B0-94CA-BB2B178AD6DF}"/>
    <hyperlink ref="O2122" r:id="rId6400" display="https://pbs.twimg.com/profile_images/490060130231132160/qLmnir1s_normal.jpeg" xr:uid="{27D9B42D-F76E-4761-84C6-534954CAFF0D}"/>
    <hyperlink ref="B2123" r:id="rId6401" display="https://twitter.com/genuanews" xr:uid="{F6004CFE-FC54-4999-A47B-9BE91F7D52A5}"/>
    <hyperlink ref="E2123" r:id="rId6402" display="https://twitter.com/genuanews/status/723119579761766401" xr:uid="{57B02243-CAFF-4396-BC45-2627C9A11E80}"/>
    <hyperlink ref="O2123" r:id="rId6403" display="https://pbs.twimg.com/profile_images/2576159086/x3og0hhz2d60d9embrsg_normal.jpeg" xr:uid="{FD902BCD-9CE2-43DD-B387-6AF99A84AD4F}"/>
    <hyperlink ref="B2124" r:id="rId6404" display="https://twitter.com/einkauf_mgmt" xr:uid="{16A8D80A-8196-4814-8EAF-8F71739FB45B}"/>
    <hyperlink ref="E2124" r:id="rId6405" display="https://twitter.com/einkauf_mgmt/status/723120055089647617" xr:uid="{FE512D6D-BDCC-416F-9ABC-676C450E7FB8}"/>
    <hyperlink ref="O2124" r:id="rId6406" display="https://pbs.twimg.com/profile_images/463608454624448512/0DV5XX08_normal.jpeg" xr:uid="{30E22069-5F38-4CA3-8497-F15283219A4B}"/>
    <hyperlink ref="B2125" r:id="rId6407" display="https://twitter.com/SGE" xr:uid="{27147F43-0243-4DEC-BF5F-2651A12FFDC3}"/>
    <hyperlink ref="E2125" r:id="rId6408" display="https://twitter.com/SGE/status/723120061326700544" xr:uid="{502455D5-D3FC-4098-8FE0-9750DFB162B9}"/>
    <hyperlink ref="O2125" r:id="rId6409" display="https://pbs.twimg.com/profile_images/471312276767535104/TIanhngf_normal.jpeg" xr:uid="{D90B8AF6-720C-47C5-8CAE-AAEF4F8A779F}"/>
    <hyperlink ref="B2126" r:id="rId6410" display="https://twitter.com/IT_Connection" xr:uid="{FFADE5FF-2C25-4F22-B6DF-7A26F0A2AB5A}"/>
    <hyperlink ref="E2126" r:id="rId6411" display="https://twitter.com/IT_Connection/status/723120435290857472" xr:uid="{06A6111F-80FA-476F-A006-8FE672116123}"/>
    <hyperlink ref="O2126" r:id="rId6412" display="https://pbs.twimg.com/profile_images/566986293888835584/_uYTcau__normal.png" xr:uid="{A1A27551-55DE-4FA5-BE13-34BB45B85382}"/>
    <hyperlink ref="B2127" r:id="rId6413" display="https://twitter.com/fhnw_i4ds" xr:uid="{C172EF63-4537-400D-B8D1-1ECFF8B98CF7}"/>
    <hyperlink ref="E2127" r:id="rId6414" display="https://twitter.com/fhnw_i4ds/status/723120557084962816" xr:uid="{6489D739-3A75-4A43-8295-AC257B4FCA8E}"/>
    <hyperlink ref="O2127" r:id="rId6415" display="https://pbs.twimg.com/profile_images/587889223153270784/1kBsv0nC_normal.jpg" xr:uid="{197F12EE-0E4A-4DCD-93A4-B0D4B70CE073}"/>
    <hyperlink ref="B2128" r:id="rId6416" display="https://twitter.com/fhnw_i4ds" xr:uid="{0F0BB247-3B11-4EC1-AD85-C50250A8EE55}"/>
    <hyperlink ref="E2128" r:id="rId6417" display="https://twitter.com/fhnw_i4ds/status/723120607739539457" xr:uid="{23670C72-F477-4239-AEA2-5E5D60B34DC7}"/>
    <hyperlink ref="O2128" r:id="rId6418" display="https://pbs.twimg.com/profile_images/587889223153270784/1kBsv0nC_normal.jpg" xr:uid="{461457A1-B47B-4ECC-9D8C-267FA0E735A1}"/>
    <hyperlink ref="B2129" r:id="rId6419" display="https://twitter.com/Balluff" xr:uid="{4D3504D4-CF3B-4181-81B3-3628DE6FF579}"/>
    <hyperlink ref="E2129" r:id="rId6420" display="https://twitter.com/Balluff/status/723120854213619713" xr:uid="{EFC87D05-B1C7-404D-AAD3-8D74DA09CB9D}"/>
    <hyperlink ref="O2129" r:id="rId6421" display="https://pbs.twimg.com/profile_images/663668561366245376/2ovYiiJf_normal.jpg" xr:uid="{B5E0EF5B-4A5A-4B22-B94B-7298331FABD7}"/>
    <hyperlink ref="B2130" r:id="rId6422" display="https://twitter.com/Der_Betriebslei" xr:uid="{584BFF6E-6A6B-4938-B892-BB5479193162}"/>
    <hyperlink ref="E2130" r:id="rId6423" display="https://twitter.com/Der_Betriebslei/status/723122902573395968" xr:uid="{225F2670-FBDC-4DE4-A905-5BFCFE3C1731}"/>
    <hyperlink ref="O2130" r:id="rId6424" display="https://pbs.twimg.com/profile_images/448785058711601152/lLXOAUVA_normal.png" xr:uid="{0158F7E9-3934-4148-B52D-FE641F5C38D6}"/>
    <hyperlink ref="B2131" r:id="rId6425" display="https://twitter.com/AbockAngela" xr:uid="{3F6E68E7-8D44-4E6C-B12B-F6CE9F53C286}"/>
    <hyperlink ref="E2131" r:id="rId6426" display="https://twitter.com/AbockAngela/status/723123067879350272" xr:uid="{CA8CF4B6-DEE8-42EB-97C1-037FFF09CE2E}"/>
    <hyperlink ref="O2131" r:id="rId6427" display="https://abs.twimg.com/sticky/default_profile_images/default_profile_1_normal.png" xr:uid="{F05B01E9-9083-4813-AC12-2AFCB2B9272A}"/>
    <hyperlink ref="B2132" r:id="rId6428" display="https://twitter.com/INDIZbot" xr:uid="{872144A9-B8C9-4ADD-AFD8-E0B9E8358435}"/>
    <hyperlink ref="E2132" r:id="rId6429" display="https://twitter.com/INDIZbot/status/723124608082317313" xr:uid="{B4F78623-5BD5-4126-97DD-498A385EBC1F}"/>
    <hyperlink ref="O2132" r:id="rId6430" display="https://pbs.twimg.com/profile_images/645716711723925506/t5G0qOS6_normal.jpg" xr:uid="{C31D9AC0-519B-4FF0-8357-6E7149F70818}"/>
    <hyperlink ref="B2133" r:id="rId6431" display="https://twitter.com/Edukatico" xr:uid="{0377AA5B-FFD9-48D9-8615-95EDB83564DD}"/>
    <hyperlink ref="E2133" r:id="rId6432" display="https://twitter.com/Edukatico/status/723124762763915266" xr:uid="{3CD71C1C-6EAA-4038-9266-A42CDE9E9394}"/>
    <hyperlink ref="O2133" r:id="rId6433" display="https://pbs.twimg.com/profile_images/717284871933149184/PTr4Jdye_normal.jpg" xr:uid="{7E41E344-D24B-46DE-8BB5-18885998BDB6}"/>
    <hyperlink ref="B2134" r:id="rId6434" display="https://twitter.com/dstankowski" xr:uid="{57255034-C124-4B5D-B860-472582F3245B}"/>
    <hyperlink ref="E2134" r:id="rId6435" display="https://twitter.com/dstankowski/status/723125628292206592" xr:uid="{603E6DA9-1970-4E10-BA4F-3204BA7B3D8F}"/>
    <hyperlink ref="O2134" r:id="rId6436" display="https://pbs.twimg.com/profile_images/1236430172/dominik-big_normal.jpg" xr:uid="{43B69C22-D65A-4E0F-9136-FB73221F2DBE}"/>
    <hyperlink ref="B2135" r:id="rId6437" display="https://twitter.com/H_IT_D" xr:uid="{3CABC3A6-776D-4497-B7E1-EA3F2C9A4EA7}"/>
    <hyperlink ref="E2135" r:id="rId6438" display="https://twitter.com/H_IT_D/status/723125909671145472" xr:uid="{28726C48-B1F9-42E1-96F5-C539151C222C}"/>
    <hyperlink ref="O2135" r:id="rId6439" display="https://pbs.twimg.com/profile_images/662723326096224256/5V4KH9_O_normal.jpg" xr:uid="{4D356AB1-B5B4-4739-BAB2-1B4FFD5491AA}"/>
    <hyperlink ref="B2136" r:id="rId6440" display="https://twitter.com/acatech_de" xr:uid="{6BFE4FB3-5646-4374-AA3E-1170D4C63346}"/>
    <hyperlink ref="E2136" r:id="rId6441" display="https://twitter.com/acatech_de/status/723126905701060608" xr:uid="{B972884E-2F88-4D76-A26C-2D6831AB185E}"/>
    <hyperlink ref="O2136" r:id="rId6442" display="https://pbs.twimg.com/profile_images/600969802908356609/3JqGMg38_normal.png" xr:uid="{767BEF3E-20EE-4BFC-9305-26C256470DBD}"/>
    <hyperlink ref="B2137" r:id="rId6443" display="https://twitter.com/stefra" xr:uid="{6803BD1C-9CF5-4B56-AA23-2E862980CF91}"/>
    <hyperlink ref="E2137" r:id="rId6444" display="https://twitter.com/stefra/status/723127336854523904" xr:uid="{B3CD04F8-A464-48FF-B649-336F407B9C71}"/>
    <hyperlink ref="O2137" r:id="rId6445" display="https://pbs.twimg.com/profile_images/1185777206/FS_normal.jpg" xr:uid="{6A8018A3-A3E1-4237-AFC1-241543263FD7}"/>
    <hyperlink ref="B2138" r:id="rId6446" display="https://twitter.com/SAPFrance" xr:uid="{C10ADC29-CEC4-4424-9E23-C4B248D10880}"/>
    <hyperlink ref="E2138" r:id="rId6447" display="https://twitter.com/SAPFrance/status/723128150146822144" xr:uid="{08B46D8D-57BC-4F7F-896D-9FA553495B51}"/>
    <hyperlink ref="O2138" r:id="rId6448" display="https://pbs.twimg.com/profile_images/713021101106995200/w4EIzjMN_normal.jpg" xr:uid="{37F210E3-2E4E-4711-B386-0321D8FAC5B7}"/>
    <hyperlink ref="B2139" r:id="rId6449" display="https://twitter.com/Groeneme" xr:uid="{5DD8F6C2-FE76-4E30-B684-9272EFDD5D6A}"/>
    <hyperlink ref="E2139" r:id="rId6450" display="https://twitter.com/Groeneme/status/723128488148889603" xr:uid="{76D38619-D1F3-4FB6-9E94-AB4E89A66AF9}"/>
    <hyperlink ref="O2139" r:id="rId6451" display="https://pbs.twimg.com/profile_images/483914601923223552/Nm9nZ2GI_normal.jpeg" xr:uid="{2522F373-2ABB-4F23-86A2-C41773202E38}"/>
    <hyperlink ref="B2140" r:id="rId6452" display="https://twitter.com/Martina_Palm" xr:uid="{3D7F582F-EA32-436A-A8C5-3DED7C32D45E}"/>
    <hyperlink ref="E2140" r:id="rId6453" display="https://twitter.com/Martina_Palm/status/723129434132238338" xr:uid="{23B556B9-007D-4BC3-8AB5-F206E615EC6B}"/>
    <hyperlink ref="O2140" r:id="rId6454" display="https://pbs.twimg.com/profile_images/3286498945/83c49690655e24688ac62bd4fdc079ea_normal.jpeg" xr:uid="{B835C71B-E14E-4EA2-8AC4-1D9291A3541E}"/>
    <hyperlink ref="B2141" r:id="rId6455" display="https://twitter.com/IoTMinded" xr:uid="{DF581331-A5F8-411F-B174-FA99895579B4}"/>
    <hyperlink ref="E2141" r:id="rId6456" display="https://twitter.com/IoTMinded/status/723129586859560960" xr:uid="{13AC98C7-AC17-4437-8C20-89962787EAB7}"/>
    <hyperlink ref="O2141" r:id="rId6457" display="https://pbs.twimg.com/profile_images/603699032804859904/lb5IMG5x_normal.jpg" xr:uid="{E74DE7CD-BA9D-4C8E-8EF5-BEF8012221F2}"/>
    <hyperlink ref="B2142" r:id="rId6458" display="https://twitter.com/BeniSeiler" xr:uid="{3A886F8D-9894-407F-819F-F7CCE6DEA823}"/>
    <hyperlink ref="E2142" r:id="rId6459" display="https://twitter.com/BeniSeiler/status/723129983745593344" xr:uid="{E26EC3B5-958D-4913-8E81-2570388367AA}"/>
    <hyperlink ref="O2142" r:id="rId6460" display="https://pbs.twimg.com/profile_images/568671099278606336/tELKp5D5_normal.jpeg" xr:uid="{6B411CB0-5FD4-4595-9C21-BBF4C5A22416}"/>
    <hyperlink ref="B2143" r:id="rId6461" display="https://twitter.com/SGE" xr:uid="{5E115CAD-88C9-45FC-971E-FB6F4B93A683}"/>
    <hyperlink ref="E2143" r:id="rId6462" display="https://twitter.com/SGE/status/723130447832723456" xr:uid="{0DAA5643-639E-43BB-89CA-504211075BA9}"/>
    <hyperlink ref="O2143" r:id="rId6463" display="https://pbs.twimg.com/profile_images/471312276767535104/TIanhngf_normal.jpeg" xr:uid="{0EA70C2D-AFC0-4FA0-8857-78A20E9E4507}"/>
    <hyperlink ref="B2144" r:id="rId6464" display="https://twitter.com/BoschPresse" xr:uid="{C5A5BF4E-4211-46ED-8F16-3148F7FDC0E4}"/>
    <hyperlink ref="E2144" r:id="rId6465" display="https://twitter.com/BoschPresse/status/723130523019784192" xr:uid="{33BA0ADC-942C-4347-909C-2892A346F791}"/>
    <hyperlink ref="O2144" r:id="rId6466" display="https://pbs.twimg.com/profile_images/2619086509/ld3z97zhhdbs2essw7s9_normal.jpeg" xr:uid="{FB7E6060-E05C-462A-9EBB-A751321D82EB}"/>
    <hyperlink ref="B2145" r:id="rId6467" display="https://twitter.com/fitfor2020" xr:uid="{19ADC3F8-2668-4F97-9536-49CAAEF24A8D}"/>
    <hyperlink ref="E2145" r:id="rId6468" display="https://twitter.com/fitfor2020/status/723130727987032064" xr:uid="{1050046F-2C68-4B2E-8C78-E9115EB46034}"/>
    <hyperlink ref="O2145" r:id="rId6469" display="https://pbs.twimg.com/profile_images/587953511213727744/fs0LF99T_normal.jpg" xr:uid="{E932BE21-43E1-4744-BF7C-B640E11A2004}"/>
    <hyperlink ref="B2146" r:id="rId6470" display="https://twitter.com/Waaiema" xr:uid="{681C5218-9D49-4B8E-A0CC-1B02CF49D1AF}"/>
    <hyperlink ref="E2146" r:id="rId6471" display="https://twitter.com/Waaiema/status/723130761554104320" xr:uid="{29A1CB34-940C-40AD-9CC9-4E75EC4B7A61}"/>
    <hyperlink ref="O2146" r:id="rId6472" display="https://pbs.twimg.com/profile_images/521729837849788416/VaANV2F5_normal.jpeg" xr:uid="{8CB3B709-BB54-4027-B330-A8F7E80D5A9B}"/>
    <hyperlink ref="B2147" r:id="rId6473" display="https://twitter.com/SocBizEngineer" xr:uid="{1367D611-9B79-4E4B-9B04-0880FF1ED3FC}"/>
    <hyperlink ref="E2147" r:id="rId6474" display="https://twitter.com/SocBizEngineer/status/723131185455616000" xr:uid="{8FA5C6BB-F0D9-4961-9EE2-82D50D261F63}"/>
    <hyperlink ref="O2147" r:id="rId6475" display="https://pbs.twimg.com/profile_images/542805217553571841/BBTjKnNu_normal.jpeg" xr:uid="{DD357598-9730-42F0-B0AF-0A7F18902C2B}"/>
    <hyperlink ref="B2148" r:id="rId6476" display="https://twitter.com/SGE" xr:uid="{41B7C9CB-D5ED-4054-88A2-93F6454E5BF3}"/>
    <hyperlink ref="E2148" r:id="rId6477" display="https://twitter.com/SGE/status/723131255043272704" xr:uid="{DDF625E2-BFA0-4965-ABF9-462ABF1ADC32}"/>
    <hyperlink ref="O2148" r:id="rId6478" display="https://pbs.twimg.com/profile_images/471312276767535104/TIanhngf_normal.jpeg" xr:uid="{28A4CD7E-BDAC-45BE-A027-9EC604D92FEA}"/>
    <hyperlink ref="B2149" r:id="rId6479" display="https://twitter.com/iotfablab" xr:uid="{DC108235-02B6-4E39-83A7-218D7AA7B27A}"/>
    <hyperlink ref="E2149" r:id="rId6480" display="https://twitter.com/iotfablab/status/723131356440584192" xr:uid="{34918EA4-E43F-4257-99D5-0E7FF0487FA1}"/>
    <hyperlink ref="O2149" r:id="rId6481" display="https://pbs.twimg.com/profile_images/642009473436024832/Eca88RWt_normal.png" xr:uid="{412CC060-D6EC-4403-9F4B-88059D82FC9A}"/>
    <hyperlink ref="B2150" r:id="rId6482" display="https://twitter.com/clarissahaller" xr:uid="{D93A0E01-2B52-4EB8-98C4-D34413109B7E}"/>
    <hyperlink ref="E2150" r:id="rId6483" display="https://twitter.com/clarissahaller/status/723131416213598209" xr:uid="{FEAAB503-1517-4C2F-973E-45E91E5FE281}"/>
    <hyperlink ref="O2150" r:id="rId6484" display="https://pbs.twimg.com/profile_images/1158852239/CH_4_241_normal.jpg" xr:uid="{2F24CA97-CA39-4A5D-B078-29CA4A138498}"/>
    <hyperlink ref="B2151" r:id="rId6485" display="https://twitter.com/BeniSeiler" xr:uid="{901E31C3-6CB4-4A5A-8046-082B16C1CE0E}"/>
    <hyperlink ref="E2151" r:id="rId6486" display="https://twitter.com/BeniSeiler/status/723131843680305152" xr:uid="{FF78A6D4-D08C-48F1-827E-24CF479CA245}"/>
    <hyperlink ref="O2151" r:id="rId6487" display="https://pbs.twimg.com/profile_images/568671099278606336/tELKp5D5_normal.jpeg" xr:uid="{AB1FF9EA-DA87-4A46-B783-3F5E138ACC22}"/>
    <hyperlink ref="B2152" r:id="rId6488" display="https://twitter.com/critmatrix" xr:uid="{39B0F789-D35A-45D0-87A8-0A590CDDB69F}"/>
    <hyperlink ref="E2152" r:id="rId6489" display="https://twitter.com/critmatrix/status/723132694046117888" xr:uid="{D69EFE67-DCF2-400D-B050-9D2DAB89C11B}"/>
    <hyperlink ref="O2152" r:id="rId6490" display="https://pbs.twimg.com/profile_images/722786285123977216/jpQ6qPff_normal.jpg" xr:uid="{28CCBF5C-6B0F-4126-8FAD-FD4BF97586AF}"/>
    <hyperlink ref="B2153" r:id="rId6491" display="https://twitter.com/SBH_Germany" xr:uid="{83AABF82-7722-41BB-8AF2-6AED79C243CB}"/>
    <hyperlink ref="E2153" r:id="rId6492" display="https://twitter.com/SBH_Germany/status/723133530331447296" xr:uid="{5BA44696-F3CA-45C5-8429-D5DB441D0BA0}"/>
    <hyperlink ref="O2153" r:id="rId6493" display="https://pbs.twimg.com/profile_images/695514574359953408/hQTmgrlk_normal.png" xr:uid="{D0F5F40A-88DF-4B6D-B3A6-EFED8B030A4E}"/>
    <hyperlink ref="B2154" r:id="rId6494" display="https://twitter.com/tomov_eu" xr:uid="{09AE625F-A93D-4A47-942E-ADC7167F7BBB}"/>
    <hyperlink ref="E2154" r:id="rId6495" display="https://twitter.com/tomov_eu/status/723133680860831745" xr:uid="{B4ACC74C-6415-46B6-BBEF-B7557593A207}"/>
    <hyperlink ref="O2154" r:id="rId6496" display="https://pbs.twimg.com/profile_images/557949283861663744/XRnqLo9K_normal.jpeg" xr:uid="{13DF4503-28C8-4C21-8FC8-E0952CBB30A6}"/>
    <hyperlink ref="B2155" r:id="rId6497" display="https://twitter.com/tomov_eu" xr:uid="{B5F4AF78-029B-4458-A870-98EB5613D8EA}"/>
    <hyperlink ref="E2155" r:id="rId6498" display="https://twitter.com/tomov_eu/status/723133753455824898" xr:uid="{5B8DBC28-358F-4E27-8A2A-0FE2656E8849}"/>
    <hyperlink ref="O2155" r:id="rId6499" display="https://pbs.twimg.com/profile_images/557949283861663744/XRnqLo9K_normal.jpeg" xr:uid="{C46CADB5-D2FD-42DF-90A8-ACFB45E96CE7}"/>
    <hyperlink ref="B2156" r:id="rId6500" display="https://twitter.com/DerKonstrukteu" xr:uid="{0FB88327-68CA-4434-B703-954F10F64362}"/>
    <hyperlink ref="E2156" r:id="rId6501" display="https://twitter.com/DerKonstrukteu/status/723133753644572672" xr:uid="{1D02618B-1F86-4C59-9039-01A86E282E3F}"/>
    <hyperlink ref="O2156" r:id="rId6502" display="https://pbs.twimg.com/profile_images/448785978165968896/SQOcI8cJ_normal.png" xr:uid="{8A75D940-BAB1-48C0-AB40-66A536BC3037}"/>
    <hyperlink ref="B2157" r:id="rId6503" display="https://twitter.com/rene_ziegler" xr:uid="{4CAA2DB3-06AA-41D6-BDEA-CB0002F53562}"/>
    <hyperlink ref="E2157" r:id="rId6504" display="https://twitter.com/rene_ziegler/status/723133845533503488" xr:uid="{2F245D9D-C557-433F-AF42-A4C8CA1C5D72}"/>
    <hyperlink ref="O2157" r:id="rId6505" display="https://pbs.twimg.com/profile_images/643892666695073792/IDQzvziq_normal.jpg" xr:uid="{66B301D8-E7BC-4E7B-8FD9-D67A7D8B5A43}"/>
    <hyperlink ref="B2158" r:id="rId6506" display="https://twitter.com/rene_ziegler" xr:uid="{1783003C-EBC6-44F7-B710-E43A10779C35}"/>
    <hyperlink ref="E2158" r:id="rId6507" display="https://twitter.com/rene_ziegler/status/723133944586199040" xr:uid="{028E710E-407E-4427-977F-6FC60589E52C}"/>
    <hyperlink ref="O2158" r:id="rId6508" display="https://pbs.twimg.com/profile_images/643892666695073792/IDQzvziq_normal.jpg" xr:uid="{ADA2440F-3F8B-4976-8CAD-B7EE92ADE3A8}"/>
    <hyperlink ref="B2159" r:id="rId6509" display="https://twitter.com/BerHerg" xr:uid="{319D4EDE-565D-400E-AFE4-E3592F34CB48}"/>
    <hyperlink ref="E2159" r:id="rId6510" display="https://twitter.com/BerHerg/status/723134342172540929" xr:uid="{7AF62EE0-5C03-4D04-A63D-5D4CA4B128B0}"/>
    <hyperlink ref="O2159" r:id="rId6511" display="https://pbs.twimg.com/profile_images/1648827386/image_normal.jpg" xr:uid="{ED7B9A6E-EBDB-42B8-A96B-30079DD8DBE0}"/>
    <hyperlink ref="B2160" r:id="rId6512" display="https://twitter.com/verlinked" xr:uid="{1B3F0137-D7A8-4AD4-B046-BD5D8487E561}"/>
    <hyperlink ref="E2160" r:id="rId6513" display="https://twitter.com/verlinked/status/723134369188040704" xr:uid="{ACAD4FB4-C586-4834-BD22-4349CB7F41B5}"/>
    <hyperlink ref="O2160" r:id="rId6514" display="https://pbs.twimg.com/profile_images/722385992343285760/ww8YLZ2q_normal.jpg" xr:uid="{6854F204-EA35-46D3-AB8B-C7F91AA25D4F}"/>
    <hyperlink ref="B2161" r:id="rId6515" display="https://twitter.com/INDIZbot" xr:uid="{663B9D43-4CE6-4EF1-BE5C-38B4E387479B}"/>
    <hyperlink ref="E2161" r:id="rId6516" display="https://twitter.com/INDIZbot/status/723134483348729857" xr:uid="{6A5C4B16-5459-4E87-9CFE-9FF132CB42F9}"/>
    <hyperlink ref="O2161" r:id="rId6517" display="https://pbs.twimg.com/profile_images/645716711723925506/t5G0qOS6_normal.jpg" xr:uid="{13AE6501-A1C5-4ECE-B189-EAE678BB5E47}"/>
    <hyperlink ref="B2162" r:id="rId6518" display="https://twitter.com/INDIZbot" xr:uid="{B7293DE8-AFC0-457E-B2EC-1366A4754265}"/>
    <hyperlink ref="E2162" r:id="rId6519" display="https://twitter.com/INDIZbot/status/723134625850265600" xr:uid="{27938F6C-FF21-41F6-AAB3-66DE105414C1}"/>
    <hyperlink ref="O2162" r:id="rId6520" display="https://pbs.twimg.com/profile_images/645716711723925506/t5G0qOS6_normal.jpg" xr:uid="{4715B897-B7E5-4067-8A4E-2EF4C359C8A7}"/>
    <hyperlink ref="B2163" r:id="rId6521" display="https://twitter.com/INDIZbot" xr:uid="{D6C306F0-4C37-4857-994F-833BC49F537C}"/>
    <hyperlink ref="E2163" r:id="rId6522" display="https://twitter.com/INDIZbot/status/723134719001526273" xr:uid="{ED5DEE28-CF55-4097-93ED-47ED18945F68}"/>
    <hyperlink ref="O2163" r:id="rId6523" display="https://pbs.twimg.com/profile_images/645716711723925506/t5G0qOS6_normal.jpg" xr:uid="{F6625D56-80A2-4618-B892-9369A8FD12C9}"/>
    <hyperlink ref="B2164" r:id="rId6524" display="https://twitter.com/INDIZbot" xr:uid="{637C91AD-473D-4678-8873-38F5C8CEBB59}"/>
    <hyperlink ref="E2164" r:id="rId6525" display="https://twitter.com/INDIZbot/status/723134809078423556" xr:uid="{27DA580C-50D8-48EE-81B6-5BABD07502FA}"/>
    <hyperlink ref="O2164" r:id="rId6526" display="https://pbs.twimg.com/profile_images/645716711723925506/t5G0qOS6_normal.jpg" xr:uid="{E1A99662-B3AF-461E-BE82-C18369DACE1B}"/>
    <hyperlink ref="B2165" r:id="rId6527" display="https://twitter.com/digi_circle" xr:uid="{55DF2136-20DF-49BA-AA5E-4E0677ED28B4}"/>
    <hyperlink ref="E2165" r:id="rId6528" display="https://twitter.com/digi_circle/status/723134888078139392" xr:uid="{ACF82E53-39BF-468A-8EAF-089F3DCAEB52}"/>
    <hyperlink ref="O2165" r:id="rId6529" display="https://pbs.twimg.com/profile_images/704261533229051904/NvHqH_ex_normal.jpg" xr:uid="{3F01D9CB-53D1-4067-97C0-2A87E3A934BE}"/>
    <hyperlink ref="B2166" r:id="rId6530" display="https://twitter.com/MindCommerce" xr:uid="{31336D27-F25D-487D-A04F-11882F4300A9}"/>
    <hyperlink ref="E2166" r:id="rId6531" display="https://twitter.com/MindCommerce/status/723135274293833728" xr:uid="{49DDEBD9-262C-4E8B-9E18-3E12EFA7C117}"/>
    <hyperlink ref="O2166" r:id="rId6532" display="https://pbs.twimg.com/profile_images/548030384030507008/utABqhj9_normal.png" xr:uid="{EFCFFA83-F253-4E38-959D-55CBF88A9F2F}"/>
    <hyperlink ref="B2167" r:id="rId6533" display="https://twitter.com/frankcausa" xr:uid="{E21B9E21-46A8-4401-BE24-0E00993F6357}"/>
    <hyperlink ref="E2167" r:id="rId6534" display="https://twitter.com/frankcausa/status/723135547535966208" xr:uid="{432241D6-EB8B-4514-B2B6-3E6675D3F423}"/>
    <hyperlink ref="O2167" r:id="rId6535" display="https://pbs.twimg.com/profile_images/698375438155059201/CHH9GkNn_normal.jpg" xr:uid="{3CB346E5-BE7F-473B-9176-E9909DB2AD6C}"/>
    <hyperlink ref="B2168" r:id="rId6536" display="https://twitter.com/CapgeminiDE" xr:uid="{12CF2AE3-53F8-455C-829C-F795B9CA08B5}"/>
    <hyperlink ref="E2168" r:id="rId6537" display="https://twitter.com/CapgeminiDE/status/723135624774033408" xr:uid="{14A04954-D4F2-4BD3-B9FD-364FB2D587BC}"/>
    <hyperlink ref="O2168" r:id="rId6538" display="https://pbs.twimg.com/profile_images/666911961599315968/aP7ID_qm_normal.png" xr:uid="{C6F46A7A-B789-427B-9D72-8BEA1D357FE1}"/>
    <hyperlink ref="B2169" r:id="rId6539" display="https://twitter.com/RiemenspergerF" xr:uid="{53D018F2-0B54-4F16-8DF0-E930EE711508}"/>
    <hyperlink ref="E2169" r:id="rId6540" display="https://twitter.com/RiemenspergerF/status/723135820463509504" xr:uid="{52DBF174-5C24-4B33-8178-394A4ABC3E26}"/>
    <hyperlink ref="O2169" r:id="rId6541" display="https://pbs.twimg.com/profile_images/692360292546842624/MNSepg8N_normal.jpg" xr:uid="{FAFE5FC2-20CE-42D5-A3B9-298E5F524BEA}"/>
    <hyperlink ref="B2170" r:id="rId6542" display="https://twitter.com/Databanque" xr:uid="{DDBCB1B1-E375-4195-A69E-910ED3EADFBB}"/>
    <hyperlink ref="E2170" r:id="rId6543" display="https://twitter.com/Databanque/status/723135871176724480" xr:uid="{B86C7B48-4DCE-4794-9CBF-4520B07B2096}"/>
    <hyperlink ref="O2170" r:id="rId6544" display="https://pbs.twimg.com/profile_images/552211771360940032/CmEYO0l3_normal.png" xr:uid="{6DA28440-8DE1-425D-9D67-30D63E6F67D6}"/>
    <hyperlink ref="B2171" r:id="rId6545" display="https://twitter.com/mkkrueg" xr:uid="{B0AAC5DB-A85A-4A4D-BEA5-66D37B35C402}"/>
    <hyperlink ref="E2171" r:id="rId6546" display="https://twitter.com/mkkrueg/status/723136860743049216" xr:uid="{8664A111-E362-4286-BC61-6BC16F3A5D4F}"/>
    <hyperlink ref="O2171" r:id="rId6547" display="https://pbs.twimg.com/profile_images/699950408555438081/ulccnzAr_normal.jpg" xr:uid="{0F60D24E-ABF5-4806-8EBC-B1BE88CEA2F0}"/>
    <hyperlink ref="B2172" r:id="rId6548" display="https://twitter.com/SGE" xr:uid="{775F4F22-FA4F-426D-B23A-AB013B105857}"/>
    <hyperlink ref="E2172" r:id="rId6549" display="https://twitter.com/SGE/status/723136986748489728" xr:uid="{8A7078E2-0009-4D41-85AF-935FC516A4FF}"/>
    <hyperlink ref="O2172" r:id="rId6550" display="https://pbs.twimg.com/profile_images/471312276767535104/TIanhngf_normal.jpeg" xr:uid="{D794923E-2ABA-438B-BD71-4C939EC72013}"/>
    <hyperlink ref="B2173" r:id="rId6551" display="https://twitter.com/INDIZbot" xr:uid="{BF073EC6-74F4-4021-8EA3-DCE7054DF353}"/>
    <hyperlink ref="E2173" r:id="rId6552" display="https://twitter.com/INDIZbot/status/723137123734421505" xr:uid="{A6BDB34F-0EEF-4E64-876F-184E5441CCE1}"/>
    <hyperlink ref="O2173" r:id="rId6553" display="https://pbs.twimg.com/profile_images/645716711723925506/t5G0qOS6_normal.jpg" xr:uid="{87BAFC3F-FDA5-4647-941F-A7D8D7030D94}"/>
    <hyperlink ref="B2174" r:id="rId6554" display="https://twitter.com/INDIZbot" xr:uid="{1CF22FA2-6BDC-4BD3-936B-AEA611E2221D}"/>
    <hyperlink ref="E2174" r:id="rId6555" display="https://twitter.com/INDIZbot/status/723137364823052289" xr:uid="{CC950F9E-5A60-4862-B889-764FA0081640}"/>
    <hyperlink ref="O2174" r:id="rId6556" display="https://pbs.twimg.com/profile_images/645716711723925506/t5G0qOS6_normal.jpg" xr:uid="{2BF528A2-4E44-4A63-A7BC-A56FA693A0BB}"/>
    <hyperlink ref="B2175" r:id="rId6557" display="https://twitter.com/SGE" xr:uid="{3F1F3C5A-9C00-4E93-8212-75CEF5FD9B47}"/>
    <hyperlink ref="E2175" r:id="rId6558" display="https://twitter.com/SGE/status/723138921442480128" xr:uid="{8B4B9756-2EBB-4349-94DE-282087AE2198}"/>
    <hyperlink ref="O2175" r:id="rId6559" display="https://pbs.twimg.com/profile_images/471312276767535104/TIanhngf_normal.jpeg" xr:uid="{E797B918-DF5D-465C-87DE-3A7F14C57952}"/>
    <hyperlink ref="B2176" r:id="rId6560" display="https://twitter.com/INDIZbot" xr:uid="{E11A0279-2CD4-4486-A404-E3B607B01EA1}"/>
    <hyperlink ref="E2176" r:id="rId6561" display="https://twitter.com/INDIZbot/status/723139647442935808" xr:uid="{13FF6ED4-E9EA-4349-A312-C18814EF920D}"/>
    <hyperlink ref="O2176" r:id="rId6562" display="https://pbs.twimg.com/profile_images/645716711723925506/t5G0qOS6_normal.jpg" xr:uid="{2230A2A3-5144-44B1-A75E-3EC749CFF3D5}"/>
    <hyperlink ref="B2177" r:id="rId6563" display="https://twitter.com/kmu_digital" xr:uid="{24CC4862-933D-4C6C-BBE2-D0994704474F}"/>
    <hyperlink ref="E2177" r:id="rId6564" display="https://twitter.com/kmu_digital/status/723141366860124160" xr:uid="{FC47FFB0-5091-4446-9EDF-593904E58FD0}"/>
    <hyperlink ref="O2177" r:id="rId6565" display="https://pbs.twimg.com/profile_images/674892441372200960/rSgFiuHu_normal.jpg" xr:uid="{C9D2C433-831D-4914-B3BD-EA8B5A9D692D}"/>
    <hyperlink ref="B2178" r:id="rId6566" display="https://twitter.com/IT2Industry" xr:uid="{2650C3E1-DCF9-4C74-9917-D3985C883673}"/>
    <hyperlink ref="E2178" r:id="rId6567" display="https://twitter.com/IT2Industry/status/723142014863331329" xr:uid="{BB753C8D-6A16-4A42-A706-FF4AB8EDA233}"/>
    <hyperlink ref="F2178" r:id="rId6568" xr:uid="{4173620E-8DBD-4238-B9E3-A5D3F89027FC}"/>
    <hyperlink ref="O2178" r:id="rId6569" display="https://pbs.twimg.com/profile_images/489403559394304001/8SQlWWA1_normal.jpeg" xr:uid="{627ADE79-3AB7-4394-89B0-A9078082226F}"/>
    <hyperlink ref="B2179" r:id="rId6570" display="https://twitter.com/H_IT_D" xr:uid="{86832CCC-4200-40F1-AAD3-C984714E1B5B}"/>
    <hyperlink ref="E2179" r:id="rId6571" display="https://twitter.com/H_IT_D/status/723142160074215426" xr:uid="{6BC9E6CE-3DEF-4322-917A-85FD04ADC1F4}"/>
    <hyperlink ref="O2179" r:id="rId6572" display="https://pbs.twimg.com/profile_images/662723326096224256/5V4KH9_O_normal.jpg" xr:uid="{11BB39CA-C1E9-4E3A-A13D-DF0C891CD353}"/>
    <hyperlink ref="B2180" r:id="rId6573" display="https://twitter.com/Bitkom_I40" xr:uid="{72140EC8-7A25-41C6-8258-86331B6A1BFF}"/>
    <hyperlink ref="E2180" r:id="rId6574" display="https://twitter.com/Bitkom_I40/status/723145045054902272" xr:uid="{3E599432-18F8-4231-8A69-984D3EC0033A}"/>
    <hyperlink ref="O2180" r:id="rId6575" display="https://pbs.twimg.com/profile_images/723407487395713024/0hZv7R8S_normal.jpg" xr:uid="{4949E685-60EB-4965-8CE5-3FA4D415BDC5}"/>
    <hyperlink ref="B2181" r:id="rId6576" display="https://twitter.com/IoTMinded" xr:uid="{7D1F2EA6-8862-4993-836E-BC3FBC81FD62}"/>
    <hyperlink ref="E2181" r:id="rId6577" display="https://twitter.com/IoTMinded/status/723145138764173312" xr:uid="{3A4D2FB9-6F35-4D10-810C-4F76DEBFBBF9}"/>
    <hyperlink ref="O2181" r:id="rId6578" display="https://pbs.twimg.com/profile_images/603699032804859904/lb5IMG5x_normal.jpg" xr:uid="{3CB466C7-55EA-4598-A4EB-87334E872EFE}"/>
    <hyperlink ref="B2182" r:id="rId6579" display="https://twitter.com/DKEAktuell" xr:uid="{D3ECAA76-3DAF-4CFA-9E79-A00464109F97}"/>
    <hyperlink ref="E2182" r:id="rId6580" display="https://twitter.com/DKEAktuell/status/723145421070192640" xr:uid="{DF133B50-2580-40B9-B4D7-E90F34115D45}"/>
    <hyperlink ref="O2182" r:id="rId6581" display="https://pbs.twimg.com/profile_images/465817969902092288/sEIgw9Gb_normal.jpeg" xr:uid="{0D173C6A-2AF9-4E82-B36C-D4828696DECF}"/>
    <hyperlink ref="B2183" r:id="rId6582" display="https://twitter.com/laszloetesi" xr:uid="{47D5F851-8807-43F0-BBBA-7676CA614588}"/>
    <hyperlink ref="E2183" r:id="rId6583" display="https://twitter.com/laszloetesi/status/723146313676763136" xr:uid="{F50A25F1-6AE3-4F35-BE8C-82319ABC4844}"/>
    <hyperlink ref="O2183" r:id="rId6584" display="https://pbs.twimg.com/profile_images/657109140414844928/O0pxlAW0_normal.png" xr:uid="{61DADB97-6592-45BD-8DDC-15386DC2CFFA}"/>
    <hyperlink ref="B2184" r:id="rId6585" display="https://twitter.com/IGMetall" xr:uid="{FE114FE5-29AE-4314-9580-9616E00B81AB}"/>
    <hyperlink ref="E2184" r:id="rId6586" display="https://twitter.com/IGMetall/status/723146462352166912" xr:uid="{213B38D1-8735-4F21-97D1-B7085E9AE450}"/>
    <hyperlink ref="O2184" r:id="rId6587" display="https://pbs.twimg.com/profile_images/378800000678134515/27b6e1353c05881133bb578e013f75ea_normal.png" xr:uid="{4962D929-7960-4B6F-9890-215F2E21084A}"/>
    <hyperlink ref="B2185" r:id="rId6588" display="https://twitter.com/SalesforceDE" xr:uid="{8397B52E-4763-4755-96F9-49E9E727ABCC}"/>
    <hyperlink ref="E2185" r:id="rId6589" display="https://twitter.com/SalesforceDE/status/723146780267941888" xr:uid="{A848D39E-8CE6-4397-839E-8C53F341BDF3}"/>
    <hyperlink ref="O2185" r:id="rId6590" display="https://pbs.twimg.com/profile_images/529714757041782784/p2nx_q8u_normal.png" xr:uid="{83283879-7BF7-4A04-AC5F-EDF9FAEFF7FF}"/>
    <hyperlink ref="B2186" r:id="rId6591" display="https://twitter.com/BE_DACH" xr:uid="{5109DE2A-5CD9-409D-B8BE-DC09F9F51576}"/>
    <hyperlink ref="E2186" r:id="rId6592" display="https://twitter.com/BE_DACH/status/723147452283424768" xr:uid="{45D77171-4C48-4A5D-8B1E-832627F3BE5D}"/>
    <hyperlink ref="O2186" r:id="rId6593" display="https://pbs.twimg.com/profile_images/3144255624/af1d7d19c80d654f74385adb99291ab1_normal.png" xr:uid="{F78DE89A-999E-41AD-9DFB-D41FA23377A1}"/>
    <hyperlink ref="B2187" r:id="rId6594" display="https://twitter.com/Konecranes_DE" xr:uid="{68870B35-4ABE-4A9A-9ECD-97AF97C6DA25}"/>
    <hyperlink ref="E2187" r:id="rId6595" display="https://twitter.com/Konecranes_DE/status/723148291064647684" xr:uid="{ADDCD5F8-2083-4B02-AFB3-A6A1B2D31366}"/>
    <hyperlink ref="O2187" r:id="rId6596" display="https://pbs.twimg.com/profile_images/438307550828560384/ayCoNB0D_normal.jpeg" xr:uid="{958681F3-4EB2-4D30-9AA2-FE6D94A1D4A3}"/>
    <hyperlink ref="B2188" r:id="rId6597" display="https://twitter.com/MelanieMoll1" xr:uid="{8DA3F28E-1024-4709-9418-4552452C2A4F}"/>
    <hyperlink ref="E2188" r:id="rId6598" display="https://twitter.com/MelanieMoll1/status/723148941433405440" xr:uid="{8DDF2EA1-2CD3-46EC-819E-39579CFACCEA}"/>
    <hyperlink ref="O2188" r:id="rId6599" display="https://pbs.twimg.com/profile_images/691495144743407616/HaNPzD1H_normal.jpg" xr:uid="{B961F084-B028-43A8-92FE-B8C878AFEFD5}"/>
    <hyperlink ref="B2189" r:id="rId6600" display="https://twitter.com/INDIZbot" xr:uid="{3150EEA8-A21C-43F8-96DE-8C8A703CDD3B}"/>
    <hyperlink ref="E2189" r:id="rId6601" display="https://twitter.com/INDIZbot/status/723149830604902400" xr:uid="{BFAC6FC2-14D2-4D31-9E45-3F90C8C0A403}"/>
    <hyperlink ref="O2189" r:id="rId6602" display="https://pbs.twimg.com/profile_images/645716711723925506/t5G0qOS6_normal.jpg" xr:uid="{09F18933-50F4-4C74-B154-460010100044}"/>
    <hyperlink ref="B2190" r:id="rId6603" display="https://twitter.com/FHNWTechnik" xr:uid="{96CAB444-E7D2-451A-A91E-7E23146E6838}"/>
    <hyperlink ref="E2190" r:id="rId6604" display="https://twitter.com/FHNWTechnik/status/723150044451348480" xr:uid="{1C66B262-9BA5-43D3-86AE-BD21A8B8078F}"/>
    <hyperlink ref="O2190" r:id="rId6605" display="https://pbs.twimg.com/profile_images/662199310969360384/A66r-VNa_normal.jpg" xr:uid="{43CC99F1-EBD6-44F5-81DC-5DDEB274C8F4}"/>
    <hyperlink ref="B2191" r:id="rId6606" display="https://twitter.com/AXACH_Media" xr:uid="{B2C927E2-28FD-4BF3-967A-C696C585E206}"/>
    <hyperlink ref="E2191" r:id="rId6607" display="https://twitter.com/AXACH_Media/status/723150343496933376" xr:uid="{213A4659-8616-41D5-8F81-16A97445CB4A}"/>
    <hyperlink ref="O2191" r:id="rId6608" display="https://pbs.twimg.com/profile_images/638754556663480320/Jrp0EyXi_normal.jpg" xr:uid="{0460A0E8-A323-4E0E-8E83-242D15D303D1}"/>
    <hyperlink ref="B2192" r:id="rId6609" display="https://twitter.com/kommoptimierer" xr:uid="{B73CC13E-E3C6-4044-9E78-F5EF6E08B5A4}"/>
    <hyperlink ref="E2192" r:id="rId6610" display="https://twitter.com/kommoptimierer/status/723150552855617536" xr:uid="{EBD2ACD1-41AF-47BC-9B19-73BA57D09670}"/>
    <hyperlink ref="O2192" r:id="rId6611" display="https://pbs.twimg.com/profile_images/541146126158536704/IYardufS_normal.jpeg" xr:uid="{EDC60794-B361-4C9C-916E-3D08D196AAEC}"/>
    <hyperlink ref="B2193" r:id="rId6612" display="https://twitter.com/marketingBOERSE" xr:uid="{67011450-FB1F-4859-9401-61EBD32C5F9D}"/>
    <hyperlink ref="E2193" r:id="rId6613" display="https://twitter.com/marketingBOERSE/status/723150608904015872" xr:uid="{07C5BC84-99C0-4BF3-8A71-9DB125C38D0B}"/>
    <hyperlink ref="O2193" r:id="rId6614" display="https://pbs.twimg.com/profile_images/2732840679/00399ec85301d5d9a996b8a5c34bf3ca_normal.png" xr:uid="{2895BBF5-52C7-40D9-BDD0-2AD2C5ECFCEC}"/>
    <hyperlink ref="B2194" r:id="rId6615" display="https://twitter.com/SGE" xr:uid="{DD8579B3-708C-4A3B-8AB6-E752D7799237}"/>
    <hyperlink ref="E2194" r:id="rId6616" display="https://twitter.com/SGE/status/723150722775289856" xr:uid="{FDD091DB-1EC0-4EE7-9459-12A5889E139B}"/>
    <hyperlink ref="O2194" r:id="rId6617" display="https://pbs.twimg.com/profile_images/471312276767535104/TIanhngf_normal.jpeg" xr:uid="{18E35123-7CE7-4CEF-B8C9-8A1E7D70A3F9}"/>
    <hyperlink ref="B2195" r:id="rId6618" display="https://twitter.com/SGE" xr:uid="{8F10086A-55AF-499E-829C-9885F96C4300}"/>
    <hyperlink ref="E2195" r:id="rId6619" display="https://twitter.com/SGE/status/723150812550193152" xr:uid="{7306B234-9D40-45F6-8CED-2A63F064067B}"/>
    <hyperlink ref="O2195" r:id="rId6620" display="https://pbs.twimg.com/profile_images/471312276767535104/TIanhngf_normal.jpeg" xr:uid="{64A34C91-E5BD-4E1A-862C-E09E12D442A5}"/>
    <hyperlink ref="B2196" r:id="rId6621" display="https://twitter.com/SGE" xr:uid="{0C4636DD-86E5-4539-8A6C-D952227E773B}"/>
    <hyperlink ref="E2196" r:id="rId6622" display="https://twitter.com/SGE/status/723152094509838336" xr:uid="{4BEAD40F-324A-4FF3-9181-C09822CBBB10}"/>
    <hyperlink ref="O2196" r:id="rId6623" display="https://pbs.twimg.com/profile_images/471312276767535104/TIanhngf_normal.jpeg" xr:uid="{2DCF7334-99D9-47A6-83ED-690CE3F5B142}"/>
    <hyperlink ref="B2197" r:id="rId6624" display="https://twitter.com/BE_DACH" xr:uid="{8B92E080-52F7-4105-9FB6-3ACB843ECCDE}"/>
    <hyperlink ref="E2197" r:id="rId6625" display="https://twitter.com/BE_DACH/status/723152824192782336" xr:uid="{F2BEEFCB-4735-4002-A002-F4CA131E8567}"/>
    <hyperlink ref="O2197" r:id="rId6626" display="https://pbs.twimg.com/profile_images/3144255624/af1d7d19c80d654f74385adb99291ab1_normal.png" xr:uid="{E175CE8C-50E3-43C4-A7EF-CF9F741A564C}"/>
    <hyperlink ref="B2198" r:id="rId6627" display="https://twitter.com/MindCommerce" xr:uid="{6B4DDF78-E306-48DA-B205-7A677CC999C3}"/>
    <hyperlink ref="E2198" r:id="rId6628" display="https://twitter.com/MindCommerce/status/723152839531466752" xr:uid="{B3CF818C-5B89-4416-9420-8E4325AEA53D}"/>
    <hyperlink ref="O2198" r:id="rId6629" display="https://pbs.twimg.com/profile_images/548030384030507008/utABqhj9_normal.png" xr:uid="{0C724C1C-A48E-4B99-BE27-D7CCC66A41DF}"/>
    <hyperlink ref="B2199" r:id="rId6630" display="https://twitter.com/equeoGmbH" xr:uid="{68235A03-3A8D-4166-9213-07E8577D24F5}"/>
    <hyperlink ref="E2199" r:id="rId6631" display="https://twitter.com/equeoGmbH/status/723152884980805632" xr:uid="{AB908698-FB2F-4D21-9F03-E97C13B4CCB8}"/>
    <hyperlink ref="O2199" r:id="rId6632" display="https://pbs.twimg.com/profile_images/557511432153993216/NBgQ5LsI_normal.jpeg" xr:uid="{5D510DE7-25A7-4BEF-A866-6217AAE20985}"/>
    <hyperlink ref="B2200" r:id="rId6633" display="https://twitter.com/BitkomResearch" xr:uid="{73CC7D63-DE13-4219-9B01-3606208F7640}"/>
    <hyperlink ref="E2200" r:id="rId6634" display="https://twitter.com/BitkomResearch/status/723154509459906563" xr:uid="{DB05AF6A-4293-4540-A8CB-1269B45AFB83}"/>
    <hyperlink ref="O2200" r:id="rId6635" display="https://pbs.twimg.com/profile_images/631021673857290240/dsNYkRwd_normal.jpg" xr:uid="{8EB71EC0-9165-46C6-8445-5EFE4679CBD8}"/>
    <hyperlink ref="B2201" r:id="rId6636" display="https://twitter.com/YuukiFushimi" xr:uid="{61EA2BF6-C3F1-4C0A-BF7D-985815517EB3}"/>
    <hyperlink ref="E2201" r:id="rId6637" display="https://twitter.com/YuukiFushimi/status/723154582277234689" xr:uid="{604FDF20-6CDC-479A-A0B0-8958DD36F62A}"/>
    <hyperlink ref="O2201" r:id="rId6638" display="https://pbs.twimg.com/profile_images/671763467632697344/q2J-kn9k_normal.png" xr:uid="{7DD6B550-50F1-4729-BB43-B3409947DCAA}"/>
    <hyperlink ref="B2202" r:id="rId6639" display="https://twitter.com/BSAHbiz" xr:uid="{E58E5F3D-DB74-438E-86FE-F6DE38685EED}"/>
    <hyperlink ref="E2202" r:id="rId6640" display="https://twitter.com/BSAHbiz/status/723155064865603584" xr:uid="{2DA9E29E-03F6-448A-9504-72E168B34695}"/>
    <hyperlink ref="O2202" r:id="rId6641" display="https://pbs.twimg.com/profile_images/709479158489948161/NxFpURG3_normal.jpg" xr:uid="{EB81DF26-30C2-448C-BDB6-B38A29F0576A}"/>
    <hyperlink ref="B2203" r:id="rId6642" display="https://twitter.com/GTAI_com" xr:uid="{FA073F50-FFAB-42E3-9FBA-E2B8ABE003D1}"/>
    <hyperlink ref="E2203" r:id="rId6643" display="https://twitter.com/GTAI_com/status/723155662524547077" xr:uid="{2671F822-F3F9-4214-B09F-D18ACC45AEEB}"/>
    <hyperlink ref="O2203" r:id="rId6644" display="https://pbs.twimg.com/profile_images/716977461079179268/JVN5NZO8_normal.jpg" xr:uid="{9B732FC3-C651-4E1A-ADF2-549E095CD876}"/>
    <hyperlink ref="B2204" r:id="rId6645" display="https://twitter.com/bamitav" xr:uid="{91DD9679-468D-4F84-8C4C-B522C2E48C3F}"/>
    <hyperlink ref="E2204" r:id="rId6646" display="https://twitter.com/bamitav/status/723156224590499846" xr:uid="{37752D6D-A60F-4F8B-8FF6-FDA10874F517}"/>
    <hyperlink ref="O2204" r:id="rId6647" display="https://pbs.twimg.com/profile_images/672794348442877952/m6Is-Nrc_normal.jpg" xr:uid="{7A7D8A10-278E-419B-B0C2-0FC1837BB2E0}"/>
    <hyperlink ref="B2205" r:id="rId6648" display="https://twitter.com/Bitkom" xr:uid="{3FBF86DD-01C3-465F-BADB-5F89BBA69C08}"/>
    <hyperlink ref="E2205" r:id="rId6649" display="https://twitter.com/Bitkom/status/723156406392643584" xr:uid="{778FA5DD-B04E-45AD-B447-8DC8168C272D}"/>
    <hyperlink ref="O2205" r:id="rId6650" display="https://pbs.twimg.com/profile_images/615797525040136192/CKF9-v_o_normal.jpg" xr:uid="{9B963E4A-D365-4465-B272-A33054CB803F}"/>
    <hyperlink ref="B2206" r:id="rId6651" display="https://twitter.com/JuLoewe" xr:uid="{8E5E8267-CDB6-4082-AAF8-C093743E7E69}"/>
    <hyperlink ref="E2206" r:id="rId6652" display="https://twitter.com/JuLoewe/status/723156888981000192" xr:uid="{A24EA145-3853-4FE5-8718-A687C817D08D}"/>
    <hyperlink ref="N2206" r:id="rId6653" xr:uid="{2DFD6787-62B1-499C-BEC6-F9DE63C64AFF}"/>
    <hyperlink ref="O2206" r:id="rId6654" display="https://pbs.twimg.com/profile_images/609682170458804225/WAAXyFob_normal.jpg" xr:uid="{E77EB5E7-0289-46C0-B5BF-C8E263B1EF91}"/>
    <hyperlink ref="B2207" r:id="rId6655" display="https://twitter.com/uwepfeil" xr:uid="{A61ED6DE-4F1D-4166-AAF4-4071D10AD0A9}"/>
    <hyperlink ref="E2207" r:id="rId6656" display="https://twitter.com/uwepfeil/status/723156953258663937" xr:uid="{8988F139-EFCC-4AB6-9AEA-57E9BC9A1A4C}"/>
    <hyperlink ref="O2207" r:id="rId6657" display="https://pbs.twimg.com/profile_images/695239828502401024/uvFjNbRT_normal.jpg" xr:uid="{2FCE7666-8EFB-40C2-983F-D82D91915548}"/>
    <hyperlink ref="B2208" r:id="rId6658" display="https://twitter.com/kommunikationsm" xr:uid="{1981DF7D-C2E1-4E64-A003-394442C07832}"/>
    <hyperlink ref="E2208" r:id="rId6659" display="https://twitter.com/kommunikationsm/status/723156959571005440" xr:uid="{A7B07632-2FB4-4A2A-8D65-6944230D9FAE}"/>
    <hyperlink ref="O2208" r:id="rId6660" display="https://pbs.twimg.com/profile_images/619614759370014720/AS__iYuZ_normal.jpg" xr:uid="{FCA01249-8ABA-45D9-9A42-AEC758496802}"/>
    <hyperlink ref="B2209" r:id="rId6661" display="https://twitter.com/KPMG_DE" xr:uid="{8A79E97F-112A-46A8-A8F9-7CC044EA296E}"/>
    <hyperlink ref="E2209" r:id="rId6662" display="https://twitter.com/KPMG_DE/status/723156997701398529" xr:uid="{8FBA8A20-2D09-4FC0-B85B-9BBF3BAFF598}"/>
    <hyperlink ref="O2209" r:id="rId6663" display="https://pbs.twimg.com/profile_images/672817485134045185/q-VTXmOg_normal.jpg" xr:uid="{0AB3C2DD-F971-493E-A35F-509A53C67936}"/>
    <hyperlink ref="B2210" r:id="rId6664" display="https://twitter.com/VDEpolitik" xr:uid="{97E7BE25-248A-4F9B-810C-E6A2B62BE650}"/>
    <hyperlink ref="E2210" r:id="rId6665" display="https://twitter.com/VDEpolitik/status/723157185467846656" xr:uid="{EA51A59A-27AC-482A-9FBF-B63440CE9FFE}"/>
    <hyperlink ref="O2210" r:id="rId6666" display="https://pbs.twimg.com/profile_images/477040016422486017/kspCX-mQ_normal.jpeg" xr:uid="{9B2B3B82-278A-4ECF-852B-445FF6BFD63B}"/>
    <hyperlink ref="B2211" r:id="rId6667" display="https://twitter.com/JFPlusquellec" xr:uid="{D7DE9CDE-B2B9-4521-B71E-B06AA1A3FB67}"/>
    <hyperlink ref="E2211" r:id="rId6668" display="https://twitter.com/JFPlusquellec/status/723158083032084481" xr:uid="{17F9D224-ADDA-453D-9460-E44BC6BC723F}"/>
    <hyperlink ref="O2211" r:id="rId6669" display="https://pbs.twimg.com/profile_images/562265910606442496/obnZnoWF_normal.jpeg" xr:uid="{25897EA5-33D3-46F3-AF9E-16F6CAE55431}"/>
    <hyperlink ref="B2212" r:id="rId6670" display="https://twitter.com/RudiKennes" xr:uid="{29F94B66-B678-4782-8D6F-AF9868CAE82E}"/>
    <hyperlink ref="E2212" r:id="rId6671" display="https://twitter.com/RudiKennes/status/723158321423888385" xr:uid="{9EB2445C-48BE-446A-90DF-AD208244577D}"/>
    <hyperlink ref="O2212" r:id="rId6672" display="https://pbs.twimg.com/profile_images/2519056312/image_normal.jpg" xr:uid="{59A5A333-814C-4CC0-88E7-1A5905CC4002}"/>
    <hyperlink ref="B2213" r:id="rId6673" display="https://twitter.com/H_IT_D" xr:uid="{A4320831-67F2-49F7-8FD9-4DD6C752FF43}"/>
    <hyperlink ref="E2213" r:id="rId6674" display="https://twitter.com/H_IT_D/status/723158368483860481" xr:uid="{B4C0A6F1-5692-4D82-9E73-BD6F45D2CCD2}"/>
    <hyperlink ref="O2213" r:id="rId6675" display="https://pbs.twimg.com/profile_images/662723326096224256/5V4KH9_O_normal.jpg" xr:uid="{797AB82A-41EC-42D7-BA1E-1134F123B7D9}"/>
    <hyperlink ref="B2214" r:id="rId6676" display="https://twitter.com/effectification" xr:uid="{CB27F624-91BB-45B4-9417-2D4EB5E3C800}"/>
    <hyperlink ref="E2214" r:id="rId6677" display="https://twitter.com/effectification/status/723158493541326848" xr:uid="{FA6FC71D-9F84-46A4-9F56-1E619017A6EE}"/>
    <hyperlink ref="O2214" r:id="rId6678" display="https://pbs.twimg.com/profile_images/378800000712398775/75d81aee2bb9bd72961b566bbd90415c_normal.jpeg" xr:uid="{DA4297E1-44CA-4598-AAF9-45E763E9B919}"/>
    <hyperlink ref="B2215" r:id="rId6679" display="https://twitter.com/GPAdjpBildung" xr:uid="{26526DC3-C757-41EF-B307-59B0784B2B94}"/>
    <hyperlink ref="E2215" r:id="rId6680" display="https://twitter.com/GPAdjpBildung/status/723159367600750592" xr:uid="{EAA3330D-CF9E-40E0-847C-28A0683D0DD7}"/>
    <hyperlink ref="O2215" r:id="rId6681" display="https://pbs.twimg.com/profile_images/656813120183234560/GzKrlltl_normal.jpg" xr:uid="{78ADE0A3-9925-4D2A-A74B-19B1F7B753F1}"/>
    <hyperlink ref="B2216" r:id="rId6682" display="https://twitter.com/JanatIGMetall" xr:uid="{1AB1B723-61A0-4C03-92C4-60F88B6278BB}"/>
    <hyperlink ref="E2216" r:id="rId6683" display="https://twitter.com/JanatIGMetall/status/723160122323664897" xr:uid="{0C32E6B7-75E3-4EA5-BDCD-413A85E54256}"/>
    <hyperlink ref="O2216" r:id="rId6684" display="https://pbs.twimg.com/profile_images/465845290067451904/dC2hkBVB_normal.jpeg" xr:uid="{95598B28-472D-4629-9E95-63AF4F3AB441}"/>
    <hyperlink ref="B2217" r:id="rId6685" display="https://twitter.com/croXXing_IBD" xr:uid="{42D9A87F-3DE3-4C5D-8548-70C319C64658}"/>
    <hyperlink ref="E2217" r:id="rId6686" display="https://twitter.com/croXXing_IBD/status/723160331237888000" xr:uid="{1BC6E695-0C64-4289-B892-8137FCCE5EE7}"/>
    <hyperlink ref="O2217" r:id="rId6687" display="https://pbs.twimg.com/profile_images/600279861282869249/IpIJ3MKX_normal.png" xr:uid="{79CC1B62-D75D-4CC4-95BB-7F8FC65C2793}"/>
    <hyperlink ref="B2218" r:id="rId6688" display="https://twitter.com/JBause" xr:uid="{43A4600F-0A93-451D-963C-6024576EF0D7}"/>
    <hyperlink ref="E2218" r:id="rId6689" display="https://twitter.com/JBause/status/723161966819323904" xr:uid="{163C5388-3B52-430F-8E87-F91502600591}"/>
    <hyperlink ref="O2218" r:id="rId6690" display="https://pbs.twimg.com/profile_images/615223235827900416/r0xU5jIu_normal.jpg" xr:uid="{6E025ADF-F2FC-4B99-9E30-B11713D7CAB8}"/>
    <hyperlink ref="B2219" r:id="rId6691" display="https://twitter.com/tsystemsde" xr:uid="{E876A260-BB8C-4854-9CA7-03451226DFA4}"/>
    <hyperlink ref="E2219" r:id="rId6692" display="https://twitter.com/tsystemsde/status/723162203478757377" xr:uid="{165FA920-9130-4322-975E-F8CB05392FCF}"/>
    <hyperlink ref="O2219" r:id="rId6693" display="https://pbs.twimg.com/profile_images/694165875960717312/CoEHMkw6_normal.png" xr:uid="{434FD217-25F4-4AED-B0C0-1C0D9356E8A5}"/>
    <hyperlink ref="B2220" r:id="rId6694" display="https://twitter.com/tsystemsde" xr:uid="{9D997959-FC69-418E-A7A6-278A3B8D8BFB}"/>
    <hyperlink ref="E2220" r:id="rId6695" display="https://twitter.com/tsystemsde/status/723162318188765184" xr:uid="{B5C7025B-14CC-41CD-8A80-4C0D19C9C1BC}"/>
    <hyperlink ref="O2220" r:id="rId6696" display="https://pbs.twimg.com/profile_images/694165875960717312/CoEHMkw6_normal.png" xr:uid="{155A529B-3667-48D7-9A27-A43A48989557}"/>
    <hyperlink ref="B2221" r:id="rId6697" display="https://twitter.com/ITK_OWL" xr:uid="{2CE0D9F5-C71A-45BE-BB28-06E6B69EE84D}"/>
    <hyperlink ref="E2221" r:id="rId6698" display="https://twitter.com/ITK_OWL/status/723162807349465088" xr:uid="{871DCA58-1D36-43E8-9AF4-C571F78179D5}"/>
    <hyperlink ref="O2221" r:id="rId6699" display="https://pbs.twimg.com/profile_images/601673968551075840/MnulnKkj_normal.png" xr:uid="{5ED5BFA6-71F1-4FC1-9531-19C9B8E17299}"/>
    <hyperlink ref="B2222" r:id="rId6700" display="https://twitter.com/Bitkom" xr:uid="{2E9E3BE1-2CE6-49DF-9C37-6E0A582DB9CB}"/>
    <hyperlink ref="E2222" r:id="rId6701" display="https://twitter.com/Bitkom/status/723163115228028932" xr:uid="{5782BA71-91A8-4DEF-829A-2438973D6AC6}"/>
    <hyperlink ref="O2222" r:id="rId6702" display="https://pbs.twimg.com/profile_images/615797525040136192/CKF9-v_o_normal.jpg" xr:uid="{C5FD1F1E-A974-4EC7-8071-B32091AF6D67}"/>
    <hyperlink ref="B2223" r:id="rId6703" display="https://twitter.com/Konecranes_DE" xr:uid="{BCAB3F38-A638-4A74-871B-B6B8F3FBBDDD}"/>
    <hyperlink ref="E2223" r:id="rId6704" display="https://twitter.com/Konecranes_DE/status/723163131355213825" xr:uid="{9BF6253C-9CEB-45D8-8311-CD5FA3305399}"/>
    <hyperlink ref="O2223" r:id="rId6705" display="https://pbs.twimg.com/profile_images/438307550828560384/ayCoNB0D_normal.jpeg" xr:uid="{ADD4564C-5467-4DB1-B5AB-DF283E150D9D}"/>
    <hyperlink ref="B2224" r:id="rId6706" display="https://twitter.com/JBause" xr:uid="{29743460-9D97-46F3-B57A-5D90B3B4A097}"/>
    <hyperlink ref="E2224" r:id="rId6707" display="https://twitter.com/JBause/status/723163963618394112" xr:uid="{73BCA3A9-208E-4669-8A28-BF61BA434601}"/>
    <hyperlink ref="O2224" r:id="rId6708" display="https://pbs.twimg.com/profile_images/615223235827900416/r0xU5jIu_normal.jpg" xr:uid="{8CE48C37-B416-47A0-ABA4-69D288584FC5}"/>
    <hyperlink ref="B2225" r:id="rId6709" display="https://twitter.com/ProgressSW_DE" xr:uid="{92C59A22-24C0-48D5-A9CC-5F232E1C6225}"/>
    <hyperlink ref="E2225" r:id="rId6710" display="https://twitter.com/ProgressSW_DE/status/723163991220985856" xr:uid="{00E6AEBD-96A2-43A1-AEA3-371502529216}"/>
    <hyperlink ref="O2225" r:id="rId6711" display="https://pbs.twimg.com/profile_images/378800000565965069/a98f364a74805cd42b34bb38197f51de_normal.png" xr:uid="{7E258D8F-2881-467A-87DB-EAAC5C3485B1}"/>
    <hyperlink ref="B2226" r:id="rId6712" display="https://twitter.com/Gruendercoaches" xr:uid="{4A81269D-A326-4757-AFE6-D584DDBAFEE9}"/>
    <hyperlink ref="E2226" r:id="rId6713" display="https://twitter.com/Gruendercoaches/status/723164562984435713" xr:uid="{7F439137-B62E-4932-95C2-1D07C7E53DF5}"/>
    <hyperlink ref="O2226" r:id="rId6714" display="https://pbs.twimg.com/profile_images/561208179355185153/11KDu7Gt_normal.png" xr:uid="{73F3B862-B57D-4587-BC07-0129D4CFF67E}"/>
    <hyperlink ref="B2227" r:id="rId6715" display="https://twitter.com/JBause" xr:uid="{62604F08-6D21-4FF4-8E3F-217FF22573B3}"/>
    <hyperlink ref="E2227" r:id="rId6716" display="https://twitter.com/JBause/status/723164697185411072" xr:uid="{0C37F091-8085-42C7-A98D-A39AD4D22AF5}"/>
    <hyperlink ref="O2227" r:id="rId6717" display="https://pbs.twimg.com/profile_images/615223235827900416/r0xU5jIu_normal.jpg" xr:uid="{0DC7651A-99B4-4945-AE2C-DFA0A98EFE3A}"/>
    <hyperlink ref="B2228" r:id="rId6718" display="https://twitter.com/Gruendercoaches" xr:uid="{9663B1E6-0601-409E-8AE4-DC021D3BFA42}"/>
    <hyperlink ref="E2228" r:id="rId6719" display="https://twitter.com/Gruendercoaches/status/723164854169800704" xr:uid="{4B36DA27-D7CF-481E-95D6-5557AD6EE66C}"/>
    <hyperlink ref="O2228" r:id="rId6720" display="https://pbs.twimg.com/profile_images/561208179355185153/11KDu7Gt_normal.png" xr:uid="{3AE0BEF0-F3F0-4596-9450-84047D8E62BA}"/>
    <hyperlink ref="B2229" r:id="rId6721" display="https://twitter.com/SGE" xr:uid="{224D754C-6438-47FF-86D7-BA80B43EF48F}"/>
    <hyperlink ref="E2229" r:id="rId6722" display="https://twitter.com/SGE/status/723165484590501888" xr:uid="{38F4B155-1DDE-43F1-AA98-2703A1B338FB}"/>
    <hyperlink ref="O2229" r:id="rId6723" display="https://pbs.twimg.com/profile_images/471312276767535104/TIanhngf_normal.jpeg" xr:uid="{C5595148-10F3-490F-91FE-4DA7242743AB}"/>
    <hyperlink ref="B2230" r:id="rId6724" display="https://twitter.com/SGE" xr:uid="{9079590F-9FFB-4A71-A72F-12B67E41082A}"/>
    <hyperlink ref="E2230" r:id="rId6725" display="https://twitter.com/SGE/status/723165778242097153" xr:uid="{64C9F035-BB95-4E1C-915E-298550BD30CC}"/>
    <hyperlink ref="O2230" r:id="rId6726" display="https://pbs.twimg.com/profile_images/471312276767535104/TIanhngf_normal.jpeg" xr:uid="{1F52A100-B84D-43E7-A10F-ADD62247E885}"/>
    <hyperlink ref="B2231" r:id="rId6727" display="https://twitter.com/SGE" xr:uid="{6D03F30D-071A-494E-8CF8-2A9E57AB1A4C}"/>
    <hyperlink ref="E2231" r:id="rId6728" display="https://twitter.com/SGE/status/723166074242514945" xr:uid="{6E30589F-DCBD-4606-8ADD-8A7B98F200BB}"/>
    <hyperlink ref="O2231" r:id="rId6729" display="https://pbs.twimg.com/profile_images/471312276767535104/TIanhngf_normal.jpeg" xr:uid="{E00F07CB-210E-4B60-BFF9-36D31673D265}"/>
    <hyperlink ref="B2232" r:id="rId6730" display="https://twitter.com/SGE" xr:uid="{2D1FC9DA-18DF-4CF9-A77C-9AA15A78D5CB}"/>
    <hyperlink ref="E2232" r:id="rId6731" display="https://twitter.com/SGE/status/723166372847558656" xr:uid="{EE349C0A-C39D-4E9C-B4D5-0F3FFC4820BE}"/>
    <hyperlink ref="O2232" r:id="rId6732" display="https://pbs.twimg.com/profile_images/471312276767535104/TIanhngf_normal.jpeg" xr:uid="{7A9BBE56-803F-4714-AD4A-52E26C00A218}"/>
    <hyperlink ref="B2233" r:id="rId6733" display="https://twitter.com/CreativeConstr" xr:uid="{09E2011B-6744-4E75-88FB-F69E07B0E2A0}"/>
    <hyperlink ref="E2233" r:id="rId6734" display="https://twitter.com/CreativeConstr/status/723166435497922560" xr:uid="{62CF7C9E-D2FA-4C36-8950-410FF68860DC}"/>
    <hyperlink ref="O2233" r:id="rId6735" display="https://pbs.twimg.com/profile_images/1409701968/CC_normal.jpg" xr:uid="{2A489731-BC81-446F-B713-7B8CAD0D7543}"/>
    <hyperlink ref="B2234" r:id="rId6736" display="https://twitter.com/s_rohrbach" xr:uid="{10179CE2-D53B-4FF9-8C87-0D4D4D2DF3BD}"/>
    <hyperlink ref="E2234" r:id="rId6737" display="https://twitter.com/s_rohrbach/status/723167066346426369" xr:uid="{3E21E318-A0EC-4C64-B0AC-8CD5FCF9A9B5}"/>
    <hyperlink ref="O2234" r:id="rId6738" display="https://pbs.twimg.com/profile_images/556544747477929984/qc_itTgJ_normal.jpeg" xr:uid="{1772747E-73C8-4BC7-B4E9-F1E9AE60C299}"/>
    <hyperlink ref="B2235" r:id="rId6739" display="https://twitter.com/SGE" xr:uid="{A6351547-B753-4540-9503-E24B9B371343}"/>
    <hyperlink ref="E2235" r:id="rId6740" display="https://twitter.com/SGE/status/723167158843392000" xr:uid="{28717F27-575E-40F7-92C4-06F06C27CEA6}"/>
    <hyperlink ref="O2235" r:id="rId6741" display="https://pbs.twimg.com/profile_images/471312276767535104/TIanhngf_normal.jpeg" xr:uid="{7D5E284C-638C-4F54-B5D1-E729DA516A95}"/>
    <hyperlink ref="B2236" r:id="rId6742" display="https://twitter.com/SGE" xr:uid="{A12FA0DE-0574-44BA-AC12-DF5CF4F79EE4}"/>
    <hyperlink ref="E2236" r:id="rId6743" display="https://twitter.com/SGE/status/723167369879781376" xr:uid="{FBCCBD85-852B-4AE8-AE05-BED8829F4C9B}"/>
    <hyperlink ref="O2236" r:id="rId6744" display="https://pbs.twimg.com/profile_images/471312276767535104/TIanhngf_normal.jpeg" xr:uid="{DFB5D5BD-2E70-4DAE-8DA8-7B75EE147175}"/>
    <hyperlink ref="B2237" r:id="rId6745" display="https://twitter.com/BeniSeiler" xr:uid="{E5D7F918-BE62-4CB1-BE9B-F539824C04A2}"/>
    <hyperlink ref="E2237" r:id="rId6746" display="https://twitter.com/BeniSeiler/status/723167634720718849" xr:uid="{236B8F3F-1154-4B07-A5FB-F48D14A08745}"/>
    <hyperlink ref="O2237" r:id="rId6747" display="https://pbs.twimg.com/profile_images/568671099278606336/tELKp5D5_normal.jpeg" xr:uid="{11A26FC1-07BF-47D6-9841-174FCC593302}"/>
    <hyperlink ref="B2238" r:id="rId6748" display="https://twitter.com/DominikBuergi" xr:uid="{E100AABE-E0A7-49A2-AA5A-A311937A9648}"/>
    <hyperlink ref="E2238" r:id="rId6749" display="https://twitter.com/DominikBuergi/status/723167967396155392" xr:uid="{130A536D-62F5-4354-AD23-EFEFA8317511}"/>
    <hyperlink ref="O2238" r:id="rId6750" display="https://pbs.twimg.com/profile_images/3763167092/97da7a2f03bd12f3fad27eba9bbb1034_normal.jpeg" xr:uid="{1D735D77-C2B1-4DEE-98D7-60F50DEAF9E5}"/>
    <hyperlink ref="B2239" r:id="rId6751" display="https://twitter.com/TammoSchwindt" xr:uid="{BD649AA3-BA1E-4DF7-AC46-448278940400}"/>
    <hyperlink ref="E2239" r:id="rId6752" display="https://twitter.com/TammoSchwindt/status/723168087994949632" xr:uid="{61D18761-6156-4207-8D3B-6973FB4B0B65}"/>
    <hyperlink ref="O2239" r:id="rId6753" display="https://pbs.twimg.com/profile_images/637311174229495808/i_CI23oa_normal.jpg" xr:uid="{5BA2363E-5ED5-46BA-9AAF-EE4EAB5B4D20}"/>
    <hyperlink ref="B2240" r:id="rId6754" display="https://twitter.com/mark_asbach" xr:uid="{21DF90C0-326A-4937-812F-9E837AEDD3BF}"/>
    <hyperlink ref="E2240" r:id="rId6755" display="https://twitter.com/mark_asbach/status/723168151270264832" xr:uid="{C29436B4-1A68-4861-AD0E-65F6FE65D209}"/>
    <hyperlink ref="O2240" r:id="rId6756" display="https://pbs.twimg.com/profile_images/673648481/twitter-profilfoto_normal.jpg" xr:uid="{B4DC3C8E-FF1E-42EC-93FB-C09269282623}"/>
    <hyperlink ref="B2241" r:id="rId6757" display="https://twitter.com/Infosys" xr:uid="{2559B9AE-D7AA-453C-8A42-76DBE56AD543}"/>
    <hyperlink ref="E2241" r:id="rId6758" display="https://twitter.com/Infosys/status/723168224712515584" xr:uid="{663E14A2-1603-4D40-B1E4-6F4E3FF9D5A9}"/>
    <hyperlink ref="O2241" r:id="rId6759" display="https://pbs.twimg.com/profile_images/464342929553645568/ti4ho-YV_normal.png" xr:uid="{0B6712F4-9022-4ACF-8701-5A6B8DA7AF3C}"/>
    <hyperlink ref="B2242" r:id="rId6760" display="https://twitter.com/nitinkolwadkar" xr:uid="{DC9D29B8-72CF-40BC-B9BE-A9B26D1B454F}"/>
    <hyperlink ref="E2242" r:id="rId6761" display="https://twitter.com/nitinkolwadkar/status/723168296095354880" xr:uid="{D9A488FB-16EC-40C3-A23E-79B3C01CD203}"/>
    <hyperlink ref="O2242" r:id="rId6762" display="https://pbs.twimg.com/profile_images/632832196001206272/A_Tfibsm_normal.jpg" xr:uid="{AE15B19A-0FAC-4C02-95D2-EFE47A45A264}"/>
    <hyperlink ref="B2243" r:id="rId6763" display="https://twitter.com/Philippa_IMechE" xr:uid="{008341B4-A6AF-4D73-AB00-E06E5877F103}"/>
    <hyperlink ref="E2243" r:id="rId6764" display="https://twitter.com/Philippa_IMechE/status/723168720609120256" xr:uid="{52F33F26-7A95-4B2A-8D98-CFC9108299DC}"/>
    <hyperlink ref="O2243" r:id="rId6765" display="https://pbs.twimg.com/profile_images/2447768381/c72zdveu8cxcv15s9782_normal.jpeg" xr:uid="{28204156-F836-4AED-970D-4D639EB7B333}"/>
    <hyperlink ref="B2244" r:id="rId6766" display="https://twitter.com/croXXing_IBD" xr:uid="{9941EE3B-148E-4CCD-BA70-406EA3F0E51D}"/>
    <hyperlink ref="E2244" r:id="rId6767" display="https://twitter.com/croXXing_IBD/status/723168832169345024" xr:uid="{4FD3269A-8511-4E53-A9C5-4F687C5BA15C}"/>
    <hyperlink ref="O2244" r:id="rId6768" display="https://pbs.twimg.com/profile_images/600279861282869249/IpIJ3MKX_normal.png" xr:uid="{939E409A-BDFB-4F35-880D-47AAD9CB7F55}"/>
    <hyperlink ref="B2245" r:id="rId6769" display="https://twitter.com/mohamedanis" xr:uid="{4B45C03F-10EA-4A25-BDAC-73AE1F39E1EF}"/>
    <hyperlink ref="E2245" r:id="rId6770" display="https://twitter.com/mohamedanis/status/723168950184488961" xr:uid="{003ECBF9-5F1D-45E6-859D-1C74388446D0}"/>
    <hyperlink ref="O2245" r:id="rId6771" display="https://pbs.twimg.com/profile_images/1117525291/image_normal.jpg" xr:uid="{1155356F-FC13-43CC-9E18-1E0C6DD4A2EC}"/>
    <hyperlink ref="B2246" r:id="rId6772" display="https://twitter.com/SchneiderElecDE" xr:uid="{0A082566-0774-4679-B614-F2F7A9B9A026}"/>
    <hyperlink ref="E2246" r:id="rId6773" display="https://twitter.com/SchneiderElecDE/status/723169049023115266" xr:uid="{A6095ACF-B8A7-43EA-A895-BAF8D436C90B}"/>
    <hyperlink ref="O2246" r:id="rId6774" display="https://pbs.twimg.com/profile_images/3112599272/7446ab70cbab1cf15ac54e9b795d2849_normal.jpeg" xr:uid="{1F93E162-6C79-4F1B-B72F-49D78A7F6A4D}"/>
    <hyperlink ref="B2247" r:id="rId6775" display="https://twitter.com/BDOManufacture" xr:uid="{27E21DC9-50DA-4A39-8544-20A0109BA700}"/>
    <hyperlink ref="E2247" r:id="rId6776" display="https://twitter.com/BDOManufacture/status/723169062176563200" xr:uid="{F1176C1B-F77F-4C75-8E0D-4AC7ED5709CD}"/>
    <hyperlink ref="O2247" r:id="rId6777" display="https://pbs.twimg.com/profile_images/1638383984/bdotwitter_normal.JPG" xr:uid="{45F562EA-569F-44A6-A436-0A6FAA68E7B8}"/>
    <hyperlink ref="B2248" r:id="rId6778" display="https://twitter.com/S_Koebernick" xr:uid="{74D6554B-BE19-4873-B957-DF6F7FE40CC2}"/>
    <hyperlink ref="E2248" r:id="rId6779" display="https://twitter.com/S_Koebernick/status/723169410135904256" xr:uid="{C152E5FF-1C99-40E0-8CCC-BDB157A3E835}"/>
    <hyperlink ref="O2248" r:id="rId6780" display="https://pbs.twimg.com/profile_images/567384025568776192/u-T3fEX2_normal.jpeg" xr:uid="{A1C9BF51-C86C-4422-96B8-287F9D83D590}"/>
    <hyperlink ref="B2249" r:id="rId6781" display="https://twitter.com/RonaldSchlager" xr:uid="{9B411CA7-7C74-4060-B1A7-A6DEB2C3D7D0}"/>
    <hyperlink ref="E2249" r:id="rId6782" display="https://twitter.com/RonaldSchlager/status/723169668203220996" xr:uid="{B6AA9613-D1AF-47FD-942F-32134EB2CA4E}"/>
    <hyperlink ref="O2249" r:id="rId6783" display="https://pbs.twimg.com/profile_images/534621099556737026/DyF7DRy5_normal.jpeg" xr:uid="{F103C989-B183-4724-A052-9DD66D0CF338}"/>
    <hyperlink ref="B2250" r:id="rId6784" display="https://twitter.com/ITOrakel" xr:uid="{32D50E56-D33F-469B-95DD-E2567E40461C}"/>
    <hyperlink ref="E2250" r:id="rId6785" display="https://twitter.com/ITOrakel/status/723170253992243200" xr:uid="{CF7E509D-1CBC-4BB9-9573-144B9FB25A37}"/>
    <hyperlink ref="O2250" r:id="rId6786" display="https://pbs.twimg.com/profile_images/722507600802287616/yHub8Hvx_normal.jpg" xr:uid="{D970DECA-63E0-4DC5-BD99-8B4839DBAFA2}"/>
    <hyperlink ref="B2251" r:id="rId6787" display="https://twitter.com/ITK_OWL" xr:uid="{7699415D-5719-40A7-BFAC-2B8AD057976F}"/>
    <hyperlink ref="E2251" r:id="rId6788" display="https://twitter.com/ITK_OWL/status/723171321484550144" xr:uid="{5CB5F1C0-C5AC-4483-8CE0-EADDBF78A2E5}"/>
    <hyperlink ref="O2251" r:id="rId6789" display="https://pbs.twimg.com/profile_images/601673968551075840/MnulnKkj_normal.png" xr:uid="{1F1637E2-4DBF-4E8F-8AF0-931E794F557A}"/>
    <hyperlink ref="B2252" r:id="rId6790" display="https://twitter.com/IMechE_YMB" xr:uid="{88E44363-2A80-491E-9E87-2EEB16236787}"/>
    <hyperlink ref="E2252" r:id="rId6791" display="https://twitter.com/IMechE_YMB/status/723171523930918914" xr:uid="{6F7106A4-CD4C-454F-BA2E-BFF7EB92DA5A}"/>
    <hyperlink ref="O2252" r:id="rId6792" display="https://pbs.twimg.com/profile_images/1556232610/IMechE-YM-t_normal.jpg" xr:uid="{1F917D7D-38CC-42E0-825D-66118728ECE7}"/>
    <hyperlink ref="B2253" r:id="rId6793" display="https://twitter.com/IETYoungPros" xr:uid="{DCC55643-5B42-429B-81C0-F80910E7D200}"/>
    <hyperlink ref="E2253" r:id="rId6794" display="https://twitter.com/IETYoungPros/status/723171867624890368" xr:uid="{CCDF9F9A-35CC-40D4-A782-AE20936FF59F}"/>
    <hyperlink ref="O2253" r:id="rId6795" display="https://pbs.twimg.com/profile_images/440423895963664384/T30y1kSZ_normal.jpeg" xr:uid="{69BD123F-F765-40EA-A5B1-B0740083210D}"/>
    <hyperlink ref="B2254" r:id="rId6796" display="https://twitter.com/A_Ostertag" xr:uid="{24EE3D79-4010-469B-9150-8631A0B20ADA}"/>
    <hyperlink ref="E2254" r:id="rId6797" display="https://twitter.com/A_Ostertag/status/723171876546056192" xr:uid="{66DD8233-8B5A-4F47-96C5-8EC401345F5F}"/>
    <hyperlink ref="O2254" r:id="rId6798" display="https://pbs.twimg.com/profile_images/576811691255599105/UYnWKLB6_normal.jpeg" xr:uid="{82707692-E0AF-4793-ACF1-30BA652DE685}"/>
    <hyperlink ref="B2255" r:id="rId6799" display="https://twitter.com/A_Ostertag" xr:uid="{DC8A9314-0E73-4FC0-9E5F-182E97D3EBD5}"/>
    <hyperlink ref="E2255" r:id="rId6800" display="https://twitter.com/A_Ostertag/status/723171925049012225" xr:uid="{CBA045AC-630C-4A0B-ABAA-C107B5770E00}"/>
    <hyperlink ref="O2255" r:id="rId6801" display="https://pbs.twimg.com/profile_images/576811691255599105/UYnWKLB6_normal.jpeg" xr:uid="{EC0C9625-BA06-45D2-ABDF-19DC62DA097E}"/>
    <hyperlink ref="B2256" r:id="rId6802" display="https://twitter.com/acatech_de" xr:uid="{0E504801-C7B5-47EB-A413-7EB155E9F056}"/>
    <hyperlink ref="E2256" r:id="rId6803" display="https://twitter.com/acatech_de/status/723172202753888256" xr:uid="{90A001B4-C170-4819-BE82-B12FCE5DCCDB}"/>
    <hyperlink ref="O2256" r:id="rId6804" display="https://pbs.twimg.com/profile_images/600969802908356609/3JqGMg38_normal.png" xr:uid="{09F91702-5EBE-4F29-8F0C-B94F532C9B4B}"/>
    <hyperlink ref="B2257" r:id="rId6805" display="https://twitter.com/brigittezypries" xr:uid="{64DEEB06-3D13-43CC-8B02-75BBF5073AFE}"/>
    <hyperlink ref="E2257" r:id="rId6806" display="https://twitter.com/brigittezypries/status/723174343761641472" xr:uid="{748A4A1B-EF82-4473-95E4-5B98994F7557}"/>
    <hyperlink ref="O2257" r:id="rId6807" display="https://pbs.twimg.com/profile_images/2201583254/image_normal.jpg" xr:uid="{81475B1D-89F3-47B8-8049-879D8E5ED284}"/>
    <hyperlink ref="B2258" r:id="rId6808" display="https://twitter.com/H_IT_D" xr:uid="{2C8AC9EC-5FEF-44EE-AA8A-818C805EC629}"/>
    <hyperlink ref="E2258" r:id="rId6809" display="https://twitter.com/H_IT_D/status/723174997456392194" xr:uid="{C0EAEA7D-6E7D-4384-83E9-EBD892A75324}"/>
    <hyperlink ref="O2258" r:id="rId6810" display="https://pbs.twimg.com/profile_images/662723326096224256/5V4KH9_O_normal.jpg" xr:uid="{A9F6F54B-432C-49FD-B95B-6FAF9C66C103}"/>
    <hyperlink ref="B2259" r:id="rId6811" display="https://twitter.com/KingsandeepSa" xr:uid="{AB93EDD8-9B0B-41B2-AB5C-2E08CF3C6FC7}"/>
    <hyperlink ref="E2259" r:id="rId6812" display="https://twitter.com/KingsandeepSa/status/723175893246578688" xr:uid="{D581C5FB-2DD3-460F-8A6B-822CAE078DC3}"/>
    <hyperlink ref="O2259" r:id="rId6813" display="https://pbs.twimg.com/profile_images/717555626092548096/hiruf99E_normal.jpg" xr:uid="{147ED869-AF11-4B4F-9E4A-28EA083139E0}"/>
    <hyperlink ref="B2260" r:id="rId6814" display="https://twitter.com/stefan_junge" xr:uid="{D3E0F815-BF30-41F0-B46F-AFD00324D7B9}"/>
    <hyperlink ref="E2260" r:id="rId6815" display="https://twitter.com/stefan_junge/status/723177631429070848" xr:uid="{2556E18F-F84F-4C73-95C0-50357896DC9B}"/>
    <hyperlink ref="O2260" r:id="rId6816" display="https://pbs.twimg.com/profile_images/677168371826315264/tHGUs0KR_normal.jpg" xr:uid="{DCEF6561-E2C7-46C9-90E5-9A8BECD2C3F7}"/>
    <hyperlink ref="B2261" r:id="rId6817" display="https://twitter.com/pechardscheck" xr:uid="{FB69B43B-3469-4584-8A0F-F9461280AE12}"/>
    <hyperlink ref="E2261" r:id="rId6818" display="https://twitter.com/pechardscheck/status/723178150276919297" xr:uid="{73054655-BB0E-4B67-82B5-73FCB62DC773}"/>
    <hyperlink ref="O2261" r:id="rId6819" display="https://pbs.twimg.com/profile_images/484308591910723584/icpo-IsD_normal.jpeg" xr:uid="{ADD8A8CF-166C-42E8-976D-EF5E02364BE9}"/>
    <hyperlink ref="B2262" r:id="rId6820" display="https://twitter.com/CapgeminiDE" xr:uid="{FEA9DFFD-B963-46E6-BABC-2EFAF45808A2}"/>
    <hyperlink ref="E2262" r:id="rId6821" display="https://twitter.com/CapgeminiDE/status/723178386491846656" xr:uid="{01F0B960-3454-4068-AA7C-965D488F2C7D}"/>
    <hyperlink ref="O2262" r:id="rId6822" display="https://pbs.twimg.com/profile_images/666911961599315968/aP7ID_qm_normal.png" xr:uid="{88C77699-4D52-4760-8585-7EBFB0879F5C}"/>
    <hyperlink ref="B2263" r:id="rId6823" display="https://twitter.com/pechardscheck" xr:uid="{E0853AD7-034F-4482-8FB3-07492AD04C32}"/>
    <hyperlink ref="E2263" r:id="rId6824" display="https://twitter.com/pechardscheck/status/723178619179126784" xr:uid="{381A18C7-170E-4AF3-AF4E-93FC70DC9FE9}"/>
    <hyperlink ref="O2263" r:id="rId6825" display="https://pbs.twimg.com/profile_images/484308591910723584/icpo-IsD_normal.jpeg" xr:uid="{D9CEB654-154E-4289-B842-0B1107238448}"/>
    <hyperlink ref="B2264" r:id="rId6826" display="https://twitter.com/j_froemming" xr:uid="{F6667380-4434-44C1-9D10-AD76E611947E}"/>
    <hyperlink ref="E2264" r:id="rId6827" display="https://twitter.com/j_froemming/status/723178779909185536" xr:uid="{67625E26-B3F4-4419-8C91-B92A42583409}"/>
    <hyperlink ref="O2264" r:id="rId6828" display="https://pbs.twimg.com/profile_images/502879276103106561/xVCdCAlQ_normal.jpeg" xr:uid="{DAA215AF-1BD9-479A-8F19-CA7DB4927CA8}"/>
    <hyperlink ref="B2265" r:id="rId6829" display="https://twitter.com/Bitkom_I40" xr:uid="{5458BA71-7BAF-427E-A9FC-AF28459F865E}"/>
    <hyperlink ref="E2265" r:id="rId6830" display="https://twitter.com/Bitkom_I40/status/723179014462935040" xr:uid="{D908321C-CD84-4671-8D0F-EA83BB8190A6}"/>
    <hyperlink ref="O2265" r:id="rId6831" display="https://pbs.twimg.com/profile_images/723407487395713024/0hZv7R8S_normal.jpg" xr:uid="{FF72DB6E-1468-43EB-8537-8809C098CF87}"/>
    <hyperlink ref="B2266" r:id="rId6832" display="https://twitter.com/ExpertenDerIT" xr:uid="{6D953927-B373-4392-92C1-5626EB605733}"/>
    <hyperlink ref="E2266" r:id="rId6833" display="https://twitter.com/ExpertenDerIT/status/723179253580337152" xr:uid="{2CA4C27F-E651-4839-8922-AD0FBCA298BB}"/>
    <hyperlink ref="O2266" r:id="rId6834" display="https://pbs.twimg.com/profile_images/602765400586096640/zQgtVu4r_normal.jpg" xr:uid="{1CFAA8C8-5C21-4651-AC91-EDE8A6C93431}"/>
    <hyperlink ref="B2267" r:id="rId6835" display="https://twitter.com/DCExperten" xr:uid="{D0CAE21B-28B1-47D5-8088-B4D4636589F5}"/>
    <hyperlink ref="E2267" r:id="rId6836" display="https://twitter.com/DCExperten/status/723179253823606784" xr:uid="{8BA7B0C2-6073-4A1A-B6C1-70BF83B4053E}"/>
    <hyperlink ref="O2267" r:id="rId6837" display="https://pbs.twimg.com/profile_images/691084654997155840/mqcey-s1_normal.jpg" xr:uid="{934F412B-ABDC-46A6-A803-5FB3108654F6}"/>
    <hyperlink ref="B2268" r:id="rId6838" display="https://twitter.com/IoTExperten" xr:uid="{14C90D3E-5D3A-4D65-90FC-9E4429FCC6FE}"/>
    <hyperlink ref="E2268" r:id="rId6839" display="https://twitter.com/IoTExperten/status/723179254465323008" xr:uid="{4F4DF8BF-AA8A-421B-B860-4C4C86DC4A33}"/>
    <hyperlink ref="O2268" r:id="rId6840" display="https://pbs.twimg.com/profile_images/691079266042265601/fpQ651r9_normal.jpg" xr:uid="{C41E0F6D-C104-47E7-865E-4C318B7F5F7F}"/>
    <hyperlink ref="B2269" r:id="rId6841" display="https://twitter.com/SecExperten" xr:uid="{750AF79C-B9E6-43E0-BFB5-14E7792BCDFC}"/>
    <hyperlink ref="E2269" r:id="rId6842" display="https://twitter.com/SecExperten/status/723179254503055360" xr:uid="{FD8915CA-9905-48C0-BEB6-4440972DAACB}"/>
    <hyperlink ref="O2269" r:id="rId6843" display="https://pbs.twimg.com/profile_images/557221316101545984/HeOsH32Y_normal.jpeg" xr:uid="{C5E77538-1D77-42A1-84D8-C181800481BE}"/>
    <hyperlink ref="B2270" r:id="rId6844" display="https://twitter.com/MobilExperten" xr:uid="{4B8B8D1E-311C-48F2-8F91-041B5E94D79A}"/>
    <hyperlink ref="E2270" r:id="rId6845" display="https://twitter.com/MobilExperten/status/723179254880591872" xr:uid="{8E2D18D5-C126-4465-A43C-D33141FE663C}"/>
    <hyperlink ref="O2270" r:id="rId6846" display="https://pbs.twimg.com/profile_images/691088203978149889/eYKaO8Ab_normal.jpg" xr:uid="{49C8E387-0718-4228-8FE8-DD5F5066E750}"/>
    <hyperlink ref="B2271" r:id="rId6847" display="https://twitter.com/CloudExperten" xr:uid="{CF9C4805-5C43-4272-BF64-ECA3B4561CAB}"/>
    <hyperlink ref="E2271" r:id="rId6848" display="https://twitter.com/CloudExperten/status/723179256382140416" xr:uid="{88A56E92-9ECB-4F82-BE2A-BFBA6CFCF006}"/>
    <hyperlink ref="O2271" r:id="rId6849" display="https://pbs.twimg.com/profile_images/463724092034523136/f9D5ppnk_normal.jpeg" xr:uid="{3227F364-1F91-49B2-B9C5-F54BD42DE446}"/>
    <hyperlink ref="B2272" r:id="rId6850" display="https://twitter.com/ROKAutomationUK" xr:uid="{ED047585-C42A-46E8-AA5C-767BD1C8C039}"/>
    <hyperlink ref="E2272" r:id="rId6851" display="https://twitter.com/ROKAutomationUK/status/723179553732976640" xr:uid="{9124CA7F-3D6A-4E51-83E7-CDB2BE0CED69}"/>
    <hyperlink ref="O2272" r:id="rId6852" display="https://pbs.twimg.com/profile_images/502402188295946240/rN3wbNyn_normal.jpeg" xr:uid="{905DDAF7-19AE-4B6C-8111-0ED1B359C7BF}"/>
    <hyperlink ref="B2273" r:id="rId6853" display="https://twitter.com/Bitkom" xr:uid="{212911A0-96F4-46A5-8DC2-671A1DC4A139}"/>
    <hyperlink ref="E2273" r:id="rId6854" display="https://twitter.com/Bitkom/status/723179564919336960" xr:uid="{F48A15BE-387C-4D9F-9367-879AD41E9232}"/>
    <hyperlink ref="O2273" r:id="rId6855" display="https://pbs.twimg.com/profile_images/615797525040136192/CKF9-v_o_normal.jpg" xr:uid="{5D17FB22-0FE2-4A9B-A89E-FEFFA310CEBE}"/>
    <hyperlink ref="B2274" r:id="rId6856" display="https://twitter.com/wisskonzept" xr:uid="{20F55070-A4DE-4A7F-A6A4-2A01BCEBF338}"/>
    <hyperlink ref="E2274" r:id="rId6857" display="https://twitter.com/wisskonzept/status/723179631340314624" xr:uid="{567AF620-263A-4A55-8236-F46B8DFA963F}"/>
    <hyperlink ref="O2274" r:id="rId6858" display="https://pbs.twimg.com/profile_images/607924894756667392/Q-rChkyI_normal.png" xr:uid="{0F604294-52CE-4218-B222-08FE9B102A54}"/>
    <hyperlink ref="B2275" r:id="rId6859" display="https://twitter.com/INDIZbot" xr:uid="{F4C4DEFA-DA5C-4EBF-8611-E3EFD36D32A8}"/>
    <hyperlink ref="E2275" r:id="rId6860" display="https://twitter.com/INDIZbot/status/723179775225958400" xr:uid="{3F53EEC3-2F8C-47C2-9B3C-B84A1AB595DF}"/>
    <hyperlink ref="O2275" r:id="rId6861" display="https://pbs.twimg.com/profile_images/645716711723925506/t5G0qOS6_normal.jpg" xr:uid="{991E9536-BAC5-4CAE-A916-29EC7EDF28BB}"/>
    <hyperlink ref="B2276" r:id="rId6862" display="https://twitter.com/INDIZbot" xr:uid="{8DD2E974-D91C-4195-917C-6735F1B2E547}"/>
    <hyperlink ref="E2276" r:id="rId6863" display="https://twitter.com/INDIZbot/status/723179870054957056" xr:uid="{F6B88C55-5E19-4255-A5D2-9C45AB375E20}"/>
    <hyperlink ref="O2276" r:id="rId6864" display="https://pbs.twimg.com/profile_images/645716711723925506/t5G0qOS6_normal.jpg" xr:uid="{A1CAD81B-20BF-4331-A377-8016BC3ADAD1}"/>
    <hyperlink ref="B2277" r:id="rId6865" display="https://twitter.com/INDIZbot" xr:uid="{FFC449EC-1380-45AE-89CE-92124CF06707}"/>
    <hyperlink ref="E2277" r:id="rId6866" display="https://twitter.com/INDIZbot/status/723179926556409856" xr:uid="{AF162573-8AAC-4F2F-A7D2-0BFDBC3631B2}"/>
    <hyperlink ref="O2277" r:id="rId6867" display="https://pbs.twimg.com/profile_images/645716711723925506/t5G0qOS6_normal.jpg" xr:uid="{8723DF27-50FF-4705-9EE5-D33111DE980E}"/>
    <hyperlink ref="B2278" r:id="rId6868" display="https://twitter.com/INDIZbot" xr:uid="{1C12A044-55AA-499A-9884-B6D438A778BE}"/>
    <hyperlink ref="E2278" r:id="rId6869" display="https://twitter.com/INDIZbot/status/723180062992945152" xr:uid="{6A9BFAC1-2947-4C24-954A-5D183B91D6CB}"/>
    <hyperlink ref="O2278" r:id="rId6870" display="https://pbs.twimg.com/profile_images/645716711723925506/t5G0qOS6_normal.jpg" xr:uid="{BD4CC0B7-FC2D-4D0B-B693-E0D3B97E7848}"/>
    <hyperlink ref="B2279" r:id="rId6871" display="https://twitter.com/MichaelKemme" xr:uid="{451863D8-3DF4-4B9D-8A28-DE0AA20F16A5}"/>
    <hyperlink ref="E2279" r:id="rId6872" display="https://twitter.com/MichaelKemme/status/723180129447456768" xr:uid="{BA111BB4-09A0-4A32-8A51-85ABA12EE9E7}"/>
    <hyperlink ref="O2279" r:id="rId6873" display="https://pbs.twimg.com/profile_images/651721786044850176/Q6lDeqrV_normal.jpg" xr:uid="{2DECB81C-AFB4-4CCC-A45B-0737A6E9839D}"/>
    <hyperlink ref="B2280" r:id="rId6874" display="https://twitter.com/cdaloz" xr:uid="{BF563C9E-97F0-4628-B3C5-1B7988EEC7D6}"/>
    <hyperlink ref="E2280" r:id="rId6875" display="https://twitter.com/cdaloz/status/723180144945336321" xr:uid="{455D601E-4559-46B9-BD2E-994EF3369EAB}"/>
    <hyperlink ref="O2280" r:id="rId6876" display="https://pbs.twimg.com/profile_images/670192287620665344/EaHFFkWS_normal.jpg" xr:uid="{751DC92F-6325-465D-977B-EF268A999C25}"/>
    <hyperlink ref="B2281" r:id="rId6877" display="https://twitter.com/INDIZbot" xr:uid="{221767F9-F0DB-4C8F-925B-5AF7D13E8879}"/>
    <hyperlink ref="E2281" r:id="rId6878" display="https://twitter.com/INDIZbot/status/723180194568245248" xr:uid="{71BA03F4-D5A1-4F2C-8575-0E6F15EEB30B}"/>
    <hyperlink ref="O2281" r:id="rId6879" display="https://pbs.twimg.com/profile_images/645716711723925506/t5G0qOS6_normal.jpg" xr:uid="{44630F35-B7CC-491D-8B7E-B4BD15C29018}"/>
    <hyperlink ref="B2282" r:id="rId6880" display="https://twitter.com/ITK_OWL" xr:uid="{1DCBF8FA-2DAD-4C4E-83AC-8DDE2DDCD409}"/>
    <hyperlink ref="E2282" r:id="rId6881" display="https://twitter.com/ITK_OWL/status/723180306707132416" xr:uid="{B6A4D67D-9874-4ABD-B23B-E3D9A22939C7}"/>
    <hyperlink ref="O2282" r:id="rId6882" display="https://pbs.twimg.com/profile_images/601673968551075840/MnulnKkj_normal.png" xr:uid="{3288946E-B193-48DB-9E0A-3EB34CCE9AA0}"/>
    <hyperlink ref="B2283" r:id="rId6883" display="https://twitter.com/Cumulocity" xr:uid="{F7F03455-3F0D-42DA-8AF2-3690BDEDA776}"/>
    <hyperlink ref="E2283" r:id="rId6884" display="https://twitter.com/Cumulocity/status/723181046297059330" xr:uid="{2B9BDFD9-8444-44D4-9EB4-0CF12E7B08B3}"/>
    <hyperlink ref="O2283" r:id="rId6885" display="https://pbs.twimg.com/profile_images/3318983479/26bb3ff9fb38e9a62894437a643d95bd_normal.png" xr:uid="{4DE9F2A9-A2F8-4448-943A-4E1425A4C731}"/>
    <hyperlink ref="B2284" r:id="rId6886" display="https://twitter.com/awesigs" xr:uid="{CDABC0B0-1E77-4F0D-8521-301574EB0246}"/>
    <hyperlink ref="E2284" r:id="rId6887" display="https://twitter.com/awesigs/status/723181222428577793" xr:uid="{A13F7872-6023-4C1A-9154-534C13280635}"/>
    <hyperlink ref="O2284" r:id="rId6888" display="https://pbs.twimg.com/profile_images/1398405138/wallpaper-85615_normal.jpg" xr:uid="{CB8C8271-A6FA-4080-9A85-7D3256120216}"/>
    <hyperlink ref="B2285" r:id="rId6889" display="https://twitter.com/IMechE" xr:uid="{2D114948-31A5-40F0-961B-4AA81E89B61B}"/>
    <hyperlink ref="E2285" r:id="rId6890" display="https://twitter.com/IMechE/status/723181311222001664" xr:uid="{474528B0-0DC7-4F03-BD38-2067BA04634A}"/>
    <hyperlink ref="O2285" r:id="rId6891" display="https://pbs.twimg.com/profile_images/2839681344/89460c019f3d93bdda5c67fddbaf4641_normal.png" xr:uid="{0CB511F6-96E5-458F-BD48-7C810B6AEAB5}"/>
    <hyperlink ref="B2286" r:id="rId6892" display="https://twitter.com/WalesBuzz" xr:uid="{93A1DDC7-C030-4045-BA84-0AB9EDC98432}"/>
    <hyperlink ref="E2286" r:id="rId6893" display="https://twitter.com/WalesBuzz/status/723181332059283456" xr:uid="{3A05DA8F-794B-4385-9D09-9BEF01328A0D}"/>
    <hyperlink ref="O2286" r:id="rId6894" display="https://pbs.twimg.com/profile_images/624966917669974016/Sl2SOVQ0_normal.jpg" xr:uid="{10F51B5C-8608-4620-B701-A7DFA015AF7D}"/>
    <hyperlink ref="B2287" r:id="rId6895" display="https://twitter.com/AsteaService" xr:uid="{85449505-E373-45A4-8240-C91F7E16C7F7}"/>
    <hyperlink ref="E2287" r:id="rId6896" display="https://twitter.com/AsteaService/status/723181339390935040" xr:uid="{A780F2E5-1E00-4E51-9E9B-72E9EF27EF13}"/>
    <hyperlink ref="O2287" r:id="rId6897" display="https://pbs.twimg.com/profile_images/468374493/asteatwitlogo_normal.jpg" xr:uid="{64BF34EB-9E94-4688-BEAA-916B8C5EEDC7}"/>
    <hyperlink ref="B2288" r:id="rId6898" display="https://twitter.com/awesigs" xr:uid="{59D7ABF2-3C2B-40A8-BEE2-726E3E0E6E24}"/>
    <hyperlink ref="E2288" r:id="rId6899" display="https://twitter.com/awesigs/status/723182413531242496" xr:uid="{5BAFC094-31C9-45CB-A8C2-6A6ED1ACE6A3}"/>
    <hyperlink ref="O2288" r:id="rId6900" display="https://pbs.twimg.com/profile_images/1398405138/wallpaper-85615_normal.jpg" xr:uid="{2BFFD9B6-EBE9-48FB-8A52-EBCE0A20B9D4}"/>
    <hyperlink ref="B2289" r:id="rId6901" display="https://twitter.com/ant0inet" xr:uid="{532AB1E7-2732-462D-85BF-4F15C3962E0A}"/>
    <hyperlink ref="E2289" r:id="rId6902" display="https://twitter.com/ant0inet/status/723185966194790401" xr:uid="{DDDCDDD3-79B7-4F3C-9F25-7038C7359D42}"/>
    <hyperlink ref="O2289" r:id="rId6903" display="https://pbs.twimg.com/profile_images/1860086699/antoine.thomas-gerard_normal.jpg" xr:uid="{2A1FBFDA-87D5-4D7D-B797-867058639E10}"/>
    <hyperlink ref="B2290" r:id="rId6904" display="https://twitter.com/Industry40" xr:uid="{BEC06982-D0EB-4D21-8D58-9E5CC8FFC76F}"/>
    <hyperlink ref="E2290" r:id="rId6905" display="https://twitter.com/Industry40/status/723186135359344643" xr:uid="{23AEBA36-EA7F-456D-81A6-4B673011F586}"/>
    <hyperlink ref="O2290" r:id="rId6906" display="https://pbs.twimg.com/profile_images/613472305570824192/BKw639DG_normal.png" xr:uid="{DC4DA572-3396-4CF5-BED4-42DAC7EF6CD5}"/>
    <hyperlink ref="B2291" r:id="rId6907" display="https://twitter.com/croXXing_IBD" xr:uid="{15A7C51B-A138-4281-8E38-8CDD74136814}"/>
    <hyperlink ref="E2291" r:id="rId6908" display="https://twitter.com/croXXing_IBD/status/723186516323913728" xr:uid="{D12E8AE5-AD52-41D9-A45D-A9E8B6FC562A}"/>
    <hyperlink ref="O2291" r:id="rId6909" display="https://pbs.twimg.com/profile_images/600279861282869249/IpIJ3MKX_normal.png" xr:uid="{A2193576-7C9A-40ED-9CC5-E08CAF4DDF5B}"/>
    <hyperlink ref="B2292" r:id="rId6910" display="https://twitter.com/DIGITUSmagazin" xr:uid="{E38472DF-F5B9-48AA-B353-B6B5E06F95E6}"/>
    <hyperlink ref="E2292" r:id="rId6911" display="https://twitter.com/DIGITUSmagazin/status/723189919338795008" xr:uid="{B05B136F-5F7E-4964-BE77-B2AB5FB2E8F7}"/>
    <hyperlink ref="O2292" r:id="rId6912" display="https://pbs.twimg.com/profile_images/703129684733591552/SLOopLNe_normal.jpg" xr:uid="{88E01348-E40D-4B2A-BA75-52970B741365}"/>
    <hyperlink ref="B2293" r:id="rId6913" display="https://twitter.com/IT_Connection" xr:uid="{815A0847-AAF2-4AD8-BFBA-A79F7089A21A}"/>
    <hyperlink ref="E2293" r:id="rId6914" display="https://twitter.com/IT_Connection/status/723190054202556416" xr:uid="{C5BBDC3C-C743-449E-8721-4B4C35AD8A97}"/>
    <hyperlink ref="O2293" r:id="rId6915" display="https://pbs.twimg.com/profile_images/566986293888835584/_uYTcau__normal.png" xr:uid="{DDCA52B8-E2D3-41BD-9F09-D763F6D7C52F}"/>
    <hyperlink ref="B2294" r:id="rId6916" display="https://twitter.com/WassenhovenUG" xr:uid="{BD85F095-80D4-4E90-A990-CF4CA65DE61F}"/>
    <hyperlink ref="E2294" r:id="rId6917" display="https://twitter.com/WassenhovenUG/status/723190246855348224" xr:uid="{E6EC48E6-32A3-403D-884C-93B8F22047BA}"/>
    <hyperlink ref="O2294" r:id="rId6918" display="https://pbs.twimg.com/profile_images/590945003289059328/J0FpdmyS_normal.png" xr:uid="{0DE370CE-9791-42D1-B13E-1B567F241801}"/>
    <hyperlink ref="B2295" r:id="rId6919" display="https://twitter.com/FERCHAU" xr:uid="{25E7408B-49C6-4862-A56D-F9507F59312D}"/>
    <hyperlink ref="E2295" r:id="rId6920" display="https://twitter.com/FERCHAU/status/723190904127926272" xr:uid="{10D115D7-3E1C-45D2-8DFF-9193BFD0DA9F}"/>
    <hyperlink ref="O2295" r:id="rId6921" display="https://pbs.twimg.com/profile_images/473462374200909824/EVvRwnqG_normal.jpeg" xr:uid="{84040D33-F314-4EA8-976F-9806D95F3B5A}"/>
    <hyperlink ref="B2296" r:id="rId6922" display="https://twitter.com/H_IT_D" xr:uid="{9B750837-EBA6-45B2-971E-5F4F67FC4CD4}"/>
    <hyperlink ref="E2296" r:id="rId6923" display="https://twitter.com/H_IT_D/status/723191459864678400" xr:uid="{7D625BAB-E95F-4104-A175-3487F06C3E17}"/>
    <hyperlink ref="O2296" r:id="rId6924" display="https://pbs.twimg.com/profile_images/662723326096224256/5V4KH9_O_normal.jpg" xr:uid="{A70BBA0F-6394-42D8-8EFD-E025BBCC9CB0}"/>
    <hyperlink ref="B2297" r:id="rId6925" display="https://twitter.com/DIGITUSmagazin" xr:uid="{C35861B5-99CB-4D02-85F1-2713FC5C0163}"/>
    <hyperlink ref="E2297" r:id="rId6926" display="https://twitter.com/DIGITUSmagazin/status/723191999440936960" xr:uid="{F71E1C6F-9565-4961-BCF7-6D3DEC8E33B5}"/>
    <hyperlink ref="O2297" r:id="rId6927" display="https://pbs.twimg.com/profile_images/703129684733591552/SLOopLNe_normal.jpg" xr:uid="{5B0F2129-E3EA-421A-8D29-E502B20D3D30}"/>
    <hyperlink ref="B2298" r:id="rId6928" display="https://twitter.com/INDIZbot" xr:uid="{9DDD76E8-C866-439C-9A66-E02DA05AB139}"/>
    <hyperlink ref="E2298" r:id="rId6929" display="https://twitter.com/INDIZbot/status/723192435589951488" xr:uid="{5A1B795A-86B6-4375-9EA6-8511D9B4C310}"/>
    <hyperlink ref="O2298" r:id="rId6930" display="https://pbs.twimg.com/profile_images/645716711723925506/t5G0qOS6_normal.jpg" xr:uid="{CEEBC665-C43E-4624-90C7-A8991251E09F}"/>
    <hyperlink ref="B2299" r:id="rId6931" display="https://twitter.com/INDIZbot" xr:uid="{8D117F49-C238-4334-BDF3-8EC7BE9C5998}"/>
    <hyperlink ref="E2299" r:id="rId6932" display="https://twitter.com/INDIZbot/status/723192504774963200" xr:uid="{FFB734E8-9D90-4E37-B9C8-411FE7DA2876}"/>
    <hyperlink ref="O2299" r:id="rId6933" display="https://pbs.twimg.com/profile_images/645716711723925506/t5G0qOS6_normal.jpg" xr:uid="{6B5A46C8-9296-4A7D-885A-806034FAED3A}"/>
    <hyperlink ref="B2300" r:id="rId6934" display="https://twitter.com/Connect_Things" xr:uid="{48F35D06-D4DE-4574-BD8B-72D520D6F326}"/>
    <hyperlink ref="E2300" r:id="rId6935" display="https://twitter.com/Connect_Things/status/723195874617090048" xr:uid="{6D5A0672-316E-40FB-A324-AFDC9D513285}"/>
    <hyperlink ref="O2300" r:id="rId6936" display="https://pbs.twimg.com/profile_images/701040765321936897/8PGP7xLf_normal.jpg" xr:uid="{DF32754A-5526-42B8-B524-BBC2BEF2AB51}"/>
    <hyperlink ref="B2301" r:id="rId6937" display="https://twitter.com/DanielDomigall" xr:uid="{E9C08CA6-8B23-4128-97FF-10563D7C4128}"/>
    <hyperlink ref="E2301" r:id="rId6938" display="https://twitter.com/DanielDomigall/status/723198920013320192" xr:uid="{6278C273-7C31-493C-91BD-31A27F70666B}"/>
    <hyperlink ref="O2301" r:id="rId6939" display="https://pbs.twimg.com/profile_images/686153219328872448/sWdOqu2g_normal.jpg" xr:uid="{DD640210-5BD4-4856-9AB5-4A037659A190}"/>
    <hyperlink ref="B2302" r:id="rId6940" display="https://twitter.com/greiten" xr:uid="{8B701E4B-0ED4-4EEC-BE86-372B9EAA354A}"/>
    <hyperlink ref="E2302" r:id="rId6941" display="https://twitter.com/greiten/status/723200988929228800" xr:uid="{2BE8A153-3642-4962-AD28-B37D9E38650A}"/>
    <hyperlink ref="O2302" r:id="rId6942" display="https://pbs.twimg.com/profile_images/612572506642358272/xRrctO28_normal.jpg" xr:uid="{DC69FB26-DFA4-4FF3-9D52-B4F3A51D2CFF}"/>
    <hyperlink ref="B2303" r:id="rId6943" display="https://twitter.com/MicrocityNE" xr:uid="{DB640845-65E8-45DB-B286-F82A2D4D2D53}"/>
    <hyperlink ref="E2303" r:id="rId6944" display="https://twitter.com/MicrocityNE/status/723202534022742016" xr:uid="{F2332FB0-7368-45FC-B8C0-757B9FF30034}"/>
    <hyperlink ref="O2303" r:id="rId6945" display="https://pbs.twimg.com/profile_images/646411181574496256/r7iNbDud_normal.jpg" xr:uid="{7D968859-BA94-46C2-8BCE-73A384F6C3C9}"/>
    <hyperlink ref="B2304" r:id="rId6946" display="https://twitter.com/INDIZbot" xr:uid="{9B4FDB43-CFAF-4916-9B90-50BCD740DCAB}"/>
    <hyperlink ref="E2304" r:id="rId6947" display="https://twitter.com/INDIZbot/status/723202645201170432" xr:uid="{D7DB467E-527A-4134-96AC-DFDA3BB6C023}"/>
    <hyperlink ref="O2304" r:id="rId6948" display="https://pbs.twimg.com/profile_images/645716711723925506/t5G0qOS6_normal.jpg" xr:uid="{747AD794-84D6-4EEE-9F2E-3DDD0BB590CD}"/>
    <hyperlink ref="B2305" r:id="rId6949" display="https://twitter.com/bamitav" xr:uid="{83E8FA28-13C1-437B-9D4A-A183712BA9FC}"/>
    <hyperlink ref="E2305" r:id="rId6950" display="https://twitter.com/bamitav/status/723202842954059782" xr:uid="{085E487B-826A-44E1-B7C3-B4D592E5E613}"/>
    <hyperlink ref="O2305" r:id="rId6951" display="https://pbs.twimg.com/profile_images/672794348442877952/m6Is-Nrc_normal.jpg" xr:uid="{C786D235-ED61-4B1F-A868-A9C243602855}"/>
    <hyperlink ref="B2306" r:id="rId6952" display="https://twitter.com/GiebelRalph" xr:uid="{C636145F-277D-4612-A3F8-7488ABBD9BE4}"/>
    <hyperlink ref="E2306" r:id="rId6953" display="https://twitter.com/GiebelRalph/status/723203287030353920" xr:uid="{C702EE91-47F8-4854-9386-A3DFD269ECB4}"/>
    <hyperlink ref="O2306" r:id="rId6954" display="https://pbs.twimg.com/profile_images/1458427477/833_RG_140-196_PIC_normal.jpg" xr:uid="{015EAE04-8AF0-4238-95B7-FA5F290E87C0}"/>
    <hyperlink ref="B2307" r:id="rId6955" display="https://twitter.com/BoschSI" xr:uid="{E252844B-075E-4DBF-87D3-3A16CB08BCB0}"/>
    <hyperlink ref="E2307" r:id="rId6956" display="https://twitter.com/BoschSI/status/723204048413966337" xr:uid="{EB5977B9-24C3-4DEB-AFE5-655A02694659}"/>
    <hyperlink ref="O2307" r:id="rId6957" display="https://pbs.twimg.com/profile_images/423816397320241152/83rRQZmm_normal.jpeg" xr:uid="{D64886C2-A573-44F3-8031-729D7B572ED2}"/>
    <hyperlink ref="B2308" r:id="rId6958" display="https://twitter.com/H_IT_D" xr:uid="{B7BD863B-91B4-4189-9C37-5C257E295B25}"/>
    <hyperlink ref="E2308" r:id="rId6959" display="https://twitter.com/H_IT_D/status/723208158546554881" xr:uid="{040A9988-71EA-41EC-8FFB-7A4004481B07}"/>
    <hyperlink ref="O2308" r:id="rId6960" display="https://pbs.twimg.com/profile_images/662723326096224256/5V4KH9_O_normal.jpg" xr:uid="{BF3D452A-BEFC-4017-BDC8-CA8D88AC69EA}"/>
    <hyperlink ref="B2309" r:id="rId6961" display="https://twitter.com/pfisterer_ralf" xr:uid="{C167B52C-4B99-47DD-B913-DF7EB0EB3F22}"/>
    <hyperlink ref="E2309" r:id="rId6962" display="https://twitter.com/pfisterer_ralf/status/723212680476131328" xr:uid="{B33339D6-206F-487E-82B2-6148B63CEDDF}"/>
    <hyperlink ref="O2309" r:id="rId6963" display="https://pbs.twimg.com/profile_images/687624884244082688/eYnhv8nB_normal.jpg" xr:uid="{5B1F6498-9249-4EF4-92C8-E759F317FE98}"/>
    <hyperlink ref="B2310" r:id="rId6964" display="https://twitter.com/INDIZbot" xr:uid="{4DEB1706-BE3D-45D8-8140-2B67E63C8905}"/>
    <hyperlink ref="E2310" r:id="rId6965" display="https://twitter.com/INDIZbot/status/723212968289271809" xr:uid="{3CD1145C-5655-483E-BF76-6AF81FCFF124}"/>
    <hyperlink ref="O2310" r:id="rId6966" display="https://pbs.twimg.com/profile_images/645716711723925506/t5G0qOS6_normal.jpg" xr:uid="{13F2E298-BE05-44E4-92AF-6587C8FF6C30}"/>
    <hyperlink ref="B2311" r:id="rId6967" display="https://twitter.com/ke13ds" xr:uid="{06D3EDF3-4B36-4C56-98DF-681067ADA8BC}"/>
    <hyperlink ref="E2311" r:id="rId6968" display="https://twitter.com/ke13ds/status/723214013451128836" xr:uid="{B8150412-A544-43FC-939C-56BF8887F2D9}"/>
    <hyperlink ref="O2311" r:id="rId6969" display="https://pbs.twimg.com/profile_images/660034078662664192/fW_fR4oj_normal.jpg" xr:uid="{D0704FCA-0A83-4727-91B2-912D77C26034}"/>
    <hyperlink ref="B2312" r:id="rId6970" display="https://twitter.com/QuickFindsIn" xr:uid="{82CEF133-CDFF-44CA-9500-29D62BBB6BB6}"/>
    <hyperlink ref="E2312" r:id="rId6971" display="https://twitter.com/QuickFindsIn/status/723215730779377664" xr:uid="{2782263D-6BE1-4834-ACE0-A93DDD03F798}"/>
    <hyperlink ref="O2312" r:id="rId6972" display="https://pbs.twimg.com/profile_images/591951396217327616/HbcCX2zX_normal.png" xr:uid="{7BB6E026-0FDC-4DB0-B0F6-B9FD45000DCB}"/>
    <hyperlink ref="B2313" r:id="rId6973" display="https://twitter.com/nfoerster" xr:uid="{D6D34584-3A62-4ECB-92D8-6E6536C47A36}"/>
    <hyperlink ref="E2313" r:id="rId6974" display="https://twitter.com/nfoerster/status/723220410221862912" xr:uid="{13A81D35-2DD8-46A2-8767-5C4E6400FB50}"/>
    <hyperlink ref="O2313" r:id="rId6975" display="https://pbs.twimg.com/profile_images/120360497/Bild_1_normal.png" xr:uid="{65978BD7-7235-4E3A-8EE3-41F37B453FF1}"/>
    <hyperlink ref="B2314" r:id="rId6976" display="https://twitter.com/deviceWISEM2M" xr:uid="{C2342EF6-52D6-49C1-B59E-6EB3F0EACA53}"/>
    <hyperlink ref="E2314" r:id="rId6977" display="https://twitter.com/deviceWISEM2M/status/723222029948837888" xr:uid="{E3F088F2-9B1C-44AE-8A55-AA5F2A18368F}"/>
    <hyperlink ref="O2314" r:id="rId6978" display="https://pbs.twimg.com/profile_images/638707523160272896/YonVe2-H_normal.jpg" xr:uid="{8EC5E62E-CC60-4BC7-9A4D-DACC77F66475}"/>
    <hyperlink ref="B2315" r:id="rId6979" display="https://twitter.com/BeierMichael71" xr:uid="{04C30C0E-AD8E-4447-97C2-22D093FA0F96}"/>
    <hyperlink ref="E2315" r:id="rId6980" display="https://twitter.com/BeierMichael71/status/723223147516817408" xr:uid="{7DFE0DF2-9458-4432-9A1B-16E0C900FCFB}"/>
    <hyperlink ref="O2315" r:id="rId6981" display="https://pbs.twimg.com/profile_images/704029343115300866/yUARofpi_normal.jpg" xr:uid="{8C84AB85-9D24-485D-83F2-CFF64E2A452D}"/>
    <hyperlink ref="B2316" r:id="rId6982" display="https://twitter.com/BGMSystemhaus" xr:uid="{C40B4F18-563A-4CDD-8E52-BB0A948DA580}"/>
    <hyperlink ref="E2316" r:id="rId6983" display="https://twitter.com/BGMSystemhaus/status/723223935152717825" xr:uid="{9569214B-FDB4-4694-BA13-D59834C62FBE}"/>
    <hyperlink ref="O2316" r:id="rId6984" display="https://pbs.twimg.com/profile_images/717446134499778560/M6wGD8Ci_normal.jpg" xr:uid="{5D110870-A264-4A88-829D-411C665F4482}"/>
    <hyperlink ref="B2317" r:id="rId6985" display="https://twitter.com/kommoptimierer" xr:uid="{8CA98AF6-A0A9-4568-A197-80DC2711E3D5}"/>
    <hyperlink ref="E2317" r:id="rId6986" display="https://twitter.com/kommoptimierer/status/723224792619474945" xr:uid="{C1FD995D-4977-44CA-B4ED-B36F50F4A023}"/>
    <hyperlink ref="O2317" r:id="rId6987" display="https://pbs.twimg.com/profile_images/541146126158536704/IYardufS_normal.jpeg" xr:uid="{0C666838-3565-48A7-AFC8-0A3F343B0504}"/>
    <hyperlink ref="B2318" r:id="rId6988" display="https://twitter.com/INDIZbot" xr:uid="{0C455B95-E4FD-40AF-AB2F-C01D840A3768}"/>
    <hyperlink ref="E2318" r:id="rId6989" display="https://twitter.com/INDIZbot/status/723225077492408320" xr:uid="{02224265-8C83-4F8F-B97C-1F8F9180E94C}"/>
    <hyperlink ref="O2318" r:id="rId6990" display="https://pbs.twimg.com/profile_images/645716711723925506/t5G0qOS6_normal.jpg" xr:uid="{9E34ABE6-C1B9-4473-A7BE-EB4FDD6AAAC2}"/>
    <hyperlink ref="B2319" r:id="rId6991" display="https://twitter.com/INDIZbot" xr:uid="{462B05FB-59E1-49B2-9309-64FED2F24229}"/>
    <hyperlink ref="E2319" r:id="rId6992" display="https://twitter.com/INDIZbot/status/723225362046566400" xr:uid="{0BEF7001-46DB-450D-88FB-2273206422F8}"/>
    <hyperlink ref="O2319" r:id="rId6993" display="https://pbs.twimg.com/profile_images/645716711723925506/t5G0qOS6_normal.jpg" xr:uid="{8D5321D2-969D-49E6-81A3-9D0C16CA2B9A}"/>
    <hyperlink ref="B2320" r:id="rId6994" display="https://twitter.com/Beckers_Beste" xr:uid="{5A1177E4-094A-4881-AA87-A026282E13BE}"/>
    <hyperlink ref="E2320" r:id="rId6995" display="https://twitter.com/Beckers_Beste/status/723225518234017796" xr:uid="{8838658C-A2F2-4F18-A4BA-2714679681C8}"/>
    <hyperlink ref="O2320" r:id="rId6996" display="https://pbs.twimg.com/profile_images/712359940522958848/YTIPdlXp_normal.jpg" xr:uid="{51966FCC-664B-4004-9B76-7E9F3A8D421F}"/>
    <hyperlink ref="B2321" r:id="rId6997" display="https://twitter.com/TorbenFred" xr:uid="{191937FC-5A76-43F8-94CE-DFD9370CCD39}"/>
    <hyperlink ref="E2321" r:id="rId6998" display="https://twitter.com/TorbenFred/status/723226025899995137" xr:uid="{6B34A2D6-2B60-421F-93C5-838662317A52}"/>
    <hyperlink ref="O2321" r:id="rId6999" display="https://pbs.twimg.com/profile_images/378800000720043036/33eecd625d5bb41fcf35fcdcd9bc74a6_normal.jpeg" xr:uid="{94726F07-D0A0-4CFB-8454-54C8B581F2DA}"/>
    <hyperlink ref="B2322" r:id="rId7000" display="https://twitter.com/computerdoktor" xr:uid="{FD6AD224-2DC3-42AD-9A43-5BFE84936726}"/>
    <hyperlink ref="E2322" r:id="rId7001" display="https://twitter.com/computerdoktor/status/723228513608802304" xr:uid="{7BAB1CE0-FB7B-4DE6-B904-8DBBF6982502}"/>
    <hyperlink ref="O2322" r:id="rId7002" display="https://abs.twimg.com/sticky/default_profile_images/default_profile_5_normal.png" xr:uid="{9B438941-5D49-478E-9278-D7D4F42545EC}"/>
    <hyperlink ref="B2323" r:id="rId7003" display="https://twitter.com/computerdoktor" xr:uid="{F462FBF4-41E3-41F6-BCD8-4204FEBDBF2A}"/>
    <hyperlink ref="E2323" r:id="rId7004" display="https://twitter.com/computerdoktor/status/723228811475718146" xr:uid="{94D9286C-7258-4580-B0AB-D64E21AA878E}"/>
    <hyperlink ref="O2323" r:id="rId7005" display="https://abs.twimg.com/sticky/default_profile_images/default_profile_5_normal.png" xr:uid="{D2B8CD73-88D4-40AB-80F8-9D2F1EDBB40D}"/>
    <hyperlink ref="B2324" r:id="rId7006" display="https://twitter.com/40_Nachrichten" xr:uid="{486AE6EB-6F14-4996-B63E-D95032938AF6}"/>
    <hyperlink ref="E2324" r:id="rId7007" display="https://twitter.com/40_Nachrichten/status/723229424146063360" xr:uid="{AB7C97F1-CF2C-42B1-A7A1-96F89F8CB84A}"/>
    <hyperlink ref="O2324" r:id="rId7008" display="https://pbs.twimg.com/profile_images/528172647868166144/lVpOdrD8_normal.png" xr:uid="{A60FF5BF-1321-4F7D-82D5-578BFFCA58E3}"/>
    <hyperlink ref="B2325" r:id="rId7009" display="https://twitter.com/vzvManaBear24" xr:uid="{3F39EABB-9CD4-45AB-8AED-FB469801F1C8}"/>
    <hyperlink ref="E2325" r:id="rId7010" display="https://twitter.com/vzvManaBear24/status/723231219412926465" xr:uid="{D1F5EDD6-42C9-47C5-B24A-1F58E74E69A2}"/>
    <hyperlink ref="O2325" r:id="rId7011" display="https://pbs.twimg.com/profile_images/510826287565254657/THA4WDGZ_normal.jpeg" xr:uid="{39FFD5E8-CD19-4858-8333-1E1CBEA448CB}"/>
    <hyperlink ref="B2326" r:id="rId7012" display="https://twitter.com/kommoptimierer" xr:uid="{42DD9B17-7134-413B-8E00-8A97A7EFC148}"/>
    <hyperlink ref="E2326" r:id="rId7013" display="https://twitter.com/kommoptimierer/status/723232340332449793" xr:uid="{FDF8E5F6-37D7-41EA-BA92-6FD53BA1308A}"/>
    <hyperlink ref="O2326" r:id="rId7014" display="https://pbs.twimg.com/profile_images/541146126158536704/IYardufS_normal.jpeg" xr:uid="{10F31B74-0620-404A-A64B-88ADB6A04EA1}"/>
    <hyperlink ref="B2327" r:id="rId7015" display="https://twitter.com/Angelinux3000" xr:uid="{39E4C4D5-D223-409E-AD02-D0D4D84D6767}"/>
    <hyperlink ref="E2327" r:id="rId7016" display="https://twitter.com/Angelinux3000/status/723233777422458880" xr:uid="{AA4FF3CB-042A-4DF7-84F2-2B6779CF4F92}"/>
    <hyperlink ref="O2327" r:id="rId7017" display="https://pbs.twimg.com/profile_images/432803682598395905/8nYgOn9r_normal.jpeg" xr:uid="{76CE7CBE-8554-42BA-89C2-211E68638148}"/>
    <hyperlink ref="B2328" r:id="rId7018" display="https://twitter.com/MTuchelmann" xr:uid="{4FD1AD86-3588-4F75-8E84-206478D62DC0}"/>
    <hyperlink ref="E2328" r:id="rId7019" display="https://twitter.com/MTuchelmann/status/723234364499345408" xr:uid="{7CC3F258-2E68-4238-B98E-023651D15A97}"/>
    <hyperlink ref="O2328" r:id="rId7020" display="https://pbs.twimg.com/profile_images/699591789964083200/ZinQaSi0_normal.jpg" xr:uid="{ABB70AC4-9303-4F9F-B9C1-D394CFF90EAE}"/>
    <hyperlink ref="B2329" r:id="rId7021" display="https://twitter.com/SiePing" xr:uid="{4E10EF36-EF62-4E71-82BA-09E4353D3815}"/>
    <hyperlink ref="E2329" r:id="rId7022" display="https://twitter.com/SiePing/status/723237091761655808" xr:uid="{6070D6CD-3104-4F27-8728-4B850AF4B90A}"/>
    <hyperlink ref="O2329" r:id="rId7023" display="https://pbs.twimg.com/profile_images/479235073674182657/VBPTQP9b_normal.jpeg" xr:uid="{F80CDA2A-77BF-4DC4-B256-4E81EE1A8E0A}"/>
    <hyperlink ref="B2330" r:id="rId7024" display="https://twitter.com/flashlight1405" xr:uid="{44903537-6FE6-4AAD-9926-730BC6292535}"/>
    <hyperlink ref="E2330" r:id="rId7025" display="https://twitter.com/flashlight1405/status/723239750111514625" xr:uid="{FC311B48-37EA-4662-9719-F654303EDC4B}"/>
    <hyperlink ref="O2330" r:id="rId7026" display="https://pbs.twimg.com/profile_images/710115007380496384/soUshg0u_normal.jpg" xr:uid="{D69C37E3-CB09-4FA4-AECB-FAF674B41A72}"/>
    <hyperlink ref="B2331" r:id="rId7027" display="https://twitter.com/kommoptimierer" xr:uid="{2D4769D0-2DF6-481F-8179-36CE4E837207}"/>
    <hyperlink ref="E2331" r:id="rId7028" display="https://twitter.com/kommoptimierer/status/723241149171945472" xr:uid="{1B5F6E90-CE6E-42EC-A212-9A02A88F97C2}"/>
    <hyperlink ref="O2331" r:id="rId7029" display="https://pbs.twimg.com/profile_images/541146126158536704/IYardufS_normal.jpeg" xr:uid="{50176987-8B41-437D-9929-0615FAB13C2F}"/>
    <hyperlink ref="B2332" r:id="rId7030" display="https://twitter.com/gpodagrosi" xr:uid="{B8F55A85-7770-4812-B043-9B2E233A33AB}"/>
    <hyperlink ref="E2332" r:id="rId7031" display="https://twitter.com/gpodagrosi/status/723241575254528001" xr:uid="{E0887272-8817-446C-91C7-0EA2306FC0D4}"/>
    <hyperlink ref="O2332" r:id="rId7032" display="https://pbs.twimg.com/profile_images/588981131996966912/55KBnYR7_normal.jpg" xr:uid="{3A66CAF3-6E12-430F-BF85-EDF67C8625D1}"/>
    <hyperlink ref="B2333" r:id="rId7033" display="https://twitter.com/INDIZbot" xr:uid="{C6C9C826-668D-4DEA-8BBB-F2084B458178}"/>
    <hyperlink ref="E2333" r:id="rId7034" display="https://twitter.com/INDIZbot/status/723242946296971264" xr:uid="{B8E7F449-B67B-4B54-B2C1-F7AEE5D84DFB}"/>
    <hyperlink ref="O2333" r:id="rId7035" display="https://pbs.twimg.com/profile_images/645716711723925506/t5G0qOS6_normal.jpg" xr:uid="{F2585093-E305-4A27-B3A0-405FE4B79CEC}"/>
    <hyperlink ref="B2334" r:id="rId7036" display="https://twitter.com/RSchu12" xr:uid="{B747182C-055B-4C52-ACDA-722E2DED680B}"/>
    <hyperlink ref="E2334" r:id="rId7037" display="https://twitter.com/RSchu12/status/723244683284086785" xr:uid="{8347FE57-252D-4762-9399-74A2EDF051A7}"/>
    <hyperlink ref="O2334" r:id="rId7038" display="https://pbs.twimg.com/profile_images/1845741363/Rudolf-Schuler_facebook_normal.jpg" xr:uid="{BAA3AC11-89FE-429A-BC78-CD86A4856583}"/>
    <hyperlink ref="B2335" r:id="rId7039" display="https://twitter.com/catkinEU" xr:uid="{8492F773-BEF8-44B2-9987-EB54ADAE4D2E}"/>
    <hyperlink ref="E2335" r:id="rId7040" display="https://twitter.com/catkinEU/status/723244796723093504" xr:uid="{FEBDBCAF-87B4-49DE-B84B-3CFEAEBAA47B}"/>
    <hyperlink ref="O2335" r:id="rId7041" display="https://pbs.twimg.com/profile_images/604338428227010560/6jzSa8us_normal.png" xr:uid="{DE9D6DB5-78FF-4C0E-B33F-9AD019F63BF7}"/>
    <hyperlink ref="B2336" r:id="rId7042" display="https://twitter.com/cerratlan" xr:uid="{DCBDDE99-60F5-4EA2-857C-BD493A2335D4}"/>
    <hyperlink ref="E2336" r:id="rId7043" display="https://twitter.com/cerratlan/status/723248327970697216" xr:uid="{0007A175-D24F-4996-888B-E310D523CDBF}"/>
    <hyperlink ref="O2336" r:id="rId7044" display="https://pbs.twimg.com/profile_images/689489673270509572/SdYuHEEE_normal.jpg" xr:uid="{6253EC62-0DFF-44BC-9888-ABB3A9DFB3AD}"/>
    <hyperlink ref="B2337" r:id="rId7045" display="https://twitter.com/tomweisz" xr:uid="{C0421F2A-4307-4B56-A670-4629A6744AD2}"/>
    <hyperlink ref="E2337" r:id="rId7046" display="https://twitter.com/tomweisz/status/723249150079434752" xr:uid="{92DFB742-FA28-49FC-98BF-89B0B7E5EDA2}"/>
    <hyperlink ref="O2337" r:id="rId7047" display="https://pbs.twimg.com/profile_images/720669524786327552/lJEA-nOB_normal.jpg" xr:uid="{8FB7516F-8949-41D7-B409-63352379E34F}"/>
    <hyperlink ref="B2338" r:id="rId7048" display="https://twitter.com/DanielKueng" xr:uid="{06DEF577-96EB-4AC1-AC9A-F0BC788E10F8}"/>
    <hyperlink ref="E2338" r:id="rId7049" display="https://twitter.com/DanielKueng/status/723249210297073664" xr:uid="{B86C8782-27B5-425E-968F-1A64EBA71EE6}"/>
    <hyperlink ref="O2338" r:id="rId7050" display="https://pbs.twimg.com/profile_images/709490937043492865/GYoQPOCZ_normal.jpg" xr:uid="{86BE8A7F-5AF3-4044-AF1B-56BC51944C2A}"/>
    <hyperlink ref="B2339" r:id="rId7051" display="https://twitter.com/DanielKueng" xr:uid="{BC1B3B5F-38D9-4671-8209-749C0C8031CB}"/>
    <hyperlink ref="E2339" r:id="rId7052" display="https://twitter.com/DanielKueng/status/723249237627154432" xr:uid="{D49B8353-8FB7-4AA6-8587-D1AFCD2E331B}"/>
    <hyperlink ref="O2339" r:id="rId7053" display="https://pbs.twimg.com/profile_images/709490937043492865/GYoQPOCZ_normal.jpg" xr:uid="{C533611F-7300-4D01-A7BC-084ABCBBC7B5}"/>
    <hyperlink ref="B2340" r:id="rId7054" display="https://twitter.com/DanielKueng" xr:uid="{C3D81953-838A-46B7-BFEE-9D3CEB20ABAD}"/>
    <hyperlink ref="E2340" r:id="rId7055" display="https://twitter.com/DanielKueng/status/723249281457598466" xr:uid="{937C3F4B-D566-45CF-B2A5-E449EFB85C78}"/>
    <hyperlink ref="O2340" r:id="rId7056" display="https://pbs.twimg.com/profile_images/709490937043492865/GYoQPOCZ_normal.jpg" xr:uid="{4814D845-D263-4737-838D-4EFAE27DDE4D}"/>
    <hyperlink ref="B2341" r:id="rId7057" display="https://twitter.com/DanielKueng" xr:uid="{6935F623-AFCC-454E-9726-BD1A4F0E6DD0}"/>
    <hyperlink ref="E2341" r:id="rId7058" display="https://twitter.com/DanielKueng/status/723249308292767744" xr:uid="{D44467DC-92D1-4AA8-B974-7A278202F186}"/>
    <hyperlink ref="O2341" r:id="rId7059" display="https://pbs.twimg.com/profile_images/709490937043492865/GYoQPOCZ_normal.jpg" xr:uid="{80031BB0-434C-42EE-8C59-C405258477AB}"/>
    <hyperlink ref="B2342" r:id="rId7060" display="https://twitter.com/MickLangdale" xr:uid="{1363C5B2-0167-41CB-AECD-1888CC3562A4}"/>
    <hyperlink ref="E2342" r:id="rId7061" display="https://twitter.com/MickLangdale/status/723249763890651136" xr:uid="{2997CC11-8FD1-435F-AE18-9C2ED1F16B3D}"/>
    <hyperlink ref="O2342" r:id="rId7062" display="https://pbs.twimg.com/profile_images/713101102577745920/1__bxTI__normal.jpg" xr:uid="{AC4CA145-7AC4-4EB7-ABF0-63B081E4D717}"/>
    <hyperlink ref="B2343" r:id="rId7063" display="https://twitter.com/hasford_" xr:uid="{BD848423-947C-4C71-A630-5BF09ECE1C3C}"/>
    <hyperlink ref="E2343" r:id="rId7064" display="https://twitter.com/hasford_/status/723250070020341760" xr:uid="{9C415B56-9E53-4B55-9CB6-2D44E3B788BD}"/>
    <hyperlink ref="O2343" r:id="rId7065" display="https://pbs.twimg.com/profile_images/611813155258417152/t2BN8dsF_normal.jpg" xr:uid="{4C8C19F3-539B-40FB-BA59-8D9ACD5FAA6D}"/>
    <hyperlink ref="B2344" r:id="rId7066" display="https://twitter.com/INDIZbot" xr:uid="{A42EB92C-819C-4ED6-A2BD-8DC93CFC0524}"/>
    <hyperlink ref="E2344" r:id="rId7067" display="https://twitter.com/INDIZbot/status/723250242200674304" xr:uid="{DB7FAC08-0FC6-457E-8C28-55EFF380605B}"/>
    <hyperlink ref="O2344" r:id="rId7068" display="https://pbs.twimg.com/profile_images/645716711723925506/t5G0qOS6_normal.jpg" xr:uid="{D1B44D80-9662-40A6-A3AC-33812459D337}"/>
    <hyperlink ref="B2345" r:id="rId7069" display="https://twitter.com/INDIZbot" xr:uid="{4595E361-3F2A-4D0F-8E24-A33C68A5261A}"/>
    <hyperlink ref="E2345" r:id="rId7070" display="https://twitter.com/INDIZbot/status/723250389525651457" xr:uid="{26BE1A21-B100-4330-BC50-E2A314DED046}"/>
    <hyperlink ref="O2345" r:id="rId7071" display="https://pbs.twimg.com/profile_images/645716711723925506/t5G0qOS6_normal.jpg" xr:uid="{FF1F473E-D5AB-469F-A7AD-01D4FAA429B1}"/>
    <hyperlink ref="B2346" r:id="rId7072" display="https://twitter.com/kat2812" xr:uid="{95F87E39-B1C3-47EC-B118-78CCB2DD3E63}"/>
    <hyperlink ref="E2346" r:id="rId7073" display="https://twitter.com/kat2812/status/723250459515994112" xr:uid="{4A4A6234-BA5A-4D67-8CA9-47ACB86CEEBB}"/>
    <hyperlink ref="O2346" r:id="rId7074" display="https://pbs.twimg.com/profile_images/2994151206/72e14517d19cb49aa35fe3019df8b048_normal.jpeg" xr:uid="{90521656-CCF8-4C23-BF6B-C0C9485C571F}"/>
    <hyperlink ref="B2347" r:id="rId7075" display="https://twitter.com/INDIZbot" xr:uid="{6598B207-50F6-4595-B1F0-A25DC764C615}"/>
    <hyperlink ref="E2347" r:id="rId7076" display="https://twitter.com/INDIZbot/status/723250496862081024" xr:uid="{2CF23C83-8227-4F6A-8618-05819D60D9E7}"/>
    <hyperlink ref="O2347" r:id="rId7077" display="https://pbs.twimg.com/profile_images/645716711723925506/t5G0qOS6_normal.jpg" xr:uid="{E460DA17-0B9F-4FAB-8B34-3C72BBBA3DC7}"/>
    <hyperlink ref="B2348" r:id="rId7078" display="https://twitter.com/INDIZbot" xr:uid="{19019027-1DB5-4B82-B507-05E80FF978EE}"/>
    <hyperlink ref="E2348" r:id="rId7079" display="https://twitter.com/INDIZbot/status/723250636159082496" xr:uid="{B33E9214-EFFA-4064-AF2A-AC6EE32C4FF7}"/>
    <hyperlink ref="O2348" r:id="rId7080" display="https://pbs.twimg.com/profile_images/645716711723925506/t5G0qOS6_normal.jpg" xr:uid="{0FC0AFF5-D611-4135-B20B-5580412C1E94}"/>
    <hyperlink ref="B2349" r:id="rId7081" display="https://twitter.com/INDIZbot" xr:uid="{00B5B6F6-3331-4C17-AE0A-4FA0B43E1239}"/>
    <hyperlink ref="E2349" r:id="rId7082" display="https://twitter.com/INDIZbot/status/723250743998857217" xr:uid="{05A0425B-6225-4CB8-851C-B4AC39F608DD}"/>
    <hyperlink ref="O2349" r:id="rId7083" display="https://pbs.twimg.com/profile_images/645716711723925506/t5G0qOS6_normal.jpg" xr:uid="{161A3749-8DA4-4380-B865-6D411EC2D8DC}"/>
    <hyperlink ref="B2350" r:id="rId7084" display="https://twitter.com/LOSTnFOUNDAG" xr:uid="{79B07D13-650B-4EA2-9F5C-6F81137C069E}"/>
    <hyperlink ref="E2350" r:id="rId7085" display="https://twitter.com/LOSTnFOUNDAG/status/723250865063247872" xr:uid="{E2B387FF-D91D-4786-A455-43E295E8382D}"/>
    <hyperlink ref="O2350" r:id="rId7086" display="https://pbs.twimg.com/profile_images/1739127741/Twitter_logo_normal" xr:uid="{B0530642-92E1-4AC4-9202-B8652BDB5AE7}"/>
    <hyperlink ref="B2351" r:id="rId7087" display="https://twitter.com/frankcausa" xr:uid="{C7062551-8BCD-47A3-A80C-132D24FFCEB6}"/>
    <hyperlink ref="E2351" r:id="rId7088" display="https://twitter.com/frankcausa/status/723253698546270208" xr:uid="{1C980711-ADC2-44D7-863C-81F10BD2B260}"/>
    <hyperlink ref="O2351" r:id="rId7089" display="https://pbs.twimg.com/profile_images/698375438155059201/CHH9GkNn_normal.jpg" xr:uid="{15B4DF6A-2AFC-42CC-A813-6B3B41A60B48}"/>
    <hyperlink ref="B2352" r:id="rId7090" display="https://twitter.com/MindCommerce" xr:uid="{B0495FD4-7238-40A9-82FD-CC482BC3B44B}"/>
    <hyperlink ref="E2352" r:id="rId7091" display="https://twitter.com/MindCommerce/status/723257901851262977" xr:uid="{CA305A7F-4915-455A-B857-69C20AE0A795}"/>
    <hyperlink ref="O2352" r:id="rId7092" display="https://pbs.twimg.com/profile_images/548030384030507008/utABqhj9_normal.png" xr:uid="{4D8BFC95-96A9-4C96-A99D-F6D275108CCA}"/>
    <hyperlink ref="B2353" r:id="rId7093" display="https://twitter.com/NorbertKeil" xr:uid="{102546E1-9543-41C7-A1E4-BA42FDA5BC85}"/>
    <hyperlink ref="E2353" r:id="rId7094" display="https://twitter.com/NorbertKeil/status/723259061064597504" xr:uid="{622DD976-AB8D-49D2-A97B-443840D1C7C3}"/>
    <hyperlink ref="O2353" r:id="rId7095" display="https://pbs.twimg.com/profile_images/1359656656/Portrait-NK-APC_normal.jpg" xr:uid="{8B69437B-54C8-4099-A411-45B68F75DD1F}"/>
    <hyperlink ref="B2354" r:id="rId7096" display="https://twitter.com/sarhapu" xr:uid="{251B75CF-C9E3-4B79-9AFD-517D95063B1F}"/>
    <hyperlink ref="E2354" r:id="rId7097" display="https://twitter.com/sarhapu/status/723261011223035904" xr:uid="{FF6E6142-D6FB-4C28-9333-18B829B58BDC}"/>
    <hyperlink ref="O2354" r:id="rId7098" display="https://pbs.twimg.com/profile_images/663734674653622272/h2JzQVyL_normal.jpg" xr:uid="{F9A60B08-D247-4B8A-804E-7C2F5F4C8A59}"/>
    <hyperlink ref="B2355" r:id="rId7099" display="https://twitter.com/IoTMinded" xr:uid="{77E698E6-FB2F-4319-8A3A-C07E8B1AB2D7}"/>
    <hyperlink ref="E2355" r:id="rId7100" display="https://twitter.com/IoTMinded/status/723261454204448772" xr:uid="{1AC3A792-D2A8-434E-A23F-8A8EF5560E68}"/>
    <hyperlink ref="O2355" r:id="rId7101" display="https://pbs.twimg.com/profile_images/603699032804859904/lb5IMG5x_normal.jpg" xr:uid="{CD9BE875-8589-4BE9-9D87-1ABB0D6A87D9}"/>
    <hyperlink ref="B2356" r:id="rId7102" display="https://twitter.com/sarhapu" xr:uid="{24421E44-BE17-49AB-880A-BEAB4A181928}"/>
    <hyperlink ref="E2356" r:id="rId7103" display="https://twitter.com/sarhapu/status/723261525931241472" xr:uid="{56F1D794-B56B-4760-8883-E78B637B7E75}"/>
    <hyperlink ref="O2356" r:id="rId7104" display="https://pbs.twimg.com/profile_images/663734674653622272/h2JzQVyL_normal.jpg" xr:uid="{C27EEA77-DAC3-47B4-AF22-82EDC054EA35}"/>
    <hyperlink ref="B2357" r:id="rId7105" display="https://twitter.com/sarhapu" xr:uid="{72E3C103-AFDF-4D92-AEB5-DCE231EC9DA3}"/>
    <hyperlink ref="E2357" r:id="rId7106" display="https://twitter.com/sarhapu/status/723262108268433408" xr:uid="{B94E96F8-94F9-4A1F-AA50-188AF3451768}"/>
    <hyperlink ref="O2357" r:id="rId7107" display="https://pbs.twimg.com/profile_images/663734674653622272/h2JzQVyL_normal.jpg" xr:uid="{C173247D-2119-47C7-B707-A9D3F964864C}"/>
    <hyperlink ref="B2358" r:id="rId7108" display="https://twitter.com/INDIZbot" xr:uid="{B3E916B5-E1EA-4377-89CE-2FAAAB8AA4BA}"/>
    <hyperlink ref="E2358" r:id="rId7109" display="https://twitter.com/INDIZbot/status/723262826110935040" xr:uid="{6CAE1248-DBE4-4BC8-8D26-D0B11D44C2C2}"/>
    <hyperlink ref="O2358" r:id="rId7110" display="https://pbs.twimg.com/profile_images/645716711723925506/t5G0qOS6_normal.jpg" xr:uid="{C141CA60-A7ED-4BF7-AF3E-ABB419FB65AF}"/>
    <hyperlink ref="B2359" r:id="rId7111" display="https://twitter.com/INDIZbot" xr:uid="{FCEBFC5C-B1AF-4C15-A51C-2138D6E9DD93}"/>
    <hyperlink ref="E2359" r:id="rId7112" display="https://twitter.com/INDIZbot/status/723262875796668416" xr:uid="{28F3A236-0DE1-4B82-B045-CA493DFEC64F}"/>
    <hyperlink ref="O2359" r:id="rId7113" display="https://pbs.twimg.com/profile_images/645716711723925506/t5G0qOS6_normal.jpg" xr:uid="{727E3482-E4CE-4FD1-9303-6F66E3E0999E}"/>
    <hyperlink ref="B2360" r:id="rId7114" display="https://twitter.com/INDIZbot" xr:uid="{6C344697-1CD6-4875-8968-2882842FB916}"/>
    <hyperlink ref="E2360" r:id="rId7115" display="https://twitter.com/INDIZbot/status/723262965160484865" xr:uid="{3E935F72-131B-40DF-A8C8-18ABE4A759B4}"/>
    <hyperlink ref="O2360" r:id="rId7116" display="https://pbs.twimg.com/profile_images/645716711723925506/t5G0qOS6_normal.jpg" xr:uid="{F79EA25B-07A4-43B4-8CEE-A8CCD166D119}"/>
    <hyperlink ref="B2361" r:id="rId7117" display="https://twitter.com/TLinn_Visionico" xr:uid="{357623A5-4EEB-451E-9017-C0C72610D7F8}"/>
    <hyperlink ref="E2361" r:id="rId7118" display="https://twitter.com/TLinn_Visionico/status/723263862930284544" xr:uid="{FB8E8F06-F3E0-43EB-86AB-3C7771EC8FD5}"/>
    <hyperlink ref="O2361" r:id="rId7119" display="https://pbs.twimg.com/profile_images/692017435269054464/uFlgRwyV_normal.jpg" xr:uid="{F787D056-955D-42D0-A716-8D199C4955A2}"/>
    <hyperlink ref="B2362" r:id="rId7120" display="https://twitter.com/LudgerKrusenba1" xr:uid="{E0CD1356-37FB-4155-92EB-417ADB2977F1}"/>
    <hyperlink ref="E2362" r:id="rId7121" display="https://twitter.com/LudgerKrusenba1/status/723264006874619904" xr:uid="{EBBDC903-16E9-47F8-AE6F-7062D52C7C45}"/>
    <hyperlink ref="O2362" r:id="rId7122" display="https://pbs.twimg.com/profile_images/555439324096102400/jCOIm1RQ_normal.jpeg" xr:uid="{E6F4FE30-ACAA-40B9-9AAF-0D706BD250EF}"/>
    <hyperlink ref="B2363" r:id="rId7123" display="https://twitter.com/INDIZbot" xr:uid="{0BF783B9-87A1-4866-B62D-189DAFB169E1}"/>
    <hyperlink ref="E2363" r:id="rId7124" display="https://twitter.com/INDIZbot/status/723265579101073408" xr:uid="{16B4FF9A-8EB0-47AB-8E4A-82A385CCB6ED}"/>
    <hyperlink ref="O2363" r:id="rId7125" display="https://pbs.twimg.com/profile_images/645716711723925506/t5G0qOS6_normal.jpg" xr:uid="{6F6DEB93-0F6E-4854-AD54-0DEA5EE46323}"/>
    <hyperlink ref="B2364" r:id="rId7126" display="https://twitter.com/INDIZbot" xr:uid="{7DC831C0-537D-42AF-ACEE-1C433C7C957E}"/>
    <hyperlink ref="E2364" r:id="rId7127" display="https://twitter.com/INDIZbot/status/723265683035963392" xr:uid="{B3DA9FD4-9E2F-4FFB-BE95-45F11FFF4D99}"/>
    <hyperlink ref="O2364" r:id="rId7128" display="https://pbs.twimg.com/profile_images/645716711723925506/t5G0qOS6_normal.jpg" xr:uid="{05831BF5-E23E-4FC9-82B6-5C642365644A}"/>
    <hyperlink ref="B2365" r:id="rId7129" display="https://twitter.com/openHPI" xr:uid="{327E4D2E-A8CA-40C4-A5AC-638DF9D0399C}"/>
    <hyperlink ref="E2365" r:id="rId7130" display="https://twitter.com/openHPI/status/723273943164051458" xr:uid="{24BEEE90-FE0C-4013-9DBB-812C0F450E4D}"/>
    <hyperlink ref="O2365" r:id="rId7131" display="https://pbs.twimg.com/profile_images/378800000827898552/669f90369b095789252ae6f0649bc39a_normal.png" xr:uid="{4C6D7A3B-5BCA-4219-ACB8-7F971E41CAB7}"/>
    <hyperlink ref="B2366" r:id="rId7132" display="https://twitter.com/INDIZbot" xr:uid="{14359078-B677-49C8-A5E2-BFE2C85C8486}"/>
    <hyperlink ref="E2366" r:id="rId7133" display="https://twitter.com/INDIZbot/status/723275412017688576" xr:uid="{EB036C76-B396-4FA9-9694-4A80F8316F24}"/>
    <hyperlink ref="O2366" r:id="rId7134" display="https://pbs.twimg.com/profile_images/645716711723925506/t5G0qOS6_normal.jpg" xr:uid="{2DEC02D4-24CC-427F-86C6-65F933681036}"/>
    <hyperlink ref="B2367" r:id="rId7135" display="https://twitter.com/Frank_Reinelt" xr:uid="{5F3A880E-49C8-4A49-AE68-A56085AC0C82}"/>
    <hyperlink ref="E2367" r:id="rId7136" display="https://twitter.com/Frank_Reinelt/status/723278655561060352" xr:uid="{1C846129-B93E-48E3-AF11-7F9DF93961F8}"/>
    <hyperlink ref="O2367" r:id="rId7137" display="https://pbs.twimg.com/profile_images/669853588152283137/mqKB9aP__normal.jpg" xr:uid="{A48863D4-EA3B-4392-9AA3-A05619AC0F2E}"/>
    <hyperlink ref="B2368" r:id="rId7138" display="https://twitter.com/INDIZbot" xr:uid="{E0554010-1A02-4AEB-BF33-B4EC06C8BC95}"/>
    <hyperlink ref="E2368" r:id="rId7139" display="https://twitter.com/INDIZbot/status/723280446054912001" xr:uid="{C893EB1C-92CE-47F4-BC1C-2716DDE62457}"/>
    <hyperlink ref="O2368" r:id="rId7140" display="https://pbs.twimg.com/profile_images/645716711723925506/t5G0qOS6_normal.jpg" xr:uid="{E6DBE51F-1058-4892-AE95-BD7653AA0D8F}"/>
    <hyperlink ref="B2369" r:id="rId7141" display="https://twitter.com/apetrongari" xr:uid="{4DB25570-BAF1-410C-A069-86D3A9CC5A74}"/>
    <hyperlink ref="E2369" r:id="rId7142" display="https://twitter.com/apetrongari/status/723286036160385024" xr:uid="{97B52B29-B42B-46EF-9D3B-0F3B5FC59F92}"/>
    <hyperlink ref="O2369" r:id="rId7143" display="https://pbs.twimg.com/profile_images/722034829412409344/6lUy649v_normal.jpg" xr:uid="{A93C0D20-794E-4E00-B4DA-E2A01BF42094}"/>
    <hyperlink ref="B2370" r:id="rId7144" display="https://twitter.com/TLinn_Visionico" xr:uid="{BF3BF346-09F9-44E6-A410-39BBB06FDF80}"/>
    <hyperlink ref="E2370" r:id="rId7145" display="https://twitter.com/TLinn_Visionico/status/723286523181981697" xr:uid="{0DF021BE-36BF-4E4F-9E4E-603552FA0FE1}"/>
    <hyperlink ref="O2370" r:id="rId7146" display="https://pbs.twimg.com/profile_images/692017435269054464/uFlgRwyV_normal.jpg" xr:uid="{FD58D011-3B83-42A6-8471-495CD96E5C6C}"/>
    <hyperlink ref="B2371" r:id="rId7147" display="https://twitter.com/H_IT_D" xr:uid="{137FCC29-6A17-4F7D-8F8E-9212E3B5E272}"/>
    <hyperlink ref="E2371" r:id="rId7148" display="https://twitter.com/H_IT_D/status/723286860206772224" xr:uid="{29DFB765-3323-4C45-829D-D8D121D6BFA6}"/>
    <hyperlink ref="O2371" r:id="rId7149" display="https://pbs.twimg.com/profile_images/662723326096224256/5V4KH9_O_normal.jpg" xr:uid="{DA285F2B-ED44-4D90-B7A3-C9E6B8B1924B}"/>
    <hyperlink ref="B2372" r:id="rId7150" display="https://twitter.com/BigDataTweetBot" xr:uid="{1E6023AC-7A97-4887-9A27-51AB5AC2A745}"/>
    <hyperlink ref="E2372" r:id="rId7151" display="https://twitter.com/BigDataTweetBot/status/723287939158007812" xr:uid="{E4193703-DF98-40BB-B6D4-9F7EBE329DA5}"/>
    <hyperlink ref="O2372" r:id="rId7152" display="https://pbs.twimg.com/profile_images/616793252524650496/bQbxJqmz_normal.jpg" xr:uid="{2E20785D-6ED7-49CA-AAD4-2F139F50B846}"/>
    <hyperlink ref="B2373" r:id="rId7153" display="https://twitter.com/INDIZbot" xr:uid="{13EB6D9C-1BCA-459B-AB98-282D0663A357}"/>
    <hyperlink ref="E2373" r:id="rId7154" display="https://twitter.com/INDIZbot/status/723287994388627456" xr:uid="{F87774F9-E5A6-4AF1-868E-6482B259700A}"/>
    <hyperlink ref="O2373" r:id="rId7155" display="https://pbs.twimg.com/profile_images/645716711723925506/t5G0qOS6_normal.jpg" xr:uid="{F17E8699-22D1-4C72-BD66-76F0DDA135C9}"/>
    <hyperlink ref="B2374" r:id="rId7156" display="https://twitter.com/INDIZbot" xr:uid="{1E9D82F1-92A4-4275-97F3-64484734E47E}"/>
    <hyperlink ref="E2374" r:id="rId7157" display="https://twitter.com/INDIZbot/status/723288085069475841" xr:uid="{F0496164-BB46-4546-9F32-6B9D7B4D8800}"/>
    <hyperlink ref="O2374" r:id="rId7158" display="https://pbs.twimg.com/profile_images/645716711723925506/t5G0qOS6_normal.jpg" xr:uid="{76944903-EFC3-474C-A783-F092885913AB}"/>
    <hyperlink ref="B2375" r:id="rId7159" display="https://twitter.com/RethinkRobotics" xr:uid="{86C0DE9D-31F6-4171-83DB-828066497754}"/>
    <hyperlink ref="E2375" r:id="rId7160" display="https://twitter.com/RethinkRobotics/status/723323816101986306" xr:uid="{4A6A1931-D3CC-41B6-8D88-303A061AEF2D}"/>
    <hyperlink ref="O2375" r:id="rId7161" display="https://pbs.twimg.com/profile_images/3673497206/85ee8240b2449d1748b6e4c0747fb409_normal.jpeg" xr:uid="{E30B8A17-9BE5-409D-BEC9-5966864A3FFE}"/>
    <hyperlink ref="B2376" r:id="rId7162" display="https://twitter.com/JohnRiversToo" xr:uid="{AB7884A9-07A7-49C7-AC49-4F50108D20A9}"/>
    <hyperlink ref="E2376" r:id="rId7163" display="https://twitter.com/JohnRiversToo/status/723324986954534912" xr:uid="{9EEB3583-EA46-41FF-8005-31A4F6FD1C0D}"/>
    <hyperlink ref="O2376" r:id="rId7164" display="https://pbs.twimg.com/profile_images/599726511197814784/hcPkurXV_normal.jpg" xr:uid="{BA28CDD0-C5FD-4E55-8EBB-CB0554C19D08}"/>
    <hyperlink ref="B2377" r:id="rId7165" display="https://twitter.com/tim_reichardt" xr:uid="{33BBA918-BA8F-4B0F-958C-A41AFF319778}"/>
    <hyperlink ref="E2377" r:id="rId7166" display="https://twitter.com/tim_reichardt/status/723327591713767426" xr:uid="{F22CDF9C-5E94-4DD7-B5E5-48825FA877F7}"/>
    <hyperlink ref="O2377" r:id="rId7167" display="https://pbs.twimg.com/profile_images/719638775668858880/hmUhQ5p2_normal.jpg" xr:uid="{99D7687A-0E56-4655-9179-915D5B864CDA}"/>
    <hyperlink ref="B2378" r:id="rId7168" display="https://twitter.com/PPanchakIW" xr:uid="{3A948B96-040E-446D-9E7E-E86DD3C53E99}"/>
    <hyperlink ref="E2378" r:id="rId7169" display="https://twitter.com/PPanchakIW/status/723333778597371905" xr:uid="{3CA9EC7C-44AE-44D9-9C28-FB9414AB0D57}"/>
    <hyperlink ref="O2378" r:id="rId7170" display="https://pbs.twimg.com/profile_images/1827233338/Pat_P._no_glass.twitter_normal.jpg" xr:uid="{C5263196-B928-48FE-98D7-69DA5F46A83F}"/>
    <hyperlink ref="B2379" r:id="rId7171" display="https://twitter.com/H_IT_D" xr:uid="{F2AB6195-E7F9-492C-A398-5B110D9F9C3C}"/>
    <hyperlink ref="E2379" r:id="rId7172" display="https://twitter.com/H_IT_D/status/723366551630413824" xr:uid="{819BCB0B-F32E-4F9E-82EE-A24C1A98FB85}"/>
    <hyperlink ref="O2379" r:id="rId7173" display="https://pbs.twimg.com/profile_images/662723326096224256/5V4KH9_O_normal.jpg" xr:uid="{1670FA43-5032-4A6D-8330-CD10EEBBB34C}"/>
    <hyperlink ref="B2380" r:id="rId7174" display="https://twitter.com/INDIZbot" xr:uid="{4BB8BEFE-EE32-4A6C-949A-FE0F8BA2B329}"/>
    <hyperlink ref="E2380" r:id="rId7175" display="https://twitter.com/INDIZbot/status/723368634874105856" xr:uid="{36A33CD4-A671-483D-8C75-80BF4149F901}"/>
    <hyperlink ref="O2380" r:id="rId7176" display="https://pbs.twimg.com/profile_images/645716711723925506/t5G0qOS6_normal.jpg" xr:uid="{1FBEC88E-EF00-43BB-9B0C-7DF4218ACC46}"/>
    <hyperlink ref="B2381" r:id="rId7177" display="https://twitter.com/Following_HR" xr:uid="{E5323A65-347C-4387-9FD5-ECB5CF570775}"/>
    <hyperlink ref="E2381" r:id="rId7178" display="https://twitter.com/Following_HR/status/723371802211147776" xr:uid="{01F2FEAC-E808-4CEC-9F0F-2BBA9FF7E57B}"/>
    <hyperlink ref="O2381" r:id="rId7179" display="https://pbs.twimg.com/profile_images/1182335615/Foto_Stefan_D_ring_normal.jpg" xr:uid="{D60ACE41-3235-4288-896B-7D030CAA4DA9}"/>
    <hyperlink ref="B2382" r:id="rId7180" display="https://twitter.com/germanbirdy" xr:uid="{5BCB6BE5-9E4E-4197-A7DC-AEB32BDBB788}"/>
    <hyperlink ref="E2382" r:id="rId7181" display="https://twitter.com/germanbirdy/status/723373197110874112" xr:uid="{173B0120-D9A7-4DBE-83E4-29143B4F3857}"/>
    <hyperlink ref="O2382" r:id="rId7182" display="https://pbs.twimg.com/profile_images/271136077/Germanbirdy_normal.jpg" xr:uid="{BA3950A2-DBE3-472E-90B0-9FAD6FC03852}"/>
    <hyperlink ref="B2383" r:id="rId7183" display="https://twitter.com/germanbirdy" xr:uid="{1CF5D49E-2A06-46CD-A395-F8BF2950D5EF}"/>
    <hyperlink ref="E2383" r:id="rId7184" display="https://twitter.com/germanbirdy/status/723373243852161024" xr:uid="{CBD255D3-A2B9-4547-8FCC-56164A9D6FA1}"/>
    <hyperlink ref="O2383" r:id="rId7185" display="https://pbs.twimg.com/profile_images/271136077/Germanbirdy_normal.jpg" xr:uid="{B6E0A754-3576-4961-AF4F-3AA2BF92CDB6}"/>
    <hyperlink ref="B2384" r:id="rId7186" display="https://twitter.com/Evolutivist" xr:uid="{B375D030-F63E-4B27-99B5-0316FEA06786}"/>
    <hyperlink ref="E2384" r:id="rId7187" display="https://twitter.com/Evolutivist/status/723373319689363457" xr:uid="{101B9550-68D2-4D4D-92D0-B8EC67AD4EF4}"/>
    <hyperlink ref="O2384" r:id="rId7188" display="https://pbs.twimg.com/profile_images/2162445220/wagnertwitter_normal.jpg" xr:uid="{D9BEED86-C7CD-452C-BF15-4EEE501CCCF3}"/>
    <hyperlink ref="B2385" r:id="rId7189" display="https://twitter.com/INDIZbot" xr:uid="{62113023-4148-4B2D-9DFB-0623921A8E64}"/>
    <hyperlink ref="E2385" r:id="rId7190" display="https://twitter.com/INDIZbot/status/723373698288226310" xr:uid="{B083EC93-F563-47E4-B5AE-4CDF7E77D00F}"/>
    <hyperlink ref="O2385" r:id="rId7191" display="https://pbs.twimg.com/profile_images/645716711723925506/t5G0qOS6_normal.jpg" xr:uid="{D0DABD19-4FD4-4616-B311-B277A0A67CF7}"/>
    <hyperlink ref="B2386" r:id="rId7192" display="https://twitter.com/INDIZbot" xr:uid="{F94EEE63-C2AE-45FA-BF85-B73C045BB784}"/>
    <hyperlink ref="E2386" r:id="rId7193" display="https://twitter.com/INDIZbot/status/723373770702884864" xr:uid="{FCFC5682-4530-4432-B8ED-5F7371CF9B46}"/>
    <hyperlink ref="O2386" r:id="rId7194" display="https://pbs.twimg.com/profile_images/645716711723925506/t5G0qOS6_normal.jpg" xr:uid="{635F10F3-9759-4CAF-8977-6E948748C6D7}"/>
    <hyperlink ref="B2387" r:id="rId7195" display="https://twitter.com/neerajdeuskar79" xr:uid="{CE8B3A10-3B6C-49CB-B465-0AD61B04B8F0}"/>
    <hyperlink ref="E2387" r:id="rId7196" display="https://twitter.com/neerajdeuskar79/status/723377819904970753" xr:uid="{E69145C7-476C-417C-9C65-025B7AE6AAE8}"/>
    <hyperlink ref="O2387" r:id="rId7197" display="https://pbs.twimg.com/profile_images/648870164297965568/7muw2QvW_normal.jpg" xr:uid="{AE17D243-34C1-4638-B3F9-F236CE9F56F7}"/>
    <hyperlink ref="B2388" r:id="rId7198" display="https://twitter.com/neerajdeuskar79" xr:uid="{FCD961C8-D6ED-44A2-BAFE-A8F995428C93}"/>
    <hyperlink ref="E2388" r:id="rId7199" display="https://twitter.com/neerajdeuskar79/status/723378212676341762" xr:uid="{32DF8953-0776-4925-AC9B-5B2E6A9777E8}"/>
    <hyperlink ref="O2388" r:id="rId7200" display="https://pbs.twimg.com/profile_images/648870164297965568/7muw2QvW_normal.jpg" xr:uid="{32DE1C58-F626-48E1-BDD3-2C932328766E}"/>
    <hyperlink ref="B2389" r:id="rId7201" display="https://twitter.com/neerajdeuskar79" xr:uid="{4CF9A651-22E1-458E-AFB9-A9312650523C}"/>
    <hyperlink ref="E2389" r:id="rId7202" display="https://twitter.com/neerajdeuskar79/status/723378260336218112" xr:uid="{74B4D834-D4B5-4C13-8B26-49EB48F8F2FC}"/>
    <hyperlink ref="O2389" r:id="rId7203" display="https://pbs.twimg.com/profile_images/648870164297965568/7muw2QvW_normal.jpg" xr:uid="{135C9D71-D348-4B11-9CCC-031AA14AF392}"/>
    <hyperlink ref="B2390" r:id="rId7204" display="https://twitter.com/neerajdeuskar79" xr:uid="{038B27E3-8B68-4E11-BC35-13C4B59771C9}"/>
    <hyperlink ref="E2390" r:id="rId7205" display="https://twitter.com/neerajdeuskar79/status/723378524145340417" xr:uid="{CB53D322-E9C5-4E45-A9B1-233A90F11C0C}"/>
    <hyperlink ref="O2390" r:id="rId7206" display="https://pbs.twimg.com/profile_images/648870164297965568/7muw2QvW_normal.jpg" xr:uid="{83198515-BAF7-42A2-90FC-E025FF9BB6ED}"/>
    <hyperlink ref="B2391" r:id="rId7207" display="https://twitter.com/VPuksic" xr:uid="{8A72E9E3-99B6-4052-ABBD-B9FE57D9B512}"/>
    <hyperlink ref="E2391" r:id="rId7208" display="https://twitter.com/VPuksic/status/723381205178060800" xr:uid="{D3EC5711-AC13-43C0-AB16-1E3F9F4A8075}"/>
    <hyperlink ref="O2391" r:id="rId7209" display="https://pbs.twimg.com/profile_images/596396295734095872/eMgDT91Y_normal.jpg" xr:uid="{67C40513-0162-4F38-B5E2-E8718D29E8CC}"/>
    <hyperlink ref="B2392" r:id="rId7210" display="https://twitter.com/osanten" xr:uid="{3E7B3D7B-8985-484F-9493-7E1F5EE723CC}"/>
    <hyperlink ref="E2392" r:id="rId7211" display="https://twitter.com/osanten/status/723384417440276480" xr:uid="{D70CD0FA-5DC4-4A57-8890-A08E9F579ED5}"/>
    <hyperlink ref="O2392" r:id="rId7212" display="https://pbs.twimg.com/profile_images/589392862422441984/1HFN6ZwF_normal.jpg" xr:uid="{4260A552-85DC-4B74-B535-DF1BBCA57A42}"/>
    <hyperlink ref="B2393" r:id="rId7213" display="https://twitter.com/SEWEURODRIVE" xr:uid="{275EDF25-8067-4130-8B48-85BA9DDA2B71}"/>
    <hyperlink ref="E2393" r:id="rId7214" display="https://twitter.com/SEWEURODRIVE/status/723385045034000384" xr:uid="{57284A57-8E20-4461-BDB9-8802FBD0E93A}"/>
    <hyperlink ref="O2393" r:id="rId7215" display="https://pbs.twimg.com/profile_images/490060130231132160/qLmnir1s_normal.jpeg" xr:uid="{43C91B94-D462-446D-9F01-F6F5A59DA9F9}"/>
    <hyperlink ref="B2394" r:id="rId7216" display="https://twitter.com/foresight_lab" xr:uid="{5D3FC24A-09F2-458F-97DB-98944025435F}"/>
    <hyperlink ref="E2394" r:id="rId7217" display="https://twitter.com/foresight_lab/status/723385114722357249" xr:uid="{24534E62-13FA-478B-B2A9-590ACC551728}"/>
    <hyperlink ref="O2394" r:id="rId7218" display="https://pbs.twimg.com/profile_images/665798535779065856/sbUN3m6Q_normal.jpg" xr:uid="{8F642687-3071-4A05-A2E5-DC778D6D3D11}"/>
    <hyperlink ref="B2395" r:id="rId7219" display="https://twitter.com/swissmem" xr:uid="{F95BBD9B-42BB-4AD6-91C7-8A9BA5388F67}"/>
    <hyperlink ref="E2395" r:id="rId7220" display="https://twitter.com/swissmem/status/723385148348100608" xr:uid="{9452B315-1926-4D0A-8B30-D9E47107AEBD}"/>
    <hyperlink ref="O2395" r:id="rId7221" display="https://pbs.twimg.com/profile_images/707152829379698688/LQhLYo72_normal.jpg" xr:uid="{2E03B184-A0FF-4000-BCD8-4C9597E85810}"/>
    <hyperlink ref="B2396" r:id="rId7222" display="https://twitter.com/BIGJTHEO" xr:uid="{FC336E64-C61B-4179-B489-731E48869E10}"/>
    <hyperlink ref="E2396" r:id="rId7223" display="https://twitter.com/BIGJTHEO/status/723385214555185153" xr:uid="{74360C78-A244-499F-8366-9B06C2BFC156}"/>
    <hyperlink ref="O2396" r:id="rId7224" display="https://pbs.twimg.com/profile_images/699587498058588160/bU3XuBo9_normal.jpg" xr:uid="{06AE8B2B-0C67-4669-B37D-13998E432D76}"/>
    <hyperlink ref="B2397" r:id="rId7225" display="https://twitter.com/v_reichardt" xr:uid="{AA0D2444-88C7-4FE6-86B5-C5233508119D}"/>
    <hyperlink ref="E2397" r:id="rId7226" display="https://twitter.com/v_reichardt/status/723385237175042048" xr:uid="{7DA98D6E-8BE8-4D65-9B17-CDF4D5FC9913}"/>
    <hyperlink ref="O2397" r:id="rId7227" display="https://pbs.twimg.com/profile_images/720125925543800832/7_z3svpU_normal.jpg" xr:uid="{8B75EABA-BBC2-495B-9830-3F753ACEFCE1}"/>
    <hyperlink ref="B2398" r:id="rId7228" display="https://twitter.com/OpitzOliver" xr:uid="{C5F6E91C-BDF5-404D-A90C-ED919BA65E9E}"/>
    <hyperlink ref="E2398" r:id="rId7229" display="https://twitter.com/OpitzOliver/status/723385629912920064" xr:uid="{803A3B57-DB71-4ABD-99F3-CD51A4874F29}"/>
    <hyperlink ref="O2398" r:id="rId7230" display="https://pbs.twimg.com/profile_images/723389089098010624/lVEZfWmZ_normal.jpg" xr:uid="{6FCC3E82-4D16-4A73-8217-8131C19FAB5B}"/>
    <hyperlink ref="B2399" r:id="rId7231" display="https://twitter.com/AndreHD20" xr:uid="{332AC27C-0098-497C-9103-5DD802292D31}"/>
    <hyperlink ref="E2399" r:id="rId7232" display="https://twitter.com/AndreHD20/status/723385718626652161" xr:uid="{1C344653-1F56-4E0D-B3FF-30DD285D970F}"/>
    <hyperlink ref="O2399" r:id="rId7233" display="https://pbs.twimg.com/profile_images/701346285345972224/o2eiYGY__normal.jpg" xr:uid="{7056AEB5-D62F-49C2-85CA-B353ED0557C5}"/>
    <hyperlink ref="B2400" r:id="rId7234" display="https://twitter.com/INDIZbot" xr:uid="{4150D424-0F97-47C8-8BF2-788275077BD1}"/>
    <hyperlink ref="E2400" r:id="rId7235" display="https://twitter.com/INDIZbot/status/723386137864105984" xr:uid="{2329FE36-B3AA-4AD4-9691-EF1D1053761C}"/>
    <hyperlink ref="O2400" r:id="rId7236" display="https://pbs.twimg.com/profile_images/645716711723925506/t5G0qOS6_normal.jpg" xr:uid="{D6DF32B3-57BB-4E16-9CDF-CEFF74008EC8}"/>
    <hyperlink ref="B2401" r:id="rId7237" display="https://twitter.com/INDIZbot" xr:uid="{A9F875ED-B6D0-4020-AD29-622A88F01F8F}"/>
    <hyperlink ref="E2401" r:id="rId7238" display="https://twitter.com/INDIZbot/status/723386244663648256" xr:uid="{7979497E-AD77-48E1-815D-A7277540A507}"/>
    <hyperlink ref="O2401" r:id="rId7239" display="https://pbs.twimg.com/profile_images/645716711723925506/t5G0qOS6_normal.jpg" xr:uid="{394EEDA2-D952-47E4-9928-E7217A2E8DB3}"/>
    <hyperlink ref="B2402" r:id="rId7240" display="https://twitter.com/INDIZbot" xr:uid="{688E8384-E8B0-4349-9A31-1586E5B52F62}"/>
    <hyperlink ref="E2402" r:id="rId7241" display="https://twitter.com/INDIZbot/status/723386300447875076" xr:uid="{E52B1FD3-3A0E-4108-A4F4-3C55C6CF0005}"/>
    <hyperlink ref="O2402" r:id="rId7242" display="https://pbs.twimg.com/profile_images/645716711723925506/t5G0qOS6_normal.jpg" xr:uid="{FA79BBC2-9A7A-456C-8143-0F1626F654D7}"/>
    <hyperlink ref="B2403" r:id="rId7243" display="https://twitter.com/INDIZbot" xr:uid="{92D31D5E-B919-4C22-AECD-45FF248D9281}"/>
    <hyperlink ref="E2403" r:id="rId7244" display="https://twitter.com/INDIZbot/status/723386427149418496" xr:uid="{90D4B41F-60CD-4BA9-9580-BC5AFF24FB8A}"/>
    <hyperlink ref="O2403" r:id="rId7245" display="https://pbs.twimg.com/profile_images/645716711723925506/t5G0qOS6_normal.jpg" xr:uid="{AFF5765D-4DF6-4E45-B65E-41B788CDB5FC}"/>
    <hyperlink ref="B2404" r:id="rId7246" display="https://twitter.com/we_online" xr:uid="{F3B21587-905C-4FC8-B4A6-80142190F705}"/>
    <hyperlink ref="E2404" r:id="rId7247" display="https://twitter.com/we_online/status/723386429145944065" xr:uid="{AF85F62A-3FDA-41A8-9EB5-EA651E8E1996}"/>
    <hyperlink ref="O2404" r:id="rId7248" display="https://pbs.twimg.com/profile_images/668699237299961856/wsrcFqQk_normal.jpg" xr:uid="{97F38D84-AC12-4047-AF38-B30E3C313D1D}"/>
    <hyperlink ref="B2405" r:id="rId7249" display="https://twitter.com/AxHoepner" xr:uid="{AB1D2BEF-773D-4B62-8240-3B3A1AD8BCE8}"/>
    <hyperlink ref="E2405" r:id="rId7250" display="https://twitter.com/AxHoepner/status/723387459594133505" xr:uid="{E02B5E1F-72DB-43F1-898E-26D0B09CA5E5}"/>
    <hyperlink ref="O2405" r:id="rId7251" display="https://pbs.twimg.com/profile_images/589048623935127553/ffXnJVYg_normal.jpg" xr:uid="{2B7B7ED2-90BD-4EC7-BE3E-725035088E04}"/>
    <hyperlink ref="B2406" r:id="rId7252" display="https://twitter.com/catkinEU" xr:uid="{FCB5B19B-9FD1-4606-B60E-2B94E073B4DD}"/>
    <hyperlink ref="E2406" r:id="rId7253" display="https://twitter.com/catkinEU/status/723387593409187840" xr:uid="{832C2B16-B9EC-4644-9CAC-0327F9892570}"/>
    <hyperlink ref="O2406" r:id="rId7254" display="https://pbs.twimg.com/profile_images/604338428227010560/6jzSa8us_normal.png" xr:uid="{CAE6D92F-0F2C-4FD5-926B-8B5E2F4718C3}"/>
    <hyperlink ref="B2407" r:id="rId7255" display="https://twitter.com/MarioReinsch" xr:uid="{ACC94070-F241-453C-AE13-0F69FBFE4940}"/>
    <hyperlink ref="E2407" r:id="rId7256" display="https://twitter.com/MarioReinsch/status/723388443368165376" xr:uid="{312E290D-B170-4BB6-9030-29B0E8B7852B}"/>
    <hyperlink ref="O2407" r:id="rId7257" display="https://pbs.twimg.com/profile_images/560799766007664640/lsjqv0TW_normal.jpeg" xr:uid="{FDA0A627-8AB2-458F-9FE9-1EE2D907E705}"/>
    <hyperlink ref="B2408" r:id="rId7258" display="https://twitter.com/INDIZbot" xr:uid="{611E8B74-6310-45D2-984C-67140961F9D8}"/>
    <hyperlink ref="E2408" r:id="rId7259" display="https://twitter.com/INDIZbot/status/723388657684508676" xr:uid="{AA93CD0C-C0F4-4844-BBAA-F8158A0EC9EE}"/>
    <hyperlink ref="O2408" r:id="rId7260" display="https://pbs.twimg.com/profile_images/645716711723925506/t5G0qOS6_normal.jpg" xr:uid="{98F3286D-0267-45E2-9DD5-B956A280972A}"/>
    <hyperlink ref="B2409" r:id="rId7261" display="https://twitter.com/INDIZbot" xr:uid="{75E52C96-599E-46BE-8430-25EA13AF765C}"/>
    <hyperlink ref="E2409" r:id="rId7262" display="https://twitter.com/INDIZbot/status/723388909141381121" xr:uid="{2F76BDB0-3708-45CA-9B6D-1D345342A8EC}"/>
    <hyperlink ref="O2409" r:id="rId7263" display="https://pbs.twimg.com/profile_images/645716711723925506/t5G0qOS6_normal.jpg" xr:uid="{68D76CA1-E554-45DF-96A8-6B121B105F73}"/>
    <hyperlink ref="B2410" r:id="rId7264" display="https://twitter.com/siemens_press" xr:uid="{F5E1A999-B509-4EF3-9A50-ACE132C8087E}"/>
    <hyperlink ref="E2410" r:id="rId7265" display="https://twitter.com/siemens_press/status/723389318484492289" xr:uid="{560014C9-BDAE-4BC6-8101-DEAA3FFE277F}"/>
    <hyperlink ref="O2410" r:id="rId7266" display="https://pbs.twimg.com/profile_images/459331247488004096/2K0groDQ_normal.png" xr:uid="{7DFC5F8A-F783-4ADF-995B-1E970A82769A}"/>
    <hyperlink ref="B2411" r:id="rId7267" display="https://twitter.com/KaiserMgmt" xr:uid="{1808D707-DCAE-4339-B65A-A409CDEAB83A}"/>
    <hyperlink ref="E2411" r:id="rId7268" display="https://twitter.com/KaiserMgmt/status/723389320657129472" xr:uid="{7C108A66-9A8E-4E24-B171-421B535D88D3}"/>
    <hyperlink ref="O2411" r:id="rId7269" display="https://pbs.twimg.com/profile_images/712293940125437952/-mwOdFpy_normal.jpg" xr:uid="{CEA75BD5-7955-4215-A6D5-0BB0596AF86F}"/>
    <hyperlink ref="B2412" r:id="rId7270" display="https://twitter.com/SASGYS" xr:uid="{76E40737-05EF-465E-9980-15C7A281CC44}"/>
    <hyperlink ref="E2412" r:id="rId7271" display="https://twitter.com/SASGYS/status/723390242502283265" xr:uid="{AC9FB666-B6B1-4D39-950C-CFE563D50F17}"/>
    <hyperlink ref="O2412" r:id="rId7272" display="https://pbs.twimg.com/profile_images/519343309299281920/VUG5uXUt_normal.jpeg" xr:uid="{FCBC3190-A686-4AF8-8701-8BAC841145B3}"/>
    <hyperlink ref="B2413" r:id="rId7273" display="https://twitter.com/bearlytech" xr:uid="{357FE97F-D66D-4B5C-950F-9FBF4154B032}"/>
    <hyperlink ref="E2413" r:id="rId7274" display="https://twitter.com/bearlytech/status/723390247195664386" xr:uid="{867D0907-1A62-41D5-925D-9DCD9788BB57}"/>
    <hyperlink ref="O2413" r:id="rId7275" display="https://pbs.twimg.com/profile_images/663376145715363840/LG0s3Yst_normal.png" xr:uid="{7E7B2207-1F0C-4F3B-AD4B-E38CCDA0AE23}"/>
    <hyperlink ref="B2414" r:id="rId7276" display="https://twitter.com/BBweeg" xr:uid="{D2FF19CF-E39F-4168-A7A0-1223764CE80F}"/>
    <hyperlink ref="E2414" r:id="rId7277" display="https://twitter.com/BBweeg/status/723390291323981825" xr:uid="{1B3FAC99-456C-4157-8703-EB432F5F6E93}"/>
    <hyperlink ref="O2414" r:id="rId7278" display="https://pbs.twimg.com/profile_images/695859284605870080/gMhdK-dT_normal.jpg" xr:uid="{1489883A-0F8D-4F86-A407-4F183B66A71D}"/>
    <hyperlink ref="B2415" r:id="rId7279" display="https://twitter.com/StepheRose" xr:uid="{31E5EFEF-F6D8-4B54-AF3C-EF0B9ADED4B6}"/>
    <hyperlink ref="E2415" r:id="rId7280" display="https://twitter.com/StepheRose/status/723390293748260864" xr:uid="{462F26DE-0E7E-4EDA-861D-7875D4227350}"/>
    <hyperlink ref="O2415" r:id="rId7281" display="https://pbs.twimg.com/profile_images/378800000111133717/089a6b46600861851e0931497cfed9d8_normal.jpeg" xr:uid="{9B07213E-616D-4250-938B-2AD8DA5B16BC}"/>
    <hyperlink ref="B2416" r:id="rId7282" display="https://twitter.com/LNI40" xr:uid="{0E122E70-6910-4566-BD0C-F1033BCBDC76}"/>
    <hyperlink ref="E2416" r:id="rId7283" display="https://twitter.com/LNI40/status/723391614928855041" xr:uid="{192D4CBB-4CF5-4C45-9A0A-824916CA23EF}"/>
    <hyperlink ref="O2416" r:id="rId7284" display="https://pbs.twimg.com/profile_images/722098538604281856/CcBxk1_M_normal.jpg" xr:uid="{9F5E5EB6-21B7-4E66-A963-1658EE3A718B}"/>
    <hyperlink ref="B2417" r:id="rId7285" display="https://twitter.com/leibigtsystems" xr:uid="{1C81EFC3-E8B3-44A6-8221-33C38CAB603E}"/>
    <hyperlink ref="E2417" r:id="rId7286" display="https://twitter.com/leibigtsystems/status/723392065971724290" xr:uid="{BCC9FB2A-7039-4E52-B178-BEC1C34BA094}"/>
    <hyperlink ref="O2417" r:id="rId7287" display="https://pbs.twimg.com/profile_images/616892318885511168/Ps8q5PsU_normal.jpg" xr:uid="{C6184F06-E37F-4BA4-8557-F01D31C24781}"/>
    <hyperlink ref="B2418" r:id="rId7288" display="https://twitter.com/LNI40" xr:uid="{0450FFE7-CB21-4F6B-9879-67A1994D21AD}"/>
    <hyperlink ref="E2418" r:id="rId7289" display="https://twitter.com/LNI40/status/723392208649392128" xr:uid="{A40810BA-71EB-4418-9CD6-6B26617C88F1}"/>
    <hyperlink ref="O2418" r:id="rId7290" display="https://pbs.twimg.com/profile_images/722098538604281856/CcBxk1_M_normal.jpg" xr:uid="{DA00D83E-4186-4D62-AEDC-6B062C32DC94}"/>
    <hyperlink ref="B2419" r:id="rId7291" display="https://twitter.com/IoTMinded" xr:uid="{F1FA97DE-464C-45E5-8096-DF6B1D7B2AD1}"/>
    <hyperlink ref="E2419" r:id="rId7292" display="https://twitter.com/IoTMinded/status/723392585260130304" xr:uid="{09479197-A0E2-4043-A11F-40566ECFDCEB}"/>
    <hyperlink ref="O2419" r:id="rId7293" display="https://pbs.twimg.com/profile_images/603699032804859904/lb5IMG5x_normal.jpg" xr:uid="{105A0354-C8AC-404B-A964-89AA23F87FF3}"/>
    <hyperlink ref="B2420" r:id="rId7294" display="https://twitter.com/INDIZbot" xr:uid="{C95FC646-60B2-4A11-A73D-FA5B562D744A}"/>
    <hyperlink ref="E2420" r:id="rId7295" display="https://twitter.com/INDIZbot/status/723393826581147648" xr:uid="{E4B322F2-A2EB-4A36-B80A-C0BA49B7BEC9}"/>
    <hyperlink ref="O2420" r:id="rId7296" display="https://pbs.twimg.com/profile_images/645716711723925506/t5G0qOS6_normal.jpg" xr:uid="{351EDCBF-EAA5-4D30-87D7-9ABBB18EB639}"/>
    <hyperlink ref="B2421" r:id="rId7297" display="https://twitter.com/INDIZbot" xr:uid="{64EBAA20-FB78-4AA4-99C0-9C82172959EF}"/>
    <hyperlink ref="E2421" r:id="rId7298" display="https://twitter.com/INDIZbot/status/723393890829496320" xr:uid="{D745B8FA-84AA-4375-9C6B-121181F7B3E1}"/>
    <hyperlink ref="O2421" r:id="rId7299" display="https://pbs.twimg.com/profile_images/645716711723925506/t5G0qOS6_normal.jpg" xr:uid="{B8999901-7FE2-4A47-9466-9C5B31EDDA20}"/>
    <hyperlink ref="B2422" r:id="rId7300" display="https://twitter.com/CapgeminiDE" xr:uid="{8BF312F2-002A-4389-BA96-609E27C47C55}"/>
    <hyperlink ref="E2422" r:id="rId7301" display="https://twitter.com/CapgeminiDE/status/723394723117813760" xr:uid="{9105BDF6-5921-4B96-931C-99D8A66AD896}"/>
    <hyperlink ref="O2422" r:id="rId7302" display="https://pbs.twimg.com/profile_images/666911961599315968/aP7ID_qm_normal.png" xr:uid="{EE46E4F9-7C32-401C-AF5F-0FC93D2ED2C9}"/>
    <hyperlink ref="B2423" r:id="rId7303" display="https://twitter.com/Casopis_Automa" xr:uid="{ECF9921D-D48F-456E-B07E-5C3D85BBEE02}"/>
    <hyperlink ref="E2423" r:id="rId7304" display="https://twitter.com/Casopis_Automa/status/723396215430246400" xr:uid="{DF8D795C-1CFD-49CE-B488-B4F7C4E6C46E}"/>
    <hyperlink ref="O2423" r:id="rId7305" display="https://pbs.twimg.com/profile_images/430737987626733568/zsJ5yUk8_normal.jpeg" xr:uid="{8DD73446-9EAA-4CE8-842F-4594E57B7921}"/>
    <hyperlink ref="B2424" r:id="rId7306" display="https://twitter.com/INDIZbot" xr:uid="{D2C6B777-1923-4BC5-BA2B-AF5259940E75}"/>
    <hyperlink ref="E2424" r:id="rId7307" display="https://twitter.com/INDIZbot/status/723396259915034624" xr:uid="{48483049-B0E2-4B2D-AE17-FCD1C9DDF6C4}"/>
    <hyperlink ref="O2424" r:id="rId7308" display="https://pbs.twimg.com/profile_images/645716711723925506/t5G0qOS6_normal.jpg" xr:uid="{BC408AF5-61DC-406B-B787-9BA4C401EC60}"/>
    <hyperlink ref="B2425" r:id="rId7309" display="https://twitter.com/Xethix" xr:uid="{D141804E-04F7-4027-ACB7-87DBF5D1A618}"/>
    <hyperlink ref="E2425" r:id="rId7310" display="https://twitter.com/Xethix/status/723396768960901120" xr:uid="{DCFDF0B5-3148-4433-934C-DCB1C18BAD2B}"/>
    <hyperlink ref="O2425" r:id="rId7311" display="https://pbs.twimg.com/profile_images/1078958034/Logo_xethix_klein_normal.jpg" xr:uid="{4C0B3F86-CF5A-41BD-88EF-8CB72985DB54}"/>
    <hyperlink ref="B2426" r:id="rId7312" display="https://twitter.com/m_biscarrat" xr:uid="{FDAC3001-C8D7-432B-9EFB-089447001706}"/>
    <hyperlink ref="E2426" r:id="rId7313" display="https://twitter.com/m_biscarrat/status/723398586558349312" xr:uid="{09568CD2-7D20-4AD3-80B9-71201A734AC6}"/>
    <hyperlink ref="F2426" r:id="rId7314" xr:uid="{2B12F1A4-0BB6-49FF-B2F6-1EFF1B39245F}"/>
    <hyperlink ref="O2426" r:id="rId7315" display="https://pbs.twimg.com/profile_images/699724829713428484/rUT0r7Dq_normal.jpg" xr:uid="{8E081F7F-C590-4270-A309-AFB4E9CD8985}"/>
    <hyperlink ref="B2427" r:id="rId7316" display="https://twitter.com/H_IT_D" xr:uid="{317E5C1C-795B-483C-B3BC-A28134D7ABCF}"/>
    <hyperlink ref="E2427" r:id="rId7317" display="https://twitter.com/H_IT_D/status/723398629189283840" xr:uid="{74ED2B37-E7E9-4ED5-90FF-A51656C321AC}"/>
    <hyperlink ref="O2427" r:id="rId7318" display="https://pbs.twimg.com/profile_images/662723326096224256/5V4KH9_O_normal.jpg" xr:uid="{E31EE826-5197-478F-9BA0-879B8509D5DA}"/>
    <hyperlink ref="B2428" r:id="rId7319" display="https://twitter.com/INDIZbot" xr:uid="{A01DC1BC-5670-4127-9677-00BE0052FE25}"/>
    <hyperlink ref="E2428" r:id="rId7320" display="https://twitter.com/INDIZbot/status/723398923138650112" xr:uid="{E77DFEE5-ACED-4B3E-98A3-EE878CF47B6D}"/>
    <hyperlink ref="O2428" r:id="rId7321" display="https://pbs.twimg.com/profile_images/645716711723925506/t5G0qOS6_normal.jpg" xr:uid="{10DA8118-7955-49F8-99FA-83F340C33CE8}"/>
    <hyperlink ref="B2429" r:id="rId7322" display="https://twitter.com/automotive_IT" xr:uid="{298CCC7F-939A-4705-9A8E-9396FAC08F9B}"/>
    <hyperlink ref="E2429" r:id="rId7323" display="https://twitter.com/automotive_IT/status/723399902768721923" xr:uid="{62E47C15-BD61-4597-AC2A-EF5C4573B250}"/>
    <hyperlink ref="O2429" r:id="rId7324" display="https://pbs.twimg.com/profile_images/616871511236997121/YFo9usbN_normal.png" xr:uid="{ADD707D2-BE5D-48B7-9B83-F2830A0CA54E}"/>
    <hyperlink ref="B2430" r:id="rId7325" display="https://twitter.com/SEWEURODRIVE" xr:uid="{EAB6A8E5-4A03-4B25-9A1E-534AE8803B4E}"/>
    <hyperlink ref="E2430" r:id="rId7326" display="https://twitter.com/SEWEURODRIVE/status/723400329564282880" xr:uid="{43A7BF07-CB02-4E34-B4C1-2C76F1E48632}"/>
    <hyperlink ref="O2430" r:id="rId7327" display="https://pbs.twimg.com/profile_images/490060130231132160/qLmnir1s_normal.jpeg" xr:uid="{F4805A15-C7E4-40A4-9CCA-8D34D926E100}"/>
    <hyperlink ref="B2431" r:id="rId7328" display="https://twitter.com/VladaCZE" xr:uid="{45A5D177-39FA-4BE2-B6B3-A696A3314092}"/>
    <hyperlink ref="E2431" r:id="rId7329" display="https://twitter.com/VladaCZE/status/723400389635112964" xr:uid="{B6B89914-D1B2-4DCC-A304-75C5DD695EAA}"/>
    <hyperlink ref="O2431" r:id="rId7330" display="https://pbs.twimg.com/profile_images/551043199108542464/sp-EDfB4_normal.png" xr:uid="{6869C939-BB7D-4DFE-B9A1-9AAA84B4ADC8}"/>
    <hyperlink ref="B2432" r:id="rId7331" display="https://twitter.com/guidogoeldenitz" xr:uid="{D961836E-6652-4EAD-A69E-DB84D0AF59B0}"/>
    <hyperlink ref="E2432" r:id="rId7332" display="https://twitter.com/guidogoeldenitz/status/723400420433891332" xr:uid="{0A7CB946-A001-404A-A050-55BAEA117A84}"/>
    <hyperlink ref="O2432" r:id="rId7333" display="https://pbs.twimg.com/profile_images/695616618769092608/CuKL2LcQ_normal.jpg" xr:uid="{B85D934C-BB97-452B-A53D-58C617090957}"/>
    <hyperlink ref="B2433" r:id="rId7334" display="https://twitter.com/sandimschuh" xr:uid="{C84E550F-81E2-4739-902B-B4C3DB731184}"/>
    <hyperlink ref="E2433" r:id="rId7335" display="https://twitter.com/sandimschuh/status/723400738454425600" xr:uid="{B4489EE7-89D9-49D2-B0E5-DCA3055BEF1D}"/>
    <hyperlink ref="O2433" r:id="rId7336" display="https://pbs.twimg.com/profile_images/595639511855529984/XvdMq9KS_normal.jpg" xr:uid="{DF831154-373B-465B-83FE-7E215AE02679}"/>
    <hyperlink ref="B2434" r:id="rId7337" display="https://twitter.com/sandimschuh" xr:uid="{10BD986A-D96D-4D37-AEC9-B5DBB8DB466B}"/>
    <hyperlink ref="E2434" r:id="rId7338" display="https://twitter.com/sandimschuh/status/723400916217397248" xr:uid="{62AD14CB-DE46-4101-AF3C-C5EBF01C5E5E}"/>
    <hyperlink ref="O2434" r:id="rId7339" display="https://pbs.twimg.com/profile_images/595639511855529984/XvdMq9KS_normal.jpg" xr:uid="{83A5645F-F439-4684-B525-2B38EE890457}"/>
    <hyperlink ref="B2435" r:id="rId7340" display="https://twitter.com/tobias_goers" xr:uid="{13F96C84-23BE-46A9-9873-081DFEEBBB08}"/>
    <hyperlink ref="E2435" r:id="rId7341" display="https://twitter.com/tobias_goers/status/723400924354347008" xr:uid="{19C3630E-47CE-4BEB-8475-8F7D7EB4F39F}"/>
    <hyperlink ref="O2435" r:id="rId7342" display="https://pbs.twimg.com/profile_images/619429467434434560/ywWYiH5V_normal.jpg" xr:uid="{A9396FE2-36D5-49D9-BA68-5DA7200ADF31}"/>
    <hyperlink ref="B2436" r:id="rId7343" display="https://twitter.com/kommoptimierer" xr:uid="{19752CBF-0893-4CA5-8534-23A51FE5EAE4}"/>
    <hyperlink ref="E2436" r:id="rId7344" display="https://twitter.com/kommoptimierer/status/723400959590690816" xr:uid="{3AF99A1E-5503-416E-974C-880DCC8AC09C}"/>
    <hyperlink ref="O2436" r:id="rId7345" display="https://pbs.twimg.com/profile_images/541146126158536704/IYardufS_normal.jpeg" xr:uid="{C29E679A-E2AE-45D8-B853-E4A020FFED9B}"/>
    <hyperlink ref="B2437" r:id="rId7346" display="https://twitter.com/INDIZbot" xr:uid="{20D43C22-EE8C-4BF1-A3D3-1999435EC172}"/>
    <hyperlink ref="E2437" r:id="rId7347" display="https://twitter.com/INDIZbot/status/723401235307487232" xr:uid="{2791E56C-7725-4CC1-8B60-2DE1CB649869}"/>
    <hyperlink ref="O2437" r:id="rId7348" display="https://pbs.twimg.com/profile_images/645716711723925506/t5G0qOS6_normal.jpg" xr:uid="{23A089F6-9E44-4F10-B6CE-46317178A86E}"/>
    <hyperlink ref="B2438" r:id="rId7349" display="https://twitter.com/INDIZbot" xr:uid="{0BF95AAF-E226-491A-BE01-C625D5E0D07C}"/>
    <hyperlink ref="E2438" r:id="rId7350" display="https://twitter.com/INDIZbot/status/723401291616002051" xr:uid="{4890BA29-AB0E-4A87-841B-B865D70EB24C}"/>
    <hyperlink ref="O2438" r:id="rId7351" display="https://pbs.twimg.com/profile_images/645716711723925506/t5G0qOS6_normal.jpg" xr:uid="{35033B95-E879-4C86-8DB8-DD77417C2C81}"/>
    <hyperlink ref="B2439" r:id="rId7352" display="https://twitter.com/bechtle_ag" xr:uid="{63E7453F-A4BF-4E1C-8E78-7BA89598F230}"/>
    <hyperlink ref="E2439" r:id="rId7353" display="https://twitter.com/bechtle_ag/status/723401633787322370" xr:uid="{970A9365-1541-4FAE-86B7-FD05AEDFA8B2}"/>
    <hyperlink ref="O2439" r:id="rId7354" display="https://pbs.twimg.com/profile_images/463677817322881024/whzwFXjx_normal.png" xr:uid="{4ED2CD36-F6D8-4265-9120-80A5FD1F2664}"/>
    <hyperlink ref="B2440" r:id="rId7355" display="https://twitter.com/webducation" xr:uid="{B82B0860-B7C6-4D67-8B79-65D443E97C0A}"/>
    <hyperlink ref="E2440" r:id="rId7356" display="https://twitter.com/webducation/status/723402279777247232" xr:uid="{94CA49D7-25F7-459F-A76E-9CB2B2441D75}"/>
    <hyperlink ref="O2440" r:id="rId7357" display="https://pbs.twimg.com/profile_images/612885190445277184/czOaaOdG_normal.jpg" xr:uid="{C133BFCB-8A50-4FC6-956F-B68C318F5076}"/>
    <hyperlink ref="B2441" r:id="rId7358" display="https://twitter.com/IT2Industry" xr:uid="{BB1180D5-3790-4D13-AF8F-31A6A6B8E0DE}"/>
    <hyperlink ref="E2441" r:id="rId7359" display="https://twitter.com/IT2Industry/status/723402444193964032" xr:uid="{67C8502C-6A40-4E28-9E84-013823D8E55C}"/>
    <hyperlink ref="O2441" r:id="rId7360" display="https://pbs.twimg.com/profile_images/489403559394304001/8SQlWWA1_normal.jpeg" xr:uid="{BFF17875-0B04-4927-A378-181FD4BB442D}"/>
    <hyperlink ref="B2442" r:id="rId7361" display="https://twitter.com/IoTMinded" xr:uid="{06216BCB-796C-4159-B7B5-CB86787BBCD1}"/>
    <hyperlink ref="E2442" r:id="rId7362" display="https://twitter.com/IoTMinded/status/723403221364953088" xr:uid="{98831C8E-18AA-4033-B3B6-95E0B2BD3022}"/>
    <hyperlink ref="O2442" r:id="rId7363" display="https://pbs.twimg.com/profile_images/603699032804859904/lb5IMG5x_normal.jpg" xr:uid="{11B57E68-6207-4ECA-B090-C27124DA477B}"/>
    <hyperlink ref="B2443" r:id="rId7364" display="https://twitter.com/sarhapu" xr:uid="{ED3CD408-CBDC-4D45-8B54-AAED425D73A4}"/>
    <hyperlink ref="E2443" r:id="rId7365" display="https://twitter.com/sarhapu/status/723403317678739456" xr:uid="{F4EE0428-C53D-4E04-85FF-639E19A73C4B}"/>
    <hyperlink ref="O2443" r:id="rId7366" display="https://pbs.twimg.com/profile_images/663734674653622272/h2JzQVyL_normal.jpg" xr:uid="{549A0317-8A0C-4291-82BD-0D705FA45CF3}"/>
    <hyperlink ref="B2444" r:id="rId7367" display="https://twitter.com/FreudenbergITde" xr:uid="{0A348B96-37E3-46F0-99E6-552E79FA553F}"/>
    <hyperlink ref="E2444" r:id="rId7368" display="https://twitter.com/FreudenbergITde/status/723403538718556160" xr:uid="{A7B4387A-4947-4AB9-9C75-C84CE2D0D819}"/>
    <hyperlink ref="O2444" r:id="rId7369" display="https://pbs.twimg.com/profile_images/378800000732095310/37ab974996c9a200327301623007a55d_normal.png" xr:uid="{2EC45909-C948-4C13-931E-2E0D367DC2D3}"/>
    <hyperlink ref="B2445" r:id="rId7370" display="https://twitter.com/INDIZbot" xr:uid="{9DA529D3-FFD0-49FE-848E-24F739183A5A}"/>
    <hyperlink ref="E2445" r:id="rId7371" display="https://twitter.com/INDIZbot/status/723403834723180545" xr:uid="{9A630DA2-588E-45AF-A873-9F6654F97239}"/>
    <hyperlink ref="O2445" r:id="rId7372" display="https://pbs.twimg.com/profile_images/645716711723925506/t5G0qOS6_normal.jpg" xr:uid="{C825BD6A-ADBA-4FA9-9B97-3A5BEDC54389}"/>
    <hyperlink ref="B2446" r:id="rId7373" display="https://twitter.com/INDIZbot" xr:uid="{2990F28A-5C77-427F-A89E-951246B041F5}"/>
    <hyperlink ref="E2446" r:id="rId7374" display="https://twitter.com/INDIZbot/status/723403896261988352" xr:uid="{C3D49C18-4C1C-47A3-82DD-07C1019A134F}"/>
    <hyperlink ref="O2446" r:id="rId7375" display="https://pbs.twimg.com/profile_images/645716711723925506/t5G0qOS6_normal.jpg" xr:uid="{C912C395-DC22-45E3-B437-26A4C445F097}"/>
    <hyperlink ref="B2447" r:id="rId7376" display="https://twitter.com/INDIZbot" xr:uid="{C8C878F5-7F14-4E70-A7C5-5869112BB678}"/>
    <hyperlink ref="E2447" r:id="rId7377" display="https://twitter.com/INDIZbot/status/723404018467246081" xr:uid="{2B7C658A-0B6C-427A-AD28-C1E17E1B69A2}"/>
    <hyperlink ref="O2447" r:id="rId7378" display="https://pbs.twimg.com/profile_images/645716711723925506/t5G0qOS6_normal.jpg" xr:uid="{4DC8935F-3A49-42BF-9E10-F7C0461DB3E0}"/>
    <hyperlink ref="B2448" r:id="rId7379" display="https://twitter.com/SBH_Germany" xr:uid="{8AADD82A-8421-41EF-843B-27F487ED3181}"/>
    <hyperlink ref="E2448" r:id="rId7380" display="https://twitter.com/SBH_Germany/status/723404059395289088" xr:uid="{79A80DEF-23EB-4049-A0D1-051DBD132104}"/>
    <hyperlink ref="O2448" r:id="rId7381" display="https://pbs.twimg.com/profile_images/695514574359953408/hQTmgrlk_normal.png" xr:uid="{7BE61467-84FC-418B-BE9F-5D25CF53D1E7}"/>
    <hyperlink ref="B2449" r:id="rId7382" display="https://twitter.com/SEWEURODRIVE" xr:uid="{852517F1-3428-430F-A39A-CD9C44980766}"/>
    <hyperlink ref="E2449" r:id="rId7383" display="https://twitter.com/SEWEURODRIVE/status/723404089539747842" xr:uid="{7E17E266-9C5B-49A4-A434-99A6E5CFE7E4}"/>
    <hyperlink ref="O2449" r:id="rId7384" display="https://pbs.twimg.com/profile_images/490060130231132160/qLmnir1s_normal.jpeg" xr:uid="{A1E2D744-717D-44AF-993C-315CD2D29982}"/>
    <hyperlink ref="B2450" r:id="rId7385" display="https://twitter.com/APuZ_bpb" xr:uid="{74CD5526-4174-4B25-B638-CCC756DABE68}"/>
    <hyperlink ref="E2450" r:id="rId7386" display="https://twitter.com/APuZ_bpb/status/723404171261542401" xr:uid="{FEF1BB66-A6CE-45A7-A2AD-C182928264C4}"/>
    <hyperlink ref="O2450" r:id="rId7387" display="https://pbs.twimg.com/profile_images/366014169/twitapuz_normal.jpg" xr:uid="{3C31E52E-EF31-45E2-8BAD-87B3EBC95BBD}"/>
    <hyperlink ref="B2451" r:id="rId7388" display="https://twitter.com/MindCommerce" xr:uid="{11C58BAB-CE83-47E3-AB83-06DA64AE02BD}"/>
    <hyperlink ref="E2451" r:id="rId7389" display="https://twitter.com/MindCommerce/status/723404346772230144" xr:uid="{7DFE6466-AFDC-4298-9846-55D35C8CE8CD}"/>
    <hyperlink ref="O2451" r:id="rId7390" display="https://pbs.twimg.com/profile_images/548030384030507008/utABqhj9_normal.png" xr:uid="{FE6D5022-790A-44EB-8F1B-F04A8957215F}"/>
    <hyperlink ref="B2452" r:id="rId7391" display="https://twitter.com/MindCommerce" xr:uid="{2204C60B-4D89-42E6-843F-DA668445429F}"/>
    <hyperlink ref="E2452" r:id="rId7392" display="https://twitter.com/MindCommerce/status/723404353093038080" xr:uid="{47C09D5E-648A-44F1-AC4E-11F92A9DDA03}"/>
    <hyperlink ref="O2452" r:id="rId7393" display="https://pbs.twimg.com/profile_images/548030384030507008/utABqhj9_normal.png" xr:uid="{198345FC-76CD-466F-AF7C-5A9C408F6667}"/>
    <hyperlink ref="B2453" r:id="rId7394" display="https://twitter.com/AndreHD20" xr:uid="{894C0539-EBF1-4CD0-B91E-29AF5DF94EBE}"/>
    <hyperlink ref="E2453" r:id="rId7395" display="https://twitter.com/AndreHD20/status/723404406562025472" xr:uid="{9805A472-51CB-49CC-9063-2CFB2F123E7E}"/>
    <hyperlink ref="O2453" r:id="rId7396" display="https://pbs.twimg.com/profile_images/701346285345972224/o2eiYGY__normal.jpg" xr:uid="{1EAE27E5-4122-4836-9FDD-7D4A69A0E480}"/>
    <hyperlink ref="B2454" r:id="rId7397" display="https://twitter.com/pageissler" xr:uid="{5A255C9F-EF5D-4D0A-ADF3-5524D4F2D42C}"/>
    <hyperlink ref="E2454" r:id="rId7398" display="https://twitter.com/pageissler/status/723404754764746758" xr:uid="{01110D1A-4C21-4FE0-B41C-75335F896249}"/>
    <hyperlink ref="O2454" r:id="rId7399" display="https://pbs.twimg.com/profile_images/720398951539699712/frIo6DH3_normal.jpg" xr:uid="{D6DB7766-9317-4761-B1B5-20B6FDDC7596}"/>
    <hyperlink ref="B2455" r:id="rId7400" display="https://twitter.com/Wolf_Har" xr:uid="{2C25207F-A1C8-48D4-9340-A666C51CE5B9}"/>
    <hyperlink ref="E2455" r:id="rId7401" display="https://twitter.com/Wolf_Har/status/723404919013670913" xr:uid="{47FA9A52-186E-4B13-8DC2-86095E440885}"/>
    <hyperlink ref="O2455" r:id="rId7402" display="https://pbs.twimg.com/profile_images/378800000365331675/6e3f40375e80e32a298feb5626225511_normal.jpeg" xr:uid="{CAD2C47A-6A4C-4F48-AB04-3D69FF71D928}"/>
    <hyperlink ref="B2456" r:id="rId7403" display="https://twitter.com/MartinGaedt" xr:uid="{BEE087AA-3E86-466B-A881-64F1B298032F}"/>
    <hyperlink ref="E2456" r:id="rId7404" display="https://twitter.com/MartinGaedt/status/723405068007936001" xr:uid="{6F9A8C2F-AD79-41B1-8F57-EC8A724EC26A}"/>
    <hyperlink ref="O2456" r:id="rId7405" display="https://pbs.twimg.com/profile_images/709444980553740288/Xds-Aan6_normal.jpg" xr:uid="{FA798110-A20B-4CB6-AB51-CE74743ADE43}"/>
    <hyperlink ref="B2457" r:id="rId7406" display="https://twitter.com/MartinGaedt" xr:uid="{B3844D98-47FC-496F-9DAF-8336CE8EE933}"/>
    <hyperlink ref="E2457" r:id="rId7407" display="https://twitter.com/MartinGaedt/status/723405189529505796" xr:uid="{509C2427-BF67-4B72-AF2B-EE92A567E2BE}"/>
    <hyperlink ref="O2457" r:id="rId7408" display="https://pbs.twimg.com/profile_images/709444980553740288/Xds-Aan6_normal.jpg" xr:uid="{DDBD1A5F-0648-4F5B-AF88-2E4DEF798650}"/>
    <hyperlink ref="B2458" r:id="rId7409" display="https://twitter.com/innovationbawue" xr:uid="{202201A0-B816-4941-9C93-369DD5E1D10B}"/>
    <hyperlink ref="C2458" r:id="rId7410" xr:uid="{37FC5AE4-B622-4D28-91A6-28AA3887DDFE}"/>
    <hyperlink ref="E2458" r:id="rId7411" display="https://twitter.com/innovationbawue/status/723405336955121664" xr:uid="{0CB43065-9B62-4AA4-BB3C-0A36C63097DB}"/>
    <hyperlink ref="O2458" r:id="rId7412" display="https://pbs.twimg.com/profile_images/719538951988592641/7lKnB2dG_normal.jpg" xr:uid="{D30D2A7E-40AE-4FDD-8D54-C74AC96AC6FA}"/>
    <hyperlink ref="B2459" r:id="rId7413" display="https://twitter.com/innovationbawue" xr:uid="{B8054737-5359-4737-B961-E0B04742FAFF}"/>
    <hyperlink ref="C2459" r:id="rId7414" xr:uid="{2DD1FB4E-3536-4737-A1EB-19961272766A}"/>
    <hyperlink ref="E2459" r:id="rId7415" display="https://twitter.com/innovationbawue/status/723405484007428101" xr:uid="{AF69CCB1-A492-4F63-BA2B-E51AA9B381F5}"/>
    <hyperlink ref="O2459" r:id="rId7416" display="https://pbs.twimg.com/profile_images/719538951988592641/7lKnB2dG_normal.jpg" xr:uid="{35C26096-7BE7-477F-8141-4522E78248BF}"/>
    <hyperlink ref="B2460" r:id="rId7417" display="https://twitter.com/Martina_Palm" xr:uid="{6B95E618-D33F-4BB1-82BB-CFC09C92A310}"/>
    <hyperlink ref="E2460" r:id="rId7418" display="https://twitter.com/Martina_Palm/status/723405677742317569" xr:uid="{8505B3BE-52F3-48BC-BFEC-031BB74F7FC8}"/>
    <hyperlink ref="O2460" r:id="rId7419" display="https://pbs.twimg.com/profile_images/3286498945/83c49690655e24688ac62bd4fdc079ea_normal.jpeg" xr:uid="{C48F8F4F-6AD7-4D64-BB3A-96129DE8E01C}"/>
    <hyperlink ref="B2461" r:id="rId7420" display="https://twitter.com/pechardscheck" xr:uid="{F74D6943-DC83-478E-8532-58728DAD0238}"/>
    <hyperlink ref="E2461" r:id="rId7421" display="https://twitter.com/pechardscheck/status/723405693705809921" xr:uid="{CD90597D-614C-43BA-952A-6033D752B3FA}"/>
    <hyperlink ref="O2461" r:id="rId7422" display="https://pbs.twimg.com/profile_images/484308591910723584/icpo-IsD_normal.jpeg" xr:uid="{225B6BC2-ED2C-4F08-B062-7B317A42A1CD}"/>
    <hyperlink ref="B2462" r:id="rId7423" display="https://twitter.com/rajesh266" xr:uid="{56EDF98F-8C01-410C-9066-2C2A122C5090}"/>
    <hyperlink ref="E2462" r:id="rId7424" display="https://twitter.com/rajesh266/status/723405729961402368" xr:uid="{C061DDAA-E4D5-4E76-ADB5-96FAE749E0A5}"/>
    <hyperlink ref="O2462" r:id="rId7425" display="https://pbs.twimg.com/profile_images/656031368640598016/s_6nLAlN_normal.jpg" xr:uid="{F763C00E-A696-4BCA-81B3-F44433C5521F}"/>
    <hyperlink ref="B2463" r:id="rId7426" display="https://twitter.com/rajesh266" xr:uid="{600A67E9-6A3F-403A-9641-F3DB6A7AABA9}"/>
    <hyperlink ref="E2463" r:id="rId7427" display="https://twitter.com/rajesh266/status/723405794788540416" xr:uid="{F2EA3DFC-0ABE-4EE7-BDE1-64F6158EEDC5}"/>
    <hyperlink ref="O2463" r:id="rId7428" display="https://pbs.twimg.com/profile_images/656031368640598016/s_6nLAlN_normal.jpg" xr:uid="{5D620A1E-C0AE-4C8B-93B5-9A5BC3900335}"/>
    <hyperlink ref="B2464" r:id="rId7429" display="https://twitter.com/innovationbawue" xr:uid="{44CD0FBD-B7C8-49C7-A47E-9D940293BE4A}"/>
    <hyperlink ref="C2464" r:id="rId7430" xr:uid="{496D48BD-A776-4B48-8235-1FE838C3F50D}"/>
    <hyperlink ref="E2464" r:id="rId7431" display="https://twitter.com/innovationbawue/status/723405929291489280" xr:uid="{31BAE886-381C-40A3-BC0A-A4D9836892A0}"/>
    <hyperlink ref="O2464" r:id="rId7432" display="https://pbs.twimg.com/profile_images/719538951988592641/7lKnB2dG_normal.jpg" xr:uid="{72ED9CF0-6F1B-4982-A94C-C7259BECFA6B}"/>
    <hyperlink ref="B2465" r:id="rId7433" display="https://twitter.com/VDMAonline" xr:uid="{DA8A3584-AFB3-4B12-B350-4E25ED79EE35}"/>
    <hyperlink ref="E2465" r:id="rId7434" display="https://twitter.com/VDMAonline/status/723406068676591616" xr:uid="{C5FEA7A8-78EB-4A0F-A351-0100FF35B901}"/>
    <hyperlink ref="O2465" r:id="rId7435" display="https://pbs.twimg.com/profile_images/609375510158774272/P5glOk4b_normal.jpg" xr:uid="{4A7D8EBE-81E8-4635-8EC0-095567808F41}"/>
    <hyperlink ref="B2466" r:id="rId7436" display="https://twitter.com/siemens_press" xr:uid="{AA934256-30A2-479F-87D7-02B40AC695BB}"/>
    <hyperlink ref="E2466" r:id="rId7437" display="https://twitter.com/siemens_press/status/723406163778228224" xr:uid="{AC2D6ED5-B5F7-4E6C-9166-04AF61DE754D}"/>
    <hyperlink ref="O2466" r:id="rId7438" display="https://pbs.twimg.com/profile_images/459331247488004096/2K0groDQ_normal.png" xr:uid="{300027DB-0267-4FB3-A698-7D4CB471C525}"/>
    <hyperlink ref="B2467" r:id="rId7439" display="https://twitter.com/innovationbawue" xr:uid="{BD7A0A53-6F24-4857-8F9D-9C6C1BBD10E3}"/>
    <hyperlink ref="C2467" r:id="rId7440" xr:uid="{505E0C97-798E-4742-8245-118FE2F76B14}"/>
    <hyperlink ref="E2467" r:id="rId7441" display="https://twitter.com/innovationbawue/status/723406238629826560" xr:uid="{0B6A3DFB-F7D1-4DA8-A8F9-9B6D531D8E51}"/>
    <hyperlink ref="O2467" r:id="rId7442" display="https://pbs.twimg.com/profile_images/719538951988592641/7lKnB2dG_normal.jpg" xr:uid="{CA17FDB4-41E9-44B5-96AB-FB3342DD8F87}"/>
    <hyperlink ref="B2468" r:id="rId7443" display="https://twitter.com/AndreHD20" xr:uid="{1F20BC24-E894-4528-9A38-3CDF230EB3DE}"/>
    <hyperlink ref="E2468" r:id="rId7444" display="https://twitter.com/AndreHD20/status/723406266492575744" xr:uid="{A5DEC1A9-B5DC-42C1-99C9-CB462F33F797}"/>
    <hyperlink ref="O2468" r:id="rId7445" display="https://pbs.twimg.com/profile_images/701346285345972224/o2eiYGY__normal.jpg" xr:uid="{F4B1864A-1070-4E9B-9CA6-6D7682365056}"/>
    <hyperlink ref="B2469" r:id="rId7446" display="https://twitter.com/INDIZbot" xr:uid="{48DCB63E-7436-4DB4-9BC4-62BA3CD892E0}"/>
    <hyperlink ref="E2469" r:id="rId7447" display="https://twitter.com/INDIZbot/status/723406272624611329" xr:uid="{555EFAB0-1010-4573-B9D2-3B2A3524C99E}"/>
    <hyperlink ref="O2469" r:id="rId7448" display="https://pbs.twimg.com/profile_images/645716711723925506/t5G0qOS6_normal.jpg" xr:uid="{DBE67B75-285E-45A9-9AC7-6B47C071055A}"/>
    <hyperlink ref="B2470" r:id="rId7449" display="https://twitter.com/knauf_philipp" xr:uid="{576369C1-EBC5-4FE7-91E5-DB9ADC2AD730}"/>
    <hyperlink ref="E2470" r:id="rId7450" display="https://twitter.com/knauf_philipp/status/723406489273004032" xr:uid="{48322506-C9B0-4ED6-B4D5-CAD50D995CED}"/>
    <hyperlink ref="O2470" r:id="rId7451" display="https://pbs.twimg.com/profile_images/709647002586497024/8PZ2WUY3_normal.jpg" xr:uid="{FA4F4682-ACA6-4E9B-9A4D-B38A2BEB2AD2}"/>
    <hyperlink ref="B2471" r:id="rId7452" display="https://twitter.com/INDIZbot" xr:uid="{5036DEF5-80EA-479B-BE96-EAC7952AECA8}"/>
    <hyperlink ref="E2471" r:id="rId7453" display="https://twitter.com/INDIZbot/status/723406796950376448" xr:uid="{79892431-3DC8-40CD-BD6B-22452ED3D72F}"/>
    <hyperlink ref="O2471" r:id="rId7454" display="https://pbs.twimg.com/profile_images/645716711723925506/t5G0qOS6_normal.jpg" xr:uid="{B543CA21-F579-4F2A-A76B-D1F54E84A140}"/>
    <hyperlink ref="B2472" r:id="rId7455" display="https://twitter.com/CapgeminiDE" xr:uid="{BF1F257D-7D6F-41F0-9B91-F6DA741860B4}"/>
    <hyperlink ref="E2472" r:id="rId7456" display="https://twitter.com/CapgeminiDE/status/723407321427107840" xr:uid="{D97606AD-7903-4D95-B11B-1E976715A2A5}"/>
    <hyperlink ref="O2472" r:id="rId7457" display="https://pbs.twimg.com/profile_images/666911961599315968/aP7ID_qm_normal.png" xr:uid="{0B707619-3753-42FC-B2AB-FD67A7A4A245}"/>
    <hyperlink ref="B2473" r:id="rId7458" display="https://twitter.com/VDE_Group" xr:uid="{CE01E796-8918-492E-B95A-43CA9904A2BD}"/>
    <hyperlink ref="E2473" r:id="rId7459" display="https://twitter.com/VDE_Group/status/723407446379626497" xr:uid="{26E9C3D6-DD25-4228-BB05-DD8A3DCEDDD7}"/>
    <hyperlink ref="O2473" r:id="rId7460" display="https://pbs.twimg.com/profile_images/481000476872175616/HSvfIApp_normal.jpeg" xr:uid="{2AB735BE-556B-43E2-95AF-73DF0ADCA58E}"/>
    <hyperlink ref="B2474" r:id="rId7461" display="https://twitter.com/WSattlberger" xr:uid="{602BEE06-48F8-450A-BF31-5B5BAEF459CD}"/>
    <hyperlink ref="E2474" r:id="rId7462" display="https://twitter.com/WSattlberger/status/723407589334118400" xr:uid="{BF19529A-7451-47DF-9CBF-12C72A74A24B}"/>
    <hyperlink ref="O2474" r:id="rId7463" display="https://pbs.twimg.com/profile_images/659395378723225600/zdE7dn4F_normal.jpg" xr:uid="{0118A6A6-206E-4C77-812D-F27795D77336}"/>
    <hyperlink ref="B2475" r:id="rId7464" display="https://twitter.com/IEBook" xr:uid="{B08DB508-6B06-4CD5-AC3E-64644D7BD95E}"/>
    <hyperlink ref="E2475" r:id="rId7465" display="https://twitter.com/IEBook/status/723407916942774272" xr:uid="{AE560809-168E-44E7-80E7-D0F31CD1FA6A}"/>
    <hyperlink ref="O2475" r:id="rId7466" display="https://pbs.twimg.com/profile_images/718453542210703360/gxKMOQIw_normal.jpg" xr:uid="{22ECEDFC-AD0B-46A7-91EF-927C0FB59951}"/>
    <hyperlink ref="B2476" r:id="rId7467" display="https://twitter.com/HilgerVoss" xr:uid="{C3D00B69-BC5B-4D68-A777-5867228A24E8}"/>
    <hyperlink ref="E2476" r:id="rId7468" display="https://twitter.com/HilgerVoss/status/723408234212544515" xr:uid="{E970750F-D184-4CDA-98AD-DECE6E048B81}"/>
    <hyperlink ref="O2476" r:id="rId7469" display="https://pbs.twimg.com/profile_images/647052308170297344/Q29AIuZ__normal.jpg" xr:uid="{EB25B00D-31F0-4F6F-AC4B-F95579DC847A}"/>
    <hyperlink ref="B2477" r:id="rId7470" display="https://twitter.com/GTAI_com" xr:uid="{BEA86A7F-9D7B-4A55-A4F1-D4B39D5C0B75}"/>
    <hyperlink ref="E2477" r:id="rId7471" display="https://twitter.com/GTAI_com/status/723408574559350784" xr:uid="{65757F01-7218-407C-BB17-D4B4C6B9B777}"/>
    <hyperlink ref="O2477" r:id="rId7472" display="https://pbs.twimg.com/profile_images/716977461079179268/JVN5NZO8_normal.jpg" xr:uid="{63F4EC2B-354C-4A03-AE41-0C820DD75B0F}"/>
    <hyperlink ref="B2478" r:id="rId7473" display="https://twitter.com/QuickFindsIn" xr:uid="{FB5D6534-0525-4BD3-A61B-A7D18030A6AA}"/>
    <hyperlink ref="E2478" r:id="rId7474" display="https://twitter.com/QuickFindsIn/status/723409005557649408" xr:uid="{2EF20573-FBB2-4FF0-AB9D-E819741A13C6}"/>
    <hyperlink ref="O2478" r:id="rId7475" display="https://pbs.twimg.com/profile_images/591951396217327616/HbcCX2zX_normal.png" xr:uid="{F78DEA1B-5E94-45CE-8ECE-BE28C79E5056}"/>
    <hyperlink ref="B2479" r:id="rId7476" display="https://twitter.com/christophwitte" xr:uid="{1719E86F-7316-4722-A963-415841CA1DA5}"/>
    <hyperlink ref="E2479" r:id="rId7477" display="https://twitter.com/christophwitte/status/723409063715831808" xr:uid="{D44854CB-00D8-4C88-BB9B-9A682FB671DF}"/>
    <hyperlink ref="O2479" r:id="rId7478" display="https://pbs.twimg.com/profile_images/618449316055748612/F_9LrZDf_normal.jpg" xr:uid="{758D6B6C-1864-44B8-AE79-D506C917599B}"/>
    <hyperlink ref="B2480" r:id="rId7479" display="https://twitter.com/it_rebellen" xr:uid="{8402568B-24CD-4951-B1AF-733AF67E0552}"/>
    <hyperlink ref="E2480" r:id="rId7480" display="https://twitter.com/it_rebellen/status/723409063736807424" xr:uid="{D1D4E5D2-5F27-45E7-90C8-CE468B7B62A7}"/>
    <hyperlink ref="O2480" r:id="rId7481" display="https://pbs.twimg.com/profile_images/3625979673/acb661eae563d818836eb138c74e91f7_normal.jpeg" xr:uid="{657D9A63-7B31-4A79-BA55-FE8304E1670B}"/>
    <hyperlink ref="B2481" r:id="rId7482" display="https://twitter.com/CIOVoice" xr:uid="{3AFA4757-1F91-41A7-9514-8B5E7D8E35EC}"/>
    <hyperlink ref="E2481" r:id="rId7483" display="https://twitter.com/CIOVoice/status/723409063791349760" xr:uid="{3DAEEC16-9AA3-45F5-85A6-83F15684EA56}"/>
    <hyperlink ref="O2481" r:id="rId7484" display="https://pbs.twimg.com/profile_images/572399545279971328/fEGOYeng_normal.jpeg" xr:uid="{CA15560E-615F-48A4-A027-2F71C44BFE1D}"/>
    <hyperlink ref="B2482" r:id="rId7485" display="https://twitter.com/rreitz1" xr:uid="{1BE77545-2E22-42C6-A356-C316E6E58258}"/>
    <hyperlink ref="E2482" r:id="rId7486" display="https://twitter.com/rreitz1/status/723409080811835392" xr:uid="{2F4FA872-97E2-4A0A-9555-15574D15F36E}"/>
    <hyperlink ref="O2482" r:id="rId7487" display="https://pbs.twimg.com/profile_images/706179725409034240/LeeUleiq_normal.jpg" xr:uid="{24034D9E-7BF6-4F28-80A6-B355F86E3673}"/>
    <hyperlink ref="B2483" r:id="rId7488" display="https://twitter.com/INDIZbot" xr:uid="{C2BDE834-54A3-4E29-AA80-E5A9FE74F001}"/>
    <hyperlink ref="E2483" r:id="rId7489" display="https://twitter.com/INDIZbot/status/723409116983492608" xr:uid="{591A47A5-4BC3-4A12-BC5F-29531231A7F9}"/>
    <hyperlink ref="O2483" r:id="rId7490" display="https://pbs.twimg.com/profile_images/645716711723925506/t5G0qOS6_normal.jpg" xr:uid="{97B4A5BD-0149-42ED-B15A-C6EC0A1DF80A}"/>
    <hyperlink ref="B2484" r:id="rId7491" display="https://twitter.com/DerKonstrukteu" xr:uid="{8B2D13C0-7C55-4864-80D2-5304D534378E}"/>
    <hyperlink ref="E2484" r:id="rId7492" display="https://twitter.com/DerKonstrukteu/status/723409119332331521" xr:uid="{56BB0E69-4F6E-44C3-8684-C771E12CB74B}"/>
    <hyperlink ref="O2484" r:id="rId7493" display="https://pbs.twimg.com/profile_images/448785978165968896/SQOcI8cJ_normal.png" xr:uid="{E9E951FF-ED24-4AD7-9701-BCD456E0E935}"/>
    <hyperlink ref="B2485" r:id="rId7494" display="https://twitter.com/BerHerg" xr:uid="{48DEE66E-83C3-4F00-BA7D-AFC9A5284EAC}"/>
    <hyperlink ref="E2485" r:id="rId7495" display="https://twitter.com/BerHerg/status/723409703204585472" xr:uid="{D87F4E8C-2CD7-4F1D-9099-2F7A64E9455C}"/>
    <hyperlink ref="O2485" r:id="rId7496" display="https://pbs.twimg.com/profile_images/1648827386/image_normal.jpg" xr:uid="{5D2BD0CE-121E-49CA-923A-B8DBA95256C4}"/>
    <hyperlink ref="B2486" r:id="rId7497" display="https://twitter.com/View85" xr:uid="{39EDC2A4-3042-4E28-91B8-C0A1FDCBCAC4}"/>
    <hyperlink ref="E2486" r:id="rId7498" display="https://twitter.com/View85/status/723409754794561537" xr:uid="{8087E310-7DDA-412F-BBD3-B4BEC8243D23}"/>
    <hyperlink ref="O2486" r:id="rId7499" display="https://pbs.twimg.com/profile_images/533525565954084864/GuMd6KSl_normal.jpeg" xr:uid="{6C7EEC85-821F-4AA8-8D7D-91BE5A1CB200}"/>
    <hyperlink ref="B2487" r:id="rId7500" display="https://twitter.com/Fraunhofer_IPA" xr:uid="{83C61085-4DD2-4AD5-864D-B02ABC1388FB}"/>
    <hyperlink ref="E2487" r:id="rId7501" display="https://twitter.com/Fraunhofer_IPA/status/723410755266080769" xr:uid="{59A96258-BDD5-4C96-99EC-90B33BF08192}"/>
    <hyperlink ref="O2487" r:id="rId7502" display="https://pbs.twimg.com/profile_images/423438208873922560/3cq2Jpt-_normal.jpeg" xr:uid="{0D251A75-DDEC-413E-8D14-23FFDDE4D848}"/>
    <hyperlink ref="B2488" r:id="rId7503" display="https://twitter.com/SabineGillessen" xr:uid="{7610A7AF-1DB2-43BD-B474-C80642B0BCF1}"/>
    <hyperlink ref="E2488" r:id="rId7504" display="https://twitter.com/SabineGillessen/status/723411206556413952" xr:uid="{D9F6742E-EAA9-4EFE-9E88-DB7F76D49EEC}"/>
    <hyperlink ref="O2488" r:id="rId7505" display="https://pbs.twimg.com/profile_images/689200589851508737/q7a1TiZV_normal.jpg" xr:uid="{DC824057-F6AE-4C3C-AB44-43FEA8B1CD4A}"/>
    <hyperlink ref="B2489" r:id="rId7506" display="https://twitter.com/INDIZbot" xr:uid="{41E3DF0F-A8BA-4D7A-9C00-E394C043254C}"/>
    <hyperlink ref="E2489" r:id="rId7507" display="https://twitter.com/INDIZbot/status/723411305642651655" xr:uid="{CCD1A181-9C60-4376-81DC-2A9ECAC8017A}"/>
    <hyperlink ref="O2489" r:id="rId7508" display="https://pbs.twimg.com/profile_images/645716711723925506/t5G0qOS6_normal.jpg" xr:uid="{8F5323A1-79C3-4E0D-AE85-A3509EC0BF14}"/>
    <hyperlink ref="B2490" r:id="rId7509" display="https://twitter.com/FortisPR" xr:uid="{15EFFB4A-F7C7-484D-80A5-C9726D29F0FB}"/>
    <hyperlink ref="E2490" r:id="rId7510" display="https://twitter.com/FortisPR/status/723411382960459776" xr:uid="{4BC23D05-A7BF-47C8-90D3-C726D9AAD09E}"/>
    <hyperlink ref="O2490" r:id="rId7511" display="https://pbs.twimg.com/profile_images/2576400690/xmq1oe43pen0xmb3trm9_normal.jpeg" xr:uid="{7770ED7A-82F1-46C5-8A88-9AFE5E4EC7EA}"/>
    <hyperlink ref="B2491" r:id="rId7512" display="https://twitter.com/catkinEU" xr:uid="{11022016-CF2D-4E2B-87E8-C4983C16449E}"/>
    <hyperlink ref="E2491" r:id="rId7513" display="https://twitter.com/catkinEU/status/723411538569129984" xr:uid="{DCAD44D9-5367-43FF-A1ED-BBA8ED3DFE99}"/>
    <hyperlink ref="O2491" r:id="rId7514" display="https://pbs.twimg.com/profile_images/604338428227010560/6jzSa8us_normal.png" xr:uid="{53CF8FDE-CF25-4DCC-B7E7-D240A89E3468}"/>
    <hyperlink ref="B2492" r:id="rId7515" display="https://twitter.com/INDIZbot" xr:uid="{68C948BE-39C5-4EE7-B1EB-527274D4FABD}"/>
    <hyperlink ref="E2492" r:id="rId7516" display="https://twitter.com/INDIZbot/status/723411633721085952" xr:uid="{A187B1EE-634E-46CA-9A00-5B87E27E4361}"/>
    <hyperlink ref="O2492" r:id="rId7517" display="https://pbs.twimg.com/profile_images/645716711723925506/t5G0qOS6_normal.jpg" xr:uid="{8A33E57C-E447-46A8-8984-891C08F4C644}"/>
    <hyperlink ref="B2493" r:id="rId7518" display="https://twitter.com/acatech_de" xr:uid="{ECABB2E8-7321-4806-BC08-0463F5823A79}"/>
    <hyperlink ref="E2493" r:id="rId7519" display="https://twitter.com/acatech_de/status/723412094901571584" xr:uid="{E8AD7402-3007-4220-B8A9-3FB6581FABB0}"/>
    <hyperlink ref="O2493" r:id="rId7520" display="https://pbs.twimg.com/profile_images/600969802908356609/3JqGMg38_normal.png" xr:uid="{8041E2B9-81EA-4F1D-83AE-A4122574521A}"/>
    <hyperlink ref="B2494" r:id="rId7521" display="https://twitter.com/PapaVise" xr:uid="{DB4118DF-1D97-4D55-B242-85E27AA90FA7}"/>
    <hyperlink ref="E2494" r:id="rId7522" display="https://twitter.com/PapaVise/status/723412179311988736" xr:uid="{04355441-6126-4764-AD57-954D50A0FD8F}"/>
    <hyperlink ref="O2494" r:id="rId7523" display="https://pbs.twimg.com/profile_images/561137710287425536/htHMwCBr_normal.png" xr:uid="{EAFD514B-E2A9-4DC1-8780-E849E0DF03B3}"/>
    <hyperlink ref="B2495" r:id="rId7524" display="https://twitter.com/PapaVise" xr:uid="{7DD78632-8A9C-433A-9A80-C9FB8C211DB5}"/>
    <hyperlink ref="E2495" r:id="rId7525" display="https://twitter.com/PapaVise/status/723412431989415941" xr:uid="{4FE2753F-4B32-4A00-8DF2-EBD7AEF395A8}"/>
    <hyperlink ref="O2495" r:id="rId7526" display="https://pbs.twimg.com/profile_images/561137710287425536/htHMwCBr_normal.png" xr:uid="{DEFB6268-7DCD-4D9E-8829-797266F5432E}"/>
    <hyperlink ref="B2496" r:id="rId7527" display="https://twitter.com/PapaVise" xr:uid="{F6479C6F-4B3C-4B8C-9456-BF8B0AC5EACC}"/>
    <hyperlink ref="E2496" r:id="rId7528" display="https://twitter.com/PapaVise/status/723412724735041536" xr:uid="{56961B3B-1714-4690-A007-FED105F9D06E}"/>
    <hyperlink ref="O2496" r:id="rId7529" display="https://pbs.twimg.com/profile_images/561137710287425536/htHMwCBr_normal.png" xr:uid="{91B54F54-570C-42A0-85CF-9C79280103E4}"/>
    <hyperlink ref="B2497" r:id="rId7530" display="https://twitter.com/CompetitorsNews" xr:uid="{88C77106-B4E5-4BFA-91BD-AEC01FBE1D4B}"/>
    <hyperlink ref="E2497" r:id="rId7531" display="https://twitter.com/CompetitorsNews/status/723412804422619137" xr:uid="{9FE11C9A-D711-4CEB-BC15-9E6CDD82771F}"/>
    <hyperlink ref="O2497" r:id="rId7532" display="https://pbs.twimg.com/profile_images/378800000756770506/ec883914de9f4b2f3cd0acea75bbad08_normal.png" xr:uid="{ECDB61D9-0EA9-4585-843E-8F6551CE75C7}"/>
    <hyperlink ref="B2498" r:id="rId7533" display="https://twitter.com/CompetitorsNews" xr:uid="{43DAE4B7-7D3B-4117-A588-E900CF6B5FA0}"/>
    <hyperlink ref="E2498" r:id="rId7534" display="https://twitter.com/CompetitorsNews/status/723413241867567104" xr:uid="{8A3581CD-41BD-4274-8164-FC0C184FC64E}"/>
    <hyperlink ref="O2498" r:id="rId7535" display="https://pbs.twimg.com/profile_images/378800000756770506/ec883914de9f4b2f3cd0acea75bbad08_normal.png" xr:uid="{98634C4B-258F-4EF1-9E57-62E20C6F09BA}"/>
    <hyperlink ref="B2499" r:id="rId7536" display="https://twitter.com/csschweiz" xr:uid="{4AED6356-B2AD-49F5-9C86-391BDE237577}"/>
    <hyperlink ref="E2499" r:id="rId7537" display="https://twitter.com/csschweiz/status/723413506691751937" xr:uid="{05A03487-F8D4-4E28-94DE-53A148B9617C}"/>
    <hyperlink ref="O2499" r:id="rId7538" display="https://pbs.twimg.com/profile_images/649126352726171648/YL98rCL3_normal.png" xr:uid="{3EA85635-20C0-4B1D-BCBA-E230B3F4EE5B}"/>
    <hyperlink ref="B2500" r:id="rId7539" display="https://twitter.com/heidelbergmobil" xr:uid="{8E08258E-7BD8-42B1-8EC4-CDD5FAE44DFD}"/>
    <hyperlink ref="E2500" r:id="rId7540" display="https://twitter.com/heidelbergmobil/status/723413683771039748" xr:uid="{3A69825F-5843-47FD-9B6E-0D6761EF0CC3}"/>
    <hyperlink ref="O2500" r:id="rId7541" display="https://pbs.twimg.com/profile_images/456341504751964160/Cdptz2iN_normal.jpeg" xr:uid="{3F79B502-B26F-42EE-89EC-8E69F699024B}"/>
    <hyperlink ref="B2501" r:id="rId7542" display="https://twitter.com/PapaVise" xr:uid="{7447E98E-EBE6-444B-BF8B-A3730AAF9BB8}"/>
    <hyperlink ref="E2501" r:id="rId7543" display="https://twitter.com/PapaVise/status/723413851329290242" xr:uid="{B32638C4-8C6D-4D06-83F0-BB4AAF3D5CCD}"/>
    <hyperlink ref="O2501" r:id="rId7544" display="https://pbs.twimg.com/profile_images/561137710287425536/htHMwCBr_normal.png" xr:uid="{01E5F80D-EB56-4487-A7D7-BAA9CF506198}"/>
    <hyperlink ref="B2502" r:id="rId7545" display="https://twitter.com/INDIZbot" xr:uid="{5E0AC1BA-685F-47D5-9B02-F7A10FE01C87}"/>
    <hyperlink ref="E2502" r:id="rId7546" display="https://twitter.com/INDIZbot/status/723413909617545216" xr:uid="{7F609975-5335-4B84-AD9D-9AADDFA898FA}"/>
    <hyperlink ref="O2502" r:id="rId7547" display="https://pbs.twimg.com/profile_images/645716711723925506/t5G0qOS6_normal.jpg" xr:uid="{DFC34333-6271-4A67-9E5E-DCD6DC81BCA8}"/>
    <hyperlink ref="B2503" r:id="rId7548" display="https://twitter.com/catkinEU" xr:uid="{B4E8A31D-819B-4225-898B-8869E45B02A6}"/>
    <hyperlink ref="E2503" r:id="rId7549" display="https://twitter.com/catkinEU/status/723413999048499200" xr:uid="{F4BE89BB-18F5-432D-9168-9870D708F8B0}"/>
    <hyperlink ref="O2503" r:id="rId7550" display="https://pbs.twimg.com/profile_images/604338428227010560/6jzSa8us_normal.png" xr:uid="{A208AE92-CE9E-4BE4-ACE6-3E9C12CA17A0}"/>
    <hyperlink ref="B2504" r:id="rId7551" display="https://twitter.com/_Logistra_" xr:uid="{338FA0A7-97B5-4F00-B582-FF894B3C5EF2}"/>
    <hyperlink ref="E2504" r:id="rId7552" display="https://twitter.com/_Logistra_/status/723414100210913280" xr:uid="{4FB0EB6D-9949-479D-9291-6004EB065DBB}"/>
    <hyperlink ref="O2504" r:id="rId7553" display="https://pbs.twimg.com/profile_images/560808349239746560/NJEwEVs5_normal.png" xr:uid="{8A9C6DDB-69C6-42CC-8AC3-84CA3BCB99A7}"/>
    <hyperlink ref="B2505" r:id="rId7554" display="https://twitter.com/tanit" xr:uid="{1A5E33B7-507C-47A5-A9B8-53254B1CAAE5}"/>
    <hyperlink ref="E2505" r:id="rId7555" display="https://twitter.com/tanit/status/723414104073854976" xr:uid="{705CC355-87CA-417A-B7ED-DC8486FDD32E}"/>
    <hyperlink ref="O2505" r:id="rId7556" display="https://pbs.twimg.com/profile_images/378800000642092644/15f6a42d761faf5b6c93058c94a43e63_normal.jpeg" xr:uid="{90419519-68D4-4397-A4A4-A84BD8777BB8}"/>
    <hyperlink ref="B2506" r:id="rId7557" display="https://twitter.com/INDIZbot" xr:uid="{4B6AF011-7931-4DD5-B842-9509FF9D7BEE}"/>
    <hyperlink ref="E2506" r:id="rId7558" display="https://twitter.com/INDIZbot/status/723414144565665792" xr:uid="{A7094ADE-E4A6-4C66-8E13-1C520D49317D}"/>
    <hyperlink ref="O2506" r:id="rId7559" display="https://pbs.twimg.com/profile_images/645716711723925506/t5G0qOS6_normal.jpg" xr:uid="{FAD4BB01-AD4A-49AC-BBFA-3B59517930DE}"/>
    <hyperlink ref="B2507" r:id="rId7560" display="https://twitter.com/Bosch_BCDS" xr:uid="{9E1FA7D1-7D75-405C-BAFF-6E8874DDB40D}"/>
    <hyperlink ref="E2507" r:id="rId7561" display="https://twitter.com/Bosch_BCDS/status/723414206494601216" xr:uid="{5B943E4E-0342-4FAD-B4C1-0D2ECAC31F2E}"/>
    <hyperlink ref="O2507" r:id="rId7562" display="https://pbs.twimg.com/profile_images/656085170995535873/WqzD_O5g_normal.jpg" xr:uid="{53507F02-4405-483E-AC70-46418441B947}"/>
    <hyperlink ref="B2508" r:id="rId7563" display="https://twitter.com/Angela_Josephs" xr:uid="{E71459E7-E5D9-4511-82FC-37002EE04514}"/>
    <hyperlink ref="E2508" r:id="rId7564" display="https://twitter.com/Angela_Josephs/status/723414211615821824" xr:uid="{7FBAA839-BC73-472C-BA4B-4A7F37087295}"/>
    <hyperlink ref="O2508" r:id="rId7565" display="https://pbs.twimg.com/profile_images/649572788148285440/Sxl5vTa3_normal.jpg" xr:uid="{4FA73359-AB43-4C62-83E0-68E332BF310E}"/>
    <hyperlink ref="B2509" r:id="rId7566" display="https://twitter.com/BentNiklas" xr:uid="{FBA647DD-EC56-40A2-8154-FB57CB95B08D}"/>
    <hyperlink ref="E2509" r:id="rId7567" display="https://twitter.com/BentNiklas/status/723414315789766656" xr:uid="{643E7DB7-3F42-448A-9637-71D77E388271}"/>
    <hyperlink ref="O2509" r:id="rId7568" display="https://pbs.twimg.com/profile_images/687629708092129280/PQUSwFlr_normal.jpg" xr:uid="{6B94B421-D357-40C1-B47E-AB6A6994EAC7}"/>
    <hyperlink ref="B2510" r:id="rId7569" display="https://twitter.com/BGarciaSchmidt" xr:uid="{170A096F-02BE-49A0-B93F-B66634046BBE}"/>
    <hyperlink ref="E2510" r:id="rId7570" display="https://twitter.com/BGarciaSchmidt/status/723414338833248256" xr:uid="{24C9E7BB-0B53-4BB4-915B-BEB4731D53CB}"/>
    <hyperlink ref="O2510" r:id="rId7571" display="https://pbs.twimg.com/profile_images/690172121973145601/pudiMkyd_normal.jpg" xr:uid="{E72545F6-88FE-4B20-A349-1E3F6A88B557}"/>
    <hyperlink ref="B2511" r:id="rId7572" display="https://twitter.com/SEWEURODRIVE" xr:uid="{6F8D7DAF-6184-4A62-9778-DC4F6CF626E8}"/>
    <hyperlink ref="E2511" r:id="rId7573" display="https://twitter.com/SEWEURODRIVE/status/723414604437540864" xr:uid="{81888D23-1F0F-4910-AABB-726309F56837}"/>
    <hyperlink ref="O2511" r:id="rId7574" display="https://pbs.twimg.com/profile_images/490060130231132160/qLmnir1s_normal.jpeg" xr:uid="{2BEE9281-9DD5-443C-888E-C36CB9C31609}"/>
    <hyperlink ref="B2512" r:id="rId7575" display="https://twitter.com/verbalis_" xr:uid="{CCDE63A7-D36E-42E9-A6B4-E28C9706D54C}"/>
    <hyperlink ref="E2512" r:id="rId7576" display="https://twitter.com/verbalis_/status/723415153048313856" xr:uid="{0ED4658C-01E8-4520-8D8E-DCF6A5FA17AD}"/>
    <hyperlink ref="O2512" r:id="rId7577" display="https://pbs.twimg.com/profile_images/504283944099934208/aYXjwtP5_normal.jpeg" xr:uid="{B0659D1B-3084-457E-BFA0-A320D3A28FA9}"/>
    <hyperlink ref="B2513" r:id="rId7578" display="https://twitter.com/BakerMcGER" xr:uid="{B58BF6A1-FFE8-4603-8273-73563BD9AD89}"/>
    <hyperlink ref="E2513" r:id="rId7579" display="https://twitter.com/BakerMcGER/status/723416255214948352" xr:uid="{8EFA3A0C-0DFD-46A9-9B30-2149DBF56790}"/>
    <hyperlink ref="O2513" r:id="rId7580" display="https://pbs.twimg.com/profile_images/707877685721231360/0WBLwHQ-_normal.jpg" xr:uid="{6D7DFBB2-A1D9-478E-98B4-788523FA9698}"/>
    <hyperlink ref="B2514" r:id="rId7581" display="https://twitter.com/INDIZbot" xr:uid="{5DFE34EE-D2DF-454A-A105-B0725884226B}"/>
    <hyperlink ref="E2514" r:id="rId7582" display="https://twitter.com/INDIZbot/status/723416427193995264" xr:uid="{CFC117E8-5B7D-440F-B73D-153931A97213}"/>
    <hyperlink ref="O2514" r:id="rId7583" display="https://pbs.twimg.com/profile_images/645716711723925506/t5G0qOS6_normal.jpg" xr:uid="{CC0AC86C-D2EB-431A-9778-1BE8900483AC}"/>
    <hyperlink ref="B2515" r:id="rId7584" display="https://twitter.com/INDIZbot" xr:uid="{EED2048E-016F-4CA8-9E65-70524958AF03}"/>
    <hyperlink ref="E2515" r:id="rId7585" display="https://twitter.com/INDIZbot/status/723416795567132672" xr:uid="{455C64C9-1377-49C0-B20E-91919B732012}"/>
    <hyperlink ref="O2515" r:id="rId7586" display="https://pbs.twimg.com/profile_images/645716711723925506/t5G0qOS6_normal.jpg" xr:uid="{4FB1D7F4-F04B-4AAF-8CF6-649FA1BF650B}"/>
    <hyperlink ref="B2516" r:id="rId7587" display="https://twitter.com/DKEAktuell" xr:uid="{53D31AD0-99C9-4361-A28E-A0B4EFD83ADD}"/>
    <hyperlink ref="E2516" r:id="rId7588" display="https://twitter.com/DKEAktuell/status/723416809169293312" xr:uid="{24360A5C-4C04-45F9-9AF2-011DA76A6236}"/>
    <hyperlink ref="O2516" r:id="rId7589" display="https://pbs.twimg.com/profile_images/465817969902092288/sEIgw9Gb_normal.jpeg" xr:uid="{D376A211-188C-4BE8-8BF2-8FF4B47E122C}"/>
    <hyperlink ref="B2517" r:id="rId7590" display="https://twitter.com/tubezweinull" xr:uid="{21B2736F-76F7-4EFF-9818-62575D569E78}"/>
    <hyperlink ref="E2517" r:id="rId7591" display="https://twitter.com/tubezweinull/status/723416965264470016" xr:uid="{086556BB-0303-4347-81EC-14FD4E25F20F}"/>
    <hyperlink ref="O2517" r:id="rId7592" display="https://pbs.twimg.com/profile_images/621021669650505728/a35AEy4u_normal.png" xr:uid="{6F3A742A-DEEA-416D-92EC-878DA42386E6}"/>
    <hyperlink ref="B2518" r:id="rId7593" display="https://twitter.com/TechTargetDE" xr:uid="{872876C9-613E-4117-8A23-9814D88CA896}"/>
    <hyperlink ref="E2518" r:id="rId7594" display="https://twitter.com/TechTargetDE/status/723416965268692993" xr:uid="{2D576611-ACC0-42FC-8625-6CE4B0AD44C2}"/>
    <hyperlink ref="O2518" r:id="rId7595" display="https://pbs.twimg.com/profile_images/696725980027572224/2-3HmqsY_normal.jpg" xr:uid="{E65485CA-E8A1-40E3-809C-36D1AFBB4856}"/>
    <hyperlink ref="B2519" r:id="rId7596" display="https://twitter.com/sentsoftwarede" xr:uid="{3553A2B4-616E-4BA2-BA08-5C2571C1FBF0}"/>
    <hyperlink ref="E2519" r:id="rId7597" display="https://twitter.com/sentsoftwarede/status/723416965277048832" xr:uid="{A7F25F84-5561-4DC6-BE45-4820AE826F05}"/>
    <hyperlink ref="O2519" r:id="rId7598" display="https://pbs.twimg.com/profile_images/3758783658/6f76e2753821fd7888cef817739545ee_normal.jpeg" xr:uid="{5F8067AC-B647-4F76-A70D-06C57962461E}"/>
    <hyperlink ref="B2520" r:id="rId7599" display="https://twitter.com/DKEAktuell" xr:uid="{B77E0C2C-0F5C-443E-AC7A-0A986BC4EFD5}"/>
    <hyperlink ref="E2520" r:id="rId7600" display="https://twitter.com/DKEAktuell/status/723417275777208321" xr:uid="{B90501A9-0CCE-447D-86C5-3C890E873356}"/>
    <hyperlink ref="O2520" r:id="rId7601" display="https://pbs.twimg.com/profile_images/465817969902092288/sEIgw9Gb_normal.jpeg" xr:uid="{1720D52B-2D11-460B-87D2-A3D7AB66C597}"/>
    <hyperlink ref="B2521" r:id="rId7602" display="https://twitter.com/MartinGaedt" xr:uid="{1BFCC9F8-B4DE-47D9-96A3-3BA5499AD202}"/>
    <hyperlink ref="E2521" r:id="rId7603" display="https://twitter.com/MartinGaedt/status/723417362288906240" xr:uid="{DAC09DA9-89CE-46B2-8158-C47D42349635}"/>
    <hyperlink ref="O2521" r:id="rId7604" display="https://pbs.twimg.com/profile_images/709444980553740288/Xds-Aan6_normal.jpg" xr:uid="{62554400-6B50-451B-A223-0E0A6BE25199}"/>
    <hyperlink ref="B2522" r:id="rId7605" display="https://twitter.com/kat2812" xr:uid="{DFD988F7-75C4-4B2E-867E-D87C539C9A8E}"/>
    <hyperlink ref="E2522" r:id="rId7606" display="https://twitter.com/kat2812/status/723417665994252288" xr:uid="{B9E81C29-BF5D-4362-8D7E-66DB252CC03D}"/>
    <hyperlink ref="O2522" r:id="rId7607" display="https://pbs.twimg.com/profile_images/2994151206/72e14517d19cb49aa35fe3019df8b048_normal.jpeg" xr:uid="{CDC3B3C5-C21A-446F-A310-75C1F161E52A}"/>
    <hyperlink ref="B2523" r:id="rId7608" display="https://twitter.com/MarkusKleeb" xr:uid="{41500628-31EA-4563-9C01-A301D658D498}"/>
    <hyperlink ref="E2523" r:id="rId7609" display="https://twitter.com/MarkusKleeb/status/723417680884076544" xr:uid="{B017B1EF-EA59-4AC1-903B-294AB266D8E4}"/>
    <hyperlink ref="O2523" r:id="rId7610" display="https://pbs.twimg.com/profile_images/715969231968473089/wpPBpd5d_normal.jpg" xr:uid="{2C794C3B-6EE1-413F-8B40-91FF738A625D}"/>
    <hyperlink ref="B2524" r:id="rId7611" display="https://twitter.com/kat2812" xr:uid="{A423561C-8E08-4638-B4AE-9A0C931AF505}"/>
    <hyperlink ref="E2524" r:id="rId7612" display="https://twitter.com/kat2812/status/723417963630448640" xr:uid="{C52818B3-E0F4-4C45-A4CD-0F45B2ABC92A}"/>
    <hyperlink ref="O2524" r:id="rId7613" display="https://pbs.twimg.com/profile_images/2994151206/72e14517d19cb49aa35fe3019df8b048_normal.jpeg" xr:uid="{CBAE881B-6C01-4BC3-8949-261C52578734}"/>
    <hyperlink ref="B2525" r:id="rId7614" display="https://twitter.com/kommunikationsm" xr:uid="{7D756854-4BDA-444F-85CE-74E63EDD996C}"/>
    <hyperlink ref="E2525" r:id="rId7615" display="https://twitter.com/kommunikationsm/status/723418043326439424" xr:uid="{8CF49A74-7D32-474E-B517-87E8B7E671FD}"/>
    <hyperlink ref="O2525" r:id="rId7616" display="https://pbs.twimg.com/profile_images/619614759370014720/AS__iYuZ_normal.jpg" xr:uid="{C4D5F0A0-CF2C-4CA9-A241-676C5AB523DC}"/>
    <hyperlink ref="B2526" r:id="rId7617" display="https://twitter.com/BakerMcGER" xr:uid="{0C9A3EB1-0C09-4C0F-AEFC-493AFAB7C782}"/>
    <hyperlink ref="E2526" r:id="rId7618" display="https://twitter.com/BakerMcGER/status/723418359748919296" xr:uid="{85BC46DF-2903-4E00-8FF1-321691866D7C}"/>
    <hyperlink ref="O2526" r:id="rId7619" display="https://pbs.twimg.com/profile_images/707877685721231360/0WBLwHQ-_normal.jpg" xr:uid="{E9CB2860-CDD5-4570-8806-0BFA4BD65C5D}"/>
    <hyperlink ref="B2527" r:id="rId7620" display="https://twitter.com/1StepTo" xr:uid="{10175130-73B5-4B8A-B77F-D528CBE2901A}"/>
    <hyperlink ref="E2527" r:id="rId7621" display="https://twitter.com/1StepTo/status/723418765728178177" xr:uid="{3174117D-40BC-4BE1-988D-76A8422AD51C}"/>
    <hyperlink ref="O2527" r:id="rId7622" display="https://pbs.twimg.com/profile_images/1298797782/1_quadrat_xing_96_normal.jpg" xr:uid="{B231E8EC-2A23-426E-A2B4-8A6EFFA164EF}"/>
    <hyperlink ref="B2528" r:id="rId7623" display="https://twitter.com/BitkomResearch" xr:uid="{2015056A-0FC1-4C10-BA28-7E3D7B0D96C5}"/>
    <hyperlink ref="E2528" r:id="rId7624" display="https://twitter.com/BitkomResearch/status/723418880123629568" xr:uid="{5C715B8C-77A5-4598-8C73-62771B2C97F3}"/>
    <hyperlink ref="O2528" r:id="rId7625" display="https://pbs.twimg.com/profile_images/631021673857290240/dsNYkRwd_normal.jpg" xr:uid="{F2DB29ED-3A98-46B7-95C6-26AD0F14A799}"/>
    <hyperlink ref="B2529" r:id="rId7626" display="https://twitter.com/VDI_News" xr:uid="{3470E3B2-E483-4A6C-AC97-0052C5AC9362}"/>
    <hyperlink ref="E2529" r:id="rId7627" display="https://twitter.com/VDI_News/status/723419546669867009" xr:uid="{C4A3734F-3402-45F2-89E3-965BE04CFA86}"/>
    <hyperlink ref="O2529" r:id="rId7628" display="https://pbs.twimg.com/profile_images/469070945483628546/iD8AeJP6_normal.png" xr:uid="{9F40AC82-2142-4164-875F-B8F1401F8507}"/>
    <hyperlink ref="B2530" r:id="rId7629" display="https://twitter.com/IoTMinded" xr:uid="{C7B93033-1A4C-46B2-90C5-722D07AB2F76}"/>
    <hyperlink ref="E2530" r:id="rId7630" display="https://twitter.com/IoTMinded/status/723419888576929793" xr:uid="{C5F8312C-0BF5-4D9A-94FB-1EDAED128897}"/>
    <hyperlink ref="O2530" r:id="rId7631" display="https://pbs.twimg.com/profile_images/603699032804859904/lb5IMG5x_normal.jpg" xr:uid="{8F85A47C-8723-4F1B-A49F-46F13373B552}"/>
    <hyperlink ref="B2531" r:id="rId7632" display="https://twitter.com/AMETRAInge" xr:uid="{DDD8F75C-A9ED-4DF5-BA8B-8ED3D2D19B4E}"/>
    <hyperlink ref="E2531" r:id="rId7633" display="https://twitter.com/AMETRAInge/status/723420227095031808" xr:uid="{0DB1919F-26D5-450D-AC85-9910B85B9D9B}"/>
    <hyperlink ref="O2531" r:id="rId7634" display="https://pbs.twimg.com/profile_images/677781149037514752/TcTK8Bpv_normal.png" xr:uid="{9E6557E3-C2D2-40EA-8C3E-0C7674D44BAE}"/>
    <hyperlink ref="B2532" r:id="rId7635" display="https://twitter.com/BOLDLYGO_FFM" xr:uid="{9665FAA0-9E5F-4AF4-9C1E-B9F58EBA2E79}"/>
    <hyperlink ref="E2532" r:id="rId7636" display="https://twitter.com/BOLDLYGO_FFM/status/723421359921979394" xr:uid="{4DA46AF8-4830-4F3E-A47C-8F7BEF674F87}"/>
    <hyperlink ref="O2532" r:id="rId7637" display="https://pbs.twimg.com/profile_images/636836616263311360/-akWmcev_normal.png" xr:uid="{F038FE6D-4C7B-429B-945C-E2D74315F646}"/>
    <hyperlink ref="B2533" r:id="rId7638" display="https://twitter.com/BMAS_Bund" xr:uid="{006E0239-FA64-466B-8316-73C9682EA73D}"/>
    <hyperlink ref="E2533" r:id="rId7639" display="https://twitter.com/BMAS_Bund/status/723421629485748224" xr:uid="{9ED6B2FF-F45D-438C-B89B-60C01CCD6076}"/>
    <hyperlink ref="O2533" r:id="rId7640" display="https://pbs.twimg.com/profile_images/458890407313559552/jLyIiacO_normal.png" xr:uid="{ED2B5D5E-91E5-4CC6-BAA2-705C98A818D3}"/>
    <hyperlink ref="B2534" r:id="rId7641" display="https://twitter.com/LeasingVerband" xr:uid="{E092DAA2-4B75-4B33-B696-AD8BACE612E5}"/>
    <hyperlink ref="E2534" r:id="rId7642" display="https://twitter.com/LeasingVerband/status/723421666940874752" xr:uid="{9954B384-D132-4B59-9C72-B30D45FA8C4B}"/>
    <hyperlink ref="O2534" r:id="rId7643" display="https://pbs.twimg.com/profile_images/657444681853198336/u2cJqzo7_normal.jpg" xr:uid="{BD56D048-7019-44C9-BA18-201E32A2F7A7}"/>
    <hyperlink ref="B2535" r:id="rId7644" display="https://twitter.com/MindCommerce" xr:uid="{7573DFBD-E080-43CD-89D9-03A04473AA9C}"/>
    <hyperlink ref="E2535" r:id="rId7645" display="https://twitter.com/MindCommerce/status/723421682224885760" xr:uid="{66D05316-97C3-4FBA-9A92-9C6743F27A2C}"/>
    <hyperlink ref="O2535" r:id="rId7646" display="https://pbs.twimg.com/profile_images/548030384030507008/utABqhj9_normal.png" xr:uid="{EE43A909-F51A-4E29-BF45-C6B5EC85545A}"/>
    <hyperlink ref="B2536" r:id="rId7647" display="https://twitter.com/INDIZbot" xr:uid="{7DB4768C-6AA1-4557-9931-7116D05494A8}"/>
    <hyperlink ref="E2536" r:id="rId7648" display="https://twitter.com/INDIZbot/status/723421765209182208" xr:uid="{B7BAAB77-1CEB-4289-A277-A3FDEBDA5C53}"/>
    <hyperlink ref="O2536" r:id="rId7649" display="https://pbs.twimg.com/profile_images/645716711723925506/t5G0qOS6_normal.jpg" xr:uid="{F1A684F5-CCE3-47DC-B34F-2CC4E021378E}"/>
    <hyperlink ref="B2537" r:id="rId7650" display="https://twitter.com/CompTIA_DACH" xr:uid="{157FE4CF-5B7F-4F39-9066-91164620D043}"/>
    <hyperlink ref="E2537" r:id="rId7651" display="https://twitter.com/CompTIA_DACH/status/723422122287058944" xr:uid="{49FBE952-AD99-43A5-9530-0FC21886851C}"/>
    <hyperlink ref="O2537" r:id="rId7652" display="https://pbs.twimg.com/profile_images/704719602014679040/mJ2zg355_normal.jpg" xr:uid="{5FFA1A65-3B51-4C83-ADCC-21B4CF81EA36}"/>
    <hyperlink ref="B2538" r:id="rId7653" display="https://twitter.com/tcerisier_johan" xr:uid="{0269F5CB-AA4C-464B-B2BF-7A010FD6F796}"/>
    <hyperlink ref="E2538" r:id="rId7654" display="https://twitter.com/tcerisier_johan/status/723422160727867392" xr:uid="{A9E1CE43-58BF-4D9D-844F-531B41E6373F}"/>
    <hyperlink ref="O2538" r:id="rId7655" display="https://pbs.twimg.com/profile_images/710982607606038528/t8IYX_cK_normal.jpg" xr:uid="{7AE7ECA4-E7C8-46ED-902F-196E8100C50E}"/>
    <hyperlink ref="B2539" r:id="rId7656" display="https://twitter.com/francoi55889292" xr:uid="{665D04A0-224B-4702-83F6-7CF9B786CDDC}"/>
    <hyperlink ref="E2539" r:id="rId7657" display="https://twitter.com/francoi55889292/status/723422782122397696" xr:uid="{C1BAAE08-8603-40D3-B122-F3C2EDB6EC7F}"/>
    <hyperlink ref="O2539" r:id="rId7658" display="https://abs.twimg.com/sticky/default_profile_images/default_profile_5_normal.png" xr:uid="{48CB85A2-340D-4459-A0CA-DC076E651BB9}"/>
    <hyperlink ref="B2540" r:id="rId7659" display="https://twitter.com/joworf" xr:uid="{3837E02B-369B-40BF-893A-047769238220}"/>
    <hyperlink ref="E2540" r:id="rId7660" display="https://twitter.com/joworf/status/723423400065003520" xr:uid="{C0ED506D-EF1D-4C78-B90A-E305BAAB3087}"/>
    <hyperlink ref="O2540" r:id="rId7661" display="https://pbs.twimg.com/profile_images/378800000730237374/61248132aea1de8788bfabe0f46145e3_normal.jpeg" xr:uid="{8F3A336D-D6A3-4B82-AB43-B0A371242937}"/>
    <hyperlink ref="B2541" r:id="rId7662" display="https://twitter.com/INDIZbot" xr:uid="{6DA61C58-3DA7-422D-8D35-5E910EFD206E}"/>
    <hyperlink ref="E2541" r:id="rId7663" display="https://twitter.com/INDIZbot/status/723423890790178816" xr:uid="{DB445809-5819-4A52-A5B1-E8EA381668F8}"/>
    <hyperlink ref="O2541" r:id="rId7664" display="https://pbs.twimg.com/profile_images/645716711723925506/t5G0qOS6_normal.jpg" xr:uid="{B5D954C0-C140-4A6D-BD33-57CEE0B71B6D}"/>
    <hyperlink ref="B2542" r:id="rId7665" display="https://twitter.com/ChrisSpahnADP" xr:uid="{D8517742-9BA3-4779-9C05-0880430F9962}"/>
    <hyperlink ref="E2542" r:id="rId7666" display="https://twitter.com/ChrisSpahnADP/status/723424685904424961" xr:uid="{222DFF69-835E-4420-87BD-F0357B48ABD6}"/>
    <hyperlink ref="O2542" r:id="rId7667" display="https://pbs.twimg.com/profile_images/651750095508086786/7EobC7Vn_normal.jpg" xr:uid="{3157498A-4367-425D-B8C9-ED9B74F21E66}"/>
    <hyperlink ref="B2543" r:id="rId7668" display="https://twitter.com/NicolasChulot" xr:uid="{03AED881-E8BA-43D9-981D-8E305207CC07}"/>
    <hyperlink ref="E2543" r:id="rId7669" display="https://twitter.com/NicolasChulot/status/723424964628500481" xr:uid="{D211EA0F-BDD8-491A-9D81-73DF00FE9956}"/>
    <hyperlink ref="O2543" r:id="rId7670" display="https://pbs.twimg.com/profile_images/712259533599580160/jLEP38YT_normal.jpg" xr:uid="{828D2572-9725-406E-9BAD-AC6AB07F71F1}"/>
    <hyperlink ref="B2544" r:id="rId7671" display="https://twitter.com/NRWEuropa" xr:uid="{E3390535-0712-4943-8DC9-CD099BF87556}"/>
    <hyperlink ref="E2544" r:id="rId7672" display="https://twitter.com/NRWEuropa/status/723425317826650114" xr:uid="{8D91E178-9CE5-49B4-B697-0F88BA8543E8}"/>
    <hyperlink ref="O2544" r:id="rId7673" display="https://pbs.twimg.com/profile_images/689477529749622785/o9GKf3PS_normal.png" xr:uid="{2115C5DD-6BF1-40E6-99DD-6CE1C3FFFCC4}"/>
    <hyperlink ref="B2545" r:id="rId7674" display="https://twitter.com/fabiendutheil71" xr:uid="{249FB37D-F189-439B-998C-6CDB11CBFF27}"/>
    <hyperlink ref="E2545" r:id="rId7675" display="https://twitter.com/fabiendutheil71/status/723425365289394177" xr:uid="{FF4D9C88-6CD9-4777-B165-B66C50A52160}"/>
    <hyperlink ref="O2545" r:id="rId7676" display="https://pbs.twimg.com/profile_images/712257666094075904/QGnaygAl_normal.jpg" xr:uid="{F919000D-9C15-4423-ABD6-DDA6524AA548}"/>
    <hyperlink ref="B2546" r:id="rId7677" display="https://twitter.com/s_w_weyer" xr:uid="{E5F48D4F-8183-4F4A-82E5-2CF8BC5B10D5}"/>
    <hyperlink ref="E2546" r:id="rId7678" display="https://twitter.com/s_w_weyer/status/723425706164670470" xr:uid="{2370A7F5-F921-4754-BC70-EF03375DA08A}"/>
    <hyperlink ref="O2546" r:id="rId7679" display="https://pbs.twimg.com/profile_images/716951093406728192/N9bkGpwE_normal.jpg" xr:uid="{6E3096D8-65B1-464F-AFEC-6F22274C4E50}"/>
    <hyperlink ref="B2547" r:id="rId7680" display="https://twitter.com/Rhenatic" xr:uid="{9300CA65-FE99-4421-B184-F8E284C174B8}"/>
    <hyperlink ref="E2547" r:id="rId7681" display="https://twitter.com/Rhenatic/status/723426091851882496" xr:uid="{0F906292-DCEB-4F57-9B4A-44A90FC06C67}"/>
    <hyperlink ref="O2547" r:id="rId7682" display="https://pbs.twimg.com/profile_images/555327405187801088/bhizIjB-_normal.png" xr:uid="{6E35AC95-847C-4C5F-BA13-0A0BC86D10B9}"/>
    <hyperlink ref="B2548" r:id="rId7683" display="https://twitter.com/Samarelli75" xr:uid="{5F97603D-A558-4DA7-B975-C0A4AFC4676F}"/>
    <hyperlink ref="E2548" r:id="rId7684" display="https://twitter.com/Samarelli75/status/723426234818916352" xr:uid="{B33F4CD5-C9F0-48A8-A762-9D45454A7BF5}"/>
    <hyperlink ref="O2548" r:id="rId7685" display="https://abs.twimg.com/sticky/default_profile_images/default_profile_3_normal.png" xr:uid="{A486B372-5B45-4E39-BD32-E913C2ACD9A1}"/>
    <hyperlink ref="B2549" r:id="rId7686" display="https://twitter.com/opierrat" xr:uid="{D6CA2B66-CAFF-4E03-ADFB-530E167EC843}"/>
    <hyperlink ref="E2549" r:id="rId7687" display="https://twitter.com/opierrat/status/723426381929926657" xr:uid="{A006E797-8724-4408-AF43-2D365AACEAD1}"/>
    <hyperlink ref="O2549" r:id="rId7688" display="https://pbs.twimg.com/profile_images/516225055496228864/tsHkO0zs_normal.jpeg" xr:uid="{602BA72D-C102-4745-95A3-2D16994681EE}"/>
    <hyperlink ref="B2550" r:id="rId7689" display="https://twitter.com/ClementineHule" xr:uid="{28764801-4F41-49C3-8E44-7CFB570C64CF}"/>
    <hyperlink ref="E2550" r:id="rId7690" display="https://twitter.com/ClementineHule/status/723426433729613824" xr:uid="{BD0114C7-4E04-46C3-B7E8-7D18C35A6B40}"/>
    <hyperlink ref="O2550" r:id="rId7691" display="https://pbs.twimg.com/profile_images/719537970005602304/4yxq2Cg-_normal.jpg" xr:uid="{947349E0-0CD1-4DBF-B801-3F3D15C830DB}"/>
    <hyperlink ref="B2551" r:id="rId7692" display="https://twitter.com/JETZT_PRde" xr:uid="{F1A72EC5-AC62-4732-8C4D-A1027282CC56}"/>
    <hyperlink ref="E2551" r:id="rId7693" display="https://twitter.com/JETZT_PRde/status/723426912991739904" xr:uid="{FD665FF5-3426-43E1-9557-511C51E5F561}"/>
    <hyperlink ref="O2551" r:id="rId7694" display="https://pbs.twimg.com/profile_images/593011135428882432/BGMPkrwp_normal.jpg" xr:uid="{6A50AE5B-49B9-4FD9-9DC2-D299CDDCFFDB}"/>
    <hyperlink ref="B2552" r:id="rId7695" display="https://twitter.com/karl__maurer" xr:uid="{1FBB2D2A-F764-4EC3-A819-28ACB5B7B844}"/>
    <hyperlink ref="E2552" r:id="rId7696" display="https://twitter.com/karl__maurer/status/723426984311713793" xr:uid="{92BFB849-125A-4D53-9703-2891FCEDF5D5}"/>
    <hyperlink ref="O2552" r:id="rId7697" display="https://pbs.twimg.com/profile_images/702515686623600640/uy75x3mT_normal.jpg" xr:uid="{073B9D53-802A-4508-A36A-405F1AB12AA1}"/>
    <hyperlink ref="B2553" r:id="rId7698" display="https://twitter.com/JETZT_PRde" xr:uid="{D1CBED2C-6E7E-4753-B1D2-C77FFBBB0C90}"/>
    <hyperlink ref="E2553" r:id="rId7699" display="https://twitter.com/JETZT_PRde/status/723427207553507328" xr:uid="{557FECC7-2D15-46F6-8EF1-766167C1BA8B}"/>
    <hyperlink ref="O2553" r:id="rId7700" display="https://pbs.twimg.com/profile_images/593011135428882432/BGMPkrwp_normal.jpg" xr:uid="{9C55B235-AF20-4168-8669-64E8C98FE9E0}"/>
    <hyperlink ref="B2554" r:id="rId7701" display="https://twitter.com/JETZT_PRde" xr:uid="{3EE322CC-01C2-4E5B-B9C9-02B715C54F44}"/>
    <hyperlink ref="E2554" r:id="rId7702" display="https://twitter.com/JETZT_PRde/status/723427362575028224" xr:uid="{430DAF34-881A-4A5B-9D99-FD198180D202}"/>
    <hyperlink ref="O2554" r:id="rId7703" display="https://pbs.twimg.com/profile_images/593011135428882432/BGMPkrwp_normal.jpg" xr:uid="{3B90FD6B-3F53-484E-AADF-2E53EC05372C}"/>
    <hyperlink ref="B2555" r:id="rId7704" display="https://twitter.com/GTAI_com" xr:uid="{868566AD-9BFB-4B52-B806-DF4831C6F66D}"/>
    <hyperlink ref="E2555" r:id="rId7705" display="https://twitter.com/GTAI_com/status/723427413191847936" xr:uid="{3B4A392E-5001-44F9-B44D-17188D3D6FED}"/>
    <hyperlink ref="O2555" r:id="rId7706" display="https://pbs.twimg.com/profile_images/716977461079179268/JVN5NZO8_normal.jpg" xr:uid="{8A34F724-6108-4EF0-BB8F-56A60492B55D}"/>
    <hyperlink ref="B2556" r:id="rId7707" display="https://twitter.com/MeinGeldMedien" xr:uid="{C5ADE848-81DC-4816-83F9-5BE21EBCAC70}"/>
    <hyperlink ref="E2556" r:id="rId7708" display="https://twitter.com/MeinGeldMedien/status/723427415880409088" xr:uid="{5B4F90C1-BD04-48C2-B687-881864F2F535}"/>
    <hyperlink ref="O2556" r:id="rId7709" display="https://pbs.twimg.com/profile_images/473759721023758338/3CcJL-Vq_normal.jpeg" xr:uid="{AB545B4D-0686-4564-8C62-558010044D67}"/>
    <hyperlink ref="B2557" r:id="rId7710" display="https://twitter.com/JETZT_PRde" xr:uid="{56B96A19-3DF3-4D5E-A113-24DF1E5C5F1F}"/>
    <hyperlink ref="E2557" r:id="rId7711" display="https://twitter.com/JETZT_PRde/status/723427569018634246" xr:uid="{E07DB503-2955-49EE-88B4-FB62687F283B}"/>
    <hyperlink ref="O2557" r:id="rId7712" display="https://pbs.twimg.com/profile_images/593011135428882432/BGMPkrwp_normal.jpg" xr:uid="{5FF31BBC-7F1C-472A-A048-ACCA77CB2844}"/>
    <hyperlink ref="B2558" r:id="rId7713" display="https://twitter.com/s_w_weyer" xr:uid="{5E910B7A-B775-46EB-8D5C-AC3D69532E08}"/>
    <hyperlink ref="E2558" r:id="rId7714" display="https://twitter.com/s_w_weyer/status/723427605249024001" xr:uid="{FA39322C-4DE1-4ABD-8EFF-9EBF1121FDFD}"/>
    <hyperlink ref="O2558" r:id="rId7715" display="https://pbs.twimg.com/profile_images/716951093406728192/N9bkGpwE_normal.jpg" xr:uid="{5F9237CA-3EB8-405D-9574-CB1ED4A37B62}"/>
    <hyperlink ref="B2559" r:id="rId7716" display="https://twitter.com/AccenturePresse" xr:uid="{CB5DC693-6557-486B-A013-7317474F8A2E}"/>
    <hyperlink ref="E2559" r:id="rId7717" display="https://twitter.com/AccenturePresse/status/723428427546529792" xr:uid="{184493C5-BD3E-4327-8E4D-B714E333D359}"/>
    <hyperlink ref="O2559" r:id="rId7718" display="https://pbs.twimg.com/profile_images/470826247132438529/xf6oFNFR_normal.jpeg" xr:uid="{D727A7D8-7655-4D9C-B487-88DF008653A9}"/>
    <hyperlink ref="B2560" r:id="rId7719" display="https://twitter.com/AMETRAInge" xr:uid="{64C6E71F-D83A-47F8-8C04-8941DDA3A161}"/>
    <hyperlink ref="E2560" r:id="rId7720" display="https://twitter.com/AMETRAInge/status/723428777523433473" xr:uid="{393845AB-31FB-4EB0-A7E8-36A79715836B}"/>
    <hyperlink ref="O2560" r:id="rId7721" display="https://pbs.twimg.com/profile_images/677781149037514752/TcTK8Bpv_normal.png" xr:uid="{6C086CF4-AD6E-4E25-88BA-51636F37ED26}"/>
    <hyperlink ref="B2561" r:id="rId7722" display="https://twitter.com/induux_de" xr:uid="{184AC267-3311-4DED-960B-4871ED51708E}"/>
    <hyperlink ref="E2561" r:id="rId7723" display="https://twitter.com/induux_de/status/723428813661560832" xr:uid="{B8A433CF-BE16-4977-948F-C0BD6D529DF2}"/>
    <hyperlink ref="O2561" r:id="rId7724" display="https://pbs.twimg.com/profile_images/455629070454116352/ujZ3h7Ww_normal.png" xr:uid="{6A369BEF-4A47-45FA-9B26-5EBC61BB1306}"/>
    <hyperlink ref="B2562" r:id="rId7725" display="https://twitter.com/FM_Elektro" xr:uid="{13BE41DC-303C-46E2-BF72-95AD309F52BE}"/>
    <hyperlink ref="E2562" r:id="rId7726" display="https://twitter.com/FM_Elektro/status/723428851565494273" xr:uid="{25819330-C967-4158-AA3C-49C5C98DE688}"/>
    <hyperlink ref="O2562" r:id="rId7727" display="https://pbs.twimg.com/profile_images/699912588302426112/2kZQzAuA_normal.jpg" xr:uid="{585BDCAD-0C22-44AB-969A-9682ED96DE7F}"/>
    <hyperlink ref="B2563" r:id="rId7728" display="https://twitter.com/fmalatier" xr:uid="{68F40A3B-6639-4AAC-B327-C52115442EF9}"/>
    <hyperlink ref="E2563" r:id="rId7729" display="https://twitter.com/fmalatier/status/723429278650527744" xr:uid="{C7DF71C3-185E-4D90-B456-0DDE2598BC99}"/>
    <hyperlink ref="O2563" r:id="rId7730" display="https://pbs.twimg.com/profile_images/1609201658/Photo_PM_normal.jpg" xr:uid="{BB59A852-1556-4D9C-A2C8-78350B40BC0E}"/>
    <hyperlink ref="B2564" r:id="rId7731" display="https://twitter.com/meta_level" xr:uid="{D9CE4844-F9A6-45CD-B8D3-9AF46359EC7B}"/>
    <hyperlink ref="E2564" r:id="rId7732" display="https://twitter.com/meta_level/status/723429407478534144" xr:uid="{C2BC7B45-4857-4AB4-B610-C43A9A8D0B09}"/>
    <hyperlink ref="O2564" r:id="rId7733" display="https://pbs.twimg.com/profile_images/657509394675073024/BGbmwcyb_normal.png" xr:uid="{5EC4F19C-07E8-48A5-9563-C2A02E535025}"/>
    <hyperlink ref="B2565" r:id="rId7734" display="https://twitter.com/PASSnews" xr:uid="{7C2CBFDB-92B9-45D5-A853-5607DEB33139}"/>
    <hyperlink ref="E2565" r:id="rId7735" display="https://twitter.com/PASSnews/status/723429665667338242" xr:uid="{20DB59B9-FD5B-4D3F-8240-F86903A9746E}"/>
    <hyperlink ref="O2565" r:id="rId7736" display="https://pbs.twimg.com/profile_images/378800000181509745/cc2ac55b1f8cf6de6ab7c9ea96eae6fa_normal.png" xr:uid="{213947B3-8A2B-4208-9120-7A4CDD2EB7F8}"/>
    <hyperlink ref="B2566" r:id="rId7737" display="https://twitter.com/Energize_Rec" xr:uid="{65106570-6100-4763-A7A9-D5946A66BD57}"/>
    <hyperlink ref="E2566" r:id="rId7738" display="https://twitter.com/Energize_Rec/status/723429772022304769" xr:uid="{6FF6F37B-3749-4876-8FE3-832026F88EE4}"/>
    <hyperlink ref="O2566" r:id="rId7739" display="https://pbs.twimg.com/profile_images/683927095706292225/xNVAEpIh_normal.jpg" xr:uid="{14C79117-7684-4415-ACD4-71337644962B}"/>
    <hyperlink ref="B2567" r:id="rId7740" display="https://twitter.com/H_IT_D" xr:uid="{0EEC7F5F-3D6A-41C3-8AD2-501477C92758}"/>
    <hyperlink ref="E2567" r:id="rId7741" display="https://twitter.com/H_IT_D/status/723429914691522560" xr:uid="{A24A7E56-6EA1-412B-8294-DB22C11C0AAF}"/>
    <hyperlink ref="O2567" r:id="rId7742" display="https://pbs.twimg.com/profile_images/662723326096224256/5V4KH9_O_normal.jpg" xr:uid="{10314685-0083-4C02-A0E3-7B8A9BA5A89F}"/>
    <hyperlink ref="B2568" r:id="rId7743" display="https://twitter.com/WakeUpMob" xr:uid="{A0787546-2489-4DCD-B52F-52A5D1D44834}"/>
    <hyperlink ref="E2568" r:id="rId7744" display="https://twitter.com/WakeUpMob/status/723429991346638848" xr:uid="{208205D6-77E7-4D2E-9DAE-930A7586BD8A}"/>
    <hyperlink ref="O2568" r:id="rId7745" display="https://pbs.twimg.com/profile_images/717007736634888192/JNyoPpRt_normal.jpg" xr:uid="{4066A21D-841B-438A-93FA-75CE46882D76}"/>
    <hyperlink ref="B2569" r:id="rId7746" display="https://twitter.com/konsultwerk" xr:uid="{3C1B453C-DAE1-4496-A3FE-D1969BF23E74}"/>
    <hyperlink ref="E2569" r:id="rId7747" display="https://twitter.com/konsultwerk/status/723430086188273665" xr:uid="{FF8A1109-1013-41FC-B8A1-36FE15A09F26}"/>
    <hyperlink ref="O2569" r:id="rId7748" display="https://pbs.twimg.com/profile_images/1539645084/FB-KWlogo.004_normal.png" xr:uid="{AF58403E-FC53-431D-90E0-854A1BCE4B92}"/>
    <hyperlink ref="B2570" r:id="rId7749" display="https://twitter.com/conosco" xr:uid="{6066B6D6-E8B5-4F03-9A31-13F8E0DA8556}"/>
    <hyperlink ref="E2570" r:id="rId7750" display="https://twitter.com/conosco/status/723430347073974272" xr:uid="{B0725D56-1A69-437C-BFC2-788E9DEB1162}"/>
    <hyperlink ref="O2570" r:id="rId7751" display="https://pbs.twimg.com/profile_images/459441279181398016/MmGzaeIu_normal.jpeg" xr:uid="{73816150-25B7-4BC3-8B1A-D547D18EA0D4}"/>
    <hyperlink ref="B2571" r:id="rId7752" display="https://twitter.com/LNI40" xr:uid="{21EB8A8A-8C23-4711-8E11-B56D1D78EC77}"/>
    <hyperlink ref="E2571" r:id="rId7753" display="https://twitter.com/LNI40/status/723430386877882375" xr:uid="{1E14BFCC-ECED-4619-92D8-9978AFFB1126}"/>
    <hyperlink ref="O2571" r:id="rId7754" display="https://pbs.twimg.com/profile_images/722098538604281856/CcBxk1_M_normal.jpg" xr:uid="{F028BF1A-CDB9-40B7-A2B5-AF8185B6D637}"/>
    <hyperlink ref="B2572" r:id="rId7755" display="https://twitter.com/RobotsArmy" xr:uid="{F44B8A6C-B9A1-422E-94BA-DAEE927000AD}"/>
    <hyperlink ref="E2572" r:id="rId7756" display="https://twitter.com/RobotsArmy/status/723430442716684288" xr:uid="{F4BD7A91-5F87-44CF-86F8-B4EB102F4D5F}"/>
    <hyperlink ref="O2572" r:id="rId7757" display="https://pbs.twimg.com/profile_images/701005531578822658/NQEqvycB_normal.png" xr:uid="{D4B5A0CF-23C3-4C51-9543-4696DF3A7310}"/>
    <hyperlink ref="B2573" r:id="rId7758" display="https://twitter.com/gerhardauer" xr:uid="{1B8A4673-1D0B-4042-8A2A-B0139DC4AB23}"/>
    <hyperlink ref="E2573" r:id="rId7759" display="https://twitter.com/gerhardauer/status/723430759806038016" xr:uid="{2E9EBF82-6AD1-4E9A-A48E-0D9FCC695427}"/>
    <hyperlink ref="O2573" r:id="rId7760" display="https://pbs.twimg.com/profile_images/1467460421/DSC_0321_normal.jpg" xr:uid="{1FE5C87D-7271-4FF4-ADDB-12391576C17A}"/>
    <hyperlink ref="B2574" r:id="rId7761" display="https://twitter.com/Apandia" xr:uid="{48DDAE2D-AD8C-43E8-8C9A-9B5BCEFE87C8}"/>
    <hyperlink ref="E2574" r:id="rId7762" display="https://twitter.com/Apandia/status/723431070826295297" xr:uid="{32694641-1DDE-4DA1-B0F9-6AC2753ED728}"/>
    <hyperlink ref="O2574" r:id="rId7763" display="https://pbs.twimg.com/profile_images/685327213/Apandia_normal.gif" xr:uid="{555F89C5-1243-45E5-9F80-B95052A656DE}"/>
    <hyperlink ref="B2575" r:id="rId7764" display="https://twitter.com/BakerMcGER" xr:uid="{6CD83E86-94AE-4FA1-BDD5-772B7BDF38DC}"/>
    <hyperlink ref="E2575" r:id="rId7765" display="https://twitter.com/BakerMcGER/status/723431077361029121" xr:uid="{5BE76592-2D36-4414-A35A-59985FC087EE}"/>
    <hyperlink ref="O2575" r:id="rId7766" display="https://pbs.twimg.com/profile_images/707877685721231360/0WBLwHQ-_normal.jpg" xr:uid="{155A3B2B-990C-4F24-8D31-884447D9ED0E}"/>
    <hyperlink ref="B2576" r:id="rId7767" display="https://twitter.com/GustavoPonce67" xr:uid="{B07A21AC-221C-4EE6-A5CE-446290E6BCE6}"/>
    <hyperlink ref="E2576" r:id="rId7768" display="https://twitter.com/GustavoPonce67/status/723431875490906112" xr:uid="{2AECD2C6-F600-4A8D-93C4-9BAF451B73BB}"/>
    <hyperlink ref="O2576" r:id="rId7769" display="https://pbs.twimg.com/profile_images/513178592994676737/EyKPi6g7_normal.jpeg" xr:uid="{E254F11E-8E4C-4258-9965-6A0772CD7586}"/>
    <hyperlink ref="B2577" r:id="rId7770" display="https://twitter.com/Apandia" xr:uid="{B6C5EE27-82AE-429A-97FF-65037760C4CE}"/>
    <hyperlink ref="E2577" r:id="rId7771" display="https://twitter.com/Apandia/status/723432065429983232" xr:uid="{F3E4B893-ECCF-499A-951A-91847276CA12}"/>
    <hyperlink ref="O2577" r:id="rId7772" display="https://pbs.twimg.com/profile_images/685327213/Apandia_normal.gif" xr:uid="{135F37C8-F5C6-454A-A438-83E16E077A84}"/>
    <hyperlink ref="B2578" r:id="rId7773" display="https://twitter.com/Samarelli75" xr:uid="{98D4E75D-2BF3-42DA-B3AC-C857E1E120E8}"/>
    <hyperlink ref="E2578" r:id="rId7774" display="https://twitter.com/Samarelli75/status/723432614590214144" xr:uid="{898A00C5-5CFE-4D75-9320-946706B611CC}"/>
    <hyperlink ref="O2578" r:id="rId7775" display="https://abs.twimg.com/sticky/default_profile_images/default_profile_3_normal.png" xr:uid="{191027F4-5312-4A49-9341-588A6E21B0A8}"/>
    <hyperlink ref="B2579" r:id="rId7776" display="https://twitter.com/tcerisier_johan" xr:uid="{65B5DB64-5BC2-4DDD-9759-A362E67AC325}"/>
    <hyperlink ref="E2579" r:id="rId7777" display="https://twitter.com/tcerisier_johan/status/723433095836258304" xr:uid="{A75BC00F-1D95-4B9C-871A-557669AFC6A2}"/>
    <hyperlink ref="O2579" r:id="rId7778" display="https://pbs.twimg.com/profile_images/710982607606038528/t8IYX_cK_normal.jpg" xr:uid="{A2D47DF1-4443-4C92-9D31-AE7867B48679}"/>
    <hyperlink ref="B2580" r:id="rId7779" display="https://twitter.com/akquinet_Ind40" xr:uid="{0922593A-C704-4091-9DA1-395C1E68A83B}"/>
    <hyperlink ref="E2580" r:id="rId7780" display="https://twitter.com/akquinet_Ind40/status/723434421106307072" xr:uid="{F6D5B8E2-B791-45AC-A9C9-0FC8B28AEC12}"/>
    <hyperlink ref="O2580" r:id="rId7781" display="https://pbs.twimg.com/profile_images/723412380474957825/5UsyKqto_normal.jpg" xr:uid="{F148AA9E-E57C-4688-AC70-4EB4C7A5D202}"/>
    <hyperlink ref="B2581" r:id="rId7782" display="https://twitter.com/3Dgrenzenlos" xr:uid="{6648E3B4-D7C1-4331-90F0-1B752F11AE55}"/>
    <hyperlink ref="C2581" r:id="rId7783" xr:uid="{54339D66-385E-449F-B81F-BE3E26B18528}"/>
    <hyperlink ref="E2581" r:id="rId7784" display="https://twitter.com/3Dgrenzenlos/status/723434827085537280" xr:uid="{091297BA-3C0F-47C9-B4F2-44C9742ADAA8}"/>
    <hyperlink ref="O2581" r:id="rId7785" display="https://pbs.twimg.com/profile_images/487146678911135745/YAXVrlm-_normal.png" xr:uid="{79497CAB-008D-4037-82F9-3951B928CC83}"/>
    <hyperlink ref="B2582" r:id="rId7786" display="https://twitter.com/akquinet_Ind40" xr:uid="{83140F15-A92F-4285-949D-403AD7F4595C}"/>
    <hyperlink ref="E2582" r:id="rId7787" display="https://twitter.com/akquinet_Ind40/status/723435063547830272" xr:uid="{FE89EAD1-2968-4E22-B23A-5FB019E12720}"/>
    <hyperlink ref="O2582" r:id="rId7788" display="https://pbs.twimg.com/profile_images/723412380474957825/5UsyKqto_normal.jpg" xr:uid="{74BE2841-E2BE-4DCE-B5E9-58CBC446F65E}"/>
    <hyperlink ref="B2583" r:id="rId7789" display="https://twitter.com/FM_Elektro" xr:uid="{6CE5D3C6-5CBE-454F-A64A-35BB2C98B794}"/>
    <hyperlink ref="E2583" r:id="rId7790" display="https://twitter.com/FM_Elektro/status/723435555166416896" xr:uid="{0F355B54-9EE5-446C-A3D5-13B627298D5F}"/>
    <hyperlink ref="O2583" r:id="rId7791" display="https://pbs.twimg.com/profile_images/699912588302426112/2kZQzAuA_normal.jpg" xr:uid="{42981348-FA3A-44E5-8084-31A6AF1DB4C5}"/>
    <hyperlink ref="B2584" r:id="rId7792" display="https://twitter.com/kommoptimierer" xr:uid="{C9286457-3670-4FBD-9ED2-68E25C07D76D}"/>
    <hyperlink ref="E2584" r:id="rId7793" display="https://twitter.com/kommoptimierer/status/723436241589403649" xr:uid="{4FF220D7-D0DE-4FC3-A415-73B36A700E31}"/>
    <hyperlink ref="O2584" r:id="rId7794" display="https://pbs.twimg.com/profile_images/541146126158536704/IYardufS_normal.jpeg" xr:uid="{F5C3EF16-38BD-4A1D-A8F8-34331FE48EB3}"/>
    <hyperlink ref="B2585" r:id="rId7795" display="https://twitter.com/verlinked" xr:uid="{21F4094E-6B86-4260-83AA-D3278A7D5AF7}"/>
    <hyperlink ref="E2585" r:id="rId7796" display="https://twitter.com/verlinked/status/723436246928740353" xr:uid="{A80C3977-31FD-4EB5-8F4F-7A70E134704B}"/>
    <hyperlink ref="O2585" r:id="rId7797" display="https://pbs.twimg.com/profile_images/722385992343285760/ww8YLZ2q_normal.jpg" xr:uid="{D160766D-7E96-4430-8BCC-AB51ED356936}"/>
    <hyperlink ref="B2586" r:id="rId7798" display="https://twitter.com/itsOWL_Cluster" xr:uid="{F409D9DA-A585-48D9-9B4A-5A3BE6D49603}"/>
    <hyperlink ref="E2586" r:id="rId7799" display="https://twitter.com/itsOWL_Cluster/status/723436566534725634" xr:uid="{60CA6B4D-8C7B-42D5-AD2F-346BB35D45CD}"/>
    <hyperlink ref="O2586" r:id="rId7800" display="https://pbs.twimg.com/profile_images/3542998130/5e65449daa56d18e9aab7f6535dc25fc_normal.jpeg" xr:uid="{38A55C64-8222-4C3E-B478-28FB43C80A61}"/>
    <hyperlink ref="B2587" r:id="rId7801" display="https://twitter.com/Hardt_am_Limit" xr:uid="{3095D583-F3C3-4B76-AFA5-4D3595C8BCA2}"/>
    <hyperlink ref="E2587" r:id="rId7802" display="https://twitter.com/Hardt_am_Limit/status/723438735707148290" xr:uid="{32CC38AE-F41B-4778-A01E-F8D34568834C}"/>
    <hyperlink ref="O2587" r:id="rId7803" display="https://pbs.twimg.com/profile_images/1244176961/2011-02-14_160904_normal.jpg" xr:uid="{565DDDCE-AA72-4AC8-8193-267EED89A6E5}"/>
    <hyperlink ref="B2588" r:id="rId7804" display="https://twitter.com/ITK_OWL" xr:uid="{DD666DAB-C9ED-4883-A2D2-545947B640FD}"/>
    <hyperlink ref="E2588" r:id="rId7805" display="https://twitter.com/ITK_OWL/status/723439092269223936" xr:uid="{AC1FCCC5-1D92-407D-A8EA-FE22524AC357}"/>
    <hyperlink ref="O2588" r:id="rId7806" display="https://pbs.twimg.com/profile_images/601673968551075840/MnulnKkj_normal.png" xr:uid="{15F067EF-6658-4DA5-AE3B-620136768A50}"/>
    <hyperlink ref="B2589" r:id="rId7807" display="https://twitter.com/akquinet" xr:uid="{2EBE1C53-4F77-490C-AF73-2C9DBE6391E5}"/>
    <hyperlink ref="E2589" r:id="rId7808" display="https://twitter.com/akquinet/status/723439668302241793" xr:uid="{A207422F-0601-48D1-A1FD-7ECA8492251A}"/>
    <hyperlink ref="O2589" r:id="rId7809" display="https://pbs.twimg.com/profile_images/509252372774653952/cl1TCi-g_normal.png" xr:uid="{62C40F10-3634-406F-A011-CF9159C55FF1}"/>
    <hyperlink ref="B2590" r:id="rId7810" display="https://twitter.com/viermac" xr:uid="{E38D287F-A54A-4D6F-870A-C7BE459858E3}"/>
    <hyperlink ref="E2590" r:id="rId7811" display="https://twitter.com/viermac/status/723440002827329536" xr:uid="{EFB4FA78-3DFB-4538-A674-7FB5697A3716}"/>
    <hyperlink ref="O2590" r:id="rId7812" display="https://pbs.twimg.com/profile_images/445540366637223937/HX8VPgJH_normal.jpeg" xr:uid="{39ED1122-5F13-4CFF-B389-149E106670CE}"/>
    <hyperlink ref="B2591" r:id="rId7813" display="https://twitter.com/iObeya" xr:uid="{366B0A50-574A-4F92-B56A-DB84471BAE14}"/>
    <hyperlink ref="E2591" r:id="rId7814" display="https://twitter.com/iObeya/status/723440983703056384" xr:uid="{1CB43400-E8D0-4DE5-99C8-B0E07437A422}"/>
    <hyperlink ref="O2591" r:id="rId7815" display="https://pbs.twimg.com/profile_images/580407919025512448/m1volCav_normal.png" xr:uid="{5A034A75-85FB-493B-A23F-DD3E30437802}"/>
    <hyperlink ref="B2592" r:id="rId7816" display="https://twitter.com/markherten" xr:uid="{E2C5A368-AA61-4DCA-B36A-F760520D5239}"/>
    <hyperlink ref="E2592" r:id="rId7817" display="https://twitter.com/markherten/status/723441064078499840" xr:uid="{FFFF5222-13F9-454C-AC38-3E81C740FABC}"/>
    <hyperlink ref="O2592" r:id="rId7818" display="https://pbs.twimg.com/profile_images/718175389890310145/GX8DLe_h_normal.jpg" xr:uid="{8DF817BB-8FE3-4421-BA1F-6430E9205138}"/>
    <hyperlink ref="B2593" r:id="rId7819" display="https://twitter.com/KUKA_RoboticsDE" xr:uid="{2A684BAE-AA24-4903-9265-24A5646CF88B}"/>
    <hyperlink ref="E2593" r:id="rId7820" display="https://twitter.com/KUKA_RoboticsDE/status/723442043079380992" xr:uid="{4B1C8888-4630-4BFA-B7D6-59768901CF24}"/>
    <hyperlink ref="O2593" r:id="rId7821" display="https://pbs.twimg.com/profile_images/704767814406643712/VcnCdfke_normal.jpg" xr:uid="{514E681F-A89C-4E2E-9A7C-C44DFC18D4C8}"/>
    <hyperlink ref="B2594" r:id="rId7822" display="https://twitter.com/thyssenkrupp" xr:uid="{99229352-77B9-4450-870F-7142BF1CD9CF}"/>
    <hyperlink ref="E2594" r:id="rId7823" display="https://twitter.com/thyssenkrupp/status/723442795139072000" xr:uid="{C33E6D06-BF76-40D1-A78A-342AF9282CB4}"/>
    <hyperlink ref="O2594" r:id="rId7824" display="https://pbs.twimg.com/profile_images/667280858798100481/FrPnpui4_normal.png" xr:uid="{B4F0FB8F-B7DD-4B75-9FE4-EF596C310209}"/>
    <hyperlink ref="B2595" r:id="rId7825" display="https://twitter.com/MaTi_WOO" xr:uid="{EAAC781D-82D6-4554-B1DE-4D42BDED8611}"/>
    <hyperlink ref="E2595" r:id="rId7826" display="https://twitter.com/MaTi_WOO/status/723443414281256961" xr:uid="{68871B8D-EEAE-4299-93D2-F7D36458DD6B}"/>
    <hyperlink ref="O2595" r:id="rId7827" display="https://pbs.twimg.com/profile_images/562601523750776832/JbD5LIbz_normal.jpeg" xr:uid="{D7928676-76AF-4EAB-99AA-CEAABA0E4EA5}"/>
    <hyperlink ref="B2596" r:id="rId7828" display="https://twitter.com/ManutelligH2020" xr:uid="{6C904222-D0D7-46AD-B4E6-85D04882829B}"/>
    <hyperlink ref="E2596" r:id="rId7829" display="https://twitter.com/ManutelligH2020/status/723444502015270913" xr:uid="{BF7AB1D4-6C61-4502-943F-92186DB9AE96}"/>
    <hyperlink ref="O2596" r:id="rId7830" display="https://pbs.twimg.com/profile_images/717330814950903808/rwZ3obhE_normal.jpg" xr:uid="{6F09EF51-9C59-4786-824A-51B9101422AA}"/>
    <hyperlink ref="B2597" r:id="rId7831" display="https://twitter.com/SGE" xr:uid="{50BAF99A-3817-4B75-8D1F-F9FB0D0C5299}"/>
    <hyperlink ref="E2597" r:id="rId7832" display="https://twitter.com/SGE/status/723445894813736960" xr:uid="{48F08581-C079-4B30-A42A-8C4953204CC3}"/>
    <hyperlink ref="O2597" r:id="rId7833" display="https://pbs.twimg.com/profile_images/471312276767535104/TIanhngf_normal.jpeg" xr:uid="{620E5877-272B-4D78-9141-D5274B0CD609}"/>
    <hyperlink ref="B2598" r:id="rId7834" display="https://twitter.com/manutencaopt" xr:uid="{02FF95B4-5CE1-435F-B06C-FD935908C1B4}"/>
    <hyperlink ref="E2598" r:id="rId7835" display="https://twitter.com/manutencaopt/status/723445990431191041" xr:uid="{5561EF96-49A1-4A5F-A40F-721FCD34C4F1}"/>
    <hyperlink ref="O2598" r:id="rId7836" display="https://pbs.twimg.com/profile_images/469799966714503168/TwcWfA2e_normal.png" xr:uid="{0473146A-12EE-46C3-ACE9-F7B3FB7A1017}"/>
    <hyperlink ref="B2599" r:id="rId7837" display="https://twitter.com/H_IT_D" xr:uid="{7539988B-30D1-49B3-AC12-60A4055DDB7E}"/>
    <hyperlink ref="E2599" r:id="rId7838" display="https://twitter.com/H_IT_D/status/723446352462499840" xr:uid="{3195D2A0-3139-466D-BF06-40A7AED3ACD2}"/>
    <hyperlink ref="O2599" r:id="rId7839" display="https://pbs.twimg.com/profile_images/662723326096224256/5V4KH9_O_normal.jpg" xr:uid="{A9DD1D97-58F3-48FC-B76B-E4CB63C1A7CF}"/>
    <hyperlink ref="B2600" r:id="rId7840" display="https://twitter.com/INDIZbot" xr:uid="{BE5BCA35-BD1A-4B5F-ACEB-24491E8AB680}"/>
    <hyperlink ref="E2600" r:id="rId7841" display="https://twitter.com/INDIZbot/status/723446537829908480" xr:uid="{785ADC2D-10F0-43CF-ABC6-C85BB29B80D7}"/>
    <hyperlink ref="O2600" r:id="rId7842" display="https://pbs.twimg.com/profile_images/645716711723925506/t5G0qOS6_normal.jpg" xr:uid="{FA730910-C3B9-49D1-9324-887D361B9196}"/>
    <hyperlink ref="B2601" r:id="rId7843" display="https://twitter.com/LReehten" xr:uid="{F57ACD05-39F1-4917-948D-54110EE8814A}"/>
    <hyperlink ref="E2601" r:id="rId7844" display="https://twitter.com/LReehten/status/723447474233331712" xr:uid="{B445613D-9BC3-4FD0-A2E9-909C9EF8C3FD}"/>
    <hyperlink ref="O2601" r:id="rId7845" display="https://pbs.twimg.com/profile_images/623849156159868928/BetFDR_i_normal.jpg" xr:uid="{878765B0-F8B5-4DF4-9AF9-7235ABE6D81B}"/>
    <hyperlink ref="B2602" r:id="rId7846" display="https://twitter.com/packagingJ" xr:uid="{71B14B7E-CD4C-4A18-AC89-D72C23C0FA3C}"/>
    <hyperlink ref="E2602" r:id="rId7847" display="https://twitter.com/packagingJ/status/723447546551668736" xr:uid="{C4E1A1EC-45E0-445C-A4CA-CCEFD42494BC}"/>
    <hyperlink ref="O2602" r:id="rId7848" display="https://pbs.twimg.com/profile_images/2240680734/pj-logo1_normal.png" xr:uid="{F6665B13-0E70-4026-89E4-A4A1D190DE9A}"/>
    <hyperlink ref="B2603" r:id="rId7849" display="https://twitter.com/ReboredoPedro" xr:uid="{51CAA428-374F-4F39-9AFE-AD215BAC6847}"/>
    <hyperlink ref="E2603" r:id="rId7850" display="https://twitter.com/ReboredoPedro/status/723449072544174081" xr:uid="{2B8DB8DB-53E1-484B-9BD5-6B3A99717220}"/>
    <hyperlink ref="O2603" r:id="rId7851" display="https://pbs.twimg.com/profile_images/473392648988790784/r8NTdRz0_normal.jpeg" xr:uid="{278BDE96-8BC1-4094-95F9-B05E7F492617}"/>
    <hyperlink ref="B2604" r:id="rId7852" display="https://twitter.com/aboutschuldt" xr:uid="{AA518EC8-D43A-402B-89E4-247C554115EA}"/>
    <hyperlink ref="E2604" r:id="rId7853" display="https://twitter.com/aboutschuldt/status/723449728780783616" xr:uid="{A877F1FB-FC4D-473D-A522-08D68F976B78}"/>
    <hyperlink ref="O2604" r:id="rId7854" display="https://pbs.twimg.com/profile_images/513745979585990656/CUU36phe_normal.png" xr:uid="{4B07D317-B680-4EA5-8195-DB035B1B712A}"/>
    <hyperlink ref="B2605" r:id="rId7855" display="https://twitter.com/FelixGerg" xr:uid="{1C368D80-5758-4BB3-B2A5-347A0622DBEE}"/>
    <hyperlink ref="E2605" r:id="rId7856" display="https://twitter.com/FelixGerg/status/723450046012751875" xr:uid="{5C54012C-8954-4D83-9C19-68CBC2836939}"/>
    <hyperlink ref="O2605" r:id="rId7857" display="https://pbs.twimg.com/profile_images/662594293601861632/mDG9DdcZ_normal.jpg" xr:uid="{CDD1DAD4-B21B-44EC-B62E-4BCBC692568C}"/>
    <hyperlink ref="B2606" r:id="rId7858" display="https://twitter.com/kion_group" xr:uid="{224E685F-047C-45EB-A04A-786C6E25E1F1}"/>
    <hyperlink ref="E2606" r:id="rId7859" display="https://twitter.com/kion_group/status/723450078824943616" xr:uid="{64F01385-B2FA-4826-833B-B0930D8C74C0}"/>
    <hyperlink ref="O2606" r:id="rId7860" display="https://pbs.twimg.com/profile_images/502066779590385665/YElxw-eg_normal.jpeg" xr:uid="{2BF51848-FA31-4A4D-9A74-97FD0D8F94FA}"/>
    <hyperlink ref="B2607" r:id="rId7861" display="https://twitter.com/Pilz_INT" xr:uid="{F93BA4B3-D522-425D-9B79-8BE444E65A64}"/>
    <hyperlink ref="E2607" r:id="rId7862" display="https://twitter.com/Pilz_INT/status/723450548884643840" xr:uid="{28B1EB8C-E026-40F2-9C07-53EC2E7248A9}"/>
    <hyperlink ref="O2607" r:id="rId7863" display="https://pbs.twimg.com/profile_images/587507241588281344/FBLZh8Iv_normal.jpg" xr:uid="{6C73CB2E-8023-4E5F-9F11-877F88AD325A}"/>
    <hyperlink ref="B2608" r:id="rId7864" display="https://twitter.com/kpohnke" xr:uid="{7B79EFDD-07CC-4A98-A708-E00E03ACE1DB}"/>
    <hyperlink ref="E2608" r:id="rId7865" display="https://twitter.com/kpohnke/status/723450699871211524" xr:uid="{BA62F358-31CC-44C1-BEAB-70B95D3A32A1}"/>
    <hyperlink ref="O2608" r:id="rId7866" display="https://pbs.twimg.com/profile_images/436791099462402048/-2yEKEc5_normal.jpeg" xr:uid="{2626525A-3E1A-461F-9513-6E4736BE0DF3}"/>
    <hyperlink ref="B2609" r:id="rId7867" display="https://twitter.com/automotive_IT" xr:uid="{E178D3DD-79DD-4917-AC28-720473D8E218}"/>
    <hyperlink ref="E2609" r:id="rId7868" display="https://twitter.com/automotive_IT/status/723451144031227905" xr:uid="{E8F55906-EBE1-4D15-964F-5DB796B161B3}"/>
    <hyperlink ref="O2609" r:id="rId7869" display="https://pbs.twimg.com/profile_images/616871511236997121/YFo9usbN_normal.png" xr:uid="{D842D59E-8B7B-445D-94BB-1282FB28D7FC}"/>
    <hyperlink ref="B2610" r:id="rId7870" display="https://twitter.com/ahk_frankreich" xr:uid="{6B27054B-5529-4FB9-84DF-501DF1E442C5}"/>
    <hyperlink ref="E2610" r:id="rId7871" display="https://twitter.com/ahk_frankreich/status/723451502090588160" xr:uid="{343B0076-4C2A-46F6-92CA-AA2EF9322860}"/>
    <hyperlink ref="O2610" r:id="rId7872" display="https://pbs.twimg.com/profile_images/672343322632024064/4z8q3pp4_normal.jpg" xr:uid="{4BF9411D-5858-4834-9828-16D14358E4BC}"/>
    <hyperlink ref="B2611" r:id="rId7873" display="https://twitter.com/wisskonzept" xr:uid="{A201FD95-DA24-463B-90AD-1E294EB5F1E3}"/>
    <hyperlink ref="E2611" r:id="rId7874" display="https://twitter.com/wisskonzept/status/723451528821018624" xr:uid="{D632E688-D381-427B-A834-C8B4C9FDF709}"/>
    <hyperlink ref="O2611" r:id="rId7875" display="https://pbs.twimg.com/profile_images/607924894756667392/Q-rChkyI_normal.png" xr:uid="{9F7B45B3-6F86-4420-A916-C142EBB7B08D}"/>
    <hyperlink ref="B2612" r:id="rId7876" display="https://twitter.com/FullSpeedSystem" xr:uid="{A4A5B736-B00B-4A11-A45C-FB28A79F3F28}"/>
    <hyperlink ref="E2612" r:id="rId7877" display="https://twitter.com/FullSpeedSystem/status/723451891175284736" xr:uid="{0FB5459C-585C-427A-8DC2-0B6F7C6D4F5E}"/>
    <hyperlink ref="O2612" r:id="rId7878" display="https://pbs.twimg.com/profile_images/705699220699877377/SxIhCs53_normal.jpg" xr:uid="{34B9CA4E-A22A-4BFE-B261-7FBFFE237406}"/>
    <hyperlink ref="B2613" r:id="rId7879" display="https://twitter.com/JoeMenninger" xr:uid="{87817051-24DD-4795-8F02-468D82223B08}"/>
    <hyperlink ref="E2613" r:id="rId7880" display="https://twitter.com/JoeMenninger/status/723452639216832517" xr:uid="{41DBC99B-7BF4-46F8-9854-E43D443D8C21}"/>
    <hyperlink ref="O2613" r:id="rId7881" display="https://pbs.twimg.com/profile_images/1607450424/1105_JME_Low_Res_short_normal.jpg" xr:uid="{2FB7AFCD-DC6C-4A43-B5F9-7212F6539A6C}"/>
    <hyperlink ref="B2614" r:id="rId7882" display="https://twitter.com/stephanie_reitz" xr:uid="{5B714C74-9D28-4A98-9350-B49B56514ED6}"/>
    <hyperlink ref="E2614" r:id="rId7883" display="https://twitter.com/stephanie_reitz/status/723455067563630592" xr:uid="{6C08CD8D-6F63-47A5-82BA-8813CFB45771}"/>
    <hyperlink ref="O2614" r:id="rId7884" display="https://pbs.twimg.com/profile_images/601365244687024128/LZW9ami0_normal.jpg" xr:uid="{6C86CEE6-0BB8-459D-933E-DA578691E98F}"/>
    <hyperlink ref="B2615" r:id="rId7885" display="https://twitter.com/sarakarnthi" xr:uid="{E843CC05-6718-48C8-BE31-1792D60BE095}"/>
    <hyperlink ref="E2615" r:id="rId7886" display="https://twitter.com/sarakarnthi/status/723455195418517504" xr:uid="{09E0DBFD-A8D7-4589-A5E9-E85AD0195CED}"/>
    <hyperlink ref="O2615" r:id="rId7887" display="https://pbs.twimg.com/profile_images/675371332708655104/co6Rnvbj_normal.jpg" xr:uid="{7DEEF74E-83F9-4E19-AA6B-C7B07527D8F5}"/>
    <hyperlink ref="B2616" r:id="rId7888" display="https://twitter.com/CapgeminiDE" xr:uid="{BC162410-8347-421E-AF69-5E593655E893}"/>
    <hyperlink ref="E2616" r:id="rId7889" display="https://twitter.com/CapgeminiDE/status/723459042434244609" xr:uid="{68BDFD55-3FF8-4D87-9061-5D85FFA36F6E}"/>
    <hyperlink ref="O2616" r:id="rId7890" display="https://pbs.twimg.com/profile_images/666911961599315968/aP7ID_qm_normal.png" xr:uid="{13141118-6862-42EE-8E82-6B7038642044}"/>
    <hyperlink ref="B2617" r:id="rId7891" display="https://twitter.com/KBraeckle" xr:uid="{1B37C703-19A4-4570-BAD0-C23A16991840}"/>
    <hyperlink ref="E2617" r:id="rId7892" display="https://twitter.com/KBraeckle/status/723459314854289408" xr:uid="{69569548-E136-459B-B09E-98B4EE69CF01}"/>
    <hyperlink ref="O2617" r:id="rId7893" display="https://pbs.twimg.com/profile_images/646231223623385088/PZtVaztS_normal.jpg" xr:uid="{A95AB376-A1B9-4879-BCF0-39B781BE84C1}"/>
    <hyperlink ref="B2618" r:id="rId7894" display="https://twitter.com/SoftwareAG_D" xr:uid="{4CF66E01-FD03-4ADD-8CDA-501941284D72}"/>
    <hyperlink ref="E2618" r:id="rId7895" display="https://twitter.com/SoftwareAG_D/status/723459712881164288" xr:uid="{390B5B77-8FAD-451E-9065-64C610F40441}"/>
    <hyperlink ref="O2618" r:id="rId7896" display="https://pbs.twimg.com/profile_images/654171854748393472/7k-e_3oC_normal.png" xr:uid="{4DB5EF6C-D22E-4E98-B3E0-FA41231F7C63}"/>
    <hyperlink ref="B2619" r:id="rId7897" display="https://twitter.com/Ronald_Heinze" xr:uid="{E095FCC2-E10F-41A7-9359-331C95D42A0B}"/>
    <hyperlink ref="E2619" r:id="rId7898" display="https://twitter.com/Ronald_Heinze/status/723459897283739649" xr:uid="{3D17861B-39EF-442D-9B2A-655F40E44D07}"/>
    <hyperlink ref="O2619" r:id="rId7899" display="https://pbs.twimg.com/profile_images/596283853507010560/rOqlbvhj_normal.jpg" xr:uid="{2780681A-7CAE-4632-9522-D5C2FB3B75BB}"/>
    <hyperlink ref="B2620" r:id="rId7900" display="https://twitter.com/SvenMul" xr:uid="{A6458FA0-3AF0-4759-96EA-4C7FA5A9C8C0}"/>
    <hyperlink ref="E2620" r:id="rId7901" display="https://twitter.com/SvenMul/status/723461579845603329" xr:uid="{85288266-7975-4032-AE05-A380F17F8E11}"/>
    <hyperlink ref="O2620" r:id="rId7902" display="https://pbs.twimg.com/profile_images/614378514989629440/hsR4Wlja_normal.jpg" xr:uid="{F421842A-4F01-4684-A913-28B50DA38AD5}"/>
    <hyperlink ref="B2621" r:id="rId7903" display="https://twitter.com/INDIZbot" xr:uid="{5EDF31CC-453B-4AFD-999D-C58B82AD3786}"/>
    <hyperlink ref="E2621" r:id="rId7904" display="https://twitter.com/INDIZbot/status/723461761899343872" xr:uid="{4AEE7F3B-F4D7-4D7D-B599-FC1D4CFE0E8A}"/>
    <hyperlink ref="O2621" r:id="rId7905" display="https://pbs.twimg.com/profile_images/645716711723925506/t5G0qOS6_normal.jpg" xr:uid="{F417FE27-43E4-4B3A-A437-1F5F00D9202B}"/>
    <hyperlink ref="B2622" r:id="rId7906" display="https://twitter.com/INDIZbot" xr:uid="{C63E9BEC-CDCC-4300-A7C0-830551DA79A3}"/>
    <hyperlink ref="E2622" r:id="rId7907" display="https://twitter.com/INDIZbot/status/723461856359231488" xr:uid="{638B5A26-9D76-4AB7-A13E-4E1C01C265D7}"/>
    <hyperlink ref="O2622" r:id="rId7908" display="https://pbs.twimg.com/profile_images/645716711723925506/t5G0qOS6_normal.jpg" xr:uid="{1DA43EFC-B4E6-43A7-A534-6C38AB244BFF}"/>
    <hyperlink ref="B2623" r:id="rId7909" display="https://twitter.com/LNI40" xr:uid="{4B7AABDE-35DF-4150-B9EE-5238F54B78EF}"/>
    <hyperlink ref="E2623" r:id="rId7910" display="https://twitter.com/LNI40/status/723462007018631168" xr:uid="{C6864CBA-DFA5-4DCB-B2EB-081DC701D99B}"/>
    <hyperlink ref="O2623" r:id="rId7911" display="https://pbs.twimg.com/profile_images/722098538604281856/CcBxk1_M_normal.jpg" xr:uid="{9BE4C58C-E7B8-4921-ABEF-765F308B4F01}"/>
    <hyperlink ref="B2624" r:id="rId7912" display="https://twitter.com/fabioteixs" xr:uid="{9EED8D1C-F27E-417E-988A-F6CFD66B5F49}"/>
    <hyperlink ref="E2624" r:id="rId7913" display="https://twitter.com/fabioteixs/status/723462289198866432" xr:uid="{849B9635-C259-4618-9B5E-326227CD1AC6}"/>
    <hyperlink ref="O2624" r:id="rId7914" display="https://abs.twimg.com/sticky/default_profile_images/default_profile_3_normal.png" xr:uid="{80EC5647-CB39-4CB0-9254-A203C7F451FB}"/>
    <hyperlink ref="B2625" r:id="rId7915" display="https://twitter.com/osanten" xr:uid="{DC7125BB-C1E1-4A64-B86B-5CB1E862BB14}"/>
    <hyperlink ref="E2625" r:id="rId7916" display="https://twitter.com/osanten/status/723462535656144896" xr:uid="{B9BE9C3E-30F3-4CE3-88FE-1F0323F4BE0A}"/>
    <hyperlink ref="O2625" r:id="rId7917" display="https://pbs.twimg.com/profile_images/589392862422441984/1HFN6ZwF_normal.jpg" xr:uid="{06D274F5-C4FD-466C-A1DF-72453145DA48}"/>
    <hyperlink ref="B2626" r:id="rId7918" display="https://twitter.com/H_IT_D" xr:uid="{A622E377-3FBF-47E4-97EC-444C6C793FAE}"/>
    <hyperlink ref="E2626" r:id="rId7919" display="https://twitter.com/H_IT_D/status/723462818784124928" xr:uid="{E87C5F81-4C3B-404A-8B16-791E971E7394}"/>
    <hyperlink ref="O2626" r:id="rId7920" display="https://pbs.twimg.com/profile_images/662723326096224256/5V4KH9_O_normal.jpg" xr:uid="{42528C8A-3424-48B4-A599-F80827A97E9A}"/>
    <hyperlink ref="B2627" r:id="rId7921" display="https://twitter.com/centigradegmbh" xr:uid="{958DF15F-2FCB-4EAA-99F7-3C9F250A8E08}"/>
    <hyperlink ref="E2627" r:id="rId7922" display="https://twitter.com/centigradegmbh/status/723463106014384128" xr:uid="{714B5BC5-C1D2-42BD-A7C5-62AC57720849}"/>
    <hyperlink ref="O2627" r:id="rId7923" display="https://pbs.twimg.com/profile_images/481333142238679040/ErykRvBG_normal.png" xr:uid="{C740FC2B-8A31-451A-A8C6-21A20BE41BE5}"/>
    <hyperlink ref="B2628" r:id="rId7924" display="https://twitter.com/INDIZbot" xr:uid="{58C75FC5-EAEF-4580-8EA5-6F675CADB5B9}"/>
    <hyperlink ref="E2628" r:id="rId7925" display="https://twitter.com/INDIZbot/status/723464348874739712" xr:uid="{F8ADF0DD-19C1-442B-A6E9-48E261E69345}"/>
    <hyperlink ref="O2628" r:id="rId7926" display="https://pbs.twimg.com/profile_images/645716711723925506/t5G0qOS6_normal.jpg" xr:uid="{27703527-3B8B-42AF-8AE9-4353D192CB85}"/>
    <hyperlink ref="B2629" r:id="rId7927" display="https://twitter.com/verlinked" xr:uid="{E4AA2627-1743-4306-BD6C-A5A86901EA4D}"/>
    <hyperlink ref="E2629" r:id="rId7928" display="https://twitter.com/verlinked/status/723466437054988288" xr:uid="{06AAE3E3-FF87-419D-98C9-5AA7941FAA6D}"/>
    <hyperlink ref="O2629" r:id="rId7929" display="https://pbs.twimg.com/profile_images/722385992343285760/ww8YLZ2q_normal.jpg" xr:uid="{DB14BC11-7534-4266-9189-F8CCD1633A19}"/>
    <hyperlink ref="B2630" r:id="rId7930" display="https://twitter.com/kommoptimierer" xr:uid="{8511E05B-EF1C-4FAA-80E8-ADF70A897843}"/>
    <hyperlink ref="E2630" r:id="rId7931" display="https://twitter.com/kommoptimierer/status/723467642741358592" xr:uid="{9EE387A8-C2D0-40FA-AABF-690DA2EC5956}"/>
    <hyperlink ref="O2630" r:id="rId7932" display="https://pbs.twimg.com/profile_images/541146126158536704/IYardufS_normal.jpeg" xr:uid="{EF5E271B-C3E7-4BE7-9AD1-05D6028C0C1A}"/>
    <hyperlink ref="B2631" r:id="rId7933" display="https://twitter.com/INDIZbot" xr:uid="{28F64367-3B87-40EB-A765-6288B98B524E}"/>
    <hyperlink ref="E2631" r:id="rId7934" display="https://twitter.com/INDIZbot/status/723469315723386881" xr:uid="{41AB80F7-9538-4F8A-AFDC-2AE7DD0184E9}"/>
    <hyperlink ref="O2631" r:id="rId7935" display="https://pbs.twimg.com/profile_images/645716711723925506/t5G0qOS6_normal.jpg" xr:uid="{40735089-D80D-4285-8CF1-78E418C06D2C}"/>
    <hyperlink ref="B2632" r:id="rId7936" display="https://twitter.com/Nirak71" xr:uid="{EDAF3C76-BF64-4A62-9736-894FACA2B164}"/>
    <hyperlink ref="E2632" r:id="rId7937" display="https://twitter.com/Nirak71/status/723470345622159360" xr:uid="{A4D855C0-B9CD-4794-82CF-6A90D3634E45}"/>
    <hyperlink ref="O2632" r:id="rId7938" display="https://pbs.twimg.com/profile_images/2077646775/image_normal.jpg" xr:uid="{807FE6AA-0107-4862-86B3-FEEC2722BABA}"/>
    <hyperlink ref="B2633" r:id="rId7939" display="https://twitter.com/MetalEcoCity" xr:uid="{F6B3D3BF-1EF3-4C41-90C3-EAE7026759C2}"/>
    <hyperlink ref="E2633" r:id="rId7940" display="https://twitter.com/MetalEcoCity/status/723470520902148096" xr:uid="{23C3D3A7-CB16-431A-95AD-36660EA3CF29}"/>
    <hyperlink ref="O2633" r:id="rId7941" display="https://pbs.twimg.com/profile_images/664442346432540672/42-gzHf9_normal.jpg" xr:uid="{2C1A79A7-F663-45BD-9145-FD45B4E3F0E1}"/>
    <hyperlink ref="B2634" r:id="rId7942" display="https://twitter.com/aeaktuell" xr:uid="{EEC59947-DFC5-4553-B3DA-095354E72803}"/>
    <hyperlink ref="C2634" r:id="rId7943" xr:uid="{53F20662-5711-4380-9782-1DFB241BB864}"/>
    <hyperlink ref="E2634" r:id="rId7944" display="https://twitter.com/aeaktuell/status/723470985932996608" xr:uid="{7130709C-A42E-4EA8-98E1-1AC4B9C7357E}"/>
    <hyperlink ref="O2634" r:id="rId7945" display="https://pbs.twimg.com/profile_images/1310051384/all-e_punkte_normal.jpg" xr:uid="{245E8C55-29A7-4483-9130-4A05BCA51B9D}"/>
    <hyperlink ref="B2635" r:id="rId7946" display="https://twitter.com/itsOWL_Cluster" xr:uid="{1C2D5C16-D27B-407D-9EBE-D99334F32C95}"/>
    <hyperlink ref="E2635" r:id="rId7947" display="https://twitter.com/itsOWL_Cluster/status/723473075086450688" xr:uid="{D33148F5-0587-452A-89DC-CA878742A23D}"/>
    <hyperlink ref="O2635" r:id="rId7948" display="https://pbs.twimg.com/profile_images/3542998130/5e65449daa56d18e9aab7f6535dc25fc_normal.jpeg" xr:uid="{8682D9E5-BE29-4727-82C8-6A7D8D5622D9}"/>
    <hyperlink ref="B2636" r:id="rId7949" display="https://twitter.com/itsOWL_Cluster" xr:uid="{24A4D7CD-11B9-47E9-AABB-3AAA4A1B4EF1}"/>
    <hyperlink ref="E2636" r:id="rId7950" display="https://twitter.com/itsOWL_Cluster/status/723473136444936192" xr:uid="{E7E09498-4E4E-4528-8B3B-AFB504B56E30}"/>
    <hyperlink ref="O2636" r:id="rId7951" display="https://pbs.twimg.com/profile_images/3542998130/5e65449daa56d18e9aab7f6535dc25fc_normal.jpeg" xr:uid="{E28AE72C-8D76-402B-9B46-78834F4AC8C3}"/>
    <hyperlink ref="B2637" r:id="rId7952" display="https://twitter.com/IoTMinded" xr:uid="{D70A5618-AD99-46F9-B8ED-DE5A18ACF8F9}"/>
    <hyperlink ref="E2637" r:id="rId7953" display="https://twitter.com/IoTMinded/status/723473354234179584" xr:uid="{59C2A356-EF5D-4406-8A08-B617F4E33E78}"/>
    <hyperlink ref="O2637" r:id="rId7954" display="https://pbs.twimg.com/profile_images/603699032804859904/lb5IMG5x_normal.jpg" xr:uid="{DAE10079-0557-4CF1-9F40-62733E768790}"/>
    <hyperlink ref="B2638" r:id="rId7955" display="https://twitter.com/GTAI_de" xr:uid="{C33E53EC-6FD4-4455-AE2A-AFB2E75D0296}"/>
    <hyperlink ref="E2638" r:id="rId7956" display="https://twitter.com/GTAI_de/status/723473421808619520" xr:uid="{704A2022-6699-4A35-94F6-511B70E1A622}"/>
    <hyperlink ref="O2638" r:id="rId7957" display="https://pbs.twimg.com/profile_images/717256648868372480/OVfKmogV_normal.jpg" xr:uid="{A6AEE95C-C97B-4C7F-9F0B-22163E25E638}"/>
    <hyperlink ref="B2639" r:id="rId7958" display="https://twitter.com/Robert_Weber_" xr:uid="{9515BC75-93A0-4892-8DA9-5AC98735EEF3}"/>
    <hyperlink ref="E2639" r:id="rId7959" display="https://twitter.com/Robert_Weber_/status/723473446898925568" xr:uid="{608F2710-707F-4069-AF92-91CC28583162}"/>
    <hyperlink ref="O2639" r:id="rId7960" display="https://pbs.twimg.com/profile_images/619439854275952640/NO5busxw_normal.jpg" xr:uid="{863DBCB7-1612-4A82-A674-B3B5250E09D8}"/>
    <hyperlink ref="B2640" r:id="rId7961" display="https://twitter.com/MoritzKlaemt" xr:uid="{DC56AF39-B88D-40FE-A5CC-18C49804D32C}"/>
    <hyperlink ref="E2640" r:id="rId7962" display="https://twitter.com/MoritzKlaemt/status/723473762604204032" xr:uid="{FE2DC039-839A-428C-953A-08D50575EEED}"/>
    <hyperlink ref="O2640" r:id="rId7963" display="https://pbs.twimg.com/profile_images/565965732568371202/h0MKjbWA_normal.jpeg" xr:uid="{0ABD9AE0-E297-4B4D-AEDF-8C1DEB2ADAF7}"/>
    <hyperlink ref="B2641" r:id="rId7964" display="https://twitter.com/Robert_Weber_" xr:uid="{8124553B-5744-496D-BDB8-5371A0DABF5A}"/>
    <hyperlink ref="E2641" r:id="rId7965" display="https://twitter.com/Robert_Weber_/status/723474111293448193" xr:uid="{179C7A42-F8B6-452A-ACE8-EAEBFFED1576}"/>
    <hyperlink ref="O2641" r:id="rId7966" display="https://pbs.twimg.com/profile_images/619439854275952640/NO5busxw_normal.jpg" xr:uid="{7D6DA791-04E5-4C76-9BAC-B880AA2A97ED}"/>
    <hyperlink ref="B2642" r:id="rId7967" display="https://twitter.com/SHC_GmbH" xr:uid="{7CB3A91A-B99A-4F75-80BD-E8EF99F3E568}"/>
    <hyperlink ref="E2642" r:id="rId7968" display="https://twitter.com/SHC_GmbH/status/723474182181408768" xr:uid="{B317ED05-D3E8-477F-871A-D44384009539}"/>
    <hyperlink ref="O2642" r:id="rId7969" display="https://pbs.twimg.com/profile_images/3726440228/9ba49ccb938cf571b195e3e83a4e1327_normal.jpeg" xr:uid="{F4E9E93A-3125-4214-B221-052D6133E4D4}"/>
    <hyperlink ref="B2643" r:id="rId7970" display="https://twitter.com/INDIZbot" xr:uid="{EB27BD5B-F825-45A0-BCEC-975FA0BB28E3}"/>
    <hyperlink ref="E2643" r:id="rId7971" display="https://twitter.com/INDIZbot/status/723474221150703616" xr:uid="{6B6530D5-F672-4EE1-B843-A4DC4FD5271F}"/>
    <hyperlink ref="O2643" r:id="rId7972" display="https://pbs.twimg.com/profile_images/645716711723925506/t5G0qOS6_normal.jpg" xr:uid="{00F4023A-4B96-4801-AEFC-22899653F388}"/>
    <hyperlink ref="B2644" r:id="rId7973" display="https://twitter.com/WinfriedFelser" xr:uid="{6926475B-8319-4E3F-B417-2F9E31D29605}"/>
    <hyperlink ref="E2644" r:id="rId7974" display="https://twitter.com/WinfriedFelser/status/723475123198636032" xr:uid="{E3BEFFAA-2FAD-4930-B6AD-6BC2A3808F0F}"/>
    <hyperlink ref="O2644" r:id="rId7975" display="https://pbs.twimg.com/profile_images/562193841587896321/nfd18Y4g_normal.jpeg" xr:uid="{EB78AF58-AC8F-40EF-BBD8-3EF2506D0A74}"/>
    <hyperlink ref="B2645" r:id="rId7976" display="https://twitter.com/QuickFindsIn" xr:uid="{6717B79E-8D61-4357-93EE-6040451F5DE1}"/>
    <hyperlink ref="E2645" r:id="rId7977" display="https://twitter.com/QuickFindsIn/status/723475446222843904" xr:uid="{3CAF61C1-EC16-4D73-9CF2-3A3AE0679C6B}"/>
    <hyperlink ref="O2645" r:id="rId7978" display="https://pbs.twimg.com/profile_images/591951396217327616/HbcCX2zX_normal.png" xr:uid="{DAFFD5DF-BC3E-4B2E-BD79-2D87DFA83291}"/>
    <hyperlink ref="B2646" r:id="rId7979" display="https://twitter.com/prxagentur" xr:uid="{E01E0F8B-8611-414A-A510-FD2E5E3E5F9D}"/>
    <hyperlink ref="E2646" r:id="rId7980" display="https://twitter.com/prxagentur/status/723475977419018240" xr:uid="{CCD04FFD-7398-4809-82DF-C1985B2A48FE}"/>
    <hyperlink ref="O2646" r:id="rId7981" display="https://pbs.twimg.com/profile_images/594934750122536960/nG4kmfDF_normal.jpg" xr:uid="{D7B30073-2579-4DF2-AA74-B52D1003EB55}"/>
    <hyperlink ref="B2647" r:id="rId7982" display="https://twitter.com/CapgeminiDE" xr:uid="{7E69D09D-8472-424C-B877-7A849FC0A5CA}"/>
    <hyperlink ref="E2647" r:id="rId7983" display="https://twitter.com/CapgeminiDE/status/723476224090230784" xr:uid="{9249DF9F-99F7-4C77-BA1D-0788765C69AB}"/>
    <hyperlink ref="O2647" r:id="rId7984" display="https://pbs.twimg.com/profile_images/666911961599315968/aP7ID_qm_normal.png" xr:uid="{A389C3C4-49B2-486B-848A-209890140023}"/>
    <hyperlink ref="B2648" r:id="rId7985" display="https://twitter.com/POLYASVoting" xr:uid="{EBAE90EE-4B2E-44E4-8FB0-C8EED622AD93}"/>
    <hyperlink ref="E2648" r:id="rId7986" display="https://twitter.com/POLYASVoting/status/723476477489111040" xr:uid="{B1A34A39-A8B1-4657-A7CD-F227D598E500}"/>
    <hyperlink ref="O2648" r:id="rId7987" display="https://pbs.twimg.com/profile_images/672007271753338880/vC18hLkb_normal.jpg" xr:uid="{4D8F36AD-B69F-40FD-847A-343D8CBED0C2}"/>
    <hyperlink ref="B2649" r:id="rId7988" display="https://twitter.com/ITK_OWL" xr:uid="{EC2B0A77-5F35-4006-BA83-63D34B7E7EE9}"/>
    <hyperlink ref="E2649" r:id="rId7989" display="https://twitter.com/ITK_OWL/status/723476858101215232" xr:uid="{A7AC1574-A5B6-4E92-B5B0-A94AB92758A1}"/>
    <hyperlink ref="O2649" r:id="rId7990" display="https://pbs.twimg.com/profile_images/601673968551075840/MnulnKkj_normal.png" xr:uid="{ABE3F62D-0066-45BB-98BE-C5C9ACB69A7F}"/>
    <hyperlink ref="B2650" r:id="rId7991" display="https://twitter.com/INDIZbot" xr:uid="{175856AC-4BEC-40EF-A728-56EFCB0224D6}"/>
    <hyperlink ref="E2650" r:id="rId7992" display="https://twitter.com/INDIZbot/status/723476874047950848" xr:uid="{B62AA08B-638B-442F-B158-0906244FF6E5}"/>
    <hyperlink ref="O2650" r:id="rId7993" display="https://pbs.twimg.com/profile_images/645716711723925506/t5G0qOS6_normal.jpg" xr:uid="{334EA4EE-E643-46E1-A65A-18529183C355}"/>
    <hyperlink ref="B2651" r:id="rId7994" display="https://twitter.com/davidphotiade" xr:uid="{726FDC44-411B-48E7-9472-AEAF5957B401}"/>
    <hyperlink ref="E2651" r:id="rId7995" display="https://twitter.com/davidphotiade/status/723477031279824903" xr:uid="{859FE8B6-2C8F-44AB-BDA9-3ECB3EBEB388}"/>
    <hyperlink ref="O2651" r:id="rId7996" display="https://pbs.twimg.com/profile_images/669633347249942530/PT0C-2n5_normal.jpg" xr:uid="{9ADDA2FD-B915-46D4-8B5E-C15B582D463C}"/>
    <hyperlink ref="B2652" r:id="rId7997" display="https://twitter.com/INDIZbot" xr:uid="{7BAEF051-8056-433A-907E-4DA05031E683}"/>
    <hyperlink ref="E2652" r:id="rId7998" display="https://twitter.com/INDIZbot/status/723477040385634304" xr:uid="{0CA4572B-CF03-4278-B887-B84D236A613A}"/>
    <hyperlink ref="O2652" r:id="rId7999" display="https://pbs.twimg.com/profile_images/645716711723925506/t5G0qOS6_normal.jpg" xr:uid="{A27CF1B7-20F5-47B3-B558-81C24B6AECD0}"/>
    <hyperlink ref="B2653" r:id="rId8000" display="https://twitter.com/davidphotiade" xr:uid="{60AE0B10-C4C6-4E73-A8A9-7B4967E7DA53}"/>
    <hyperlink ref="E2653" r:id="rId8001" display="https://twitter.com/davidphotiade/status/723477077345873923" xr:uid="{51EA31F3-776B-41FF-94EC-C938D2F7ADBC}"/>
    <hyperlink ref="O2653" r:id="rId8002" display="https://pbs.twimg.com/profile_images/669633347249942530/PT0C-2n5_normal.jpg" xr:uid="{FC98DEDB-7812-4735-8C61-389809EC2F14}"/>
    <hyperlink ref="B2654" r:id="rId8003" display="https://twitter.com/INDIZbot" xr:uid="{72D85FA3-2431-4AAB-BD72-CF0696EE591B}"/>
    <hyperlink ref="E2654" r:id="rId8004" display="https://twitter.com/INDIZbot/status/723477093141635072" xr:uid="{13AC27E3-1277-4027-80F2-B572921C1D41}"/>
    <hyperlink ref="O2654" r:id="rId8005" display="https://pbs.twimg.com/profile_images/645716711723925506/t5G0qOS6_normal.jpg" xr:uid="{FF2275B9-24F4-4E9D-BBE0-51181D251BCD}"/>
    <hyperlink ref="B2655" r:id="rId8006" display="https://twitter.com/MoellerHorcher" xr:uid="{D57C6AAA-4251-4175-9F74-29473E18DFC9}"/>
    <hyperlink ref="E2655" r:id="rId8007" display="https://twitter.com/MoellerHorcher/status/723477755271217152" xr:uid="{FB6E9EA9-D4B9-4D79-A770-455049CDA60E}"/>
    <hyperlink ref="O2655" r:id="rId8008" display="https://pbs.twimg.com/profile_images/593771436461977601/JLe43OHw_normal.png" xr:uid="{C4DA2793-7AD1-40FB-BED6-D6D017F5CC2F}"/>
    <hyperlink ref="B2656" r:id="rId8009" display="https://twitter.com/LReehten" xr:uid="{2FB7BCCD-37F3-4F1F-A77A-94B86003F4D4}"/>
    <hyperlink ref="E2656" r:id="rId8010" display="https://twitter.com/LReehten/status/723478425231589376" xr:uid="{12C85BEF-23C2-42C2-B85A-05F1BB253B7B}"/>
    <hyperlink ref="O2656" r:id="rId8011" display="https://pbs.twimg.com/profile_images/623849156159868928/BetFDR_i_normal.jpg" xr:uid="{A59CFB51-87E0-4F75-8113-31DD83791055}"/>
    <hyperlink ref="B2657" r:id="rId8012" display="https://twitter.com/LReehten" xr:uid="{6F369EB4-3FCA-4DB0-A2B7-9AC83EF1C307}"/>
    <hyperlink ref="E2657" r:id="rId8013" display="https://twitter.com/LReehten/status/723478460996456452" xr:uid="{8A20D2B8-5776-4531-AF87-BF87A207A223}"/>
    <hyperlink ref="O2657" r:id="rId8014" display="https://pbs.twimg.com/profile_images/623849156159868928/BetFDR_i_normal.jpg" xr:uid="{07973DCD-F2EB-48B5-B665-63736E2613E7}"/>
    <hyperlink ref="B2658" r:id="rId8015" display="https://twitter.com/H_IT_D" xr:uid="{AD5A8A04-8DD5-48C0-A5A5-DDBA7C27F167}"/>
    <hyperlink ref="E2658" r:id="rId8016" display="https://twitter.com/H_IT_D/status/723478613069197312" xr:uid="{C30EB214-D29D-4C84-8509-3BECE6A41E81}"/>
    <hyperlink ref="O2658" r:id="rId8017" display="https://pbs.twimg.com/profile_images/662723326096224256/5V4KH9_O_normal.jpg" xr:uid="{DBA02F5A-B3E6-43E2-AE44-2D25E0BA3835}"/>
    <hyperlink ref="B2659" r:id="rId8018" display="https://twitter.com/IT_Connection" xr:uid="{851E980F-6CA7-4D07-9CC7-A13C5C6E3E9B}"/>
    <hyperlink ref="E2659" r:id="rId8019" display="https://twitter.com/IT_Connection/status/723479032990453760" xr:uid="{E60E90B3-D7BE-4DB6-82B6-2F44610ADD55}"/>
    <hyperlink ref="O2659" r:id="rId8020" display="https://pbs.twimg.com/profile_images/566986293888835584/_uYTcau__normal.png" xr:uid="{238774FE-57C1-43F3-8541-83DD2FE54B56}"/>
    <hyperlink ref="B2660" r:id="rId8021" display="https://twitter.com/proALPHA" xr:uid="{817ABA26-20CA-4026-98F5-113DD4700627}"/>
    <hyperlink ref="E2660" r:id="rId8022" display="https://twitter.com/proALPHA/status/723480471376662528" xr:uid="{DB9A9427-8B1E-4EAC-B702-A36EB52BCEB0}"/>
    <hyperlink ref="O2660" r:id="rId8023" display="https://pbs.twimg.com/profile_images/469026236916715520/DY-tlJ0c_normal.jpeg" xr:uid="{09351781-24C1-4BD9-BDA2-A5424BA31C6A}"/>
    <hyperlink ref="B2661" r:id="rId8024" display="https://twitter.com/INDIZbot" xr:uid="{1112586A-C909-46E3-8E3E-0C7B32A9ADEB}"/>
    <hyperlink ref="E2661" r:id="rId8025" display="https://twitter.com/INDIZbot/status/723482087500722179" xr:uid="{2FB75BDF-9CF5-4374-BDE2-B5BF3FAB9D82}"/>
    <hyperlink ref="O2661" r:id="rId8026" display="https://pbs.twimg.com/profile_images/645716711723925506/t5G0qOS6_normal.jpg" xr:uid="{629B0953-7751-425F-A657-3B508933EF5B}"/>
    <hyperlink ref="B2662" r:id="rId8027" display="https://twitter.com/ATNplus" xr:uid="{9355FE17-3089-4B2F-AB73-6AC6993E596E}"/>
    <hyperlink ref="E2662" r:id="rId8028" display="https://twitter.com/ATNplus/status/723482569564631040" xr:uid="{A0A9CDFE-0155-4629-BEF9-D5D900887CB8}"/>
    <hyperlink ref="O2662" r:id="rId8029" display="https://pbs.twimg.com/profile_images/669469688653565953/fKiQOv5w_normal.png" xr:uid="{B4C7228D-3930-460E-9944-6DBF079354E3}"/>
    <hyperlink ref="B2663" r:id="rId8030" display="https://twitter.com/cybus_io" xr:uid="{049CAF75-8CC5-4F46-8BC2-E557A0EB3DCA}"/>
    <hyperlink ref="E2663" r:id="rId8031" display="https://twitter.com/cybus_io/status/723484129455566848" xr:uid="{1B9493B3-196F-4F23-A8AF-CDE2ED5645AA}"/>
    <hyperlink ref="O2663" r:id="rId8032" display="https://pbs.twimg.com/profile_images/673122571731251200/Rcblg7bz_normal.png" xr:uid="{B0E997A4-DFEC-4A0C-AAE9-9870912CF19B}"/>
    <hyperlink ref="B2664" r:id="rId8033" display="https://twitter.com/psorowka" xr:uid="{0620ADEA-56D1-4442-9D20-9DC17A959F71}"/>
    <hyperlink ref="E2664" r:id="rId8034" display="https://twitter.com/psorowka/status/723484242076917760" xr:uid="{CDC684AE-1FAE-4561-A8AB-D9CA18BC708F}"/>
    <hyperlink ref="O2664" r:id="rId8035" display="https://pbs.twimg.com/profile_images/539210265472925697/HbDVwVlm_normal.jpeg" xr:uid="{FE899F3B-3B8D-4D4B-8F16-1E55FBDB0209}"/>
    <hyperlink ref="B2665" r:id="rId8036" display="https://twitter.com/observaitress" xr:uid="{714A935E-5130-4409-91BD-505857F34190}"/>
    <hyperlink ref="E2665" r:id="rId8037" display="https://twitter.com/observaitress/status/723484476198797312" xr:uid="{108E583D-779C-4411-A955-3A96811F0E23}"/>
    <hyperlink ref="O2665" r:id="rId8038" display="https://pbs.twimg.com/profile_images/1173146264/Portrait-Vera-dkl-201010_DSC0132-Webklein_normal.jpg" xr:uid="{8C52E94F-D26A-49C0-9D5F-A809F8232DC8}"/>
    <hyperlink ref="B2666" r:id="rId8039" display="https://twitter.com/Ralf_Kuder" xr:uid="{6E502A22-383E-460A-A8EC-305090C10C71}"/>
    <hyperlink ref="E2666" r:id="rId8040" display="https://twitter.com/Ralf_Kuder/status/723485454973153280" xr:uid="{79EFE537-42E1-4AB7-AD6D-AA538ADB0F0A}"/>
    <hyperlink ref="O2666" r:id="rId8041" display="https://pbs.twimg.com/profile_images/721292749069291520/oMrDhdql_normal.jpg" xr:uid="{BEEA1864-09B2-4C53-B88F-C7A777DDA2D0}"/>
    <hyperlink ref="B2667" r:id="rId8042" display="https://twitter.com/Bitkom_Service" xr:uid="{BC89CD59-01F0-4E7D-A810-95CC48DBDF99}"/>
    <hyperlink ref="E2667" r:id="rId8043" display="https://twitter.com/Bitkom_Service/status/723485760784097280" xr:uid="{15E8000E-44D7-4174-9348-5802913A7E69}"/>
    <hyperlink ref="O2667" r:id="rId8044" display="https://pbs.twimg.com/profile_images/616176072204382208/UYYnn7XY_normal.jpg" xr:uid="{07483205-D165-4A9D-9BEF-CB0616FFD7BD}"/>
    <hyperlink ref="B2668" r:id="rId8045" display="https://twitter.com/KMWEprecision" xr:uid="{699A5EE0-8640-4B6C-B682-BC9094D2EC84}"/>
    <hyperlink ref="E2668" r:id="rId8046" display="https://twitter.com/KMWEprecision/status/723486750740471808" xr:uid="{0618F4BD-8697-4EEB-B28E-962689DA1BEA}"/>
    <hyperlink ref="O2668" r:id="rId8047" display="https://pbs.twimg.com/profile_images/643396829510545409/-aJv6A05_normal.jpg" xr:uid="{E4888730-77CE-4541-8A41-84F839425777}"/>
    <hyperlink ref="B2669" r:id="rId8048" display="https://twitter.com/hartingindia" xr:uid="{337088A7-6CC2-4210-AC36-34B38E0F035D}"/>
    <hyperlink ref="E2669" r:id="rId8049" display="https://twitter.com/hartingindia/status/723486874820468737" xr:uid="{A527916A-AAA1-4938-AE52-405DA7439E42}"/>
    <hyperlink ref="O2669" r:id="rId8050" display="https://pbs.twimg.com/profile_images/540072077500223488/cMcNEi5S_normal.jpeg" xr:uid="{159ECE9B-05D6-48F9-ACAC-984F1F65F081}"/>
    <hyperlink ref="B2670" r:id="rId8051" display="https://twitter.com/siemensindustry" xr:uid="{ACF1DB07-D8A0-4DFA-8D13-661ECE217D4C}"/>
    <hyperlink ref="E2670" r:id="rId8052" display="https://twitter.com/siemensindustry/status/723487267680083970" xr:uid="{521D61AE-2C10-407C-8D5E-6F94FD001DC2}"/>
    <hyperlink ref="O2670" r:id="rId8053" display="https://pbs.twimg.com/profile_images/491604376192958465/Ir18BAvZ_normal.png" xr:uid="{7ED677BE-4E59-4019-A19B-203AE7A4AE40}"/>
    <hyperlink ref="B2671" r:id="rId8054" display="https://twitter.com/LReehten" xr:uid="{A97ADCD5-F1AB-4696-B84C-2A9059DCC57E}"/>
    <hyperlink ref="E2671" r:id="rId8055" display="https://twitter.com/LReehten/status/723487571884552192" xr:uid="{DB0DA926-3461-4BE6-9B67-69E234452498}"/>
    <hyperlink ref="O2671" r:id="rId8056" display="https://pbs.twimg.com/profile_images/623849156159868928/BetFDR_i_normal.jpg" xr:uid="{C552E6A9-833C-41E8-8523-73DAD19DD23D}"/>
    <hyperlink ref="B2672" r:id="rId8057" display="https://twitter.com/LReehten" xr:uid="{0EF7A83D-3BC8-47C4-82EC-5A4CFC33A925}"/>
    <hyperlink ref="E2672" r:id="rId8058" display="https://twitter.com/LReehten/status/723487612057620480" xr:uid="{83DFB64E-865A-4DA1-923D-866F55D6379D}"/>
    <hyperlink ref="O2672" r:id="rId8059" display="https://pbs.twimg.com/profile_images/623849156159868928/BetFDR_i_normal.jpg" xr:uid="{04545A66-8C6E-4738-B9B6-5539B1547C52}"/>
    <hyperlink ref="B2673" r:id="rId8060" display="https://twitter.com/AliceTimm1" xr:uid="{6BE10050-A261-4E11-B36A-0B812FFA1938}"/>
    <hyperlink ref="E2673" r:id="rId8061" display="https://twitter.com/AliceTimm1/status/723487684396761089" xr:uid="{8612822A-119C-428C-94EA-2EDAE8BDC89A}"/>
    <hyperlink ref="O2673" r:id="rId8062" display="https://pbs.twimg.com/profile_images/712401306082795521/Y0gvhjUD_normal.jpg" xr:uid="{C3EBF65A-353C-4946-885F-C141CF855C0C}"/>
    <hyperlink ref="B2674" r:id="rId8063" display="https://twitter.com/AliceTimm1" xr:uid="{5E3EB38F-03AF-4555-B931-0DEDFB0BA8B5}"/>
    <hyperlink ref="E2674" r:id="rId8064" display="https://twitter.com/AliceTimm1/status/723487896557203456" xr:uid="{08C78AC9-1DFA-43B3-847E-8B60C531560F}"/>
    <hyperlink ref="O2674" r:id="rId8065" display="https://pbs.twimg.com/profile_images/712401306082795521/Y0gvhjUD_normal.jpg" xr:uid="{4B5D90FC-7F7F-44E3-A5CB-3493465707AE}"/>
    <hyperlink ref="B2675" r:id="rId8066" display="https://twitter.com/AnalytikaByCim" xr:uid="{C584EE1C-6C5B-401E-BD38-B89849944D1E}"/>
    <hyperlink ref="E2675" r:id="rId8067" display="https://twitter.com/AnalytikaByCim/status/723488960211783681" xr:uid="{8C275065-55E9-4AA7-A21C-2890DD41BBD1}"/>
    <hyperlink ref="O2675" r:id="rId8068" display="https://pbs.twimg.com/profile_images/702585949616648192/dr-rnVyA_normal.png" xr:uid="{FD0C0312-B868-44B9-AAC5-5889DAFC9EBD}"/>
    <hyperlink ref="B2676" r:id="rId8069" display="https://twitter.com/LReehten" xr:uid="{70B560F1-3329-4930-8474-5E0A67F8C668}"/>
    <hyperlink ref="E2676" r:id="rId8070" display="https://twitter.com/LReehten/status/723489178974060544" xr:uid="{82968852-50BF-47C0-9F8B-FF9CA0D8DB86}"/>
    <hyperlink ref="O2676" r:id="rId8071" display="https://pbs.twimg.com/profile_images/623849156159868928/BetFDR_i_normal.jpg" xr:uid="{AAE156C4-1391-4349-8D74-670B87CE79A1}"/>
    <hyperlink ref="B2677" r:id="rId8072" display="https://twitter.com/acatech_de" xr:uid="{222A6340-741F-41AC-818D-960A5BBA2284}"/>
    <hyperlink ref="E2677" r:id="rId8073" display="https://twitter.com/acatech_de/status/723489562194890752" xr:uid="{0C73045A-5C21-4803-9426-E28C20B73583}"/>
    <hyperlink ref="O2677" r:id="rId8074" display="https://pbs.twimg.com/profile_images/600969802908356609/3JqGMg38_normal.png" xr:uid="{2C357985-CF23-4AC0-809E-C976D2991C2C}"/>
    <hyperlink ref="B2678" r:id="rId8075" display="https://twitter.com/SHC_GmbH" xr:uid="{777C5CB4-6148-4D1B-A726-85D0D8E20E5B}"/>
    <hyperlink ref="E2678" r:id="rId8076" display="https://twitter.com/SHC_GmbH/status/723490350673879040" xr:uid="{7E069FBC-AC75-479E-9CFB-757A95207767}"/>
    <hyperlink ref="O2678" r:id="rId8077" display="https://pbs.twimg.com/profile_images/3726440228/9ba49ccb938cf571b195e3e83a4e1327_normal.jpeg" xr:uid="{598223F5-3EA3-4E03-85AC-7A221A92A982}"/>
    <hyperlink ref="B2679" r:id="rId8078" display="https://twitter.com/CKotschy" xr:uid="{E0052AE1-C12C-4CA3-9DA4-0488E80CF00D}"/>
    <hyperlink ref="E2679" r:id="rId8079" display="https://twitter.com/CKotschy/status/723491640950841345" xr:uid="{EBAC4950-B7B8-4BD6-A699-A9F5D1119618}"/>
    <hyperlink ref="O2679" r:id="rId8080" display="https://pbs.twimg.com/profile_images/3498242825/e6d8e9f0a9af191ed520a843245b8b58_normal.jpeg" xr:uid="{E1C54C07-1C35-4854-BEF8-F1D04F62D569}"/>
    <hyperlink ref="B2680" r:id="rId8081" display="https://twitter.com/dictaJet" xr:uid="{E579C06F-D156-45E1-B30E-DA04AEE00CF7}"/>
    <hyperlink ref="E2680" r:id="rId8082" display="https://twitter.com/dictaJet/status/723492727904722945" xr:uid="{E829A837-96CE-4FA8-B0F6-A4D88B1C96F3}"/>
    <hyperlink ref="O2680" r:id="rId8083" display="https://pbs.twimg.com/profile_images/3151814681/889304b58206053d6f22bd0b52344369_normal.jpeg" xr:uid="{CFF9A53F-8BC2-4C40-8ECE-858D5D0061E3}"/>
    <hyperlink ref="B2681" r:id="rId8084" display="https://twitter.com/TM20_de" xr:uid="{207ACB78-1D04-4CE0-A517-EDF4E8797454}"/>
    <hyperlink ref="E2681" r:id="rId8085" display="https://twitter.com/TM20_de/status/723492830711308288" xr:uid="{F326475D-4276-4363-8BF2-A5241D1C144C}"/>
    <hyperlink ref="O2681" r:id="rId8086" display="https://pbs.twimg.com/profile_images/474479144718176257/aarI9NP8_normal.jpeg" xr:uid="{DA353C5C-65AF-412F-AC21-B57B8270CEA8}"/>
    <hyperlink ref="B2682" r:id="rId8087" display="https://twitter.com/BoschPresse" xr:uid="{F4E2C22F-7AB1-437D-AB98-BC4EA8DCE4B5}"/>
    <hyperlink ref="E2682" r:id="rId8088" display="https://twitter.com/BoschPresse/status/723492844154019840" xr:uid="{CEBB40FB-FCA1-476E-B988-27FD6B800C93}"/>
    <hyperlink ref="O2682" r:id="rId8089" display="https://pbs.twimg.com/profile_images/2619086509/ld3z97zhhdbs2essw7s9_normal.jpeg" xr:uid="{5FA8AA09-40EB-4C53-8F47-6577163D2B02}"/>
    <hyperlink ref="B2683" r:id="rId8090" display="https://twitter.com/CapgeminiDE" xr:uid="{E88D42A6-070E-460D-8D5F-FCEF00E67A6A}"/>
    <hyperlink ref="E2683" r:id="rId8091" display="https://twitter.com/CapgeminiDE/status/723492850969763840" xr:uid="{A3C08BDE-4FDC-44C2-AC30-8F2BCB145856}"/>
    <hyperlink ref="O2683" r:id="rId8092" display="https://pbs.twimg.com/profile_images/666911961599315968/aP7ID_qm_normal.png" xr:uid="{0ECD10A8-1922-4A41-93B6-BC612657E7F6}"/>
    <hyperlink ref="B2684" r:id="rId8093" display="https://twitter.com/LeanKnowledge" xr:uid="{635182F9-5C3D-478C-9D82-1E441241F0D1}"/>
    <hyperlink ref="E2684" r:id="rId8094" display="https://twitter.com/LeanKnowledge/status/723493998892081152" xr:uid="{8716E667-CB0D-4EB8-808B-11579D047158}"/>
    <hyperlink ref="O2684" r:id="rId8095" display="https://pbs.twimg.com/profile_images/667622351345950720/HAHOiaMn_normal.jpg" xr:uid="{18D55BE8-4C4C-4907-81EA-D809C5E4E6CC}"/>
    <hyperlink ref="B2685" r:id="rId8096" display="https://twitter.com/Databanque" xr:uid="{E99C9648-B022-43C5-9CAD-BB220E1D1729}"/>
    <hyperlink ref="E2685" r:id="rId8097" display="https://twitter.com/Databanque/status/723494342292197376" xr:uid="{50F7CD7B-05D9-4C54-BAF6-65A0CC874973}"/>
    <hyperlink ref="O2685" r:id="rId8098" display="https://pbs.twimg.com/profile_images/552211771360940032/CmEYO0l3_normal.png" xr:uid="{032C63B9-E305-4FFA-B68D-E57285D5AB18}"/>
    <hyperlink ref="B2686" r:id="rId8099" display="https://twitter.com/H_IT_D" xr:uid="{3ECFEF04-7E65-4512-98E9-AEF30D65EB7E}"/>
    <hyperlink ref="E2686" r:id="rId8100" display="https://twitter.com/H_IT_D/status/723494613164515329" xr:uid="{6298AF35-B00E-4F8E-AB86-91293B346E32}"/>
    <hyperlink ref="O2686" r:id="rId8101" display="https://pbs.twimg.com/profile_images/662723326096224256/5V4KH9_O_normal.jpg" xr:uid="{6F64DBD1-1FC3-4D5E-96AA-CF202EC50FC9}"/>
    <hyperlink ref="B2687" r:id="rId8102" display="https://twitter.com/Lean_john" xr:uid="{F257CEB9-2BC9-45FD-A28D-2ABF2AC6DF12}"/>
    <hyperlink ref="E2687" r:id="rId8103" display="https://twitter.com/Lean_john/status/723496008156585984" xr:uid="{F196CF17-9485-4B2C-94FD-DE545A0FD61F}"/>
    <hyperlink ref="O2687" r:id="rId8104" display="https://pbs.twimg.com/profile_images/2181612837/Johann_normal.jpg" xr:uid="{5E824F91-FFAA-425A-B429-71B9EBCA6647}"/>
    <hyperlink ref="B2688" r:id="rId8105" display="https://twitter.com/Omni_ID" xr:uid="{22E88D24-EB5D-44F4-A1E0-37C688519A9C}"/>
    <hyperlink ref="E2688" r:id="rId8106" display="https://twitter.com/Omni_ID/status/723496377578184704" xr:uid="{B3C73E9D-BDCC-49F4-BB45-4B15B4F3CFC3}"/>
    <hyperlink ref="O2688" r:id="rId8107" display="https://pbs.twimg.com/profile_images/594236137876525057/MDbVEVr-_normal.jpg" xr:uid="{B02DE91B-AC34-49EF-B03C-BE7BEDD25DA5}"/>
    <hyperlink ref="B2689" r:id="rId8108" display="https://twitter.com/verlinked" xr:uid="{ABD18D9F-811B-45FE-9015-EE6E7B550576}"/>
    <hyperlink ref="E2689" r:id="rId8109" display="https://twitter.com/verlinked/status/723496654955929601" xr:uid="{98098A1E-331E-42A3-A312-041E29DD3F7A}"/>
    <hyperlink ref="O2689" r:id="rId8110" display="https://pbs.twimg.com/profile_images/722385992343285760/ww8YLZ2q_normal.jpg" xr:uid="{495D7739-E27E-4B8A-A929-7D398450B564}"/>
    <hyperlink ref="B2690" r:id="rId8111" display="https://twitter.com/INDIZbot" xr:uid="{D81CD8F1-A895-45DA-9693-3B1FA5BCFDFA}"/>
    <hyperlink ref="E2690" r:id="rId8112" display="https://twitter.com/INDIZbot/status/723496869448540160" xr:uid="{A7341AD8-2958-4607-A78C-8FDFD45785BA}"/>
    <hyperlink ref="O2690" r:id="rId8113" display="https://pbs.twimg.com/profile_images/645716711723925506/t5G0qOS6_normal.jpg" xr:uid="{552E23B3-9DDC-4FEE-9011-4FC0F657CB5B}"/>
    <hyperlink ref="B2691" r:id="rId8114" display="https://twitter.com/INDIZbot" xr:uid="{7AED2CAC-03BB-4924-BBFD-FDEC06859C42}"/>
    <hyperlink ref="E2691" r:id="rId8115" display="https://twitter.com/INDIZbot/status/723497067516145664" xr:uid="{4B383C58-CFDC-454B-80AB-BCBC8F34FA44}"/>
    <hyperlink ref="O2691" r:id="rId8116" display="https://pbs.twimg.com/profile_images/645716711723925506/t5G0qOS6_normal.jpg" xr:uid="{C9913430-4D72-4BD8-8BAE-F2647637777A}"/>
    <hyperlink ref="B2692" r:id="rId8117" display="https://twitter.com/Women_Digital" xr:uid="{FD979B76-860A-45EF-A6EE-462611401919}"/>
    <hyperlink ref="E2692" r:id="rId8118" display="https://twitter.com/Women_Digital/status/723497402561388544" xr:uid="{46441379-CC98-4CC6-A703-94C3364B98AB}"/>
    <hyperlink ref="O2692" r:id="rId8119" display="https://pbs.twimg.com/profile_images/691353676179443712/kXg2h6SR_normal.jpg" xr:uid="{66C95211-3E90-4949-8CA0-EA33A6E6FA30}"/>
    <hyperlink ref="B2693" r:id="rId8120" display="https://twitter.com/AdrianWeiler" xr:uid="{1AB00C76-1889-455F-B08E-D266C9C45C74}"/>
    <hyperlink ref="E2693" r:id="rId8121" display="https://twitter.com/AdrianWeiler/status/723498670524628992" xr:uid="{2953799E-9F3A-4D4D-B755-77960A9C4B14}"/>
    <hyperlink ref="O2693" r:id="rId8122" display="https://pbs.twimg.com/profile_images/656084414661840897/KVbUEpYC_normal.jpg" xr:uid="{409A5F2E-1FD9-4D39-A42D-874062E314A4}"/>
    <hyperlink ref="B2694" r:id="rId8123" display="https://twitter.com/centigradegmbh" xr:uid="{BAFF0528-008B-443E-9BB6-D7101C55BD92}"/>
    <hyperlink ref="E2694" r:id="rId8124" display="https://twitter.com/centigradegmbh/status/723498762677706752" xr:uid="{4387EC2B-BD73-4B9D-9AE0-E6C7817AB09C}"/>
    <hyperlink ref="O2694" r:id="rId8125" display="https://pbs.twimg.com/profile_images/481333142238679040/ErykRvBG_normal.png" xr:uid="{6AD75EB1-08A8-4E05-A967-A72D6DF081A5}"/>
    <hyperlink ref="B2695" r:id="rId8126" display="https://twitter.com/AutotaskGmbH" xr:uid="{6F979F70-953E-4F7A-B461-F096CFCCEAE8}"/>
    <hyperlink ref="E2695" r:id="rId8127" display="https://twitter.com/AutotaskGmbH/status/723498995079909377" xr:uid="{0FC0B60C-2649-4EEB-B0E0-4FF73C5DDA4B}"/>
    <hyperlink ref="O2695" r:id="rId8128" display="https://pbs.twimg.com/profile_images/469841276188098560/7H13R02s_normal.jpeg" xr:uid="{5FE900F8-A82F-44D2-941D-E19DA001FC6E}"/>
    <hyperlink ref="B2696" r:id="rId8129" display="https://twitter.com/dutchhts" xr:uid="{ECD4AFFB-BF2D-44AC-AFD7-A6844145B8C1}"/>
    <hyperlink ref="E2696" r:id="rId8130" display="https://twitter.com/dutchhts/status/723499125048762368" xr:uid="{9AF93203-C13A-454C-81E2-7676674A6F96}"/>
    <hyperlink ref="O2696" r:id="rId8131" display="https://pbs.twimg.com/profile_images/523906834000650242/-PpDUEnV_normal.jpeg" xr:uid="{3BFC87EE-D0C0-48C0-B1A3-61300AD83805}"/>
    <hyperlink ref="B2697" r:id="rId8132" display="https://twitter.com/BoschPresse" xr:uid="{022A007D-D1D4-4E8E-8EE2-875174E85746}"/>
    <hyperlink ref="E2697" r:id="rId8133" display="https://twitter.com/BoschPresse/status/723499149010804737" xr:uid="{115B214C-9C6C-4560-8A95-C51FB153FA91}"/>
    <hyperlink ref="O2697" r:id="rId8134" display="https://pbs.twimg.com/profile_images/2619086509/ld3z97zhhdbs2essw7s9_normal.jpeg" xr:uid="{B52F7CD8-A7F3-4258-A91C-F57A552EEC20}"/>
    <hyperlink ref="B2698" r:id="rId8135" display="https://twitter.com/CapgeminiDE" xr:uid="{422EEC95-0A73-4875-8F8F-550535AAB335}"/>
    <hyperlink ref="E2698" r:id="rId8136" display="https://twitter.com/CapgeminiDE/status/723499277113282560" xr:uid="{3916CD45-853C-45FB-9DC3-C08D67936207}"/>
    <hyperlink ref="O2698" r:id="rId8137" display="https://pbs.twimg.com/profile_images/666911961599315968/aP7ID_qm_normal.png" xr:uid="{2E09601E-5075-4BA9-BC58-6DDD4BECBDC0}"/>
    <hyperlink ref="B2699" r:id="rId8138" display="https://twitter.com/CapgeminiDE" xr:uid="{78E7CF2F-0990-4CBA-8A23-A3DCCCF7B3E2}"/>
    <hyperlink ref="E2699" r:id="rId8139" display="https://twitter.com/CapgeminiDE/status/723499367160754176" xr:uid="{5B86BBE6-283F-4622-9A98-24A9B1D368C7}"/>
    <hyperlink ref="O2699" r:id="rId8140" display="https://pbs.twimg.com/profile_images/666911961599315968/aP7ID_qm_normal.png" xr:uid="{376F249E-1FD1-4FF3-BBE9-F05228BCB438}"/>
    <hyperlink ref="B2700" r:id="rId8141" display="https://twitter.com/INDIZbot" xr:uid="{29B9D691-14E8-427B-A29F-EDA421FE593C}"/>
    <hyperlink ref="E2700" r:id="rId8142" display="https://twitter.com/INDIZbot/status/723499388434284544" xr:uid="{194C7115-A979-47E4-BCAC-123AFBC7A290}"/>
    <hyperlink ref="O2700" r:id="rId8143" display="https://pbs.twimg.com/profile_images/645716711723925506/t5G0qOS6_normal.jpg" xr:uid="{5AB2A68D-0F42-4016-93E5-328744ADD2D3}"/>
    <hyperlink ref="B2701" r:id="rId8144" display="https://twitter.com/Dr_RobertFreund" xr:uid="{E2012963-0DAC-4211-BCE4-94D891F05A0A}"/>
    <hyperlink ref="E2701" r:id="rId8145" display="https://twitter.com/Dr_RobertFreund/status/723499390892126209" xr:uid="{7B6CA11B-34D0-40F2-8D60-DD926DD15DBD}"/>
    <hyperlink ref="O2701" r:id="rId8146" display="https://pbs.twimg.com/profile_images/524497009311354882/cGr5KIAg_normal.jpeg" xr:uid="{05F3449A-AE25-41B0-8B5A-FC6E766ACDFC}"/>
    <hyperlink ref="B2702" r:id="rId8147" display="https://twitter.com/INDIZbot" xr:uid="{2007109C-1033-42FB-8157-9EEFB2251781}"/>
    <hyperlink ref="E2702" r:id="rId8148" display="https://twitter.com/INDIZbot/status/723499506432630784" xr:uid="{912777B2-75E1-4084-998F-BF1DE754EDA7}"/>
    <hyperlink ref="O2702" r:id="rId8149" display="https://pbs.twimg.com/profile_images/645716711723925506/t5G0qOS6_normal.jpg" xr:uid="{CCB0FA93-3A8D-4AF0-8B9B-80715F5068FD}"/>
    <hyperlink ref="B2703" r:id="rId8150" display="https://twitter.com/IEMS_UniFR" xr:uid="{9A72EAB0-2137-44D8-9E85-B90FEFDFBFA0}"/>
    <hyperlink ref="E2703" r:id="rId8151" display="https://twitter.com/IEMS_UniFR/status/723499758220894208" xr:uid="{352E2A3F-6DA4-4916-B9DB-C58C30B86A1A}"/>
    <hyperlink ref="O2703" r:id="rId8152" display="https://pbs.twimg.com/profile_images/477019775843852288/kSR5GfEE_normal.png" xr:uid="{AF59BBD5-CE9D-45F5-B873-642EEDE8F479}"/>
    <hyperlink ref="B2704" r:id="rId8153" display="https://twitter.com/TanjCar" xr:uid="{77DA6E87-B988-4952-945C-16B8EE11720F}"/>
    <hyperlink ref="E2704" r:id="rId8154" display="https://twitter.com/TanjCar/status/723500742401757185" xr:uid="{EB81FE2B-2F91-4320-8D5A-656735AB0B5D}"/>
    <hyperlink ref="O2704" r:id="rId8155" display="https://pbs.twimg.com/profile_images/1014679263/tc_normal.png" xr:uid="{353AD318-11F6-4B66-9E13-50838AA04A7E}"/>
    <hyperlink ref="B2705" r:id="rId8156" display="https://twitter.com/SilkeSt" xr:uid="{C752D687-4337-46B1-A6B4-F94AB36736B7}"/>
    <hyperlink ref="E2705" r:id="rId8157" display="https://twitter.com/SilkeSt/status/723501386969833472" xr:uid="{63021727-DD33-457C-AAC4-B1984D339B18}"/>
    <hyperlink ref="O2705" r:id="rId8158" display="https://pbs.twimg.com/profile_images/413592922592792576/9Dg2RiEm_normal.jpeg" xr:uid="{986C2D36-5F2E-47C1-9522-925BB31EDD51}"/>
    <hyperlink ref="B2706" r:id="rId8159" display="https://twitter.com/INDIZbot" xr:uid="{9CFC0E36-33D0-4324-9F58-D68256100F70}"/>
    <hyperlink ref="E2706" r:id="rId8160" display="https://twitter.com/INDIZbot/status/723501905863925760" xr:uid="{BA90DF57-F24C-46FE-8DB0-7958BE6EFBE4}"/>
    <hyperlink ref="O2706" r:id="rId8161" display="https://pbs.twimg.com/profile_images/645716711723925506/t5G0qOS6_normal.jpg" xr:uid="{D2FFA36E-FC45-4359-B9D1-BF2128C83626}"/>
    <hyperlink ref="B2707" r:id="rId8162" display="https://twitter.com/INDIZbot" xr:uid="{D22F67AF-9AE2-4658-92F9-D0FF933B8824}"/>
    <hyperlink ref="E2707" r:id="rId8163" display="https://twitter.com/INDIZbot/status/723502018531364864" xr:uid="{1FF602B7-A6CB-4524-B40D-72F0CB3E17A0}"/>
    <hyperlink ref="O2707" r:id="rId8164" display="https://pbs.twimg.com/profile_images/645716711723925506/t5G0qOS6_normal.jpg" xr:uid="{2E9DFF85-D2B2-4CE8-9CBE-12FBB7A373A7}"/>
    <hyperlink ref="B2708" r:id="rId8165" display="https://twitter.com/aconext" xr:uid="{C921B787-68D4-4E5D-B1CF-64000DC6F023}"/>
    <hyperlink ref="E2708" r:id="rId8166" display="https://twitter.com/aconext/status/723504970260197377" xr:uid="{6E23ED6C-15E3-4A24-BBDA-69E61FF73243}"/>
    <hyperlink ref="O2708" r:id="rId8167" display="https://pbs.twimg.com/profile_images/588277189575049216/xVVXgnJQ_normal.jpg" xr:uid="{DE021C4E-5426-4B41-BB11-D3C8991288EB}"/>
    <hyperlink ref="B2709" r:id="rId8168" display="https://twitter.com/DeviceInsight_" xr:uid="{9A150EFC-F76F-4316-BE77-1905C228B95E}"/>
    <hyperlink ref="E2709" r:id="rId8169" display="https://twitter.com/DeviceInsight_/status/723506735768580096" xr:uid="{12D55A37-2EF1-4A5C-8D58-456DDB060033}"/>
    <hyperlink ref="O2709" r:id="rId8170" display="https://pbs.twimg.com/profile_images/693009707628244992/jiyXFGci_normal.jpg" xr:uid="{1E21B19A-4DB5-43EC-B99C-3846A2F43A92}"/>
    <hyperlink ref="B2710" r:id="rId8171" display="https://twitter.com/Bitkom" xr:uid="{4DEE618D-765D-43A6-B756-0774FD290D26}"/>
    <hyperlink ref="E2710" r:id="rId8172" display="https://twitter.com/Bitkom/status/723507381552951296" xr:uid="{D733666F-77A5-4172-9E22-F7B9D9039C06}"/>
    <hyperlink ref="O2710" r:id="rId8173" display="https://pbs.twimg.com/profile_images/615797525040136192/CKF9-v_o_normal.jpg" xr:uid="{E3D3F37F-6962-4C4D-9FE8-5AD6B2860C48}"/>
    <hyperlink ref="B2711" r:id="rId8174" display="https://twitter.com/betarepublik" xr:uid="{762A1FA0-6D0B-460E-8E6A-302281E7AED5}"/>
    <hyperlink ref="E2711" r:id="rId8175" display="https://twitter.com/betarepublik/status/723509039909470208" xr:uid="{31F12A49-ABDF-4F19-A4B0-5B203C4DF779}"/>
    <hyperlink ref="O2711" r:id="rId8176" display="https://pbs.twimg.com/profile_images/721268538196013056/mz3VcLa4_normal.jpg" xr:uid="{EC7A3C77-D5A9-42C0-AC00-BD483132D280}"/>
    <hyperlink ref="B2712" r:id="rId8177" display="https://twitter.com/BubalPresidente" xr:uid="{5E2010C2-ABFC-47AB-B2A9-C41BDB043B6C}"/>
    <hyperlink ref="E2712" r:id="rId8178" display="https://twitter.com/BubalPresidente/status/723509142665744384" xr:uid="{C62A6F73-C7C7-4BA4-8D95-E305336B5C60}"/>
    <hyperlink ref="O2712" r:id="rId8179" display="https://pbs.twimg.com/profile_images/707638570073374720/FcG2ig2h_normal.jpg" xr:uid="{CCAD371C-7B45-463D-A4E0-D53411B46457}"/>
    <hyperlink ref="B2713" r:id="rId8180" display="https://twitter.com/TijenOnaran" xr:uid="{16EF68FF-3F72-4F51-AAB8-A695D2FB86DF}"/>
    <hyperlink ref="E2713" r:id="rId8181" display="https://twitter.com/TijenOnaran/status/723509415949799424" xr:uid="{46833416-8071-4DC6-B326-FB0BB0DDB415}"/>
    <hyperlink ref="O2713" r:id="rId8182" display="https://pbs.twimg.com/profile_images/524268834442989568/3ERK2Ubo_normal.jpeg" xr:uid="{2C93B0E5-AF34-4895-B8AE-DDD79D6DB9FE}"/>
    <hyperlink ref="B2714" r:id="rId8183" display="https://twitter.com/INDIZbot" xr:uid="{4CCF2D31-905C-45B5-B158-48C78954E66D}"/>
    <hyperlink ref="E2714" r:id="rId8184" display="https://twitter.com/INDIZbot/status/723509450775093251" xr:uid="{AF00652C-6D78-4258-A9BE-37AD22834472}"/>
    <hyperlink ref="O2714" r:id="rId8185" display="https://pbs.twimg.com/profile_images/645716711723925506/t5G0qOS6_normal.jpg" xr:uid="{610AE7EF-2999-4677-B7DB-18825863ED5E}"/>
    <hyperlink ref="B2715" r:id="rId8186" display="https://twitter.com/Leader_LR" xr:uid="{706FFDF1-C8DD-4A60-919B-39003AD6EEF1}"/>
    <hyperlink ref="E2715" r:id="rId8187" display="https://twitter.com/Leader_LR/status/723509467548160001" xr:uid="{16855061-A19B-4BDF-B6B9-DEBAE60BB34F}"/>
    <hyperlink ref="F2715" r:id="rId8188" xr:uid="{FE7534DF-6B12-47A3-9FE6-D2FE2D68C0B1}"/>
    <hyperlink ref="O2715" r:id="rId8189" display="https://pbs.twimg.com/profile_images/708593414833623041/je9d1EJc_normal.jpg" xr:uid="{9196838C-51FA-4FEF-89DD-7BA829F27F24}"/>
    <hyperlink ref="B2716" r:id="rId8190" display="https://twitter.com/INDIZbot" xr:uid="{0EF7819D-96F1-413A-991E-C13D137163E0}"/>
    <hyperlink ref="E2716" r:id="rId8191" display="https://twitter.com/INDIZbot/status/723509870708690945" xr:uid="{B98CF0E5-BAE9-45EB-B2F3-9505E23FFCCC}"/>
    <hyperlink ref="O2716" r:id="rId8192" display="https://pbs.twimg.com/profile_images/645716711723925506/t5G0qOS6_normal.jpg" xr:uid="{A797EC10-D2C8-4D2A-9444-516E09EC0EE6}"/>
    <hyperlink ref="B2717" r:id="rId8193" display="https://twitter.com/croXXing_IBD" xr:uid="{203EC919-BDA6-4AE1-A45A-CC53FD75D4EF}"/>
    <hyperlink ref="E2717" r:id="rId8194" display="https://twitter.com/croXXing_IBD/status/723510059007881216" xr:uid="{A913947A-C3EC-41DC-B03C-812096619450}"/>
    <hyperlink ref="O2717" r:id="rId8195" display="https://pbs.twimg.com/profile_images/600279861282869249/IpIJ3MKX_normal.png" xr:uid="{5ACFDE39-C99F-4894-9DB8-709D6A267F5F}"/>
    <hyperlink ref="B2718" r:id="rId8196" display="https://twitter.com/Nihonpk_ef" xr:uid="{2F25E4B5-2F99-4968-8BDC-2B50D3FDB285}"/>
    <hyperlink ref="E2718" r:id="rId8197" display="https://twitter.com/Nihonpk_ef/status/723510318341722112" xr:uid="{A1782511-8780-414C-855B-061021FA96C8}"/>
    <hyperlink ref="O2718" r:id="rId8198" display="https://abs.twimg.com/sticky/default_profile_images/default_profile_5_normal.png" xr:uid="{D9F522A7-D470-4BD9-8A72-670FACEA70EC}"/>
    <hyperlink ref="B2719" r:id="rId8199" display="https://twitter.com/H_IT_D" xr:uid="{D60557E1-AAD4-403D-A3D2-15A9747599FE}"/>
    <hyperlink ref="E2719" r:id="rId8200" display="https://twitter.com/H_IT_D/status/723510941984268288" xr:uid="{F751869A-C80B-4E83-ABED-2551FA14431C}"/>
    <hyperlink ref="O2719" r:id="rId8201" display="https://pbs.twimg.com/profile_images/662723326096224256/5V4KH9_O_normal.jpg" xr:uid="{B35CCC2E-AA5C-4354-8DB7-3C58F6BFEF79}"/>
    <hyperlink ref="B2720" r:id="rId8202" display="https://twitter.com/ITK_OWL" xr:uid="{BF893201-6604-4823-9557-2CEF3884E0FC}"/>
    <hyperlink ref="E2720" r:id="rId8203" display="https://twitter.com/ITK_OWL/status/723511066278375424" xr:uid="{93CA792B-327E-4F20-B490-70303FA08C52}"/>
    <hyperlink ref="O2720" r:id="rId8204" display="https://pbs.twimg.com/profile_images/601673968551075840/MnulnKkj_normal.png" xr:uid="{8BDA94DC-FE76-4B73-BB06-23F6285A4F8F}"/>
    <hyperlink ref="B2721" r:id="rId8205" display="https://twitter.com/Bitkom_I40" xr:uid="{F8240B98-98DC-4865-BA15-39DEA69B63FF}"/>
    <hyperlink ref="E2721" r:id="rId8206" display="https://twitter.com/Bitkom_I40/status/723511206938451969" xr:uid="{B33B02F6-A9A3-4F4D-AC96-C48F5A7A8F32}"/>
    <hyperlink ref="O2721" r:id="rId8207" display="https://pbs.twimg.com/profile_images/723407487395713024/0hZv7R8S_normal.jpg" xr:uid="{16720673-AA7C-4FE3-97E2-2BAE19880716}"/>
    <hyperlink ref="B2722" r:id="rId8208" display="https://twitter.com/bgebot" xr:uid="{65006E98-F418-4AB4-9B36-C7B278A5C857}"/>
    <hyperlink ref="E2722" r:id="rId8209" display="https://twitter.com/bgebot/status/723511745646612480" xr:uid="{7986886E-AF76-499A-88AC-110E04E974EE}"/>
    <hyperlink ref="O2722" r:id="rId8210" display="https://pbs.twimg.com/profile_images/1161922354/bge-bot-big-twitterversion2_normal.png" xr:uid="{6FE6E72B-B3FB-46B4-B7E4-10B9F9848719}"/>
    <hyperlink ref="B2723" r:id="rId8211" display="https://twitter.com/startupaffairs" xr:uid="{9C56D633-A9E9-4C0D-B65B-4B032F0FDF18}"/>
    <hyperlink ref="E2723" r:id="rId8212" display="https://twitter.com/startupaffairs/status/723512632238551040" xr:uid="{34B7E6F6-2897-4B58-B9EB-AAD704BFB05B}"/>
    <hyperlink ref="O2723" r:id="rId8213" display="https://pbs.twimg.com/profile_images/693906469004169216/gsA8ZTTm_normal.png" xr:uid="{941E1567-D96C-4BDF-8DA2-CF7B5A6DECFA}"/>
    <hyperlink ref="B2724" r:id="rId8214" display="https://twitter.com/kommoptimierer" xr:uid="{CA3B724D-24F1-4C00-B03E-F089EED824B3}"/>
    <hyperlink ref="E2724" r:id="rId8215" display="https://twitter.com/kommoptimierer/status/723512940847091712" xr:uid="{F18A1968-4D04-468C-B6CB-E0A87914E0B6}"/>
    <hyperlink ref="O2724" r:id="rId8216" display="https://pbs.twimg.com/profile_images/541146126158536704/IYardufS_normal.jpeg" xr:uid="{5BB92343-E33D-460B-B12A-5A5075FF684F}"/>
    <hyperlink ref="B2725" r:id="rId8217" display="https://twitter.com/CapgeminiDE" xr:uid="{B766B551-7A5B-4911-B47C-68BE1B82E4E1}"/>
    <hyperlink ref="E2725" r:id="rId8218" display="https://twitter.com/CapgeminiDE/status/723512988804734977" xr:uid="{5DF6B6B6-C783-4520-9E5F-4BA1FF757CF6}"/>
    <hyperlink ref="O2725" r:id="rId8219" display="https://pbs.twimg.com/profile_images/666911961599315968/aP7ID_qm_normal.png" xr:uid="{F2312A82-DFD2-4C83-B181-7547332F919A}"/>
    <hyperlink ref="B2726" r:id="rId8220" display="https://twitter.com/dictaJet" xr:uid="{6D7C9D21-F6BF-4F6A-B3CF-4D4002354543}"/>
    <hyperlink ref="E2726" r:id="rId8221" display="https://twitter.com/dictaJet/status/723512990436364288" xr:uid="{B2603460-31B7-4CE7-BBF0-79B8E06E34F2}"/>
    <hyperlink ref="O2726" r:id="rId8222" display="https://pbs.twimg.com/profile_images/3151814681/889304b58206053d6f22bd0b52344369_normal.jpeg" xr:uid="{78B0F5FF-583F-46DD-909A-811B4CAD0D25}"/>
    <hyperlink ref="B2727" r:id="rId8223" display="https://twitter.com/joworf" xr:uid="{8DF51AD1-83C3-413C-985D-83A8283FC3B5}"/>
    <hyperlink ref="E2727" r:id="rId8224" display="https://twitter.com/joworf/status/723513545187557376" xr:uid="{144A681E-62B7-4522-BF1B-4D4FEFDCCF3A}"/>
    <hyperlink ref="O2727" r:id="rId8225" display="https://pbs.twimg.com/profile_images/378800000730237374/61248132aea1de8788bfabe0f46145e3_normal.jpeg" xr:uid="{5C98D4D7-FA16-4C07-B5EA-FE29CB96844E}"/>
    <hyperlink ref="B2728" r:id="rId8226" display="https://twitter.com/OptimumGmbh" xr:uid="{58AC2E16-B916-4376-B446-3E375D185347}"/>
    <hyperlink ref="E2728" r:id="rId8227" display="https://twitter.com/OptimumGmbh/status/723514756661927936" xr:uid="{C9244E42-B2E2-4A49-A6EE-630C67D1F0C1}"/>
    <hyperlink ref="O2728" r:id="rId8228" display="https://pbs.twimg.com/profile_images/717612294386106368/XuG9D04T_normal.jpg" xr:uid="{494399E2-5B67-4669-B448-FFDBA3B3C205}"/>
    <hyperlink ref="B2729" r:id="rId8229" display="https://twitter.com/LutzVA" xr:uid="{6343386B-3065-470B-81B3-3012C346A618}"/>
    <hyperlink ref="E2729" r:id="rId8230" display="https://twitter.com/LutzVA/status/723515842831458305" xr:uid="{350EA833-8478-4B17-B32B-4D43F2599907}"/>
    <hyperlink ref="O2729" r:id="rId8231" display="https://pbs.twimg.com/profile_images/641558874294628356/0gpa7sTF_normal.jpg" xr:uid="{40BF150B-43F5-4785-A602-338A566B5342}"/>
    <hyperlink ref="B2730" r:id="rId8232" display="https://twitter.com/Frank_Reinelt" xr:uid="{A7032877-A9BE-4038-9251-A02D75403F0D}"/>
    <hyperlink ref="E2730" r:id="rId8233" display="https://twitter.com/Frank_Reinelt/status/723516370676264960" xr:uid="{BFC6708E-2C15-4247-BF07-32BEF555DCAB}"/>
    <hyperlink ref="O2730" r:id="rId8234" display="https://pbs.twimg.com/profile_images/669853588152283137/mqKB9aP__normal.jpg" xr:uid="{52736001-6D29-4D5D-8BA8-B812B66D9162}"/>
    <hyperlink ref="B2731" r:id="rId8235" display="https://twitter.com/5min7" xr:uid="{607E0E62-EF68-4A63-86BD-A231E5B595A8}"/>
    <hyperlink ref="E2731" r:id="rId8236" display="https://twitter.com/5min7/status/723518625370529793" xr:uid="{3EBDC766-6F89-44A4-BF83-5692285B4B9D}"/>
    <hyperlink ref="O2731" r:id="rId8237" display="https://pbs.twimg.com/profile_images/2958604689/0e3c99570c90174442403167dbf9b5c5_normal.jpeg" xr:uid="{4CDB06BF-F579-4B95-B78C-6F3894C1D614}"/>
    <hyperlink ref="B2732" r:id="rId8238" display="https://twitter.com/hzl_fk" xr:uid="{905205A2-967C-4266-905C-D90F71421630}"/>
    <hyperlink ref="E2732" r:id="rId8239" display="https://twitter.com/hzl_fk/status/723518733889712129" xr:uid="{05103C46-DEBF-4371-ABB0-B41A09AAB8DF}"/>
    <hyperlink ref="O2732" r:id="rId8240" display="https://pbs.twimg.com/profile_images/706950007178584064/MRcGCkkS_normal.jpg" xr:uid="{D9A64A02-57DC-4AE5-BB6A-E5195F15F035}"/>
    <hyperlink ref="B2733" r:id="rId8241" display="https://twitter.com/Bitkom" xr:uid="{A0CF8E69-E3A8-48C8-A590-46DB39BAB15D}"/>
    <hyperlink ref="E2733" r:id="rId8242" display="https://twitter.com/Bitkom/status/723519767911489536" xr:uid="{92CE734D-A913-4A71-9BD7-FC6B2DE10AC0}"/>
    <hyperlink ref="O2733" r:id="rId8243" display="https://pbs.twimg.com/profile_images/615797525040136192/CKF9-v_o_normal.jpg" xr:uid="{9B4A84D6-C80A-4EF6-B8BD-2C0AA5A377C3}"/>
    <hyperlink ref="B2734" r:id="rId8244" display="https://twitter.com/AguilarCharlott" xr:uid="{6D5C03F7-9BC4-4EE5-9573-ED846457234F}"/>
    <hyperlink ref="E2734" r:id="rId8245" display="https://twitter.com/AguilarCharlott/status/723519937336205313" xr:uid="{D85D2A63-48B7-4769-8AAF-8D188BB768F9}"/>
    <hyperlink ref="O2734" r:id="rId8246" display="https://pbs.twimg.com/profile_images/684349225598074880/c-Y1H7C-_normal.jpg" xr:uid="{579DB057-A6FD-4E43-9911-2C3E270C7D6F}"/>
    <hyperlink ref="B2735" r:id="rId8247" display="https://twitter.com/croXXing_IBD" xr:uid="{F20C6C93-CC18-4626-9F30-318A220CAC35}"/>
    <hyperlink ref="E2735" r:id="rId8248" display="https://twitter.com/croXXing_IBD/status/723521463450517504" xr:uid="{088D7C72-E59B-428B-928C-3C470A68D2F4}"/>
    <hyperlink ref="O2735" r:id="rId8249" display="https://pbs.twimg.com/profile_images/600279861282869249/IpIJ3MKX_normal.png" xr:uid="{BDCE4651-48ED-424E-BD0D-EABDC53EDE83}"/>
    <hyperlink ref="B2736" r:id="rId8250" display="https://twitter.com/dumslaff" xr:uid="{D51EBD6D-3BFB-41CD-9C28-EFFF65C3E779}"/>
    <hyperlink ref="E2736" r:id="rId8251" display="https://twitter.com/dumslaff/status/723521921292312576" xr:uid="{E431D44E-51F8-4283-B6B0-B3F16A0492A5}"/>
    <hyperlink ref="O2736" r:id="rId8252" display="https://pbs.twimg.com/profile_images/598047133485400064/sz5k5LB4_normal.jpg" xr:uid="{1423B5F8-6911-4925-BA89-734BB13A3951}"/>
    <hyperlink ref="B2737" r:id="rId8253" display="https://twitter.com/ITK_OWL" xr:uid="{33A58DB0-DB2C-46DA-A650-CEA020039A35}"/>
    <hyperlink ref="E2737" r:id="rId8254" display="https://twitter.com/ITK_OWL/status/723522354501038080" xr:uid="{88C3FF0B-D341-459E-A587-E4F07C990991}"/>
    <hyperlink ref="O2737" r:id="rId8255" display="https://pbs.twimg.com/profile_images/601673968551075840/MnulnKkj_normal.png" xr:uid="{3167ACDB-22A4-4798-9B3E-9F4DE759E717}"/>
    <hyperlink ref="B2738" r:id="rId8256" display="https://twitter.com/ProgressSW_DE" xr:uid="{C59E8661-7FDA-4997-B161-C81C23314537}"/>
    <hyperlink ref="E2738" r:id="rId8257" display="https://twitter.com/ProgressSW_DE/status/723522931620503556" xr:uid="{AC4B5328-8C3B-41F9-8C53-AF522E5966B3}"/>
    <hyperlink ref="O2738" r:id="rId8258" display="https://pbs.twimg.com/profile_images/378800000565965069/a98f364a74805cd42b34bb38197f51de_normal.png" xr:uid="{F7F7E305-5700-435F-87CF-B4A59FA41754}"/>
    <hyperlink ref="B2739" r:id="rId8259" display="https://twitter.com/BF_Deutschland" xr:uid="{31FB9ADE-F104-47B1-A95A-A20D14F0E576}"/>
    <hyperlink ref="E2739" r:id="rId8260" display="https://twitter.com/BF_Deutschland/status/723523314778550273" xr:uid="{2568257A-104D-44FC-892A-9EAAFE0597C4}"/>
    <hyperlink ref="O2739" r:id="rId8261" display="https://pbs.twimg.com/profile_images/560461983569305600/DFEfj2pV_normal.jpeg" xr:uid="{A3B80C6D-DAAF-40A6-8DEC-B083648256E7}"/>
    <hyperlink ref="B2740" r:id="rId8262" display="https://twitter.com/markherten" xr:uid="{759B3349-DB55-42BB-826B-B2DFFF92A687}"/>
    <hyperlink ref="E2740" r:id="rId8263" display="https://twitter.com/markherten/status/723523477119090688" xr:uid="{06AFEECE-BD56-47DF-88C4-FFBEC33E64EE}"/>
    <hyperlink ref="O2740" r:id="rId8264" display="https://pbs.twimg.com/profile_images/718175389890310145/GX8DLe_h_normal.jpg" xr:uid="{DD73C954-F73B-4481-AAEF-5A5FCF7E5B88}"/>
    <hyperlink ref="B2741" r:id="rId8265" display="https://twitter.com/Frank_Reinelt" xr:uid="{84B66C03-F743-47A9-8B1C-F18483C43030}"/>
    <hyperlink ref="E2741" r:id="rId8266" display="https://twitter.com/Frank_Reinelt/status/723524074895474689" xr:uid="{A5FB3CB3-4515-4857-A084-49300D0FDCFD}"/>
    <hyperlink ref="O2741" r:id="rId8267" display="https://pbs.twimg.com/profile_images/669853588152283137/mqKB9aP__normal.jpg" xr:uid="{62932E66-9DDF-4AEF-AC57-E54AF22D4901}"/>
    <hyperlink ref="B2742" r:id="rId8268" display="https://twitter.com/Bitkom" xr:uid="{F91CB50A-53CA-4BF7-8896-184DE9C23E11}"/>
    <hyperlink ref="E2742" r:id="rId8269" display="https://twitter.com/Bitkom/status/723524653633953793" xr:uid="{AC567E4E-3E71-4524-B32E-7DB0F365C9C3}"/>
    <hyperlink ref="O2742" r:id="rId8270" display="https://pbs.twimg.com/profile_images/615797525040136192/CKF9-v_o_normal.jpg" xr:uid="{5ACED331-CA58-4846-A258-2386F5DAC4A7}"/>
    <hyperlink ref="B2743" r:id="rId8271" display="https://twitter.com/croXXing_IBD" xr:uid="{79FD6D21-6BAC-4633-B9FB-024A3A9650A7}"/>
    <hyperlink ref="E2743" r:id="rId8272" display="https://twitter.com/croXXing_IBD/status/723525126327812096" xr:uid="{7FF1A396-5D9B-4CF6-8A73-B08392454FE7}"/>
    <hyperlink ref="O2743" r:id="rId8273" display="https://pbs.twimg.com/profile_images/600279861282869249/IpIJ3MKX_normal.png" xr:uid="{B215351D-CF8F-4567-868E-4EF5C6E1DA96}"/>
    <hyperlink ref="B2744" r:id="rId8274" display="https://twitter.com/WSWMUC" xr:uid="{C9076569-9466-434E-85FA-1771EAB9783A}"/>
    <hyperlink ref="E2744" r:id="rId8275" display="https://twitter.com/WSWMUC/status/723525215276376065" xr:uid="{A4EEB8FF-3554-43BB-B88C-E53BD57FEC9D}"/>
    <hyperlink ref="O2744" r:id="rId8276" display="https://pbs.twimg.com/profile_images/524295003107885059/1ADGv6Ps_normal.png" xr:uid="{786E713C-F0EB-40D4-9C12-CFD44385BECC}"/>
    <hyperlink ref="B2745" r:id="rId8277" display="https://twitter.com/NicoletteBarn" xr:uid="{E6CE6CB7-03A6-4AE7-8F3B-8E0EB66967B1}"/>
    <hyperlink ref="E2745" r:id="rId8278" display="https://twitter.com/NicoletteBarn/status/723525938844033024" xr:uid="{AC810795-FC6B-43F8-BF41-D102E8A60A5B}"/>
    <hyperlink ref="O2745" r:id="rId8279" display="https://pbs.twimg.com/profile_images/705044001309794304/B3gEcfIM_normal.jpg" xr:uid="{AC12D047-A0D1-452A-8941-56D9E6028B09}"/>
    <hyperlink ref="B2746" r:id="rId8280" display="https://twitter.com/acalregion" xr:uid="{D0095B62-ADAE-4F04-940F-EAD53A9C8129}"/>
    <hyperlink ref="E2746" r:id="rId8281" display="https://twitter.com/acalregion/status/723526083702861824" xr:uid="{37F1E784-F96A-48A1-B9F0-DA99010D2DBC}"/>
    <hyperlink ref="O2746" r:id="rId8282" display="https://pbs.twimg.com/profile_images/690169797661835264/zQ3IJMKb_normal.png" xr:uid="{E70BFA3A-D295-4722-B45C-3FD95822D0B7}"/>
    <hyperlink ref="B2747" r:id="rId8283" display="https://twitter.com/ITK_OWL" xr:uid="{BC19FAB6-5588-4CE0-867B-758B0B53AA04}"/>
    <hyperlink ref="E2747" r:id="rId8284" display="https://twitter.com/ITK_OWL/status/723526157325484032" xr:uid="{7DDC949F-99AD-4CA3-B8A4-140635DA9840}"/>
    <hyperlink ref="O2747" r:id="rId8285" display="https://pbs.twimg.com/profile_images/601673968551075840/MnulnKkj_normal.png" xr:uid="{A8A9A8BB-44A2-457A-9E55-1FF5F989251B}"/>
    <hyperlink ref="B2748" r:id="rId8286" display="https://twitter.com/HPE_DE" xr:uid="{A3862C21-8FA4-411F-B0EE-CEC81D7C08C2}"/>
    <hyperlink ref="E2748" r:id="rId8287" display="https://twitter.com/HPE_DE/status/723526788786360322" xr:uid="{6510F0C7-14E6-47F9-B586-5497BE9E00C3}"/>
    <hyperlink ref="O2748" r:id="rId8288" display="https://pbs.twimg.com/profile_images/659081933557661696/ws31ev-y_normal.png" xr:uid="{B4CDBAF8-2943-4FA7-8FE0-50FD75B715D6}"/>
    <hyperlink ref="B2749" r:id="rId8289" display="https://twitter.com/INDIZbot" xr:uid="{3C8CABAE-94D4-424B-9E6B-74BB8EAF92EF}"/>
    <hyperlink ref="E2749" r:id="rId8290" display="https://twitter.com/INDIZbot/status/723527071272734721" xr:uid="{21E59ECB-4DA9-4C56-9741-8B2F0FAE6DE0}"/>
    <hyperlink ref="O2749" r:id="rId8291" display="https://pbs.twimg.com/profile_images/645716711723925506/t5G0qOS6_normal.jpg" xr:uid="{E640A069-2AD5-40E4-B70D-99E0C525DF73}"/>
    <hyperlink ref="B2750" r:id="rId8292" display="https://twitter.com/INDIZbot" xr:uid="{D6104822-0D01-4DFF-98F6-4D598A332512}"/>
    <hyperlink ref="E2750" r:id="rId8293" display="https://twitter.com/INDIZbot/status/723527191435313152" xr:uid="{1B7DBDA0-03EB-4B19-9460-F8611A18FF67}"/>
    <hyperlink ref="O2750" r:id="rId8294" display="https://pbs.twimg.com/profile_images/645716711723925506/t5G0qOS6_normal.jpg" xr:uid="{9042A315-7B8E-452D-A6A9-3F8CADE60CC5}"/>
    <hyperlink ref="B2751" r:id="rId8295" display="https://twitter.com/H_IT_D" xr:uid="{B9B0E7AD-CC07-47D3-B5FA-5DE3A94A5E3F}"/>
    <hyperlink ref="E2751" r:id="rId8296" display="https://twitter.com/H_IT_D/status/723527245508157440" xr:uid="{A926AF53-84C4-461F-B15A-430DE1540EC7}"/>
    <hyperlink ref="O2751" r:id="rId8297" display="https://pbs.twimg.com/profile_images/662723326096224256/5V4KH9_O_normal.jpg" xr:uid="{E3A33808-237F-49BA-A284-336119709D64}"/>
    <hyperlink ref="B2752" r:id="rId8298" display="https://twitter.com/INDIZbot" xr:uid="{264D8D8C-F3B2-4638-A807-55923367F18C}"/>
    <hyperlink ref="E2752" r:id="rId8299" display="https://twitter.com/INDIZbot/status/723527336184930304" xr:uid="{F81F5398-2F22-4C76-90A5-9CC753C012FD}"/>
    <hyperlink ref="O2752" r:id="rId8300" display="https://pbs.twimg.com/profile_images/645716711723925506/t5G0qOS6_normal.jpg" xr:uid="{60A44075-23A2-48BC-9B77-66346C5DC059}"/>
    <hyperlink ref="B2753" r:id="rId8301" display="https://twitter.com/INDIZbot" xr:uid="{4862EF9D-F848-4EAE-A418-7D00F557BE6D}"/>
    <hyperlink ref="E2753" r:id="rId8302" display="https://twitter.com/INDIZbot/status/723527560269824000" xr:uid="{D33D307C-2BCE-49CD-A1E7-C572553B5C01}"/>
    <hyperlink ref="O2753" r:id="rId8303" display="https://pbs.twimg.com/profile_images/645716711723925506/t5G0qOS6_normal.jpg" xr:uid="{0E857EE9-B6E8-4184-BE6D-EE14947FCB53}"/>
    <hyperlink ref="B2754" r:id="rId8304" display="https://twitter.com/WSWMUC" xr:uid="{5836731F-F4D4-4F1C-82A7-F3663A3D8F45}"/>
    <hyperlink ref="E2754" r:id="rId8305" display="https://twitter.com/WSWMUC/status/723528810587627520" xr:uid="{38A87FEC-55C7-4712-900A-C13CDCD6C22F}"/>
    <hyperlink ref="O2754" r:id="rId8306" display="https://pbs.twimg.com/profile_images/524295003107885059/1ADGv6Ps_normal.png" xr:uid="{53541941-E9F5-4D05-9130-758228F7FFD4}"/>
    <hyperlink ref="B2755" r:id="rId8307" display="https://twitter.com/DullerMarco" xr:uid="{CC59D21A-2720-4701-A6BF-B24E85F5EB6F}"/>
    <hyperlink ref="E2755" r:id="rId8308" display="https://twitter.com/DullerMarco/status/723529059632877568" xr:uid="{F47F2898-8AA8-49AC-B738-E40D01EF107C}"/>
    <hyperlink ref="O2755" r:id="rId8309" display="https://pbs.twimg.com/profile_images/534063334208077824/EmJNThHZ_normal.jpeg" xr:uid="{E934A91E-FB3C-4DF9-92CB-50D36C99B211}"/>
    <hyperlink ref="B2756" r:id="rId8310" display="https://twitter.com/INDIZbot" xr:uid="{3A46DC49-49C6-4678-AF9F-82B1C90ED948}"/>
    <hyperlink ref="E2756" r:id="rId8311" display="https://twitter.com/INDIZbot/status/723529721032638464" xr:uid="{E977ADC8-D746-4010-AFA0-90508EEAF382}"/>
    <hyperlink ref="O2756" r:id="rId8312" display="https://pbs.twimg.com/profile_images/645716711723925506/t5G0qOS6_normal.jpg" xr:uid="{8F4F43CD-F019-46C6-B7AA-E50561D864E5}"/>
    <hyperlink ref="B2757" r:id="rId8313" display="https://twitter.com/INDIZbot" xr:uid="{4D9594D5-ABE1-4974-B2F6-6BFF99D80560}"/>
    <hyperlink ref="E2757" r:id="rId8314" display="https://twitter.com/INDIZbot/status/723529768176631808" xr:uid="{762E92EE-E3C2-4C0A-B7A7-D7707D50D789}"/>
    <hyperlink ref="O2757" r:id="rId8315" display="https://pbs.twimg.com/profile_images/645716711723925506/t5G0qOS6_normal.jpg" xr:uid="{495CFAD0-721B-4EBF-BBAC-D450B856CDEA}"/>
    <hyperlink ref="B2758" r:id="rId8316" display="https://twitter.com/JeannetteSchol3" xr:uid="{5D9E65EA-E281-4003-B2DA-43EBDA1977C4}"/>
    <hyperlink ref="E2758" r:id="rId8317" display="https://twitter.com/JeannetteSchol3/status/723531062190678017" xr:uid="{C57A3643-6CE6-4E8C-BBD2-15AEE30D89EB}"/>
    <hyperlink ref="O2758" r:id="rId8318" display="https://pbs.twimg.com/profile_images/680763185599803392/bxdR1tub_normal.jpg" xr:uid="{97682E7B-BA6E-47A4-A24A-85B391692F3E}"/>
    <hyperlink ref="B2759" r:id="rId8319" display="https://twitter.com/swabr" xr:uid="{3E730EE5-1CA0-4CC0-B6A7-24D3B629ACA3}"/>
    <hyperlink ref="E2759" r:id="rId8320" display="https://twitter.com/swabr/status/723534889245659136" xr:uid="{4A5DC8DB-E51E-413D-BB1C-6C7FD729FACD}"/>
    <hyperlink ref="O2759" r:id="rId8321" display="https://pbs.twimg.com/profile_images/713021686375952384/5usVgC3g_normal.jpg" xr:uid="{6801D779-C008-4040-A809-40E415647901}"/>
    <hyperlink ref="B2760" r:id="rId8322" display="https://twitter.com/catkinEU" xr:uid="{9EE4376F-09A7-48BF-93C7-DD81C7D10850}"/>
    <hyperlink ref="E2760" r:id="rId8323" display="https://twitter.com/catkinEU/status/723535223024160768" xr:uid="{E5101466-8855-4E1E-BF5A-A78C16E21DC3}"/>
    <hyperlink ref="O2760" r:id="rId8324" display="https://pbs.twimg.com/profile_images/604338428227010560/6jzSa8us_normal.png" xr:uid="{7E12C8AE-534C-45FF-977E-38426452713E}"/>
    <hyperlink ref="B2761" r:id="rId8325" display="https://twitter.com/tracymgay" xr:uid="{E1EDDB1B-7CCD-4182-A962-1C62BF9B157B}"/>
    <hyperlink ref="E2761" r:id="rId8326" display="https://twitter.com/tracymgay/status/723536006457122816" xr:uid="{D549A5F6-1D53-4152-BA5A-90AD7BCDC870}"/>
    <hyperlink ref="O2761" r:id="rId8327" display="https://pbs.twimg.com/profile_images/378800000266037039/8db8943681e1fb3279836e0db2e4b723_normal.jpeg" xr:uid="{C5EA2EDB-EFA1-43FC-9D98-5791CB6F5C9F}"/>
    <hyperlink ref="B2762" r:id="rId8328" display="https://twitter.com/DanielKueng" xr:uid="{C981CD3C-A699-46F4-B02B-C44B3C7DB53A}"/>
    <hyperlink ref="E2762" r:id="rId8329" display="https://twitter.com/DanielKueng/status/723536156755943424" xr:uid="{4CC145ED-B412-4585-8228-2BBCCD79A812}"/>
    <hyperlink ref="O2762" r:id="rId8330" display="https://pbs.twimg.com/profile_images/709490937043492865/GYoQPOCZ_normal.jpg" xr:uid="{64FA8CCC-1660-485C-A67B-BBC9D9B5EBA1}"/>
    <hyperlink ref="B2763" r:id="rId8331" display="https://twitter.com/INDIZbot" xr:uid="{309A800C-CA43-4010-A8CF-CB35AC5DB09E}"/>
    <hyperlink ref="E2763" r:id="rId8332" display="https://twitter.com/INDIZbot/status/723537138759782400" xr:uid="{C2164C23-5E55-404D-991F-AA62141B8BF1}"/>
    <hyperlink ref="O2763" r:id="rId8333" display="https://pbs.twimg.com/profile_images/645716711723925506/t5G0qOS6_normal.jpg" xr:uid="{9216E7F9-7F5E-493A-831B-FCE9161681FD}"/>
    <hyperlink ref="B2764" r:id="rId8334" display="https://twitter.com/lukaspfeiffer" xr:uid="{8B87A807-A553-4066-903D-CFF2E4A2819B}"/>
    <hyperlink ref="E2764" r:id="rId8335" display="https://twitter.com/lukaspfeiffer/status/723537209740136448" xr:uid="{45228D18-D69A-4E71-BD2E-D978C2037E0A}"/>
    <hyperlink ref="O2764" r:id="rId8336" display="https://pbs.twimg.com/profile_images/714471664457748481/WWI520Ho_normal.jpg" xr:uid="{CDF1CB0A-0847-4BE7-9734-2D25B2771924}"/>
    <hyperlink ref="B2765" r:id="rId8337" display="https://twitter.com/Vontobel_FP_DE" xr:uid="{4C374350-C5A7-4C86-909C-23B3F8DA6949}"/>
    <hyperlink ref="E2765" r:id="rId8338" display="https://twitter.com/Vontobel_FP_DE/status/723537407874883584" xr:uid="{932A0E0F-827F-4F29-9F37-12C42B3E9689}"/>
    <hyperlink ref="O2765" r:id="rId8339" display="https://pbs.twimg.com/profile_images/558172566636859393/uQWpWj98_normal.jpeg" xr:uid="{2DC6DE26-9B5F-4F26-849C-FA5093602733}"/>
    <hyperlink ref="B2766" r:id="rId8340" display="https://twitter.com/INDIZbot" xr:uid="{62773BF1-6283-467F-8122-F65A3A5D029F}"/>
    <hyperlink ref="E2766" r:id="rId8341" display="https://twitter.com/INDIZbot/status/723537413314863104" xr:uid="{7C02780E-04F2-43FB-AD92-542190032C5F}"/>
    <hyperlink ref="O2766" r:id="rId8342" display="https://pbs.twimg.com/profile_images/645716711723925506/t5G0qOS6_normal.jpg" xr:uid="{3F863595-CAFA-49B4-BC85-2A60EB2F8123}"/>
    <hyperlink ref="B2767" r:id="rId8343" display="https://twitter.com/INDIZbot" xr:uid="{9A79D750-A9FB-4724-8A99-204057782288}"/>
    <hyperlink ref="E2767" r:id="rId8344" display="https://twitter.com/INDIZbot/status/723537470294491136" xr:uid="{EAF4A0BC-A854-426B-AA95-92B907D5900C}"/>
    <hyperlink ref="O2767" r:id="rId8345" display="https://pbs.twimg.com/profile_images/645716711723925506/t5G0qOS6_normal.jpg" xr:uid="{FD0F9ABB-AA05-45DA-A7EF-733E626607CB}"/>
    <hyperlink ref="B2768" r:id="rId8346" display="https://twitter.com/LReehten" xr:uid="{19FEC174-EAB0-40F5-951E-3DE54121442A}"/>
    <hyperlink ref="E2768" r:id="rId8347" display="https://twitter.com/LReehten/status/723539021377507330" xr:uid="{DCC54E58-63F3-4E56-BF39-18C9A2F980F0}"/>
    <hyperlink ref="O2768" r:id="rId8348" display="https://pbs.twimg.com/profile_images/623849156159868928/BetFDR_i_normal.jpg" xr:uid="{63644378-4066-4102-859A-1E784C70753D}"/>
    <hyperlink ref="B2769" r:id="rId8349" display="https://twitter.com/LReehten" xr:uid="{7D8CCD62-75AB-4F74-B39D-345D6C5E16AF}"/>
    <hyperlink ref="E2769" r:id="rId8350" display="https://twitter.com/LReehten/status/723539073260986369" xr:uid="{EBD1DA50-CDBE-4677-8E2F-37DCA0ADBE75}"/>
    <hyperlink ref="O2769" r:id="rId8351" display="https://pbs.twimg.com/profile_images/623849156159868928/BetFDR_i_normal.jpg" xr:uid="{D19CDD7E-1578-4DC6-8514-4B1D56EAF21F}"/>
    <hyperlink ref="B2770" r:id="rId8352" display="https://twitter.com/INDIZbot" xr:uid="{27E4E58C-5684-48F4-B240-8A6F651AEA7C}"/>
    <hyperlink ref="E2770" r:id="rId8353" display="https://twitter.com/INDIZbot/status/723539503189757952" xr:uid="{58E7E77A-0278-4C5A-890C-5CD8436C31AC}"/>
    <hyperlink ref="O2770" r:id="rId8354" display="https://pbs.twimg.com/profile_images/645716711723925506/t5G0qOS6_normal.jpg" xr:uid="{1DED0DCF-3C64-43BD-87AB-0F84FA6FDBCD}"/>
    <hyperlink ref="B2771" r:id="rId8355" display="https://twitter.com/DukDaffe" xr:uid="{2F7B95F6-A3C6-42F8-AE9E-1BFE85AF09EF}"/>
    <hyperlink ref="E2771" r:id="rId8356" display="https://twitter.com/DukDaffe/status/723542090060206080" xr:uid="{2EC7A743-6362-4C3D-8CCE-522E7D28D459}"/>
    <hyperlink ref="O2771" r:id="rId8357" display="https://abs.twimg.com/sticky/default_profile_images/default_profile_5_normal.png" xr:uid="{53CDCFA3-2E20-42B2-A257-A7AF146F5CB1}"/>
    <hyperlink ref="B2772" r:id="rId8358" display="https://twitter.com/hall_idostories" xr:uid="{B022266E-A9C8-4B48-A56E-CD68C2128EC1}"/>
    <hyperlink ref="E2772" r:id="rId8359" display="https://twitter.com/hall_idostories/status/723542642714255360" xr:uid="{CC606E21-B072-4A27-A77E-72C3FD08DCF4}"/>
    <hyperlink ref="O2772" r:id="rId8360" display="https://pbs.twimg.com/profile_images/692785682461302784/MGw-4T6__normal.jpg" xr:uid="{9D46EA15-3BF3-4286-8CC9-EDC8AA5305F6}"/>
    <hyperlink ref="B2773" r:id="rId8361" display="https://twitter.com/H_IT_D" xr:uid="{4700949F-0A26-4A53-8DD3-43E86732B97F}"/>
    <hyperlink ref="E2773" r:id="rId8362" display="https://twitter.com/H_IT_D/status/723543227467329536" xr:uid="{5C3CBF25-7E65-469F-B7E9-364BB130054A}"/>
    <hyperlink ref="O2773" r:id="rId8363" display="https://pbs.twimg.com/profile_images/662723326096224256/5V4KH9_O_normal.jpg" xr:uid="{292C82E9-A7EC-48FB-842E-D55221F4D8F9}"/>
    <hyperlink ref="B2774" r:id="rId8364" display="https://twitter.com/INDIZbot" xr:uid="{EDFEBC55-B304-441B-A0CC-2DEA99EEF8C5}"/>
    <hyperlink ref="E2774" r:id="rId8365" display="https://twitter.com/INDIZbot/status/723544919441285121" xr:uid="{8029F55B-A254-46E2-9B85-00B27CA48240}"/>
    <hyperlink ref="O2774" r:id="rId8366" display="https://pbs.twimg.com/profile_images/645716711723925506/t5G0qOS6_normal.jpg" xr:uid="{5F853252-86B0-4B92-B568-C261E3C0EB24}"/>
    <hyperlink ref="B2775" r:id="rId8367" display="https://twitter.com/cybus_io" xr:uid="{7123AFC0-DAA7-4B6F-8D87-A0E3EC485404}"/>
    <hyperlink ref="E2775" r:id="rId8368" display="https://twitter.com/cybus_io/status/723545529586724865" xr:uid="{2839F0A6-C247-4BBC-923A-180785A35F0F}"/>
    <hyperlink ref="O2775" r:id="rId8369" display="https://pbs.twimg.com/profile_images/673122571731251200/Rcblg7bz_normal.png" xr:uid="{BA28BC12-DC19-443A-8B6E-D1DB5F5C853D}"/>
    <hyperlink ref="B2776" r:id="rId8370" display="https://twitter.com/boerni_w" xr:uid="{E4C59C86-9E0D-49C1-B042-AD61584F988C}"/>
    <hyperlink ref="E2776" r:id="rId8371" display="https://twitter.com/boerni_w/status/723547084494897154" xr:uid="{D1E917C1-BD79-4450-89D4-D312A4B464D7}"/>
    <hyperlink ref="O2776" r:id="rId8372" display="https://pbs.twimg.com/profile_images/378800000832540984/08f85f5a644d0edf1fc387140334494b_normal.jpeg" xr:uid="{715BABEC-A55A-4BF4-B42C-9FBB3B9C3C82}"/>
    <hyperlink ref="B2777" r:id="rId8373" display="https://twitter.com/HuelsmannT" xr:uid="{EBE3F771-A3F4-4EB8-8D20-8BF2201634D3}"/>
    <hyperlink ref="E2777" r:id="rId8374" display="https://twitter.com/HuelsmannT/status/723547480630136834" xr:uid="{CB8EA2C2-69A7-42E0-AFF4-2075089BD491}"/>
    <hyperlink ref="O2777" r:id="rId8375" display="https://pbs.twimg.com/profile_images/609282657671843840/cSGuLspa_normal.jpg" xr:uid="{BA862927-91D4-4D50-B9CA-E385F64AE661}"/>
    <hyperlink ref="B2778" r:id="rId8376" display="https://twitter.com/Dekuijp" xr:uid="{A747F475-DD50-4CE6-AE08-C5FE17320ADC}"/>
    <hyperlink ref="E2778" r:id="rId8377" display="https://twitter.com/Dekuijp/status/723548089240395776" xr:uid="{5AF9B19C-95DE-4E1A-B653-7B8BBE746E89}"/>
    <hyperlink ref="O2778" r:id="rId8378" display="https://pbs.twimg.com/profile_images/3208294592/1ded0cc64d7f6ba75c4edd4278463235_normal.jpeg" xr:uid="{6679CEE9-CB4C-4472-8458-28F478CADA90}"/>
    <hyperlink ref="B2779" r:id="rId8379" display="https://twitter.com/MindCommerce" xr:uid="{1AD3FDF6-2748-49E3-8413-D498AB7C6169}"/>
    <hyperlink ref="E2779" r:id="rId8380" display="https://twitter.com/MindCommerce/status/723551126793105408" xr:uid="{F4CD2A2B-CED9-49E9-B0B6-D2479FD62F74}"/>
    <hyperlink ref="O2779" r:id="rId8381" display="https://pbs.twimg.com/profile_images/548030384030507008/utABqhj9_normal.png" xr:uid="{D6320962-DA0C-4388-9650-18E309683654}"/>
    <hyperlink ref="B2780" r:id="rId8382" display="https://twitter.com/PROJECTCONSULT_" xr:uid="{F9D151BD-5499-422B-A70C-0E501B643C66}"/>
    <hyperlink ref="E2780" r:id="rId8383" display="https://twitter.com/PROJECTCONSULT_/status/723552066497556480" xr:uid="{9C8F5CA4-9428-4025-AB67-596E9FE5EEAE}"/>
    <hyperlink ref="O2780" r:id="rId8384" display="https://pbs.twimg.com/profile_images/1234499388/n367104918594_7014_normal.jpg" xr:uid="{98D367AB-F841-4EB1-8E50-EF70481F19F3}"/>
    <hyperlink ref="B2781" r:id="rId8385" display="https://twitter.com/PROJECTCONSULT_" xr:uid="{CD699D7D-EF70-422F-8E51-41B73F14BF71}"/>
    <hyperlink ref="E2781" r:id="rId8386" display="https://twitter.com/PROJECTCONSULT_/status/723552085887881221" xr:uid="{52674C55-9FD1-42D6-A050-F17167E077CC}"/>
    <hyperlink ref="O2781" r:id="rId8387" display="https://pbs.twimg.com/profile_images/1234499388/n367104918594_7014_normal.jpg" xr:uid="{F4A20F3D-90A1-4DD8-95A8-FC9A67FE9C62}"/>
    <hyperlink ref="B2782" r:id="rId8388" display="https://twitter.com/PROJECTCONSULT_" xr:uid="{85F2ED83-25F3-41B1-8750-2153FDA87F6D}"/>
    <hyperlink ref="E2782" r:id="rId8389" display="https://twitter.com/PROJECTCONSULT_/status/723552123200376832" xr:uid="{AE841AE5-916D-454E-A69A-56DAB7B62399}"/>
    <hyperlink ref="O2782" r:id="rId8390" display="https://pbs.twimg.com/profile_images/1234499388/n367104918594_7014_normal.jpg" xr:uid="{BA253319-7EE9-4E32-9589-4D5E8783414C}"/>
    <hyperlink ref="B2783" r:id="rId8391" display="https://twitter.com/deviceWISEM2M" xr:uid="{E0E545B2-C058-4382-9A4A-865D5882DA97}"/>
    <hyperlink ref="E2783" r:id="rId8392" display="https://twitter.com/deviceWISEM2M/status/723552737410031617" xr:uid="{440893D3-AB63-442B-9114-4B6CC218D295}"/>
    <hyperlink ref="O2783" r:id="rId8393" display="https://pbs.twimg.com/profile_images/638707523160272896/YonVe2-H_normal.jpg" xr:uid="{7F157AAC-D18D-4862-87B5-1041A471AA9A}"/>
    <hyperlink ref="B2784" r:id="rId8394" display="https://twitter.com/INDIZbot" xr:uid="{5440075A-6FC2-403F-AD73-8ABF2B024CB5}"/>
    <hyperlink ref="E2784" r:id="rId8395" display="https://twitter.com/INDIZbot/status/723554746615889920" xr:uid="{37B3CD90-69D5-4701-92F6-BB34ACFBE6F3}"/>
    <hyperlink ref="O2784" r:id="rId8396" display="https://pbs.twimg.com/profile_images/645716711723925506/t5G0qOS6_normal.jpg" xr:uid="{464C666F-799B-4CC7-88C3-B7AAFFBC1A6B}"/>
    <hyperlink ref="B2785" r:id="rId8397" display="https://twitter.com/INDIZbot" xr:uid="{37D5EF38-72A9-402B-BE9A-B8BD0786D8B9}"/>
    <hyperlink ref="E2785" r:id="rId8398" display="https://twitter.com/INDIZbot/status/723554881097863168" xr:uid="{5874103E-4282-401C-A24C-AE968F26744F}"/>
    <hyperlink ref="O2785" r:id="rId8399" display="https://pbs.twimg.com/profile_images/645716711723925506/t5G0qOS6_normal.jpg" xr:uid="{AF91B9D8-A968-477A-B853-8BA60A54FAA7}"/>
    <hyperlink ref="B2786" r:id="rId8400" display="https://twitter.com/TelematikMarkt" xr:uid="{9EB8B723-15A9-4BD8-A2DA-ADBEBAE47AD9}"/>
    <hyperlink ref="C2786" r:id="rId8401" xr:uid="{09059E2D-E291-461F-85A8-4F88BBBBEDA3}"/>
    <hyperlink ref="E2786" r:id="rId8402" display="https://twitter.com/TelematikMarkt/status/723557372183060480" xr:uid="{D1B30987-5A8C-4E32-91EA-9F85A84CCE90}"/>
    <hyperlink ref="O2786" r:id="rId8403" display="https://pbs.twimg.com/profile_images/658936531441336320/RJMP5tIr_normal.png" xr:uid="{24206623-0E6E-4AC0-BD06-906BB9581C78}"/>
    <hyperlink ref="B2787" r:id="rId8404" display="https://twitter.com/SarahHashish" xr:uid="{C72CB2DD-D1F0-4CA3-9084-CCA9EC124770}"/>
    <hyperlink ref="E2787" r:id="rId8405" display="https://twitter.com/SarahHashish/status/723559804556455936" xr:uid="{372D1847-CD02-4740-99EA-79F5D49F597E}"/>
    <hyperlink ref="O2787" r:id="rId8406" display="https://pbs.twimg.com/profile_images/711580890145619968/bhoJlnA7_normal.jpg" xr:uid="{817A22AD-009C-4661-A471-80545BD358EE}"/>
    <hyperlink ref="B2788" r:id="rId8407" display="https://twitter.com/msftmfg" xr:uid="{AAE9AE06-2736-4A31-95FA-B79A9E6A81AA}"/>
    <hyperlink ref="E2788" r:id="rId8408" display="https://twitter.com/msftmfg/status/723561796771164160" xr:uid="{0EB9B3EB-C0B8-42AE-BB08-BF742F97DBCF}"/>
    <hyperlink ref="O2788" r:id="rId8409" display="https://pbs.twimg.com/profile_images/543161217645178880/JQuBT7KS_normal.png" xr:uid="{596A8976-74B6-461A-91DA-2CFA995E3A10}"/>
    <hyperlink ref="B2789" r:id="rId8410" display="https://twitter.com/MarinerLLC" xr:uid="{F3AEE572-857C-415C-999F-4472A46A0861}"/>
    <hyperlink ref="E2789" r:id="rId8411" display="https://twitter.com/MarinerLLC/status/723562022999330818" xr:uid="{9BC7FDAB-5F06-4A1B-8A60-196408F8B0B1}"/>
    <hyperlink ref="O2789" r:id="rId8412" display="https://pbs.twimg.com/profile_images/3502729434/95675e6f45ad2e1bbc6c5736995ec15c_normal.png" xr:uid="{496B8C1D-5270-4E0B-AA19-78B2C2741ECE}"/>
    <hyperlink ref="B2790" r:id="rId8413" display="https://twitter.com/Philip_W_Morris" xr:uid="{C4BABEFE-133B-4547-BD9B-671D35917377}"/>
    <hyperlink ref="E2790" r:id="rId8414" display="https://twitter.com/Philip_W_Morris/status/723562402265063424" xr:uid="{549A83C0-BA5B-4F0A-B44E-814A65618B58}"/>
    <hyperlink ref="O2790" r:id="rId8415" display="https://pbs.twimg.com/profile_images/688093545148723201/hCPglEEy_normal.jpg" xr:uid="{14BB987D-06F1-4B19-9923-081636FC7254}"/>
    <hyperlink ref="B2791" r:id="rId8416" display="https://twitter.com/colbytylerford" xr:uid="{BDE22B7D-35D9-4D18-A268-BADDE941A4AF}"/>
    <hyperlink ref="E2791" r:id="rId8417" display="https://twitter.com/colbytylerford/status/723562473098469377" xr:uid="{16568921-B0B0-4EFD-A82C-97B24168180F}"/>
    <hyperlink ref="O2791" r:id="rId8418" display="https://pbs.twimg.com/profile_images/588196149665865728/jmm9bQ6G_normal.jpg" xr:uid="{A6D383CE-C806-47A4-B3AD-1AC55B29B6D5}"/>
    <hyperlink ref="B2792" r:id="rId8419" display="https://twitter.com/INDIZbot" xr:uid="{7186DA69-0B9C-4509-A7F0-462F9F6E82E2}"/>
    <hyperlink ref="E2792" r:id="rId8420" display="https://twitter.com/INDIZbot/status/723562681706360832" xr:uid="{E649F589-A59D-45C8-85BC-96A2D5111857}"/>
    <hyperlink ref="O2792" r:id="rId8421" display="https://pbs.twimg.com/profile_images/645716711723925506/t5G0qOS6_normal.jpg" xr:uid="{38CD77C3-B5EE-4984-9CF9-C52E598B7546}"/>
    <hyperlink ref="B2793" r:id="rId8422" display="https://twitter.com/DohmeyerK" xr:uid="{65815B83-0F82-436B-87E8-447CBFA4D9CF}"/>
    <hyperlink ref="E2793" r:id="rId8423" display="https://twitter.com/DohmeyerK/status/723562886233239552" xr:uid="{B8BD8EDC-D956-43C1-8816-31F31DCF1153}"/>
    <hyperlink ref="O2793" r:id="rId8424" display="https://pbs.twimg.com/profile_images/677499340886265856/Tv7B4r_x_normal.jpg" xr:uid="{7375E9DB-DB38-4DF9-A7CF-46AEF69FD349}"/>
    <hyperlink ref="B2794" r:id="rId8425" display="https://twitter.com/DohmeyerK" xr:uid="{11BCE017-4A2F-4466-9A78-3D0EFBA2AC35}"/>
    <hyperlink ref="E2794" r:id="rId8426" display="https://twitter.com/DohmeyerK/status/723563102084698113" xr:uid="{04B27F5C-856F-439E-B059-E6FA611FDBEE}"/>
    <hyperlink ref="O2794" r:id="rId8427" display="https://pbs.twimg.com/profile_images/677499340886265856/Tv7B4r_x_normal.jpg" xr:uid="{2CB6C65E-9764-4CB2-A05B-827E6868813A}"/>
    <hyperlink ref="B2795" r:id="rId8428" display="https://twitter.com/RealJoeGuy" xr:uid="{3BF60FA4-F589-49E7-ADE2-44EB8E4D5FF4}"/>
    <hyperlink ref="E2795" r:id="rId8429" display="https://twitter.com/RealJoeGuy/status/723563410449899520" xr:uid="{39639E50-82FF-492C-A8EC-0FC768C4377E}"/>
    <hyperlink ref="O2795" r:id="rId8430" display="https://pbs.twimg.com/profile_images/1684373225/Joe_Guy_normal.jpg" xr:uid="{66864F00-CBF9-41DD-8A38-6C63C7D1E4C2}"/>
    <hyperlink ref="B2796" r:id="rId8431" display="https://twitter.com/ROKAutomationUK" xr:uid="{0CF2B215-E1DC-4E8D-9CC4-E6B040FAAB9D}"/>
    <hyperlink ref="E2796" r:id="rId8432" display="https://twitter.com/ROKAutomationUK/status/723564564558675968" xr:uid="{D7703D73-E963-494B-BA9E-C28662F23D51}"/>
    <hyperlink ref="O2796" r:id="rId8433" display="https://pbs.twimg.com/profile_images/502402188295946240/rN3wbNyn_normal.jpeg" xr:uid="{F0675ADC-84F0-4E9C-B93B-BFE02BD8926B}"/>
    <hyperlink ref="B2797" r:id="rId8434" display="https://twitter.com/sallyafrank" xr:uid="{A5289108-3F8F-453A-BAF3-B2F66F7A6412}"/>
    <hyperlink ref="E2797" r:id="rId8435" display="https://twitter.com/sallyafrank/status/723565026641063936" xr:uid="{7F0F6616-D2C2-4F43-9940-FBC556A265A0}"/>
    <hyperlink ref="O2797" r:id="rId8436" display="https://pbs.twimg.com/profile_images/602304216468738049/_0sb-3oB_normal.jpg" xr:uid="{BCF74684-9C3F-4E81-ACED-8BF841AAA82B}"/>
    <hyperlink ref="B2798" r:id="rId8437" display="https://twitter.com/h_scoshield" xr:uid="{8482F4E7-4CEF-442D-B652-148C841F0122}"/>
    <hyperlink ref="E2798" r:id="rId8438" display="https://twitter.com/h_scoshield/status/723565329327226880" xr:uid="{A74AED24-3C82-4BA0-8E04-87E5C26FCEC4}"/>
    <hyperlink ref="O2798" r:id="rId8439" display="https://pbs.twimg.com/profile_images/723056722634371072/L0JFDAVN_normal.jpg" xr:uid="{D8573437-B654-4286-9387-8FB6471818AD}"/>
    <hyperlink ref="B2799" r:id="rId8440" display="https://twitter.com/The_CIE" xr:uid="{D32FE8DE-4C75-4B10-887B-E35BB862CFA7}"/>
    <hyperlink ref="E2799" r:id="rId8441" display="https://twitter.com/The_CIE/status/723569836144648193" xr:uid="{A8DC06CE-4B8A-4797-9C9D-7D2C07A8FA44}"/>
    <hyperlink ref="O2799" r:id="rId8442" display="https://pbs.twimg.com/profile_images/694550286229069824/R7e0co4w_normal.jpg" xr:uid="{7900985A-60C8-4226-8CE9-3C4691D36F93}"/>
    <hyperlink ref="B2800" r:id="rId8443" display="https://twitter.com/heikevangeel" xr:uid="{2A5B6A6A-41E8-42F2-9599-57E960E42ACB}"/>
    <hyperlink ref="E2800" r:id="rId8444" display="https://twitter.com/heikevangeel/status/723577540959457280" xr:uid="{347F2884-DD2A-464E-BCF1-E280DEFD46C7}"/>
    <hyperlink ref="O2800" r:id="rId8445" display="https://pbs.twimg.com/profile_images/491236810560114688/qHaoNgg2_normal.jpeg" xr:uid="{7EC80536-1FDA-4F85-B6E4-42B8FA2A4936}"/>
    <hyperlink ref="B2801" r:id="rId8446" display="https://twitter.com/tomweisz" xr:uid="{F215515C-2393-4625-A309-C504C4088436}"/>
    <hyperlink ref="E2801" r:id="rId8447" display="https://twitter.com/tomweisz/status/723584217934864384" xr:uid="{C1897C0A-02E3-4F26-B46E-CBE803AECEFE}"/>
    <hyperlink ref="O2801" r:id="rId8448" display="https://pbs.twimg.com/profile_images/720669524786327552/lJEA-nOB_normal.jpg" xr:uid="{2B8BE397-B05A-4719-A6B1-6F7D25DA6A9B}"/>
    <hyperlink ref="B2802" r:id="rId8449" display="https://twitter.com/INDIZbot" xr:uid="{CF04AF6F-F394-478A-BF14-DB7239D576F2}"/>
    <hyperlink ref="E2802" r:id="rId8450" display="https://twitter.com/INDIZbot/status/723584948062543873" xr:uid="{1BBBDE76-8B49-4EF4-B637-8D420357D727}"/>
    <hyperlink ref="O2802" r:id="rId8451" display="https://pbs.twimg.com/profile_images/645716711723925506/t5G0qOS6_normal.jpg" xr:uid="{A5AC18D3-B94F-4092-B289-9466883A477A}"/>
    <hyperlink ref="B2803" r:id="rId8452" display="https://twitter.com/jforge" xr:uid="{D1CA7EBB-0278-4CED-946A-02C56141FF16}"/>
    <hyperlink ref="E2803" r:id="rId8453" display="https://twitter.com/jforge/status/723586091220082688" xr:uid="{5982F8FD-3600-4295-82B2-5CF0CC4ED5A2}"/>
    <hyperlink ref="O2803" r:id="rId8454" display="https://pbs.twimg.com/profile_images/418806399347331072/4JQnPeBG_normal.jpeg" xr:uid="{798900FD-F18B-4C28-9C64-E25E7BA8C3BB}"/>
    <hyperlink ref="B2804" r:id="rId8455" display="https://twitter.com/BeierMichael71" xr:uid="{F2BD45CC-EF63-4348-B55D-EA21FFE2E906}"/>
    <hyperlink ref="E2804" r:id="rId8456" display="https://twitter.com/BeierMichael71/status/723586201651937283" xr:uid="{91F36314-F1B3-4547-852E-BB96EAC0C488}"/>
    <hyperlink ref="O2804" r:id="rId8457" display="https://pbs.twimg.com/profile_images/704029343115300866/yUARofpi_normal.jpg" xr:uid="{C97F1374-3B0A-4DFF-B5CE-B9BA4FC6F97C}"/>
    <hyperlink ref="B2805" r:id="rId8458" display="https://twitter.com/PSchleinitz" xr:uid="{248914A9-5A1B-49A0-B54D-30ACD975CEB3}"/>
    <hyperlink ref="E2805" r:id="rId8459" display="https://twitter.com/PSchleinitz/status/723586863890608128" xr:uid="{76717A84-ACC1-46A2-8D5C-277A5C8E2CFF}"/>
    <hyperlink ref="O2805" r:id="rId8460" display="https://pbs.twimg.com/profile_images/1483136337/PB_Twitter_normal.JPG" xr:uid="{03763E9D-5AD9-4858-8876-40749F64646A}"/>
    <hyperlink ref="B2806" r:id="rId8461" display="https://twitter.com/H_IT_D" xr:uid="{91612BCE-8690-47A7-BCED-95D9AC3DF5D4}"/>
    <hyperlink ref="E2806" r:id="rId8462" display="https://twitter.com/H_IT_D/status/723591466749071361" xr:uid="{2F699F9C-8BA0-4F0C-ADB3-04DC058E8FF7}"/>
    <hyperlink ref="O2806" r:id="rId8463" display="https://pbs.twimg.com/profile_images/662723326096224256/5V4KH9_O_normal.jpg" xr:uid="{E8FF245F-AF2D-4EEE-97A0-7FA58D99C801}"/>
    <hyperlink ref="B2807" r:id="rId8464" display="https://twitter.com/INDIZbot" xr:uid="{C2E102F2-6480-4FF9-8784-317969BF5059}"/>
    <hyperlink ref="E2807" r:id="rId8465" display="https://twitter.com/INDIZbot/status/723592498728296448" xr:uid="{62B86413-7904-48FD-8B21-23E5C24A4BC6}"/>
    <hyperlink ref="O2807" r:id="rId8466" display="https://pbs.twimg.com/profile_images/645716711723925506/t5G0qOS6_normal.jpg" xr:uid="{78E45920-1A3B-4767-AF62-E57CAC2CC115}"/>
    <hyperlink ref="B2808" r:id="rId8467" display="https://twitter.com/kommoptimierer" xr:uid="{4993BF35-022C-42FA-9492-4A0D79BBABA3}"/>
    <hyperlink ref="E2808" r:id="rId8468" display="https://twitter.com/kommoptimierer/status/723594730047705093" xr:uid="{941A3DDB-3DE0-4574-A454-D0016AC9BD25}"/>
    <hyperlink ref="O2808" r:id="rId8469" display="https://pbs.twimg.com/profile_images/541146126158536704/IYardufS_normal.jpeg" xr:uid="{FD4703A6-C7AA-4BC1-AE38-4BDC8854F436}"/>
    <hyperlink ref="B2809" r:id="rId8470" display="https://twitter.com/CarstenDierig" xr:uid="{4BE79C0E-15BB-4033-9C52-1BAB39473ADB}"/>
    <hyperlink ref="E2809" r:id="rId8471" display="https://twitter.com/CarstenDierig/status/723594914827788289" xr:uid="{D30FE0BA-7074-496D-9FE7-F19E19AFCB3F}"/>
    <hyperlink ref="O2809" r:id="rId8472" display="https://pbs.twimg.com/profile_images/486066079261655040/uyhY_MQH_normal.jpeg" xr:uid="{FA751B94-5263-496E-A327-9719FA2F6BCC}"/>
    <hyperlink ref="B2810" r:id="rId8473" display="https://twitter.com/INDIZbot" xr:uid="{A321BA2B-6530-48D5-A547-43AFCDC30E48}"/>
    <hyperlink ref="E2810" r:id="rId8474" display="https://twitter.com/INDIZbot/status/723597536716566528" xr:uid="{3E7D7CE6-61ED-48D5-AB8E-A1F40A112B9D}"/>
    <hyperlink ref="O2810" r:id="rId8475" display="https://pbs.twimg.com/profile_images/645716711723925506/t5G0qOS6_normal.jpg" xr:uid="{F02F123E-23BB-4067-AE9A-EB99113BE6F2}"/>
    <hyperlink ref="B2811" r:id="rId8476" display="https://twitter.com/INDIZbot" xr:uid="{A5645797-DBA0-4E9F-8235-3774E56A7C2D}"/>
    <hyperlink ref="E2811" r:id="rId8477" display="https://twitter.com/INDIZbot/status/723597663699087360" xr:uid="{ACF59B68-8A19-42B1-8B0E-18A3C5A850F2}"/>
    <hyperlink ref="O2811" r:id="rId8478" display="https://pbs.twimg.com/profile_images/645716711723925506/t5G0qOS6_normal.jpg" xr:uid="{F7D8284B-F711-4940-A1C6-0C5514336914}"/>
    <hyperlink ref="B2812" r:id="rId8479" display="https://twitter.com/pmpoulin" xr:uid="{433C24E1-7587-4AE5-BB48-FB86263AFEF2}"/>
    <hyperlink ref="E2812" r:id="rId8480" display="https://twitter.com/pmpoulin/status/723599137439014912" xr:uid="{415DE45E-F02C-4860-B594-3B76B1D3CD70}"/>
    <hyperlink ref="O2812" r:id="rId8481" display="https://pbs.twimg.com/profile_images/1134540350/Twitter_Pic_normal.jpg" xr:uid="{3EE4E8BA-4C10-46C5-966B-A3964ADA8639}"/>
    <hyperlink ref="B2813" r:id="rId8482" display="https://twitter.com/JulijanaRistov" xr:uid="{88FE85EB-DFEC-45FF-B6BC-0AA3756429BC}"/>
    <hyperlink ref="E2813" r:id="rId8483" display="https://twitter.com/JulijanaRistov/status/723599246226784256" xr:uid="{47F31146-9E17-438F-9331-A812B0B3013C}"/>
    <hyperlink ref="O2813" r:id="rId8484" display="https://pbs.twimg.com/profile_images/713084713532043264/bM3kNE1k_normal.jpg" xr:uid="{861FAD5F-32BB-4ECB-9981-3ABDDEDE028C}"/>
    <hyperlink ref="B2814" r:id="rId8485" display="https://twitter.com/GregRodehueser" xr:uid="{0A3646D4-8049-4BCA-8EF6-A914E98A3BDF}"/>
    <hyperlink ref="E2814" r:id="rId8486" display="https://twitter.com/GregRodehueser/status/723599822498988038" xr:uid="{FAC2D2A8-A9D2-4986-ADCD-051A17F34A6F}"/>
    <hyperlink ref="O2814" r:id="rId8487" display="https://pbs.twimg.com/profile_images/669193589495345152/nJYiWy7H_normal.jpg" xr:uid="{F2266280-22B3-47CC-B035-AF7D1B9F7B1C}"/>
    <hyperlink ref="B2815" r:id="rId8488" display="https://twitter.com/INDIZbot" xr:uid="{64C4B349-3FF8-4824-AA0C-503D1289B75B}"/>
    <hyperlink ref="E2815" r:id="rId8489" display="https://twitter.com/INDIZbot/status/723600048693612545" xr:uid="{E102DB41-850F-4249-A324-83EB8E1D497C}"/>
    <hyperlink ref="O2815" r:id="rId8490" display="https://pbs.twimg.com/profile_images/645716711723925506/t5G0qOS6_normal.jpg" xr:uid="{6CBB3BAB-B0DD-404F-8536-4922F4E3B867}"/>
    <hyperlink ref="B2816" r:id="rId8491" display="https://twitter.com/frankcausa" xr:uid="{1AB65257-4421-4553-BEB6-CC8EE8795BEA}"/>
    <hyperlink ref="E2816" r:id="rId8492" display="https://twitter.com/frankcausa/status/723600826330169345" xr:uid="{7D7D3344-81DA-495C-B12E-72E45BE5B895}"/>
    <hyperlink ref="O2816" r:id="rId8493" display="https://pbs.twimg.com/profile_images/698375438155059201/CHH9GkNn_normal.jpg" xr:uid="{D3794FB8-CC9C-41F3-8193-D8894DB602E6}"/>
    <hyperlink ref="B2817" r:id="rId8494" display="https://twitter.com/BerndHops" xr:uid="{096825F0-3C43-49F8-835C-C03DB79A714A}"/>
    <hyperlink ref="E2817" r:id="rId8495" display="https://twitter.com/BerndHops/status/723602257170825216" xr:uid="{5BB48D64-E7ED-45BC-A82A-1636C90E5F91}"/>
    <hyperlink ref="O2817" r:id="rId8496" display="https://pbs.twimg.com/profile_images/706510515703521284/ajsG565v_normal.jpg" xr:uid="{3C9C568A-A6A0-47D0-AC19-59C99572792A}"/>
    <hyperlink ref="B2818" r:id="rId8497" display="https://twitter.com/meier_thorsten" xr:uid="{52B133D5-216F-46DB-B7D2-2E5035A6BD48}"/>
    <hyperlink ref="E2818" r:id="rId8498" display="https://twitter.com/meier_thorsten/status/723602302238601217" xr:uid="{3B1A52AF-9607-42C4-8F92-0CDA6419EBEB}"/>
    <hyperlink ref="O2818" r:id="rId8499" display="https://abs.twimg.com/sticky/default_profile_images/default_profile_4_normal.png" xr:uid="{053CC643-648D-4EB9-AF60-60F0D624BC83}"/>
    <hyperlink ref="B2819" r:id="rId8500" display="https://twitter.com/ZVEIorg" xr:uid="{4703EFAB-292A-4F64-881A-9A08A220688D}"/>
    <hyperlink ref="E2819" r:id="rId8501" display="https://twitter.com/ZVEIorg/status/723603096094552065" xr:uid="{6716B119-7070-4ACD-9157-A1172596DCA4}"/>
    <hyperlink ref="O2819" r:id="rId8502" display="https://pbs.twimg.com/profile_images/479147477975588864/z94n3mRF_normal.jpeg" xr:uid="{8678C532-CC58-4322-83E9-285D3E5500A4}"/>
    <hyperlink ref="B2820" r:id="rId8503" display="https://twitter.com/kommoptimierer" xr:uid="{22737D7F-70B7-4B40-9EC6-B0AB1437AF77}"/>
    <hyperlink ref="E2820" r:id="rId8504" display="https://twitter.com/kommoptimierer/status/723603536618110977" xr:uid="{1ADB70E5-522E-406C-9C92-685F92EEB24C}"/>
    <hyperlink ref="O2820" r:id="rId8505" display="https://pbs.twimg.com/profile_images/541146126158536704/IYardufS_normal.jpeg" xr:uid="{50508208-B2AD-480A-9FE1-0DBC539D5F47}"/>
    <hyperlink ref="B2821" r:id="rId8506" display="https://twitter.com/Wibbow" xr:uid="{2CAE74B9-41FA-4A14-A056-7BCAD44D4BEE}"/>
    <hyperlink ref="E2821" r:id="rId8507" display="https://twitter.com/Wibbow/status/723604993442516992" xr:uid="{18A559EE-A77E-4ECC-89D1-3F5E73E1E1AA}"/>
    <hyperlink ref="O2821" r:id="rId8508" display="https://pbs.twimg.com/profile_images/609319101757026304/Q0JXTQqh_normal.jpg" xr:uid="{8C8FCEFA-188D-4520-BE08-B83AD29311DC}"/>
    <hyperlink ref="B2822" r:id="rId8509" display="https://twitter.com/thomasbuerger2" xr:uid="{FDFFD576-19DD-4F50-9D8D-9797EF34BE16}"/>
    <hyperlink ref="E2822" r:id="rId8510" display="https://twitter.com/thomasbuerger2/status/723608151770181632" xr:uid="{273F4F39-307D-4F56-A65B-6BAB96EC7F17}"/>
    <hyperlink ref="O2822" r:id="rId8511" display="https://abs.twimg.com/sticky/default_profile_images/default_profile_3_normal.png" xr:uid="{517580D3-D8B7-4902-89BD-EA9F368F444F}"/>
    <hyperlink ref="B2823" r:id="rId8512" display="https://twitter.com/BMAS_Bund" xr:uid="{F1ED4136-8F81-4F1B-B761-D5F3941D8948}"/>
    <hyperlink ref="E2823" r:id="rId8513" display="https://twitter.com/BMAS_Bund/status/723612582716813312" xr:uid="{47BCCB2E-D8F1-4BAF-884B-50E4BF3C4B2B}"/>
    <hyperlink ref="O2823" r:id="rId8514" display="https://pbs.twimg.com/profile_images/458890407313559552/jLyIiacO_normal.png" xr:uid="{26EE01B7-DCA8-4E97-B221-E75A4C6E4735}"/>
    <hyperlink ref="B2824" r:id="rId8515" display="https://twitter.com/OOgbukagu" xr:uid="{79BAD9D1-1568-4197-8BFD-A3E48267E6C4}"/>
    <hyperlink ref="E2824" r:id="rId8516" display="https://twitter.com/OOgbukagu/status/723612694897672197" xr:uid="{5719DA3D-2B03-4A11-BE44-A140B7A7D1B5}"/>
    <hyperlink ref="O2824" r:id="rId8517" display="https://pbs.twimg.com/profile_images/466860381533515776/jiQ9EbK1_normal.jpeg" xr:uid="{58E00A02-4B0A-44EF-AA94-64337AB74461}"/>
    <hyperlink ref="B2825" r:id="rId8518" display="https://twitter.com/INDIZbot" xr:uid="{B3D78AF4-D0E4-4298-B8CF-F1B80B81BA04}"/>
    <hyperlink ref="E2825" r:id="rId8519" display="https://twitter.com/INDIZbot/status/723615232569020417" xr:uid="{95BC0E3D-3D7B-476A-BC5C-E446CA71FB4F}"/>
    <hyperlink ref="O2825" r:id="rId8520" display="https://pbs.twimg.com/profile_images/645716711723925506/t5G0qOS6_normal.jpg" xr:uid="{0B63E66E-3B35-43D0-A101-C69BE8C2BDC0}"/>
    <hyperlink ref="B2826" r:id="rId8521" display="https://twitter.com/afigueiredo" xr:uid="{8F3B202D-5FDC-4633-AD12-9508A36021BD}"/>
    <hyperlink ref="E2826" r:id="rId8522" display="https://twitter.com/afigueiredo/status/723618508068786176" xr:uid="{DDD2DFB8-C02F-4BA5-AEB8-5AB151079397}"/>
    <hyperlink ref="O2826" r:id="rId8523" display="https://pbs.twimg.com/profile_images/675119646903828486/vqpIlO9b_normal.jpg" xr:uid="{5F43D40E-1EE6-450E-B415-FD36B15FCE3F}"/>
    <hyperlink ref="B2827" r:id="rId8524" display="https://twitter.com/Googleulv" xr:uid="{C655DF31-6370-4902-ABDD-718AE32A18E6}"/>
    <hyperlink ref="E2827" r:id="rId8525" display="https://twitter.com/Googleulv/status/723620953792614400" xr:uid="{E4F2F03E-2E50-4FCF-89AC-585EB545C5FC}"/>
    <hyperlink ref="O2827" r:id="rId8526" display="https://pbs.twimg.com/profile_images/631872006645022720/C3D_WfIt_normal.jpg" xr:uid="{6E845B99-6752-4286-9C5F-15E1BCF057A6}"/>
    <hyperlink ref="B2828" r:id="rId8527" display="https://twitter.com/Robert__Jansen" xr:uid="{A8362FF6-7A06-4BA9-89B0-672EA05DABD3}"/>
    <hyperlink ref="E2828" r:id="rId8528" display="https://twitter.com/Robert__Jansen/status/723623284525420544" xr:uid="{B67C1F6A-25EB-405F-9714-71D301DEE258}"/>
    <hyperlink ref="O2828" r:id="rId8529" display="https://pbs.twimg.com/profile_images/1683834342/foto_Robert_normal.JPG" xr:uid="{D316D573-54CC-4155-9F8E-7CAFC0E1C0A1}"/>
    <hyperlink ref="B2829" r:id="rId8530" display="https://twitter.com/JeffersonjobsUK" xr:uid="{D75DB8B3-731F-4A88-B57D-A32E4B48AF17}"/>
    <hyperlink ref="E2829" r:id="rId8531" display="https://twitter.com/JeffersonjobsUK/status/723637346290245632" xr:uid="{9969294B-1056-40BC-8E98-359DB3513A40}"/>
    <hyperlink ref="O2829" r:id="rId8532" display="https://pbs.twimg.com/profile_images/697128334166224896/7ttIPcTC_normal.jpg" xr:uid="{2065D225-844E-4C0F-B665-481BD8E6F9C5}"/>
    <hyperlink ref="B2830" r:id="rId8533" display="https://twitter.com/oliverdhm" xr:uid="{063F8A0C-1459-4F25-97AD-32F8653A873B}"/>
    <hyperlink ref="E2830" r:id="rId8534" display="https://twitter.com/oliverdhm/status/723645622256078853" xr:uid="{3AD9E753-623F-4983-A702-59680F7EB6C0}"/>
    <hyperlink ref="O2830" r:id="rId8535" display="https://pbs.twimg.com/profile_images/685944795546664961/PUMi74do_normal.jpg" xr:uid="{565929D2-FDA6-4AC6-A96A-567D1D3E7418}"/>
    <hyperlink ref="B2831" r:id="rId8536" display="https://twitter.com/INDIZbot" xr:uid="{7AF9303F-942C-411E-8CA1-7E67C7757246}"/>
    <hyperlink ref="E2831" r:id="rId8537" display="https://twitter.com/INDIZbot/status/723647867752189958" xr:uid="{D2A47979-7BAE-49DC-B886-2A8E22A80344}"/>
    <hyperlink ref="O2831" r:id="rId8538" display="https://pbs.twimg.com/profile_images/645716711723925506/t5G0qOS6_normal.jpg" xr:uid="{614B0376-924C-4369-8D12-9D6B2F6FB8BA}"/>
    <hyperlink ref="B2832" r:id="rId8539" display="https://twitter.com/H_IT_D" xr:uid="{F42CE888-0572-4291-8A72-AAA56C5AB3B7}"/>
    <hyperlink ref="E2832" r:id="rId8540" display="https://twitter.com/H_IT_D/status/723655691374727168" xr:uid="{8FA7B2CC-F20A-4E5E-83FC-E9CA50407B06}"/>
    <hyperlink ref="O2832" r:id="rId8541" display="https://pbs.twimg.com/profile_images/662723326096224256/5V4KH9_O_normal.jpg" xr:uid="{6EDA5D19-50E2-496F-B531-248B14E8982B}"/>
    <hyperlink ref="B2833" r:id="rId8542" display="https://twitter.com/INDIZbot" xr:uid="{777DA5A2-5B82-4D45-8D04-76BE51849EE4}"/>
    <hyperlink ref="E2833" r:id="rId8543" display="https://twitter.com/INDIZbot/status/723657931959468032" xr:uid="{2F3AD2FE-C337-46F4-A644-67E004CFF9A1}"/>
    <hyperlink ref="O2833" r:id="rId8544" display="https://pbs.twimg.com/profile_images/645716711723925506/t5G0qOS6_normal.jpg" xr:uid="{DBEA8477-CE18-48C6-8243-36353FD113DE}"/>
    <hyperlink ref="B2834" r:id="rId8545" display="https://twitter.com/QuickFindsIn" xr:uid="{9B549F9F-51C8-4ECC-B737-FBC25DED60A6}"/>
    <hyperlink ref="E2834" r:id="rId8546" display="https://twitter.com/QuickFindsIn/status/723665697134374912" xr:uid="{95EA7781-4F7F-4D19-B144-AE4D6C00AC3B}"/>
    <hyperlink ref="O2834" r:id="rId8547" display="https://pbs.twimg.com/profile_images/591951396217327616/HbcCX2zX_normal.png" xr:uid="{F6FE34EF-6F18-47B9-8898-8D4EB411EEC1}"/>
    <hyperlink ref="B2835" r:id="rId8548" display="https://twitter.com/TLinn_Visionico" xr:uid="{DAA82AC0-049F-43AD-BDE1-53CABA6EBFF1}"/>
    <hyperlink ref="E2835" r:id="rId8549" display="https://twitter.com/TLinn_Visionico/status/723715605107486721" xr:uid="{25B11262-F8B9-42AB-90E4-4F08895CA108}"/>
    <hyperlink ref="O2835" r:id="rId8550" display="https://pbs.twimg.com/profile_images/692017435269054464/uFlgRwyV_normal.jpg" xr:uid="{21104AC0-5EBE-47A2-8A7D-B98E509F6E20}"/>
    <hyperlink ref="B2836" r:id="rId8551" display="https://twitter.com/INDIZbot" xr:uid="{80916711-0FA6-4889-9B06-A9ED8A8C6BB5}"/>
    <hyperlink ref="E2836" r:id="rId8552" display="https://twitter.com/INDIZbot/status/723715807247740928" xr:uid="{98C75D14-46DD-488B-AB0C-E837BC4055BB}"/>
    <hyperlink ref="O2836" r:id="rId8553" display="https://pbs.twimg.com/profile_images/645716711723925506/t5G0qOS6_normal.jpg" xr:uid="{3A2C15B1-FC13-4E3A-8A2C-10DEA674A49E}"/>
    <hyperlink ref="B2837" r:id="rId8554" display="https://twitter.com/TLinn_Visionico" xr:uid="{C2B8F36B-B3B3-48BB-9F23-F99E76739107}"/>
    <hyperlink ref="E2837" r:id="rId8555" display="https://twitter.com/TLinn_Visionico/status/723728166842408961" xr:uid="{3DD1AF4E-66C5-4BF1-916F-68E8903481AD}"/>
    <hyperlink ref="O2837" r:id="rId8556" display="https://pbs.twimg.com/profile_images/692017435269054464/uFlgRwyV_normal.jpg" xr:uid="{051520D7-C5AB-448C-A22F-39143A73B309}"/>
    <hyperlink ref="B2838" r:id="rId8557" display="https://twitter.com/INDIZbot" xr:uid="{966F440B-8752-40A9-9E5A-0B3176DDB474}"/>
    <hyperlink ref="E2838" r:id="rId8558" display="https://twitter.com/INDIZbot/status/723728390348484608" xr:uid="{7470A71D-FDB3-408D-A502-00465278AC24}"/>
    <hyperlink ref="O2838" r:id="rId8559" display="https://pbs.twimg.com/profile_images/645716711723925506/t5G0qOS6_normal.jpg" xr:uid="{D465190A-4413-4931-ADF4-A3F6170C3652}"/>
    <hyperlink ref="B2839" r:id="rId8560" display="https://twitter.com/BigDataTweetBot" xr:uid="{E52C95D0-9FD6-43D5-AF72-A8B0C532269F}"/>
    <hyperlink ref="E2839" r:id="rId8561" display="https://twitter.com/BigDataTweetBot/status/723730782565588992" xr:uid="{0F844D85-811A-4A7C-BB24-465174515803}"/>
    <hyperlink ref="O2839" r:id="rId8562" display="https://pbs.twimg.com/profile_images/616793252524650496/bQbxJqmz_normal.jpg" xr:uid="{DC0F9D75-70F1-4B85-B890-CDC8A227D082}"/>
    <hyperlink ref="B2840" r:id="rId8563" display="https://twitter.com/AchatzR" xr:uid="{F6ACEEDE-AAC1-4670-8EBC-CBC26BC8F4F9}"/>
    <hyperlink ref="E2840" r:id="rId8564" display="https://twitter.com/AchatzR/status/723736186276204544" xr:uid="{4A3A903F-5E92-49C0-9ED0-0F64F490AF1A}"/>
    <hyperlink ref="O2840" r:id="rId8565" display="https://pbs.twimg.com/profile_images/715212230648807425/Z0_EENJA_normal.jpg" xr:uid="{F21CD289-874D-4F27-A964-8C9EB1C77E70}"/>
    <hyperlink ref="B2841" r:id="rId8566" display="https://twitter.com/bluecue_de" xr:uid="{CDBABB62-32BB-477D-8DA5-6DB339D12BA7}"/>
    <hyperlink ref="E2841" r:id="rId8567" display="https://twitter.com/bluecue_de/status/723745129278935040" xr:uid="{17A25B28-6563-4485-BCF2-74FA34B4EFA5}"/>
    <hyperlink ref="O2841" r:id="rId8568" display="https://pbs.twimg.com/profile_images/424134590794432512/Z7TKJtJZ_normal.jpeg" xr:uid="{91735866-F1C7-42CB-BCFD-457921E81C71}"/>
    <hyperlink ref="B2842" r:id="rId8569" display="https://twitter.com/RTHurth" xr:uid="{BA6CC20F-8675-43F5-8108-ADF8CB1BEA24}"/>
    <hyperlink ref="E2842" r:id="rId8570" display="https://twitter.com/RTHurth/status/723746834091487232" xr:uid="{FD2152B1-0810-47C5-9F3A-BDF3BAA31D4C}"/>
    <hyperlink ref="O2842" r:id="rId8571" display="https://abs.twimg.com/sticky/default_profile_images/default_profile_2_normal.png" xr:uid="{8B901A06-52D3-49EE-98F5-45A7D9D69A4E}"/>
    <hyperlink ref="B2843" r:id="rId8572" display="https://twitter.com/CapgeminiDE" xr:uid="{51039D81-7E71-4C05-A255-F7CE9876814B}"/>
    <hyperlink ref="E2843" r:id="rId8573" display="https://twitter.com/CapgeminiDE/status/723754584951390209" xr:uid="{88756C0C-E559-4EE7-8FA8-7D10B9123450}"/>
    <hyperlink ref="O2843" r:id="rId8574" display="https://pbs.twimg.com/profile_images/666911961599315968/aP7ID_qm_normal.png" xr:uid="{6D5AA24C-C7EC-4846-A817-E507F819C454}"/>
    <hyperlink ref="B2844" r:id="rId8575" display="https://twitter.com/UL_Commercial" xr:uid="{8D0D7F07-E948-408B-91F2-17F232841A56}"/>
    <hyperlink ref="E2844" r:id="rId8576" display="https://twitter.com/UL_Commercial/status/723755286863826944" xr:uid="{EBFD1617-93CA-4FAD-8156-58850F32B72F}"/>
    <hyperlink ref="O2844" r:id="rId8577" display="https://pbs.twimg.com/profile_images/661569725550469124/-Uzw8rQt_normal.jpg" xr:uid="{39D1938C-3CE8-4AA5-96DF-0C72DA6C8AC2}"/>
    <hyperlink ref="B2845" r:id="rId8578" display="https://twitter.com/ULdialogue" xr:uid="{1EA1F4E6-AB58-471B-9F63-55ADF783DEF2}"/>
    <hyperlink ref="E2845" r:id="rId8579" display="https://twitter.com/ULdialogue/status/723755287375540224" xr:uid="{6E8F1035-B7BE-464E-8981-42E229CD4D02}"/>
    <hyperlink ref="O2845" r:id="rId8580" display="https://pbs.twimg.com/profile_images/458696399211606016/rUZELqAc_normal.jpeg" xr:uid="{5843D00E-6B46-484F-926D-71F5F04DEDD3}"/>
    <hyperlink ref="B2846" r:id="rId8581" display="https://twitter.com/PourLesPatrons" xr:uid="{1D853A1E-9706-428F-9CAE-2139E52A2B18}"/>
    <hyperlink ref="E2846" r:id="rId8582" display="https://twitter.com/PourLesPatrons/status/723757849285939200" xr:uid="{31D99D35-F7CA-4EE8-84A0-F447E2BDDDEF}"/>
    <hyperlink ref="O2846" r:id="rId8583" display="https://pbs.twimg.com/profile_images/680696942163300352/dT4ULAXJ_normal.jpg" xr:uid="{DE9A6517-C694-4981-AE0C-9600DC0103C8}"/>
    <hyperlink ref="B2847" r:id="rId8584" display="https://twitter.com/ProdMgrNet" xr:uid="{974DF594-A71A-4131-AA9A-C9DE1C24BBB8}"/>
    <hyperlink ref="E2847" r:id="rId8585" display="https://twitter.com/ProdMgrNet/status/723758786167578625" xr:uid="{D4194412-189E-4867-8B9B-DD418FA3521D}"/>
    <hyperlink ref="O2847" r:id="rId8586" display="https://pbs.twimg.com/profile_images/1336102736/AR69190_normal.jpg" xr:uid="{FEBF0423-3534-4ED8-A8F5-F6C557391364}"/>
    <hyperlink ref="B2848" r:id="rId8587" display="https://twitter.com/iotsecurity2" xr:uid="{89F17C03-3300-45DE-A610-188B51CC96E3}"/>
    <hyperlink ref="E2848" r:id="rId8588" display="https://twitter.com/iotsecurity2/status/723759183628275712" xr:uid="{809C7C9C-214A-4353-8519-282844ADAE6B}"/>
    <hyperlink ref="O2848" r:id="rId8589" display="https://abs.twimg.com/sticky/default_profile_images/default_profile_3_normal.png" xr:uid="{B44E1A31-147E-4F3B-AA10-121D34E21E09}"/>
    <hyperlink ref="B2849" r:id="rId8590" display="https://twitter.com/Weinrichter" xr:uid="{0BCFB784-CA26-437F-8E9E-E3039C1608F1}"/>
    <hyperlink ref="E2849" r:id="rId8591" display="https://twitter.com/Weinrichter/status/723759868939767808" xr:uid="{18118C1E-8B3A-448C-B157-C922D39FC658}"/>
    <hyperlink ref="O2849" r:id="rId8592" display="https://pbs.twimg.com/profile_images/700956332443234304/-gSSeFB2_normal.jpg" xr:uid="{A779358A-C128-4537-AA78-A7B36A004105}"/>
    <hyperlink ref="B2850" r:id="rId8593" display="https://twitter.com/ROKAutomationAT" xr:uid="{DF784033-C039-4944-A5FA-6717F6E7C0EF}"/>
    <hyperlink ref="E2850" r:id="rId8594" display="https://twitter.com/ROKAutomationAT/status/723764620167520256" xr:uid="{7D54EB2F-5EDB-46D1-8E76-EE353ED3A6E7}"/>
    <hyperlink ref="O2850" r:id="rId8595" display="https://pbs.twimg.com/profile_images/494911375034945537/txB_J-VC_normal.jpeg" xr:uid="{8A50F969-81E1-488D-9AAE-6B1C44F2AFF9}"/>
    <hyperlink ref="B2851" r:id="rId8596" display="https://twitter.com/ROKAutomationDE" xr:uid="{CE4B640C-A8CF-4160-AF86-5CDEF543B195}"/>
    <hyperlink ref="E2851" r:id="rId8597" display="https://twitter.com/ROKAutomationDE/status/723764622130434048" xr:uid="{858FBEC3-2EB2-4333-877B-5DBD9031940C}"/>
    <hyperlink ref="O2851" r:id="rId8598" display="https://pbs.twimg.com/profile_images/495214827963297793/ZW7qWnoK_normal.jpeg" xr:uid="{32C2F8D3-DE2C-4A51-9E58-70B5C674C88F}"/>
    <hyperlink ref="B2852" r:id="rId8599" display="https://twitter.com/ROKAutoCHDE" xr:uid="{217079F0-4B12-4FE9-9A9A-ECE1858E2B67}"/>
    <hyperlink ref="E2852" r:id="rId8600" display="https://twitter.com/ROKAutoCHDE/status/723764623212584960" xr:uid="{2DB94D16-9013-4B31-BE66-5247738B34CA}"/>
    <hyperlink ref="O2852" r:id="rId8601" display="https://pbs.twimg.com/profile_images/498942077325963264/l5q550Kh_normal.jpeg" xr:uid="{44F46C1C-6C80-4851-AADA-CD2E269DC948}"/>
    <hyperlink ref="B2853" r:id="rId8602" display="https://twitter.com/INDIZbot" xr:uid="{5FF1B1A8-120E-4445-8ACD-1EBD6901B707}"/>
    <hyperlink ref="E2853" r:id="rId8603" display="https://twitter.com/INDIZbot/status/723766413488476160" xr:uid="{B0F646F1-3875-4578-9501-5F4CB9E674F7}"/>
    <hyperlink ref="O2853" r:id="rId8604" display="https://pbs.twimg.com/profile_images/645716711723925506/t5G0qOS6_normal.jpg" xr:uid="{A14F03A9-2A38-466F-800D-4166198BD19D}"/>
    <hyperlink ref="B2854" r:id="rId8605" display="https://twitter.com/INDIZbot" xr:uid="{FE0CE745-DAB4-4216-BF2E-1C82DBCCA16D}"/>
    <hyperlink ref="E2854" r:id="rId8606" display="https://twitter.com/INDIZbot/status/723766525820297216" xr:uid="{EB333474-B778-44BD-840D-F280D92FABBE}"/>
    <hyperlink ref="O2854" r:id="rId8607" display="https://pbs.twimg.com/profile_images/645716711723925506/t5G0qOS6_normal.jpg" xr:uid="{54195760-9E13-4874-89FA-B1DD27ABC1E8}"/>
    <hyperlink ref="B2855" r:id="rId8608" display="https://twitter.com/INDIZbot" xr:uid="{D1ACBD3F-3A82-4E92-AE7B-4EDDB8D71BFE}"/>
    <hyperlink ref="E2855" r:id="rId8609" display="https://twitter.com/INDIZbot/status/723766620745830400" xr:uid="{076B36B5-E54F-4C0E-ACF2-645494F27096}"/>
    <hyperlink ref="O2855" r:id="rId8610" display="https://pbs.twimg.com/profile_images/645716711723925506/t5G0qOS6_normal.jpg" xr:uid="{480AD450-FA7D-4995-B7E6-D7C7C5182D86}"/>
    <hyperlink ref="B2856" r:id="rId8611" display="https://twitter.com/H_IT_D" xr:uid="{116B0010-7102-4A34-9151-40E464F8550E}"/>
    <hyperlink ref="E2856" r:id="rId8612" display="https://twitter.com/H_IT_D/status/723766678794858496" xr:uid="{9A6BEE80-4E11-4D61-BA16-33A4CC7C7021}"/>
    <hyperlink ref="O2856" r:id="rId8613" display="https://pbs.twimg.com/profile_images/662723326096224256/5V4KH9_O_normal.jpg" xr:uid="{980A8E72-7DEC-49BE-942A-780418BE948B}"/>
    <hyperlink ref="B2857" r:id="rId8614" display="https://twitter.com/MeinGeldMedien" xr:uid="{CDEF90EF-0DFC-4BC4-BFD7-B1BBA704F61E}"/>
    <hyperlink ref="E2857" r:id="rId8615" display="https://twitter.com/MeinGeldMedien/status/723768549223882752" xr:uid="{709284F9-610D-4C87-B6A4-52AB6CAF5C68}"/>
    <hyperlink ref="O2857" r:id="rId8616" display="https://pbs.twimg.com/profile_images/473759721023758338/3CcJL-Vq_normal.jpeg" xr:uid="{BE323163-B8C3-4459-843A-D333AA1307C6}"/>
    <hyperlink ref="B2858" r:id="rId8617" display="https://twitter.com/CapgeminiDE" xr:uid="{B885F0BB-E380-4D5B-B08C-70DFB5D5AAE6}"/>
    <hyperlink ref="E2858" r:id="rId8618" display="https://twitter.com/CapgeminiDE/status/723768638365417472" xr:uid="{EEA2E02A-4902-4736-BDAD-1CC09A1F6736}"/>
    <hyperlink ref="O2858" r:id="rId8619" display="https://pbs.twimg.com/profile_images/666911961599315968/aP7ID_qm_normal.png" xr:uid="{F57F7061-E4D6-4D66-90A2-26C090C7542D}"/>
    <hyperlink ref="B2859" r:id="rId8620" display="https://twitter.com/INDIZbot" xr:uid="{FFEB7270-4EFA-41A6-97B7-7D0FC082B31B}"/>
    <hyperlink ref="E2859" r:id="rId8621" display="https://twitter.com/INDIZbot/status/723768657843773440" xr:uid="{0D3CE836-EAF0-4214-BAFA-9A88FA67BFB5}"/>
    <hyperlink ref="O2859" r:id="rId8622" display="https://pbs.twimg.com/profile_images/645716711723925506/t5G0qOS6_normal.jpg" xr:uid="{5B0A6266-2343-4788-80A2-56734D5B43D2}"/>
    <hyperlink ref="B2860" r:id="rId8623" display="https://twitter.com/INDIZbot" xr:uid="{DC9220AF-E7F2-4B80-9E0A-FADA2E0A90C0}"/>
    <hyperlink ref="E2860" r:id="rId8624" display="https://twitter.com/INDIZbot/status/723769165677469696" xr:uid="{DA7C9351-122F-4F57-9AD2-554471A034EE}"/>
    <hyperlink ref="O2860" r:id="rId8625" display="https://pbs.twimg.com/profile_images/645716711723925506/t5G0qOS6_normal.jpg" xr:uid="{AD26EB37-3DDB-47E2-925B-E6A1A1C8F3AF}"/>
    <hyperlink ref="B2861" r:id="rId8626" display="https://twitter.com/heg72" xr:uid="{6AC66CE4-3F78-4CC8-9B2A-35EAF64997AA}"/>
    <hyperlink ref="E2861" r:id="rId8627" display="https://twitter.com/heg72/status/723769600597450752" xr:uid="{FF2AA4B3-EBC9-4B80-87D3-F671F6963756}"/>
    <hyperlink ref="O2861" r:id="rId8628" display="https://pbs.twimg.com/profile_images/459292237914836993/UjzTjtRx_normal.jpeg" xr:uid="{34E12DE2-96A7-45FB-8AE2-BBBEDF71A363}"/>
    <hyperlink ref="B2862" r:id="rId8629" display="https://twitter.com/ITOrakel" xr:uid="{5848891D-B1E6-480D-B6DA-2786E008141F}"/>
    <hyperlink ref="E2862" r:id="rId8630" display="https://twitter.com/ITOrakel/status/723770684934094848" xr:uid="{DEFD238B-2CC0-437A-BA37-8CE7FEF4D307}"/>
    <hyperlink ref="O2862" r:id="rId8631" display="https://pbs.twimg.com/profile_images/722507600802287616/yHub8Hvx_normal.jpg" xr:uid="{37303DF6-BBDE-4EAA-8861-3F1F2FA51EF0}"/>
    <hyperlink ref="B2863" r:id="rId8632" display="https://twitter.com/tuevnord" xr:uid="{E93206B9-EF08-4283-A86A-A5F49C209AA2}"/>
    <hyperlink ref="E2863" r:id="rId8633" display="https://twitter.com/tuevnord/status/723770941126352896" xr:uid="{DDF5799C-4072-4049-A18A-2803B76F1473}"/>
    <hyperlink ref="O2863" r:id="rId8634" display="https://pbs.twimg.com/profile_images/378800000104294821/5a742075b9441c9de8a86c75a712b0c7_normal.png" xr:uid="{95645ADC-6921-4F32-B008-A3DF08EC5292}"/>
    <hyperlink ref="B2864" r:id="rId8635" display="https://twitter.com/feelingstones" xr:uid="{3132ED6D-5F2C-49E2-BD8B-97C4B8896640}"/>
    <hyperlink ref="E2864" r:id="rId8636" display="https://twitter.com/feelingstones/status/723773300539674624" xr:uid="{67D3BCFC-13F1-4D5B-973A-15F0CFFE9124}"/>
    <hyperlink ref="O2864" r:id="rId8637" display="https://pbs.twimg.com/profile_images/625592251377324032/p6ap4-7W_normal.jpg" xr:uid="{378D6EE5-041A-446A-948D-68164607A0A0}"/>
    <hyperlink ref="B2865" r:id="rId8638" display="https://twitter.com/INDIZbot" xr:uid="{1194534F-BB69-47E9-AA57-DE4CD6DA8FA1}"/>
    <hyperlink ref="E2865" r:id="rId8639" display="https://twitter.com/INDIZbot/status/723773821199769600" xr:uid="{8F13E92A-7811-447B-83F8-9D2E798BAFA9}"/>
    <hyperlink ref="O2865" r:id="rId8640" display="https://pbs.twimg.com/profile_images/645716711723925506/t5G0qOS6_normal.jpg" xr:uid="{BE8BBB94-FE3D-4561-8D23-95ABB99A6F8D}"/>
    <hyperlink ref="B2866" r:id="rId8641" display="https://twitter.com/FJDorfer" xr:uid="{A293ECDF-4902-4293-B894-0E5A45834FA6}"/>
    <hyperlink ref="E2866" r:id="rId8642" display="https://twitter.com/FJDorfer/status/723774678616170496" xr:uid="{3CFF5F20-D646-4E19-90C7-48FC65CCAD45}"/>
    <hyperlink ref="O2866" r:id="rId8643" display="https://pbs.twimg.com/profile_images/2092862553/Dorfer_-_11.04_normal.2012" xr:uid="{9A0DB30D-BA96-49CE-B7E5-D4BDB06AAA6A}"/>
    <hyperlink ref="B2867" r:id="rId8644" display="https://twitter.com/INDIZbot" xr:uid="{F29D8F7F-78DA-474C-A6EB-FEA42286C7D0}"/>
    <hyperlink ref="E2867" r:id="rId8645" display="https://twitter.com/INDIZbot/status/723776282216030208" xr:uid="{D8A6A104-67CB-410F-BD4E-4540FFDB337F}"/>
    <hyperlink ref="O2867" r:id="rId8646" display="https://pbs.twimg.com/profile_images/645716711723925506/t5G0qOS6_normal.jpg" xr:uid="{0BD0B0EF-3EDF-4F24-92D7-D767FEAFA179}"/>
    <hyperlink ref="B2868" r:id="rId8647" display="https://twitter.com/GregRodehueser" xr:uid="{DEABFCE1-50DA-4DAB-A9DB-E43966F2B8D5}"/>
    <hyperlink ref="E2868" r:id="rId8648" display="https://twitter.com/GregRodehueser/status/723778145728507904" xr:uid="{2AB7F760-2954-4567-B39B-288D7BB71D44}"/>
    <hyperlink ref="O2868" r:id="rId8649" display="https://pbs.twimg.com/profile_images/669193589495345152/nJYiWy7H_normal.jpg" xr:uid="{1DBE7154-6967-49DE-B3B9-7433870B0028}"/>
    <hyperlink ref="B2869" r:id="rId8650" display="https://twitter.com/ITMredaktion" xr:uid="{01B3300D-5440-42C4-959F-B6AF512163CA}"/>
    <hyperlink ref="E2869" r:id="rId8651" display="https://twitter.com/ITMredaktion/status/723778195753975808" xr:uid="{DD5A62FC-EEDB-4635-8C7D-0BD90AD74C23}"/>
    <hyperlink ref="O2869" r:id="rId8652" display="https://pbs.twimg.com/profile_images/412571371193913344/5ICZcXXO_normal.jpeg" xr:uid="{4CEE9E32-83C2-4936-942F-93C838D90BC2}"/>
    <hyperlink ref="B2870" r:id="rId8653" display="https://twitter.com/INDIZbot" xr:uid="{D1AF27CF-709C-4F91-A1F5-0CA46CB44D2C}"/>
    <hyperlink ref="E2870" r:id="rId8654" display="https://twitter.com/INDIZbot/status/723778724538228736" xr:uid="{555CCDD9-CB8A-4392-96AB-AFDDCA3403D2}"/>
    <hyperlink ref="O2870" r:id="rId8655" display="https://pbs.twimg.com/profile_images/645716711723925506/t5G0qOS6_normal.jpg" xr:uid="{ED7B0EE8-63B6-4D57-99F8-93AD4A93C10D}"/>
    <hyperlink ref="B2871" r:id="rId8656" display="https://twitter.com/INDIZbot" xr:uid="{C50A7257-06AB-480B-88F1-61111B8C42D4}"/>
    <hyperlink ref="E2871" r:id="rId8657" display="https://twitter.com/INDIZbot/status/723778856910479360" xr:uid="{B45F6748-29DF-4C0A-98DD-F4A8739964B0}"/>
    <hyperlink ref="O2871" r:id="rId8658" display="https://pbs.twimg.com/profile_images/645716711723925506/t5G0qOS6_normal.jpg" xr:uid="{4A11F9C1-CD79-4F67-BB3A-B45073CC8D81}"/>
    <hyperlink ref="B2872" r:id="rId8659" display="https://twitter.com/BOLDLYGO_FFM" xr:uid="{F82BAEF9-2149-4F23-830A-BC21E334CA90}"/>
    <hyperlink ref="E2872" r:id="rId8660" display="https://twitter.com/BOLDLYGO_FFM/status/723780147153899520" xr:uid="{F5B868FF-37BE-474E-B324-4911A493DC99}"/>
    <hyperlink ref="O2872" r:id="rId8661" display="https://pbs.twimg.com/profile_images/636836616263311360/-akWmcev_normal.png" xr:uid="{F504ADDA-3ADD-4A10-AD6A-A36FC228639F}"/>
    <hyperlink ref="B2873" r:id="rId8662" display="https://twitter.com/GregRodehueser" xr:uid="{10EF7B1D-6AD1-44A1-9AEB-4F2C95091C55}"/>
    <hyperlink ref="E2873" r:id="rId8663" display="https://twitter.com/GregRodehueser/status/723781484147027968" xr:uid="{1FE5B49F-8C11-4393-82C5-238A261886FB}"/>
    <hyperlink ref="O2873" r:id="rId8664" display="https://pbs.twimg.com/profile_images/669193589495345152/nJYiWy7H_normal.jpg" xr:uid="{C7488C1F-2DE3-4C2F-B58E-56D8486499BB}"/>
    <hyperlink ref="B2874" r:id="rId8665" display="https://twitter.com/CapgeminiDE" xr:uid="{2885FF94-46F8-4FCB-A622-15A94C58D5DD}"/>
    <hyperlink ref="E2874" r:id="rId8666" display="https://twitter.com/CapgeminiDE/status/723782242099683329" xr:uid="{E5001139-554F-43C0-A151-1DEA617C1E86}"/>
    <hyperlink ref="O2874" r:id="rId8667" display="https://pbs.twimg.com/profile_images/666911961599315968/aP7ID_qm_normal.png" xr:uid="{7237AACB-80AE-4CF1-BDD5-4CC94F8DF988}"/>
    <hyperlink ref="B2875" r:id="rId8668" display="https://twitter.com/markus_boehm_" xr:uid="{C84D4C53-2DEF-4692-A8CF-DF68FC08A167}"/>
    <hyperlink ref="E2875" r:id="rId8669" display="https://twitter.com/markus_boehm_/status/723782761069289473" xr:uid="{1B41133C-39D9-47D9-8D03-95730E80D85E}"/>
    <hyperlink ref="O2875" r:id="rId8670" display="https://pbs.twimg.com/profile_images/588663919/IMGP2781_normal.JPG" xr:uid="{C5603F72-C453-4025-8707-43EDD45FCA0B}"/>
    <hyperlink ref="B2876" r:id="rId8671" display="https://twitter.com/VDMAonline" xr:uid="{3A33ABD4-838A-4EE6-967A-B7A734F5740D}"/>
    <hyperlink ref="E2876" r:id="rId8672" display="https://twitter.com/VDMAonline/status/723783515343482881" xr:uid="{A52B59FF-54CE-4454-A9A7-2124854F3EF1}"/>
    <hyperlink ref="O2876" r:id="rId8673" display="https://pbs.twimg.com/profile_images/609375510158774272/P5glOk4b_normal.jpg" xr:uid="{2548D862-091F-4F2C-8E7A-0AD2BA721605}"/>
    <hyperlink ref="B2877" r:id="rId8674" display="https://twitter.com/INDIZbot" xr:uid="{893B3004-0547-40A6-B46A-A2DFBEA5388D}"/>
    <hyperlink ref="E2877" r:id="rId8675" display="https://twitter.com/INDIZbot/status/723783757342343169" xr:uid="{F8617787-468A-4E15-AF8F-E1A047CD43A1}"/>
    <hyperlink ref="O2877" r:id="rId8676" display="https://pbs.twimg.com/profile_images/645716711723925506/t5G0qOS6_normal.jpg" xr:uid="{6EED3293-230B-4217-981E-8E51AFDEC7B4}"/>
    <hyperlink ref="B2878" r:id="rId8677" display="https://twitter.com/INDIZbot" xr:uid="{FC8066E1-4026-46C6-9671-AB0E2CC7904C}"/>
    <hyperlink ref="E2878" r:id="rId8678" display="https://twitter.com/INDIZbot/status/723783853639348224" xr:uid="{7372C5F8-75EB-4808-BC31-9139F6AD0B3D}"/>
    <hyperlink ref="O2878" r:id="rId8679" display="https://pbs.twimg.com/profile_images/645716711723925506/t5G0qOS6_normal.jpg" xr:uid="{D59E1B96-F594-49D2-981D-BA92A551E4C9}"/>
    <hyperlink ref="B2879" r:id="rId8680" display="https://twitter.com/INDIZbot" xr:uid="{EE2E5612-0A04-4C60-8E64-E0BC78BE7313}"/>
    <hyperlink ref="E2879" r:id="rId8681" display="https://twitter.com/INDIZbot/status/723783996883255296" xr:uid="{37EF1E57-B10E-441E-9C60-EBFA55A92EA6}"/>
    <hyperlink ref="O2879" r:id="rId8682" display="https://pbs.twimg.com/profile_images/645716711723925506/t5G0qOS6_normal.jpg" xr:uid="{371DBE32-6AB9-44A8-8887-DE774C92670F}"/>
    <hyperlink ref="B2880" r:id="rId8683" display="https://twitter.com/acatech_de" xr:uid="{6925E441-0E02-484F-B110-40654A826D2C}"/>
    <hyperlink ref="E2880" r:id="rId8684" display="https://twitter.com/acatech_de/status/723784247366963204" xr:uid="{266F3DBA-09E4-49BB-8E16-8D9BA90A747F}"/>
    <hyperlink ref="O2880" r:id="rId8685" display="https://pbs.twimg.com/profile_images/600969802908356609/3JqGMg38_normal.png" xr:uid="{7DDFDDFC-0270-44D6-8D00-71A982A169E6}"/>
    <hyperlink ref="B2881" r:id="rId8686" display="https://twitter.com/INDIZbot" xr:uid="{3B480318-89A2-41DE-AB70-0546F106AC7F}"/>
    <hyperlink ref="E2881" r:id="rId8687" display="https://twitter.com/INDIZbot/status/723786528443502592" xr:uid="{1F515A28-38EA-4E0B-BB5B-400891CE0A11}"/>
    <hyperlink ref="O2881" r:id="rId8688" display="https://pbs.twimg.com/profile_images/645716711723925506/t5G0qOS6_normal.jpg" xr:uid="{29F02440-84C2-4929-A64D-074BE76BDE04}"/>
    <hyperlink ref="B2882" r:id="rId8689" display="https://twitter.com/Bitkom_I40" xr:uid="{E5EE8221-BFF0-4AD5-8668-0B496FAA9A15}"/>
    <hyperlink ref="E2882" r:id="rId8690" display="https://twitter.com/Bitkom_I40/status/723789517467971585" xr:uid="{C3383CCE-EB92-4180-80EC-B51508F8C8B6}"/>
    <hyperlink ref="O2882" r:id="rId8691" display="https://pbs.twimg.com/profile_images/723407487395713024/0hZv7R8S_normal.jpg" xr:uid="{2201224B-1ABF-4DCC-9C32-848429791B69}"/>
    <hyperlink ref="B2883" r:id="rId8692" display="https://twitter.com/BOLDLYGO_FFM" xr:uid="{6C4BB40D-2A8A-4B3E-8B85-944123E60513}"/>
    <hyperlink ref="E2883" r:id="rId8693" display="https://twitter.com/BOLDLYGO_FFM/status/723790814103654400" xr:uid="{E1540D62-7835-4DFD-93A2-6BC38E3A1DFA}"/>
    <hyperlink ref="O2883" r:id="rId8694" display="https://pbs.twimg.com/profile_images/636836616263311360/-akWmcev_normal.png" xr:uid="{52B8CE76-B290-457F-BF24-7497A5F02AF6}"/>
    <hyperlink ref="B2884" r:id="rId8695" display="https://twitter.com/Derdack" xr:uid="{8CD5792D-C56B-4564-8674-6E9A245E82A2}"/>
    <hyperlink ref="E2884" r:id="rId8696" display="https://twitter.com/Derdack/status/723790965073428480" xr:uid="{DB129822-AD3C-411F-9531-955181851307}"/>
    <hyperlink ref="O2884" r:id="rId8697" display="https://pbs.twimg.com/profile_images/627720848200347648/Zn_B8fGh_normal.png" xr:uid="{E11113FA-E868-44AA-9DD5-8FFCDB7A787A}"/>
    <hyperlink ref="B2885" r:id="rId8698" display="https://twitter.com/MatthesDerdack" xr:uid="{ECDBC2BC-02BF-4D4B-AAE5-ADD7F55B40D3}"/>
    <hyperlink ref="E2885" r:id="rId8699" display="https://twitter.com/MatthesDerdack/status/723791125123874817" xr:uid="{7BB51E48-FB8C-4F53-85E8-FF16D4121E9A}"/>
    <hyperlink ref="O2885" r:id="rId8700" display="https://pbs.twimg.com/profile_images/464748938679963648/wFbUIsuL_normal.jpeg" xr:uid="{0BC0E1CE-B4F4-4F0B-B117-6082C57A38A7}"/>
    <hyperlink ref="B2886" r:id="rId8701" display="https://twitter.com/BOLDLYGO_FFM" xr:uid="{8F45C124-B112-4F58-9894-F6E6272CBDE9}"/>
    <hyperlink ref="E2886" r:id="rId8702" display="https://twitter.com/BOLDLYGO_FFM/status/723791691040342016" xr:uid="{6CA1B3FC-CFBA-449E-A886-53AD054B790F}"/>
    <hyperlink ref="O2886" r:id="rId8703" display="https://pbs.twimg.com/profile_images/636836616263311360/-akWmcev_normal.png" xr:uid="{A3B57EA2-81B6-4A7B-A103-3CDC863C40E1}"/>
    <hyperlink ref="B2887" r:id="rId8704" display="https://twitter.com/matgnt2" xr:uid="{2E05DBBB-2747-47DE-B104-0FB9A1A33B8C}"/>
    <hyperlink ref="E2887" r:id="rId8705" display="https://twitter.com/matgnt2/status/723793150477778944" xr:uid="{F10FAF2D-A459-4CC5-8AB6-1607E3C2AA55}"/>
    <hyperlink ref="O2887" r:id="rId8706" display="https://pbs.twimg.com/profile_images/657573293776609282/MBKrme0h_normal.jpg" xr:uid="{BD489F02-EEE1-4633-AF7A-E76A0418C4E4}"/>
    <hyperlink ref="B2888" r:id="rId8707" display="https://twitter.com/kommoptimierer" xr:uid="{276D996A-91BE-4D21-9834-073BC7E48C0D}"/>
    <hyperlink ref="E2888" r:id="rId8708" display="https://twitter.com/kommoptimierer/status/723793540757749760" xr:uid="{71989B62-C354-4AED-B282-4FFF056EACCF}"/>
    <hyperlink ref="O2888" r:id="rId8709" display="https://pbs.twimg.com/profile_images/541146126158536704/IYardufS_normal.jpeg" xr:uid="{A6F9AAC0-5EC8-4589-828B-38464AF57020}"/>
    <hyperlink ref="B2889" r:id="rId8710" display="https://twitter.com/Siliconavatar" xr:uid="{0B2EA9C9-8BDE-438F-8092-B9E1CE997D4B}"/>
    <hyperlink ref="E2889" r:id="rId8711" display="https://twitter.com/Siliconavatar/status/723794096482037760" xr:uid="{163E4B7A-9081-490F-A704-76836DCAC87B}"/>
    <hyperlink ref="O2889" r:id="rId8712" display="https://pbs.twimg.com/profile_images/255850776/avatar_steve_icon_normal.jpg" xr:uid="{95DFDB87-69E9-4074-8641-CFA07FB2A050}"/>
    <hyperlink ref="B2890" r:id="rId8713" display="https://twitter.com/NeleReimers" xr:uid="{B776E63C-AF23-4527-AE26-468319D0A228}"/>
    <hyperlink ref="E2890" r:id="rId8714" display="https://twitter.com/NeleReimers/status/723794742719438848" xr:uid="{0E231DE2-DE3D-4069-AD31-25405307D63E}"/>
    <hyperlink ref="O2890" r:id="rId8715" display="https://pbs.twimg.com/profile_images/667689986276392960/lHQvEvuO_normal.jpg" xr:uid="{43F91286-E005-40AF-BA75-123341C625F3}"/>
    <hyperlink ref="B2891" r:id="rId8716" display="https://twitter.com/ralf_nick" xr:uid="{D5374E65-9F51-43DF-BD3E-446D048C17D5}"/>
    <hyperlink ref="E2891" r:id="rId8717" display="https://twitter.com/ralf_nick/status/723796406427881472" xr:uid="{370417BD-03BF-4374-8BC4-C22B8D244BEA}"/>
    <hyperlink ref="O2891" r:id="rId8718" display="https://pbs.twimg.com/profile_images/592732122621816833/UoX04brn_normal.png" xr:uid="{92925698-5545-457A-A2E2-CACCD614D72B}"/>
    <hyperlink ref="B2892" r:id="rId8719" display="https://twitter.com/INDIZbot" xr:uid="{CC4D3245-7E2A-44A8-B4B8-696158D9EE89}"/>
    <hyperlink ref="E2892" r:id="rId8720" display="https://twitter.com/INDIZbot/status/723796696149426177" xr:uid="{DBF13A40-71C3-48A6-A5DA-2D8200A1B2D3}"/>
    <hyperlink ref="O2892" r:id="rId8721" display="https://pbs.twimg.com/profile_images/645716711723925506/t5G0qOS6_normal.jpg" xr:uid="{4616B6E3-9B16-4F81-A75B-CB147AFD17EE}"/>
    <hyperlink ref="B2893" r:id="rId8722" display="https://twitter.com/nowanda1" xr:uid="{61CA6CE7-BB4A-4DC3-95C8-782904F1CBD1}"/>
    <hyperlink ref="E2893" r:id="rId8723" display="https://twitter.com/nowanda1/status/723796812809822208" xr:uid="{71F308CA-B533-43A9-BA0B-E2ED09507361}"/>
    <hyperlink ref="O2893" r:id="rId8724" display="https://pbs.twimg.com/profile_images/721357383885287424/_xQQgCH3_normal.jpg" xr:uid="{C60E967D-9FFE-409B-A9B6-4D91E6EB0E7E}"/>
    <hyperlink ref="B2894" r:id="rId8725" display="https://twitter.com/mirko_ross" xr:uid="{D21CAF04-692D-4090-B092-430C2572F365}"/>
    <hyperlink ref="E2894" r:id="rId8726" display="https://twitter.com/mirko_ross/status/723798098246537216" xr:uid="{A7A18292-B61C-4AD8-A1EE-E1C380FE0D83}"/>
    <hyperlink ref="O2894" r:id="rId8727" display="https://pbs.twimg.com/profile_images/720569233697017856/YKCnSitZ_normal.jpg" xr:uid="{241A3209-78C3-480D-AA3E-17501C1BD39B}"/>
    <hyperlink ref="B2895" r:id="rId8728" display="https://twitter.com/verlinked" xr:uid="{7C4B3572-1D66-4899-9FDA-94109179FE88}"/>
    <hyperlink ref="E2895" r:id="rId8729" display="https://twitter.com/verlinked/status/723798622660251650" xr:uid="{64BE3335-1657-41A4-BB14-27CBEC97363A}"/>
    <hyperlink ref="O2895" r:id="rId8730" display="https://pbs.twimg.com/profile_images/722385992343285760/ww8YLZ2q_normal.jpg" xr:uid="{93E5D13F-D6B2-4669-AA84-921315356E53}"/>
    <hyperlink ref="B2896" r:id="rId8731" display="https://twitter.com/INDIZbot" xr:uid="{875B7337-7EC7-415F-965A-67A53CEE3B39}"/>
    <hyperlink ref="E2896" r:id="rId8732" display="https://twitter.com/INDIZbot/status/723799046515773440" xr:uid="{00715137-288E-4BD2-AFFB-B82BD8836268}"/>
    <hyperlink ref="O2896" r:id="rId8733" display="https://pbs.twimg.com/profile_images/645716711723925506/t5G0qOS6_normal.jpg" xr:uid="{18EA5A52-27F5-4314-98CB-44ABED03A0D2}"/>
    <hyperlink ref="B2897" r:id="rId8734" display="https://twitter.com/mirko_ross" xr:uid="{9067C8CE-E2DA-4F2B-9172-F6C4B4B731EF}"/>
    <hyperlink ref="E2897" r:id="rId8735" display="https://twitter.com/mirko_ross/status/723799420987400192" xr:uid="{E3DABC5D-3255-4356-956C-0251160CBF7D}"/>
    <hyperlink ref="O2897" r:id="rId8736" display="https://pbs.twimg.com/profile_images/720569233697017856/YKCnSitZ_normal.jpg" xr:uid="{ED0F11A9-C544-4806-BC44-3C764636584E}"/>
    <hyperlink ref="B2898" r:id="rId8737" display="https://twitter.com/mirko_ross" xr:uid="{FB0B5E16-D020-45C4-B5CF-90CEBDCE8E5D}"/>
    <hyperlink ref="E2898" r:id="rId8738" display="https://twitter.com/mirko_ross/status/723799443397611520" xr:uid="{981A5520-D0E7-4B35-8FAF-DC36F545F330}"/>
    <hyperlink ref="O2898" r:id="rId8739" display="https://pbs.twimg.com/profile_images/720569233697017856/YKCnSitZ_normal.jpg" xr:uid="{8586CBBE-557B-41DD-A777-507A47390954}"/>
    <hyperlink ref="B2899" r:id="rId8740" display="https://twitter.com/mirko_ross" xr:uid="{A2AA0F07-2778-410F-AB54-5911DDD7A1FA}"/>
    <hyperlink ref="E2899" r:id="rId8741" display="https://twitter.com/mirko_ross/status/723799522451853312" xr:uid="{B935E79C-F2E6-4E28-9702-92B17D8DD972}"/>
    <hyperlink ref="O2899" r:id="rId8742" display="https://pbs.twimg.com/profile_images/720569233697017856/YKCnSitZ_normal.jpg" xr:uid="{0A735A2E-016D-4692-869B-EA54EA64AB7A}"/>
    <hyperlink ref="B2900" r:id="rId8743" display="https://twitter.com/mirko_ross" xr:uid="{443B8C8E-1DC8-49A9-B804-1E905F99417A}"/>
    <hyperlink ref="E2900" r:id="rId8744" display="https://twitter.com/mirko_ross/status/723799539442946048" xr:uid="{9F2565A3-B919-4517-9D42-6159E1FC3AED}"/>
    <hyperlink ref="O2900" r:id="rId8745" display="https://pbs.twimg.com/profile_images/720569233697017856/YKCnSitZ_normal.jpg" xr:uid="{F8C02C7A-EC22-440E-81B2-D435F986C930}"/>
    <hyperlink ref="B2901" r:id="rId8746" display="https://twitter.com/lenze_benelux" xr:uid="{44DA45DB-61DD-49F5-AE40-336A21932FDA}"/>
    <hyperlink ref="E2901" r:id="rId8747" display="https://twitter.com/lenze_benelux/status/723800198884036608" xr:uid="{2283CEBB-4425-450A-9D84-DD8C72AC1155}"/>
    <hyperlink ref="O2901" r:id="rId8748" display="https://pbs.twimg.com/profile_images/623794965395730432/4ijJtlze_normal.jpg" xr:uid="{5808AE3E-A92B-4F25-B54D-F38A2D7A706C}"/>
    <hyperlink ref="B2902" r:id="rId8749" display="https://twitter.com/Brainport_Ind" xr:uid="{1B963E12-EB2D-4093-B704-C7389AACD6F4}"/>
    <hyperlink ref="E2902" r:id="rId8750" display="https://twitter.com/Brainport_Ind/status/723800809675350016" xr:uid="{DF9FF985-514D-442C-BB8E-4E64A5A0F075}"/>
    <hyperlink ref="O2902" r:id="rId8751" display="https://pbs.twimg.com/profile_images/1829521617/Dia1_normal.jpg" xr:uid="{14348900-248B-48E1-9AC5-2E1C27B68976}"/>
    <hyperlink ref="B2903" r:id="rId8752" display="https://twitter.com/NikolausReuter" xr:uid="{526297F3-83AC-4F3D-88F8-7BE951294764}"/>
    <hyperlink ref="E2903" r:id="rId8753" display="https://twitter.com/NikolausReuter/status/723802406572679168" xr:uid="{5827E864-EC61-41A3-B9DC-26A5B4CAE5E9}"/>
    <hyperlink ref="O2903" r:id="rId8754" display="https://pbs.twimg.com/profile_images/201943493/Etengo_NIR_normal.jpg" xr:uid="{5979C79E-81DA-4F90-9B23-D9A2860E919D}"/>
    <hyperlink ref="B2904" r:id="rId8755" display="https://twitter.com/ines_oppermann" xr:uid="{69E66AEA-F182-4F79-B498-EF9C88A484F0}"/>
    <hyperlink ref="E2904" r:id="rId8756" display="https://twitter.com/ines_oppermann/status/723804817546719233" xr:uid="{FA93EE59-F7F5-4F99-99A2-3CE302C7755F}"/>
    <hyperlink ref="O2904" r:id="rId8757" display="https://pbs.twimg.com/profile_images/687354058798137344/Vzvo0AAu_normal.jpg" xr:uid="{2D7121E1-B0D6-40FE-BABD-05CFA5D5139E}"/>
    <hyperlink ref="B2905" r:id="rId8758" display="https://twitter.com/robertgaertner" xr:uid="{9EB7807E-44C0-479E-AA20-CDFF5D327F6B}"/>
    <hyperlink ref="E2905" r:id="rId8759" display="https://twitter.com/robertgaertner/status/723806376892456960" xr:uid="{58E6105B-DFFE-450D-8D5E-A668815F3072}"/>
    <hyperlink ref="O2905" r:id="rId8760" display="https://pbs.twimg.com/profile_images/489067160/5-1024_normal.jpg" xr:uid="{104FD232-42B4-4CC3-BEF1-5BB7523A0FEB}"/>
    <hyperlink ref="B2906" r:id="rId8761" display="https://twitter.com/BerndHops" xr:uid="{1B0633CE-3343-468C-9F8D-D1E7F52397FA}"/>
    <hyperlink ref="E2906" r:id="rId8762" display="https://twitter.com/BerndHops/status/723807522054909952" xr:uid="{DA7DEA30-AB2A-4C91-BBDB-45E2A4166ED7}"/>
    <hyperlink ref="O2906" r:id="rId8763" display="https://pbs.twimg.com/profile_images/706510515703521284/ajsG565v_normal.jpg" xr:uid="{A551C6DE-1125-4152-A203-8167B8C644B2}"/>
    <hyperlink ref="B2907" r:id="rId8764" display="https://twitter.com/edmundkomar" xr:uid="{0CD45888-FB92-4433-A2CF-55C0A1D87B71}"/>
    <hyperlink ref="E2907" r:id="rId8765" display="https://twitter.com/edmundkomar/status/723808053838135296" xr:uid="{4B88238A-EF8B-46DD-A91B-E4439B734085}"/>
    <hyperlink ref="O2907" r:id="rId8766" display="https://pbs.twimg.com/profile_images/2389009916/image_normal.jpg" xr:uid="{1D6210F8-9A78-43AA-B17A-A8F2E05D4351}"/>
    <hyperlink ref="B2908" r:id="rId8767" display="https://twitter.com/HolgerPaul66" xr:uid="{89E4620D-12B7-48D2-958E-605F8B65E451}"/>
    <hyperlink ref="E2908" r:id="rId8768" display="https://twitter.com/HolgerPaul66/status/723808649865519106" xr:uid="{8BEEC014-F8DC-4D1F-BCCF-9F82FD010F8C}"/>
    <hyperlink ref="O2908" r:id="rId8769" display="https://pbs.twimg.com/profile_images/525998513264410624/ZHDocuJo_normal.jpeg" xr:uid="{90C040F8-63B4-4488-9496-F144554C1466}"/>
    <hyperlink ref="B2909" r:id="rId8770" display="https://twitter.com/BoschPresse" xr:uid="{B7F57C27-1123-43A5-A5E6-D49A6BC538CB}"/>
    <hyperlink ref="E2909" r:id="rId8771" display="https://twitter.com/BoschPresse/status/723808698515263488" xr:uid="{C00C24D0-998E-4510-9C35-10C65EDCCC1D}"/>
    <hyperlink ref="O2909" r:id="rId8772" display="https://pbs.twimg.com/profile_images/2619086509/ld3z97zhhdbs2essw7s9_normal.jpeg" xr:uid="{7FCCC2DF-815A-4747-B5B9-59A05F18DB8A}"/>
    <hyperlink ref="B2910" r:id="rId8773" display="https://twitter.com/INDIZbot" xr:uid="{074FA5D5-D7AF-48D6-B491-25AE0CF5AABD}"/>
    <hyperlink ref="E2910" r:id="rId8774" display="https://twitter.com/INDIZbot/status/723809122605473792" xr:uid="{F59E9EDD-4CD2-464F-B4B2-F857FB9CC45D}"/>
    <hyperlink ref="O2910" r:id="rId8775" display="https://pbs.twimg.com/profile_images/645716711723925506/t5G0qOS6_normal.jpg" xr:uid="{94CD4C7C-AA54-48CC-BFA5-0F6D4272D5BA}"/>
    <hyperlink ref="B2911" r:id="rId8776" display="https://twitter.com/INDIZbot" xr:uid="{6FA2AA93-54BA-42AD-92CE-95862373C76D}"/>
    <hyperlink ref="E2911" r:id="rId8777" display="https://twitter.com/INDIZbot/status/723809233389625344" xr:uid="{D7FF612E-2CF5-4B39-A6EA-AC63EE061364}"/>
    <hyperlink ref="O2911" r:id="rId8778" display="https://pbs.twimg.com/profile_images/645716711723925506/t5G0qOS6_normal.jpg" xr:uid="{1CBCAD19-2B0B-426F-9966-C7B05F0C1329}"/>
    <hyperlink ref="B2912" r:id="rId8779" display="https://twitter.com/stromab" xr:uid="{F47B6E2B-3376-4B69-89AB-88DABE390E49}"/>
    <hyperlink ref="E2912" r:id="rId8780" display="https://twitter.com/stromab/status/723809367267676160" xr:uid="{D3B7F733-F2B2-40DE-95EA-51831CE58BBE}"/>
    <hyperlink ref="O2912" r:id="rId8781" display="https://pbs.twimg.com/profile_images/522476101872795648/WyNxC2n7_normal.jpeg" xr:uid="{7CC43788-D1B5-45FE-AA2D-6183705AA48E}"/>
    <hyperlink ref="B2913" r:id="rId8782" display="https://twitter.com/j_beenen" xr:uid="{BD18367C-F402-45E5-8A42-206F040D5ABA}"/>
    <hyperlink ref="E2913" r:id="rId8783" display="https://twitter.com/j_beenen/status/723811385159852032" xr:uid="{97C21008-49DD-427A-8B99-A03DC8709944}"/>
    <hyperlink ref="O2913" r:id="rId8784" display="https://pbs.twimg.com/profile_images/719493338953609216/HOWuI2Az_normal.jpg" xr:uid="{50D9EDFC-DA45-402D-BA74-62D4C8319EC3}"/>
    <hyperlink ref="B2914" r:id="rId8785" display="https://twitter.com/DanielKueng" xr:uid="{EAE40A03-64BC-4153-909A-41117A9D0D14}"/>
    <hyperlink ref="E2914" r:id="rId8786" display="https://twitter.com/DanielKueng/status/723812005556158464" xr:uid="{5DA0ED11-1197-4E60-A06E-EA0854AD3E22}"/>
    <hyperlink ref="O2914" r:id="rId8787" display="https://pbs.twimg.com/profile_images/709490937043492865/GYoQPOCZ_normal.jpg" xr:uid="{919D2479-D803-4117-9000-85AE727A328B}"/>
    <hyperlink ref="B2915" r:id="rId8788" display="https://twitter.com/DigitalTrans_HS" xr:uid="{942547AF-7A6D-4F04-914C-90A1130179A7}"/>
    <hyperlink ref="E2915" r:id="rId8789" display="https://twitter.com/DigitalTrans_HS/status/723813130913107968" xr:uid="{F8B4C579-D2BC-4FF8-B591-5833CDAF3049}"/>
    <hyperlink ref="O2915" r:id="rId8790" display="https://pbs.twimg.com/profile_images/685894100067991553/nISPLP0O_normal.jpg" xr:uid="{57AAC070-DD35-4B45-BAAC-264806692792}"/>
    <hyperlink ref="B2916" r:id="rId8791" display="https://twitter.com/Fraunhofer_IPK" xr:uid="{37E2248B-2482-4C14-95DA-EFA5965B73FA}"/>
    <hyperlink ref="E2916" r:id="rId8792" display="https://twitter.com/Fraunhofer_IPK/status/723813888664416258" xr:uid="{3BAADB71-F27D-4406-A39D-2EE73AE01F40}"/>
    <hyperlink ref="O2916" r:id="rId8793" display="https://pbs.twimg.com/profile_images/641947928584712192/ipWeRmfs_normal.png" xr:uid="{3AD57086-885C-4D18-BE00-13B7DC049579}"/>
    <hyperlink ref="B2917" r:id="rId8794" display="https://twitter.com/H_IT_D" xr:uid="{B8D9271B-4830-4A51-A7B5-3E7C0D50397A}"/>
    <hyperlink ref="E2917" r:id="rId8795" display="https://twitter.com/H_IT_D/status/723814576450506752" xr:uid="{71BB7319-8795-436F-A5A3-623C17705802}"/>
    <hyperlink ref="O2917" r:id="rId8796" display="https://pbs.twimg.com/profile_images/662723326096224256/5V4KH9_O_normal.jpg" xr:uid="{F97132BA-2CB9-4C18-89D2-341BD81D9BF6}"/>
    <hyperlink ref="B2918" r:id="rId8797" display="https://twitter.com/BDI_TTIP" xr:uid="{66C1E2CE-304C-465A-8152-AAF333FD56AA}"/>
    <hyperlink ref="E2918" r:id="rId8798" display="https://twitter.com/BDI_TTIP/status/723814818164183041" xr:uid="{6DE2CF8E-E724-47CA-8B52-ACFDFDBD5576}"/>
    <hyperlink ref="O2918" r:id="rId8799" display="https://pbs.twimg.com/profile_images/613736257013829633/hZjw40vm_normal.jpg" xr:uid="{137B363F-47D6-4DFC-8893-E6C1CE38B899}"/>
    <hyperlink ref="B2919" r:id="rId8800" display="https://twitter.com/ArminLaschet" xr:uid="{537C984D-36A1-4FDC-A48F-20E84871F59B}"/>
    <hyperlink ref="E2919" r:id="rId8801" display="https://twitter.com/ArminLaschet/status/723815283534733312" xr:uid="{4E5BF95E-91B4-41A2-B13C-7F888919784B}"/>
    <hyperlink ref="O2919" r:id="rId8802" display="https://pbs.twimg.com/profile_images/581820655919894528/dFT2Qrci_normal.jpg" xr:uid="{7FC5A2B5-7A74-46DA-9DEE-FE1F417841AE}"/>
    <hyperlink ref="B2920" r:id="rId8803" display="https://twitter.com/Hallaschka_HH" xr:uid="{F71B16B9-6659-46BB-9F66-3CCD3F49225E}"/>
    <hyperlink ref="E2920" r:id="rId8804" display="https://twitter.com/Hallaschka_HH/status/723816387370737664" xr:uid="{5956223B-B02E-439C-95DF-E41CC50FBD8B}"/>
    <hyperlink ref="O2920" r:id="rId8805" display="https://pbs.twimg.com/profile_images/668824909116809220/Wb-7Gely_normal.jpg" xr:uid="{17BB0C97-3BAC-4B22-8302-853CB5061E9A}"/>
    <hyperlink ref="B2921" r:id="rId8806" display="https://twitter.com/Alleantiasrl" xr:uid="{85C34C26-C536-4FAD-843D-DBCE6D7BC674}"/>
    <hyperlink ref="E2921" r:id="rId8807" display="https://twitter.com/Alleantiasrl/status/723816394819796993" xr:uid="{55F640F2-80B9-46FA-A1BA-79346CE37F1C}"/>
    <hyperlink ref="O2921" r:id="rId8808" display="https://pbs.twimg.com/profile_images/597736386381352960/cF4axGNr_normal.png" xr:uid="{47AF00C9-3A4E-4650-AA2E-0B9B957E65AF}"/>
    <hyperlink ref="B2922" r:id="rId8809" display="https://twitter.com/IngVersteher" xr:uid="{8A31EBA7-6210-4F3F-9324-73D8EFD0BE10}"/>
    <hyperlink ref="E2922" r:id="rId8810" display="https://twitter.com/IngVersteher/status/723820743008628736" xr:uid="{BCABF3B6-F4C5-423D-9923-AA6BAD64264E}"/>
    <hyperlink ref="O2922" r:id="rId8811" display="https://pbs.twimg.com/profile_images/662218041833480192/KybAndDY_normal.jpg" xr:uid="{E5F699F8-E526-4919-969B-20A7A65D1E06}"/>
    <hyperlink ref="B2923" r:id="rId8812" display="https://twitter.com/YasharAzad" xr:uid="{1F495EA3-1C56-4CE2-B7CA-5060D9190B02}"/>
    <hyperlink ref="E2923" r:id="rId8813" display="https://twitter.com/YasharAzad/status/723821135138312192" xr:uid="{9AC072FC-746A-4FDE-B01D-DB50B4A57772}"/>
    <hyperlink ref="O2923" r:id="rId8814" display="https://pbs.twimg.com/profile_images/589085549564186624/DdqwNz5R_normal.jpg" xr:uid="{909074BD-FFFF-4B9B-B1E8-F85A101AA17F}"/>
    <hyperlink ref="B2924" r:id="rId8815" display="https://twitter.com/roncza" xr:uid="{224E26ED-9305-46BF-98AC-A3F1E67DD560}"/>
    <hyperlink ref="E2924" r:id="rId8816" display="https://twitter.com/roncza/status/723824021591171072" xr:uid="{D01C799D-E737-4025-869C-ACACFCA18CE6}"/>
    <hyperlink ref="O2924" r:id="rId8817" display="https://pbs.twimg.com/profile_images/378800000406906661/149175410caa2e6cd6a91c3c34ed0d1d_normal.jpeg" xr:uid="{58F0F51A-7A41-46E8-B1F6-B9BC96715D94}"/>
    <hyperlink ref="B2925" r:id="rId8818" display="https://twitter.com/THINK_ING" xr:uid="{FA1CC6D1-121F-4373-9067-05F3E2FBD801}"/>
    <hyperlink ref="E2925" r:id="rId8819" display="https://twitter.com/THINK_ING/status/723825484996456452" xr:uid="{63E41072-DF02-4279-B93E-98C54322D7A7}"/>
    <hyperlink ref="O2925" r:id="rId8820" display="https://pbs.twimg.com/profile_images/3191720682/19efed020ebf3a2098abea8c1436d948_normal.jpeg" xr:uid="{94674322-3DB7-4EE9-A3F7-180B47288D50}"/>
    <hyperlink ref="B2926" r:id="rId8821" display="https://twitter.com/indranilsircar" xr:uid="{A0752C1D-97AA-45D5-BF52-ED947DC368C4}"/>
    <hyperlink ref="E2926" r:id="rId8822" display="https://twitter.com/indranilsircar/status/723826642276233217" xr:uid="{9AE6BB9D-477E-48D3-9795-7D6B316A41EE}"/>
    <hyperlink ref="O2926" r:id="rId8823" display="https://pbs.twimg.com/profile_images/2763363533/49b4e33373dcb680d42bb592875c3684_normal.png" xr:uid="{83FF7D54-0504-4566-B7B4-42BE2E0B3833}"/>
    <hyperlink ref="B2927" r:id="rId8824" display="https://twitter.com/INDIZbot" xr:uid="{7CE4E2E7-38EF-43BB-9A2D-B1E8D66C0CB8}"/>
    <hyperlink ref="E2927" r:id="rId8825" display="https://twitter.com/INDIZbot/status/723826725659000836" xr:uid="{2C77B99E-AB06-4885-980B-AE01F0F76D65}"/>
    <hyperlink ref="O2927" r:id="rId8826" display="https://pbs.twimg.com/profile_images/645716711723925506/t5G0qOS6_normal.jpg" xr:uid="{61D7FC36-C4D0-4E1A-854F-CC947381C531}"/>
    <hyperlink ref="B2928" r:id="rId8827" display="https://twitter.com/verlinked" xr:uid="{B6ADAF4E-367B-424F-A5F6-C449BAC5DDCD}"/>
    <hyperlink ref="E2928" r:id="rId8828" display="https://twitter.com/verlinked/status/723826795259265024" xr:uid="{686CA38E-88C4-4208-A23A-A6DB5885D6CC}"/>
    <hyperlink ref="O2928" r:id="rId8829" display="https://pbs.twimg.com/profile_images/722385992343285760/ww8YLZ2q_normal.jpg" xr:uid="{32653A8C-A6B0-4B5C-BE6A-1278BCD9B120}"/>
    <hyperlink ref="B2929" r:id="rId8830" display="https://twitter.com/MeinGeldMedien" xr:uid="{4074C1C6-2136-430C-B486-E1F263AEE014}"/>
    <hyperlink ref="E2929" r:id="rId8831" display="https://twitter.com/MeinGeldMedien/status/723828998351011840" xr:uid="{9E9F0002-AE81-449B-AA67-AE7604ADE1FC}"/>
    <hyperlink ref="O2929" r:id="rId8832" display="https://pbs.twimg.com/profile_images/473759721023758338/3CcJL-Vq_normal.jpeg" xr:uid="{E71E7880-E223-45CA-8F04-4A956B3EFCB1}"/>
    <hyperlink ref="B2930" r:id="rId8833" display="https://twitter.com/INDIZbot" xr:uid="{8C036C8E-51BA-459C-B107-A980BBD461B8}"/>
    <hyperlink ref="E2930" r:id="rId8834" display="https://twitter.com/INDIZbot/status/723829331932393472" xr:uid="{E0594140-AD11-464F-991F-FA2F682EE08B}"/>
    <hyperlink ref="O2930" r:id="rId8835" display="https://pbs.twimg.com/profile_images/645716711723925506/t5G0qOS6_normal.jpg" xr:uid="{B98C89ED-C924-4968-81FB-1186251FAFD2}"/>
    <hyperlink ref="B2931" r:id="rId8836" display="https://twitter.com/JuergenAnke" xr:uid="{530A3DA9-8963-4C44-94A3-7DEF9995BBA5}"/>
    <hyperlink ref="E2931" r:id="rId8837" display="https://twitter.com/JuergenAnke/status/723832072440299520" xr:uid="{BD96FDAB-642E-4617-8C51-EF2761C46387}"/>
    <hyperlink ref="O2931" r:id="rId8838" display="https://pbs.twimg.com/profile_images/704412271347437569/O-XVo7Kh_normal.jpg" xr:uid="{DEDECA34-0451-41A3-9AE3-857B88A33D69}"/>
    <hyperlink ref="B2932" r:id="rId8839" display="https://twitter.com/cricket2771" xr:uid="{3D4685D4-6880-4EDD-A55C-F10D3B33CF7B}"/>
    <hyperlink ref="E2932" r:id="rId8840" display="https://twitter.com/cricket2771/status/723833006415314945" xr:uid="{68B6B14F-8CB9-4526-AC2D-205559289804}"/>
    <hyperlink ref="O2932" r:id="rId8841" display="https://pbs.twimg.com/profile_images/3240744232/bb2f3bea85e6fc4af06b03c832e4a45e_normal.png" xr:uid="{7312917B-9B28-47E8-8127-11A5F5309EE3}"/>
    <hyperlink ref="B2933" r:id="rId8842" display="https://twitter.com/TU_KL" xr:uid="{F946B2AA-7DD0-49F5-A389-8ED561755D43}"/>
    <hyperlink ref="E2933" r:id="rId8843" display="https://twitter.com/TU_KL/status/723838619484622848" xr:uid="{0516ECB9-FFD7-44A7-A0B4-4123EA42B465}"/>
    <hyperlink ref="O2933" r:id="rId8844" display="https://pbs.twimg.com/profile_images/750105032/SQUARE_KIT-Logo_f_r_Web_SQUARE__normal.png" xr:uid="{E06A31E9-7070-4217-AA4C-862817B3C204}"/>
    <hyperlink ref="B2934" r:id="rId8845" display="https://twitter.com/automatisierer" xr:uid="{B960562F-5B36-44A8-9BEC-13FD7B4F9D6A}"/>
    <hyperlink ref="E2934" r:id="rId8846" display="https://twitter.com/automatisierer/status/723840740674166785" xr:uid="{6F28DFA3-78C6-4FB1-A1C7-1ED2C596C2E1}"/>
    <hyperlink ref="O2934" r:id="rId8847" display="https://pbs.twimg.com/profile_images/378989830/Reinhard-Portrait_normal.jpg" xr:uid="{BA0AF076-7281-4CA4-89D4-0BA6C7F23C82}"/>
    <hyperlink ref="B2935" r:id="rId8848" display="https://twitter.com/adoverdevest" xr:uid="{448527D5-B799-44F6-A832-B4EB9E6B70EE}"/>
    <hyperlink ref="E2935" r:id="rId8849" display="https://twitter.com/adoverdevest/status/723841698581848068" xr:uid="{B3DC5798-9FF8-436D-95BC-6BD9A5F68DAA}"/>
    <hyperlink ref="O2935" r:id="rId8850" display="https://pbs.twimg.com/profile_images/1170260501/DSCF0188_normal.JPG" xr:uid="{699580AA-595D-4391-9B90-1C868C99A23B}"/>
    <hyperlink ref="B2936" r:id="rId8851" display="https://twitter.com/INDIZbot" xr:uid="{733F82DF-E421-4F08-B85F-8173B8DC1DB6}"/>
    <hyperlink ref="E2936" r:id="rId8852" display="https://twitter.com/INDIZbot/status/723842127835348992" xr:uid="{39FAD7E7-4913-4A9E-8F8F-469B80CC8CAF}"/>
    <hyperlink ref="O2936" r:id="rId8853" display="https://pbs.twimg.com/profile_images/645716711723925506/t5G0qOS6_normal.jpg" xr:uid="{AFD0C05A-5A1D-423D-9C87-E49670AD9C92}"/>
    <hyperlink ref="B2937" r:id="rId8854" display="https://twitter.com/KStepping" xr:uid="{C611525C-9B6A-4434-AEBC-68FC6B3908C0}"/>
    <hyperlink ref="E2937" r:id="rId8855" display="https://twitter.com/KStepping/status/723843650237698048" xr:uid="{6ECAE3D1-18A8-4856-ACC0-768C064D86EB}"/>
    <hyperlink ref="O2937" r:id="rId8856" display="https://pbs.twimg.com/profile_images/481006931952160769/bYcb_tLb_normal.jpeg" xr:uid="{2125ADB1-7DDC-4A0F-A720-44C7FD1699BF}"/>
    <hyperlink ref="B2938" r:id="rId8857" display="https://twitter.com/KStepping" xr:uid="{E2C31A41-92E5-4455-8739-F6BB9A4F4E05}"/>
    <hyperlink ref="E2938" r:id="rId8858" display="https://twitter.com/KStepping/status/723843774804287488" xr:uid="{15F742A3-145A-4963-B981-52353F6DB9BF}"/>
    <hyperlink ref="O2938" r:id="rId8859" display="https://pbs.twimg.com/profile_images/481006931952160769/bYcb_tLb_normal.jpeg" xr:uid="{3C57B8B0-F751-4677-90C3-541AF3224941}"/>
    <hyperlink ref="B2939" r:id="rId8860" display="https://twitter.com/siluad" xr:uid="{AC2E4608-0826-42F0-BABD-3C785EDEB602}"/>
    <hyperlink ref="E2939" r:id="rId8861" display="https://twitter.com/siluad/status/723843810040680448" xr:uid="{27D6422E-9A5A-48DA-BAF7-09F4FDEAB213}"/>
    <hyperlink ref="O2939" r:id="rId8862" display="https://pbs.twimg.com/profile_images/661959266778107904/cq5E1hNa_normal.jpg" xr:uid="{2A8DC9AC-08C0-408F-8FFD-39AC0695EDE7}"/>
    <hyperlink ref="B2940" r:id="rId8863" display="https://twitter.com/VDMAonline" xr:uid="{7C64C702-78D0-4D9E-BDEF-3D1AD0E69365}"/>
    <hyperlink ref="E2940" r:id="rId8864" display="https://twitter.com/VDMAonline/status/723843933357268992" xr:uid="{4ECB5698-9A5B-4C64-9C9A-5FAEA534BDB8}"/>
    <hyperlink ref="O2940" r:id="rId8865" display="https://pbs.twimg.com/profile_images/609375510158774272/P5glOk4b_normal.jpg" xr:uid="{2113BD33-A0FC-4A06-B6B2-BD91ED28BBDE}"/>
    <hyperlink ref="B2941" r:id="rId8866" display="https://twitter.com/INDIZbot" xr:uid="{C86C0984-BC61-4AAC-8FA5-D016CBBAF603}"/>
    <hyperlink ref="E2941" r:id="rId8867" display="https://twitter.com/INDIZbot/status/723844153440894976" xr:uid="{7D0F49DD-67BE-4A6F-9AC0-D07F488EBC58}"/>
    <hyperlink ref="O2941" r:id="rId8868" display="https://pbs.twimg.com/profile_images/645716711723925506/t5G0qOS6_normal.jpg" xr:uid="{1D94AAC1-04C9-444A-BDF7-87E8CDE6858E}"/>
    <hyperlink ref="B2942" r:id="rId8869" display="https://twitter.com/INDIZbot" xr:uid="{7F91BCB0-BF6A-4BD7-A45F-0625F15CC74B}"/>
    <hyperlink ref="E2942" r:id="rId8870" display="https://twitter.com/INDIZbot/status/723844205978722304" xr:uid="{94DFE646-1D58-497B-B411-22D369ED2624}"/>
    <hyperlink ref="O2942" r:id="rId8871" display="https://pbs.twimg.com/profile_images/645716711723925506/t5G0qOS6_normal.jpg" xr:uid="{F33533FE-CD4A-422E-BBD0-D43D0B991BBF}"/>
    <hyperlink ref="B2943" r:id="rId8872" display="https://twitter.com/CSGermany" xr:uid="{D07CB3DD-CC94-4E4A-B390-7C24FA1D6B45}"/>
    <hyperlink ref="E2943" r:id="rId8873" display="https://twitter.com/CSGermany/status/723846093205807104" xr:uid="{D50C11DF-6445-430F-A320-C26DA8AE73FD}"/>
    <hyperlink ref="O2943" r:id="rId8874" display="https://pbs.twimg.com/profile_images/518189608098869249/udoveSaH_normal.jpeg" xr:uid="{1FFDEEAC-8BDC-4918-B251-D4EB219863CA}"/>
    <hyperlink ref="B2944" r:id="rId8875" display="https://twitter.com/KUKA_Presse" xr:uid="{1C37B498-8E44-445E-A27E-5F8E07A77C9E}"/>
    <hyperlink ref="E2944" r:id="rId8876" display="https://twitter.com/KUKA_Presse/status/723846685676412929" xr:uid="{4F1AF89F-286F-42A7-B2FD-F8706777071F}"/>
    <hyperlink ref="O2944" r:id="rId8877" display="https://pbs.twimg.com/profile_images/702049280098443264/NIaxL0xT_normal.png" xr:uid="{3527D759-13C6-4903-A511-236B87FA54EC}"/>
    <hyperlink ref="B2945" r:id="rId8878" display="https://twitter.com/KUKA_RoboticsDE" xr:uid="{F37DA641-C1C0-4649-A319-65F9C66F7EA2}"/>
    <hyperlink ref="E2945" r:id="rId8879" display="https://twitter.com/KUKA_RoboticsDE/status/723846719348322304" xr:uid="{74564DF0-D9E9-4996-951B-B1E987278100}"/>
    <hyperlink ref="O2945" r:id="rId8880" display="https://pbs.twimg.com/profile_images/704767814406643712/VcnCdfke_normal.jpg" xr:uid="{3995BCAF-1B32-400C-AF57-42C086BD9001}"/>
    <hyperlink ref="B2946" r:id="rId8881" display="https://twitter.com/CSGermany" xr:uid="{392C8925-AC59-4D54-8E44-08C2E3378E8E}"/>
    <hyperlink ref="E2946" r:id="rId8882" display="https://twitter.com/CSGermany/status/723848167838625793" xr:uid="{4FA74EDF-83E2-46D5-A9FE-F40F2A6A0A5C}"/>
    <hyperlink ref="O2946" r:id="rId8883" display="https://pbs.twimg.com/profile_images/518189608098869249/udoveSaH_normal.jpeg" xr:uid="{2F2D19ED-7415-40FC-ACBC-AA729E601579}"/>
    <hyperlink ref="B2947" r:id="rId8884" display="https://twitter.com/ZVEIorg" xr:uid="{7EA2730C-6494-493F-90EF-E0FF847EC7FC}"/>
    <hyperlink ref="E2947" r:id="rId8885" display="https://twitter.com/ZVEIorg/status/723848652284895232" xr:uid="{2E57C9B7-469B-4EE4-BE78-47981AAB2D5A}"/>
    <hyperlink ref="O2947" r:id="rId8886" display="https://pbs.twimg.com/profile_images/479147477975588864/z94n3mRF_normal.jpeg" xr:uid="{AAF53C2F-4B5B-4ABC-B1C6-D9C60FAB108B}"/>
    <hyperlink ref="B2948" r:id="rId8887" display="https://twitter.com/mueller_karsten" xr:uid="{AD68AB06-D5E0-434C-8700-A376987FF264}"/>
    <hyperlink ref="E2948" r:id="rId8888" display="https://twitter.com/mueller_karsten/status/723849076966604800" xr:uid="{BA1C2900-C293-4B55-A7A8-5436C4BF66D2}"/>
    <hyperlink ref="O2948" r:id="rId8889" display="https://pbs.twimg.com/profile_images/514530926475223040/f_eBYNPf_normal.jpeg" xr:uid="{0C0CADB1-1263-46F8-98B5-969213601BE9}"/>
    <hyperlink ref="B2949" r:id="rId8890" display="https://twitter.com/VDMAonline" xr:uid="{3A785ACB-6216-4897-8DD6-55BD30B51BD3}"/>
    <hyperlink ref="E2949" r:id="rId8891" display="https://twitter.com/VDMAonline/status/723850142688907264" xr:uid="{AF23B405-953F-4775-BB42-CEE53406AA3F}"/>
    <hyperlink ref="O2949" r:id="rId8892" display="https://pbs.twimg.com/profile_images/609375510158774272/P5glOk4b_normal.jpg" xr:uid="{AB5B5C57-EC63-43A4-8434-05AAF90FD8AC}"/>
    <hyperlink ref="B2950" r:id="rId8893" display="https://twitter.com/ZVEIorg" xr:uid="{B5107A2F-4689-476B-9979-9A4A2898C490}"/>
    <hyperlink ref="E2950" r:id="rId8894" display="https://twitter.com/ZVEIorg/status/723850470847029249" xr:uid="{DB692AC3-2B23-4304-8AAF-CF23E49CA7C9}"/>
    <hyperlink ref="O2950" r:id="rId8895" display="https://pbs.twimg.com/profile_images/479147477975588864/z94n3mRF_normal.jpeg" xr:uid="{CF126DAB-75C0-43BA-8DD4-DACD9FB17BEE}"/>
    <hyperlink ref="B2951" r:id="rId8896" display="https://twitter.com/kommoptimierer" xr:uid="{E6D54E41-31C4-4E76-900D-0A91076B74DD}"/>
    <hyperlink ref="E2951" r:id="rId8897" display="https://twitter.com/kommoptimierer/status/723852896308224001" xr:uid="{51640CB8-87B2-4E5F-8E86-63138CB41F73}"/>
    <hyperlink ref="O2951" r:id="rId8898" display="https://pbs.twimg.com/profile_images/541146126158536704/IYardufS_normal.jpeg" xr:uid="{500F54B6-A8EE-4474-8A46-28B20A9D4819}"/>
    <hyperlink ref="B2952" r:id="rId8899" display="https://twitter.com/SAPFrance" xr:uid="{AEE59541-BADD-4148-AC3F-F460A3616397}"/>
    <hyperlink ref="E2952" r:id="rId8900" display="https://twitter.com/SAPFrance/status/723854702098690048" xr:uid="{6F7FCA67-9AFB-4867-81B8-FACFA579B60F}"/>
    <hyperlink ref="O2952" r:id="rId8901" display="https://pbs.twimg.com/profile_images/713021101106995200/w4EIzjMN_normal.jpg" xr:uid="{97912F27-E600-4A85-8E3E-E22645CB967A}"/>
    <hyperlink ref="B2953" r:id="rId8902" display="https://twitter.com/MECSPE" xr:uid="{3302EFF0-CB6F-4C64-8582-9F61114E2FC9}"/>
    <hyperlink ref="E2953" r:id="rId8903" display="https://twitter.com/MECSPE/status/723856262253912064" xr:uid="{910D0770-0B62-49DC-B55B-AB3A3AD647C7}"/>
    <hyperlink ref="O2953" r:id="rId8904" display="https://pbs.twimg.com/profile_images/659008633972240385/dfzvFsKZ_normal.png" xr:uid="{A79FD96A-FC50-498D-B2EB-268F9FA5A20F}"/>
    <hyperlink ref="B2954" r:id="rId8905" display="https://twitter.com/verlinked" xr:uid="{F678BBD5-BAB3-47FE-AE9B-653555C9282D}"/>
    <hyperlink ref="E2954" r:id="rId8906" display="https://twitter.com/verlinked/status/723859021099233281" xr:uid="{5E0BC8A2-A32F-429F-964F-4F4D65DC7086}"/>
    <hyperlink ref="O2954" r:id="rId8907" display="https://pbs.twimg.com/profile_images/722385992343285760/ww8YLZ2q_normal.jpg" xr:uid="{7F1FABC7-928A-41EB-AB1F-ECB924D79013}"/>
    <hyperlink ref="B2955" r:id="rId8908" display="https://twitter.com/CapgeminiDE" xr:uid="{0BB218EE-1036-47F5-A75A-1DC86AA7ABE9}"/>
    <hyperlink ref="E2955" r:id="rId8909" display="https://twitter.com/CapgeminiDE/status/723860350450413568" xr:uid="{B3860528-B0BF-4F63-B5D0-A90D67DF1D05}"/>
    <hyperlink ref="O2955" r:id="rId8910" display="https://pbs.twimg.com/profile_images/666911961599315968/aP7ID_qm_normal.png" xr:uid="{F4459D0B-4D4A-44E9-AEE6-1A2743388B6D}"/>
    <hyperlink ref="B2956" r:id="rId8911" display="https://twitter.com/deviceWISEM2M" xr:uid="{A8DD316E-363B-4445-B54A-7CE1535ECBE7}"/>
    <hyperlink ref="E2956" r:id="rId8912" display="https://twitter.com/deviceWISEM2M/status/723861737666154496" xr:uid="{C8E48B32-C746-41E6-B8B9-D397B2DA6410}"/>
    <hyperlink ref="O2956" r:id="rId8913" display="https://pbs.twimg.com/profile_images/638707523160272896/YonVe2-H_normal.jpg" xr:uid="{E3359612-5DD2-4549-86DE-0DCF8C76E625}"/>
    <hyperlink ref="B2957" r:id="rId8914" display="https://twitter.com/hannover_messe" xr:uid="{80B0B647-7383-4FD5-8939-58B444B3B970}"/>
    <hyperlink ref="E2957" r:id="rId8915" display="https://twitter.com/hannover_messe/status/723863196805808128" xr:uid="{4F0D841C-48A7-4F7C-A18E-879ABEF6AF51}"/>
    <hyperlink ref="O2957" r:id="rId8916" display="https://pbs.twimg.com/profile_images/685255985/Bild_2_normal.png" xr:uid="{D4C5B541-EB3A-4F06-B30D-2494B4CD60FC}"/>
    <hyperlink ref="B2958" r:id="rId8917" display="https://twitter.com/laurie_cyril" xr:uid="{E881ECF9-875C-4739-B48F-3501B88B5757}"/>
    <hyperlink ref="E2958" r:id="rId8918" display="https://twitter.com/laurie_cyril/status/723864044373966848" xr:uid="{37B7A3C8-ACD4-46FB-8EB5-862FBDCFBB6A}"/>
    <hyperlink ref="O2958" r:id="rId8919" display="https://abs.twimg.com/sticky/default_profile_images/default_profile_2_normal.png" xr:uid="{59660BD2-F386-4F74-B191-795BF3B0E0CD}"/>
    <hyperlink ref="B2959" r:id="rId8920" display="https://twitter.com/_damoca" xr:uid="{8594E412-7A55-4D5A-9E78-417D2F0EB55C}"/>
    <hyperlink ref="E2959" r:id="rId8921" display="https://twitter.com/_damoca/status/723864055597903872" xr:uid="{7F1BD07F-4374-45C2-8A58-D1CF18216800}"/>
    <hyperlink ref="O2959" r:id="rId8922" display="https://pbs.twimg.com/profile_images/701539571977289728/ulvjpEZ4_normal.jpg" xr:uid="{C4521B0B-00DB-451F-858A-5288D3423DB8}"/>
    <hyperlink ref="B2960" r:id="rId8923" display="https://twitter.com/KUKA_RoboticsDE" xr:uid="{9969785D-8E02-4A76-98E9-D63C902975A9}"/>
    <hyperlink ref="E2960" r:id="rId8924" display="https://twitter.com/KUKA_RoboticsDE/status/723866008017055744" xr:uid="{A5CCC852-E9B6-4D67-B4A5-BC20DC55C47D}"/>
    <hyperlink ref="O2960" r:id="rId8925" display="https://pbs.twimg.com/profile_images/704767814406643712/VcnCdfke_normal.jpg" xr:uid="{AE313F6C-1A97-4847-8DB4-4D2B83FC564B}"/>
    <hyperlink ref="B2961" r:id="rId8926" display="https://twitter.com/CullenVerena" xr:uid="{53955EAF-B551-4314-8278-CB62AD3503C8}"/>
    <hyperlink ref="E2961" r:id="rId8927" display="https://twitter.com/CullenVerena/status/723866822613819392" xr:uid="{5444A8B2-1A6B-4DCE-8FA5-FE6099EAAEC5}"/>
    <hyperlink ref="O2961" r:id="rId8928" display="https://pbs.twimg.com/profile_images/711495439430893568/IBnIHYGK_normal.jpg" xr:uid="{C61A4B57-A35B-4B99-8F4B-20EC9CBB832C}"/>
    <hyperlink ref="B2962" r:id="rId8929" display="https://twitter.com/Bitkom" xr:uid="{ECDF407A-F8A2-4E0C-BF2E-E80AB57F1E85}"/>
    <hyperlink ref="E2962" r:id="rId8930" display="https://twitter.com/Bitkom/status/723867245127061504" xr:uid="{C24C5819-E79D-4020-9374-D0D80F9FFE19}"/>
    <hyperlink ref="O2962" r:id="rId8931" display="https://pbs.twimg.com/profile_images/615797525040136192/CKF9-v_o_normal.jpg" xr:uid="{2536EF58-E19A-44DB-A694-518355C266E4}"/>
    <hyperlink ref="B2963" r:id="rId8932" display="https://twitter.com/_damoca" xr:uid="{03FB43C5-E578-47D4-91A4-9038431768C4}"/>
    <hyperlink ref="E2963" r:id="rId8933" display="https://twitter.com/_damoca/status/723867419501039618" xr:uid="{1F4D1E12-56A9-4C07-89A2-FE1C364445C4}"/>
    <hyperlink ref="O2963" r:id="rId8934" display="https://pbs.twimg.com/profile_images/701539571977289728/ulvjpEZ4_normal.jpg" xr:uid="{AF85804F-3372-4C3C-AF42-DDCD5B975742}"/>
    <hyperlink ref="B2964" r:id="rId8935" display="https://twitter.com/ITK_OWL" xr:uid="{F1C1103E-F432-478F-8F56-1507A4619442}"/>
    <hyperlink ref="E2964" r:id="rId8936" display="https://twitter.com/ITK_OWL/status/723867435573633025" xr:uid="{411DAD03-A4A7-4824-8503-F5FDF2577EE0}"/>
    <hyperlink ref="O2964" r:id="rId8937" display="https://pbs.twimg.com/profile_images/601673968551075840/MnulnKkj_normal.png" xr:uid="{FCE8940E-4023-4791-8406-857164C7CC53}"/>
    <hyperlink ref="B2965" r:id="rId8938" display="https://twitter.com/Bitkom_I40" xr:uid="{FDD4A506-AF33-4925-9234-B54347FAE7D9}"/>
    <hyperlink ref="E2965" r:id="rId8939" display="https://twitter.com/Bitkom_I40/status/723868292247482368" xr:uid="{0B102A07-B8CF-4233-95F2-B72B7106E521}"/>
    <hyperlink ref="O2965" r:id="rId8940" display="https://pbs.twimg.com/profile_images/723407487395713024/0hZv7R8S_normal.jpg" xr:uid="{1204A302-3101-414D-B7CC-590DB7A5FC7F}"/>
    <hyperlink ref="B2966" r:id="rId8941" display="https://twitter.com/virtual_escapes" xr:uid="{5FDF9F56-9562-4ED7-8595-0B6A427F7F63}"/>
    <hyperlink ref="E2966" r:id="rId8942" display="https://twitter.com/virtual_escapes/status/723869208447209472" xr:uid="{229BBD84-7A15-4976-88AD-A10E01B1D1F1}"/>
    <hyperlink ref="O2966" r:id="rId8943" display="https://pbs.twimg.com/profile_images/712662993620733953/F-6uyGg3_normal.jpg" xr:uid="{8ED7106D-1D80-4312-9365-220B0DF5BC20}"/>
    <hyperlink ref="B2967" r:id="rId8944" display="https://twitter.com/cwittrich" xr:uid="{53BD8DFF-668D-4CBF-AD8F-70C6E1BB47DD}"/>
    <hyperlink ref="E2967" r:id="rId8945" display="https://twitter.com/cwittrich/status/723869992874303488" xr:uid="{AFD1BE9D-1240-4DCE-94CE-79EFF220A1D2}"/>
    <hyperlink ref="O2967" r:id="rId8946" display="https://pbs.twimg.com/profile_images/378800000226687289/bfbd0587532c5aaf72b7ecdc4f40d659_normal.png" xr:uid="{06C9C5FA-0D06-4127-B9BD-74E7B1395A3C}"/>
    <hyperlink ref="B2968" r:id="rId8947" display="https://twitter.com/croXXing_IBD" xr:uid="{854471FD-BC5D-4436-904A-2405301DD9DB}"/>
    <hyperlink ref="E2968" r:id="rId8948" display="https://twitter.com/croXXing_IBD/status/723870193206865920" xr:uid="{5517B0B2-3F94-41A5-933E-53D4AD11F6C1}"/>
    <hyperlink ref="O2968" r:id="rId8949" display="https://pbs.twimg.com/profile_images/600279861282869249/IpIJ3MKX_normal.png" xr:uid="{0104C090-485B-44A4-9204-1EB67AA30C15}"/>
    <hyperlink ref="B2969" r:id="rId8950" display="https://twitter.com/Siemens_JobsMEA" xr:uid="{A7F4565C-800E-4F79-BFCD-67BAD0D5B662}"/>
    <hyperlink ref="E2969" r:id="rId8951" display="https://twitter.com/Siemens_JobsMEA/status/723871313803259904" xr:uid="{0590F622-B719-47D2-B6A3-F02661937997}"/>
    <hyperlink ref="O2969" r:id="rId8952" display="https://pbs.twimg.com/profile_images/470492302394155009/7OebaSwV_normal.png" xr:uid="{8D4CB5A2-0210-4BA1-A163-7F3346877B0A}"/>
    <hyperlink ref="B2970" r:id="rId8953" display="https://twitter.com/neilmead" xr:uid="{E55782EF-E294-416D-9193-3E3EE7BFF2B9}"/>
    <hyperlink ref="E2970" r:id="rId8954" display="https://twitter.com/neilmead/status/723871802359951360" xr:uid="{6B8BDBAC-8A4C-4DA2-9055-87F368A4A264}"/>
    <hyperlink ref="O2970" r:id="rId8955" display="https://pbs.twimg.com/profile_images/497481376275255296/s_e5Ucqk_normal.jpeg" xr:uid="{A8F39459-4AF6-4DA2-B0D7-5F56EAB7D1C0}"/>
    <hyperlink ref="B2971" r:id="rId8956" display="https://twitter.com/JuergenGietl" xr:uid="{51E8D8AD-2F4E-48CD-802E-BC80ACC2C1A0}"/>
    <hyperlink ref="E2971" r:id="rId8957" display="https://twitter.com/JuergenGietl/status/723873882919342080" xr:uid="{EBC44E82-A4FA-42E5-A997-965F0A7330E4}"/>
    <hyperlink ref="O2971" r:id="rId8958" display="https://pbs.twimg.com/profile_images/647699835118817280/Em18Kfoc_normal.jpg" xr:uid="{BDA51BF9-2BD5-46E4-A6DC-A27F856439B6}"/>
    <hyperlink ref="B2972" r:id="rId8959" display="https://twitter.com/TABC_Council" xr:uid="{AB5C1D54-D6DC-4725-BCAC-05895FADCBE8}"/>
    <hyperlink ref="E2972" r:id="rId8960" display="https://twitter.com/TABC_Council/status/723873954008555522" xr:uid="{57086DC8-2525-4281-BCBB-E3F962347315}"/>
    <hyperlink ref="O2972" r:id="rId8961" display="https://pbs.twimg.com/profile_images/378800000105054518/0c3999c534453f2da5d9f0cadf2e00d9_normal.jpeg" xr:uid="{7EE582E9-7935-41B9-9354-B2F6797D161C}"/>
    <hyperlink ref="B2973" r:id="rId8962" display="https://twitter.com/hannover_messe" xr:uid="{B94E31D9-4EE7-4DA9-BDB2-E408B6A0EAD0}"/>
    <hyperlink ref="E2973" r:id="rId8963" display="https://twitter.com/hannover_messe/status/723874456339398656" xr:uid="{3C11F54D-19D3-4212-94D9-FB511DE7EF95}"/>
    <hyperlink ref="O2973" r:id="rId8964" display="https://pbs.twimg.com/profile_images/685255985/Bild_2_normal.png" xr:uid="{35FF90FE-2E8E-4722-9DD5-B93F3CD0D726}"/>
    <hyperlink ref="B2974" r:id="rId8965" display="https://twitter.com/davidromero_mex" xr:uid="{4C910325-BEFB-415B-A97C-1AA121E42102}"/>
    <hyperlink ref="E2974" r:id="rId8966" display="https://twitter.com/davidromero_mex/status/723875167097643008" xr:uid="{7C73A949-56F2-451C-8C71-B477D87CB056}"/>
    <hyperlink ref="O2974" r:id="rId8967" display="https://pbs.twimg.com/profile_images/2422078125/r353pu21x9zi1oquhhzy_normal.png" xr:uid="{3A0FBFAF-A9B5-4F04-BC7F-4C85096D957E}"/>
    <hyperlink ref="B2975" r:id="rId8968" display="https://twitter.com/KUKA_Presse" xr:uid="{D6024767-F8E3-44FB-9CF9-B8A2D2E9921F}"/>
    <hyperlink ref="E2975" r:id="rId8969" display="https://twitter.com/KUKA_Presse/status/723875972236365824" xr:uid="{9BE7B9C2-66C6-4DD5-A7AE-5ED41F6DF4AA}"/>
    <hyperlink ref="O2975" r:id="rId8970" display="https://pbs.twimg.com/profile_images/702049280098443264/NIaxL0xT_normal.png" xr:uid="{FCCAD838-64A7-4C48-9F29-44B72B3D6422}"/>
    <hyperlink ref="B2976" r:id="rId8971" display="https://twitter.com/INDIZbot" xr:uid="{85E9373E-1CBB-4008-8584-EE813B9CDF2C}"/>
    <hyperlink ref="E2976" r:id="rId8972" display="https://twitter.com/INDIZbot/status/723876873617432576" xr:uid="{9A6B335E-4ED8-4612-8C2E-78FF4E4BAE06}"/>
    <hyperlink ref="O2976" r:id="rId8973" display="https://pbs.twimg.com/profile_images/645716711723925506/t5G0qOS6_normal.jpg" xr:uid="{2931AB43-372D-454D-8BFB-86E7484FBF2D}"/>
    <hyperlink ref="B2977" r:id="rId8974" display="https://twitter.com/INDIZbot" xr:uid="{084E7C4A-8D89-4B50-B298-A08A39A4502B}"/>
    <hyperlink ref="E2977" r:id="rId8975" display="https://twitter.com/INDIZbot/status/723876978949033984" xr:uid="{7EA37460-D8AB-4408-AF68-A54FDA0C89D4}"/>
    <hyperlink ref="O2977" r:id="rId8976" display="https://pbs.twimg.com/profile_images/645716711723925506/t5G0qOS6_normal.jpg" xr:uid="{675A945C-0DBE-46B2-B77E-A1629E4F7E49}"/>
    <hyperlink ref="B2978" r:id="rId8977" display="https://twitter.com/CableTechnology" xr:uid="{793913DA-2324-4D14-8767-336E1F592005}"/>
    <hyperlink ref="E2978" r:id="rId8978" display="https://twitter.com/CableTechnology/status/723878722856689664" xr:uid="{29852A89-9939-4466-BFE9-EA5B649AEDAD}"/>
    <hyperlink ref="O2978" r:id="rId8979" display="https://pbs.twimg.com/profile_images/647914710881443840/oKXFSWYI_normal.jpg" xr:uid="{5AB8A979-D690-4654-89F8-6A06E57294E3}"/>
    <hyperlink ref="B2979" r:id="rId8980" display="https://twitter.com/AnhaengerCDU" xr:uid="{16C36405-FBEB-4761-93D2-0CF160C4E375}"/>
    <hyperlink ref="E2979" r:id="rId8981" display="https://twitter.com/AnhaengerCDU/status/723879293110128640" xr:uid="{45B2A2C5-B638-4D50-800E-2ABA33FF53AD}"/>
    <hyperlink ref="O2979" r:id="rId8982" display="https://pbs.twimg.com/profile_images/555076843791843328/yr8ES_nx_normal.png" xr:uid="{DAAF8E72-C369-4177-8F05-AD8B6DE09464}"/>
    <hyperlink ref="B2980" r:id="rId8983" display="https://twitter.com/bamitav" xr:uid="{36A7AD23-6068-46D9-882E-D8B4C649E3A1}"/>
    <hyperlink ref="E2980" r:id="rId8984" display="https://twitter.com/bamitav/status/723880841646997504" xr:uid="{C3DDF601-5788-42FD-9EF6-F5DC73E082A5}"/>
    <hyperlink ref="O2980" r:id="rId8985" display="https://pbs.twimg.com/profile_images/672794348442877952/m6Is-Nrc_normal.jpg" xr:uid="{E896385B-81A1-4840-8D61-05A9A4CA15E8}"/>
    <hyperlink ref="B2981" r:id="rId8986" display="https://twitter.com/WalesBuzz" xr:uid="{1F54EE72-094C-4882-A345-73D2F97E3027}"/>
    <hyperlink ref="E2981" r:id="rId8987" display="https://twitter.com/WalesBuzz/status/723881282472710144" xr:uid="{E33539E8-8DBC-469D-846C-83C98FA31D31}"/>
    <hyperlink ref="O2981" r:id="rId8988" display="https://pbs.twimg.com/profile_images/624966917669974016/Sl2SOVQ0_normal.jpg" xr:uid="{BD9DB65C-EE08-495A-8D05-B9F9B2ED6A9F}"/>
    <hyperlink ref="B2982" r:id="rId8989" display="https://twitter.com/vdeyoungnet" xr:uid="{A6F826B5-2FB6-4622-A6D1-F42D357A369F}"/>
    <hyperlink ref="E2982" r:id="rId8990" display="https://twitter.com/vdeyoungnet/status/723884611709837312" xr:uid="{89898B47-2830-4E38-A4F4-DE0E1D8965CE}"/>
    <hyperlink ref="O2982" r:id="rId8991" display="https://pbs.twimg.com/profile_images/496265067118075904/A2MFKnFv_normal.jpeg" xr:uid="{15041CCC-6690-4810-899C-64374B81C5E6}"/>
    <hyperlink ref="B2983" r:id="rId8992" display="https://twitter.com/INDIZbot" xr:uid="{4C3A1751-4EC0-4877-8A9C-06C82256994C}"/>
    <hyperlink ref="E2983" r:id="rId8993" display="https://twitter.com/INDIZbot/status/723884783886057472" xr:uid="{00417811-FC23-4F4B-9CC0-966C9A876E51}"/>
    <hyperlink ref="O2983" r:id="rId8994" display="https://pbs.twimg.com/profile_images/645716711723925506/t5G0qOS6_normal.jpg" xr:uid="{55CE8214-4D55-4059-A379-133981C44578}"/>
    <hyperlink ref="B2984" r:id="rId8995" display="https://twitter.com/fitfor2020" xr:uid="{376E59D6-E5EB-462E-90C6-D4E4AF681F8E}"/>
    <hyperlink ref="E2984" r:id="rId8996" display="https://twitter.com/fitfor2020/status/723886315167748097" xr:uid="{EC90F8D8-FDFE-4F10-99A5-944F7DC630B5}"/>
    <hyperlink ref="O2984" r:id="rId8997" display="https://pbs.twimg.com/profile_images/587953511213727744/fs0LF99T_normal.jpg" xr:uid="{7E1E7FAC-BBBE-4E83-BADE-ECC1542D183E}"/>
    <hyperlink ref="B2985" r:id="rId8998" display="https://twitter.com/SusanneJRomero" xr:uid="{68827838-3967-4DF1-AAD3-15292A393EB6}"/>
    <hyperlink ref="E2985" r:id="rId8999" display="https://twitter.com/SusanneJRomero/status/723886765354967041" xr:uid="{E937C8C2-2C5E-401C-8B8B-EE5F4F4001DD}"/>
    <hyperlink ref="O2985" r:id="rId9000" display="https://pbs.twimg.com/profile_images/718552791028015104/EQMepXjH_normal.jpg" xr:uid="{827B5DE6-4CE0-40EF-8C43-A5F316E395A5}"/>
    <hyperlink ref="B2986" r:id="rId9001" display="https://twitter.com/DigitalSpaceLab" xr:uid="{9C02F5AC-8DC2-46C4-AA61-937B69A5BA7E}"/>
    <hyperlink ref="E2986" r:id="rId9002" display="https://twitter.com/DigitalSpaceLab/status/723888568050044930" xr:uid="{223D96DA-3B62-4CDF-B9CB-7FD1A3EBBC23}"/>
    <hyperlink ref="O2986" r:id="rId9003" display="https://pbs.twimg.com/profile_images/690218859895373824/JEdDRzpE_normal.jpg" xr:uid="{243BB2E8-10A0-4475-A7C4-325C61D9852B}"/>
    <hyperlink ref="B2987" r:id="rId9004" display="https://twitter.com/gpodagrosi" xr:uid="{2D999328-25E3-449C-A0A7-2B583B48AF43}"/>
    <hyperlink ref="E2987" r:id="rId9005" display="https://twitter.com/gpodagrosi/status/723891819004702721" xr:uid="{750242D2-8279-4805-B438-3FBA22D57BFB}"/>
    <hyperlink ref="O2987" r:id="rId9006" display="https://pbs.twimg.com/profile_images/588981131996966912/55KBnYR7_normal.jpg" xr:uid="{8A06097C-0C6E-41F6-8248-0614974E3D97}"/>
    <hyperlink ref="B2988" r:id="rId9007" display="https://twitter.com/BDWiese" xr:uid="{88C48EB7-34A0-424F-9EF5-DDBD52EB6621}"/>
    <hyperlink ref="E2988" r:id="rId9008" display="https://twitter.com/BDWiese/status/723903546375213056" xr:uid="{EF0BF41C-6D2E-4EDB-9D60-B15F58393818}"/>
    <hyperlink ref="O2988" r:id="rId9009" display="https://pbs.twimg.com/profile_images/684550804829700096/9-hTlzk1_normal.jpg" xr:uid="{BAFAA63A-2F8A-4A29-99CC-546357549A2F}"/>
    <hyperlink ref="B2989" r:id="rId9010" display="https://twitter.com/KUKA_RoboticsDE" xr:uid="{02A10F9C-0791-4FEF-B9A7-E258FC183C99}"/>
    <hyperlink ref="E2989" r:id="rId9011" display="https://twitter.com/KUKA_RoboticsDE/status/723904636411850752" xr:uid="{4666DA8A-9135-4FEF-93B3-A98412EED18E}"/>
    <hyperlink ref="O2989" r:id="rId9012" display="https://pbs.twimg.com/profile_images/704767814406643712/VcnCdfke_normal.jpg" xr:uid="{0323E4F7-95AF-4844-88E7-F0E40EA5A1BE}"/>
    <hyperlink ref="B2990" r:id="rId9013" display="https://twitter.com/NickBoesl" xr:uid="{C67D9FBF-6109-486B-9C8D-6DE50B64115F}"/>
    <hyperlink ref="E2990" r:id="rId9014" display="https://twitter.com/NickBoesl/status/723910364358934528" xr:uid="{F14C0E6D-2BDC-4106-8B61-7CD3C42A1FC9}"/>
    <hyperlink ref="O2990" r:id="rId9015" display="https://pbs.twimg.com/profile_images/804402480/3571__002_klein_normal.jpg" xr:uid="{C4C9BD7A-DF4C-4091-BFD8-12C3BC63BC5F}"/>
    <hyperlink ref="B2991" r:id="rId9016" display="https://twitter.com/APEGOhio" xr:uid="{3ACA5465-842B-4ACC-A8BF-0127475AFA75}"/>
    <hyperlink ref="E2991" r:id="rId9017" display="https://twitter.com/APEGOhio/status/723910620580589568" xr:uid="{1C09E8E5-3AC9-46C7-A465-9854201A99E6}"/>
    <hyperlink ref="O2991" r:id="rId9018" display="https://pbs.twimg.com/profile_images/519504850971668480/L5pBCEWZ_normal.jpeg" xr:uid="{DBE31126-34A1-4DB8-BA0C-AA7D60452ABB}"/>
    <hyperlink ref="B2992" r:id="rId9019" display="https://twitter.com/siemensindustry" xr:uid="{0FD4BE21-06CE-49F5-AAE6-0BCCB21C251C}"/>
    <hyperlink ref="E2992" r:id="rId9020" display="https://twitter.com/siemensindustry/status/723911148270157824" xr:uid="{3B91B789-CA69-4C20-AC08-74366E284AEB}"/>
    <hyperlink ref="O2992" r:id="rId9021" display="https://pbs.twimg.com/profile_images/491604376192958465/Ir18BAvZ_normal.png" xr:uid="{C901E293-7DAF-4470-82FE-266C7A6F8843}"/>
    <hyperlink ref="B2993" r:id="rId9022" display="https://twitter.com/alamexweb" xr:uid="{17EEB089-B0F5-4EDB-8F28-52DA7B58C818}"/>
    <hyperlink ref="E2993" r:id="rId9023" display="https://twitter.com/alamexweb/status/723911423592525824" xr:uid="{F33BA095-E2F7-4836-A824-78FF695680F6}"/>
    <hyperlink ref="O2993" r:id="rId9024" display="https://pbs.twimg.com/profile_images/484360531805872130/3NUM_F5K_normal.jpeg" xr:uid="{5511B006-9455-4D71-AB98-D79934051FB0}"/>
    <hyperlink ref="B2994" r:id="rId9025" display="https://twitter.com/MachineryMktmag" xr:uid="{9F8337EF-8B1D-4C99-9843-4E73246E74EE}"/>
    <hyperlink ref="E2994" r:id="rId9026" display="https://twitter.com/MachineryMktmag/status/723911959079473152" xr:uid="{7834149D-C4E8-40A2-86C0-2064C87AE757}"/>
    <hyperlink ref="O2994" r:id="rId9027" display="https://pbs.twimg.com/profile_images/674973920039145474/z8uky1Lp_normal.jpg" xr:uid="{BEC975B8-7DE3-4BB6-8270-E87C8E27F9A4}"/>
    <hyperlink ref="B2995" r:id="rId9028" display="https://twitter.com/IT2Industry" xr:uid="{40711567-B5BC-492B-A326-7C9B8B627373}"/>
    <hyperlink ref="E2995" r:id="rId9029" display="https://twitter.com/IT2Industry/status/723913114236923908" xr:uid="{E085A16D-4599-4FEB-B66A-9FB6A19E3819}"/>
    <hyperlink ref="F2995" r:id="rId9030" xr:uid="{72667227-BC03-437A-BF23-377366A1ABC9}"/>
    <hyperlink ref="O2995" r:id="rId9031" display="https://pbs.twimg.com/profile_images/489403559394304001/8SQlWWA1_normal.jpeg" xr:uid="{17CEE956-14EF-4D95-82E3-ECBDC5BAE98E}"/>
    <hyperlink ref="B2996" r:id="rId9032" display="https://twitter.com/MindCommerce" xr:uid="{45D99030-F95C-491A-A373-A6CB93F01979}"/>
    <hyperlink ref="E2996" r:id="rId9033" display="https://twitter.com/MindCommerce/status/723914537863360512" xr:uid="{243E45F7-9282-4EEB-A7F3-CB057686542D}"/>
    <hyperlink ref="O2996" r:id="rId9034" display="https://pbs.twimg.com/profile_images/548030384030507008/utABqhj9_normal.png" xr:uid="{203F7C04-622B-439C-8226-99A9522FF872}"/>
    <hyperlink ref="B2997" r:id="rId9035" display="https://twitter.com/Lenze_FR" xr:uid="{C237EE66-7250-4F00-9378-0F353283698A}"/>
    <hyperlink ref="E2997" r:id="rId9036" display="https://twitter.com/Lenze_FR/status/723914719011180546" xr:uid="{DE07EC39-ED43-4274-84C2-8DDCCB92ACD2}"/>
    <hyperlink ref="O2997" r:id="rId9037" display="https://pbs.twimg.com/profile_images/659103527302746112/SHt7cxmw_normal.png" xr:uid="{F582F035-55C5-40EB-B65E-3FC2BCBECDB4}"/>
    <hyperlink ref="B2998" r:id="rId9038" display="https://twitter.com/Bitkom_I40" xr:uid="{48BD8D9C-8D63-427A-92B0-5AE857B49EAF}"/>
    <hyperlink ref="E2998" r:id="rId9039" display="https://twitter.com/Bitkom_I40/status/723915089724641280" xr:uid="{1AE31BF7-2E83-4FD4-B720-D2B0001F5A70}"/>
    <hyperlink ref="O2998" r:id="rId9040" display="https://pbs.twimg.com/profile_images/723407487395713024/0hZv7R8S_normal.jpg" xr:uid="{47F668EF-B122-4CC5-9155-8CFD14241449}"/>
    <hyperlink ref="B2999" r:id="rId9041" display="https://twitter.com/Biwi81" xr:uid="{757F4D13-84E7-4209-A22A-717979911E07}"/>
    <hyperlink ref="E2999" r:id="rId9042" display="https://twitter.com/Biwi81/status/723915874776829952" xr:uid="{9CFD069E-3DD8-4CE1-95E6-D258165DB2D7}"/>
    <hyperlink ref="O2999" r:id="rId9043" display="https://pbs.twimg.com/profile_images/493135970229690369/hv37Emhn_normal.jpeg" xr:uid="{C42B8D8F-8C70-47AE-BC6C-EB5CF0655E6E}"/>
    <hyperlink ref="B3000" r:id="rId9044" display="https://twitter.com/PauldeAndrade" xr:uid="{53C0A235-62D3-4CF0-9EC1-ECCFF29A771D}"/>
    <hyperlink ref="E3000" r:id="rId9045" display="https://twitter.com/PauldeAndrade/status/723916996048502785" xr:uid="{A9B57B38-302E-4F58-A7A6-A440CAA8F71C}"/>
    <hyperlink ref="O3000" r:id="rId9046" display="https://pbs.twimg.com/profile_images/688491424581595136/F9UT-pH__normal.jpg" xr:uid="{11F347FF-E45B-42AA-B312-339B39AE5ACD}"/>
    <hyperlink ref="B3001" r:id="rId9047" display="https://twitter.com/RaykJakobi" xr:uid="{ACCFC094-B8E0-49D1-B5D6-3A56BDC0F462}"/>
    <hyperlink ref="E3001" r:id="rId9048" display="https://twitter.com/RaykJakobi/status/723917963959668737" xr:uid="{9896CBFE-F238-437E-B4EF-6888103A0072}"/>
    <hyperlink ref="O3001" r:id="rId9049" display="https://pbs.twimg.com/profile_images/628794642553810944/vZ1Nw-Bi_normal.jpg" xr:uid="{8513E151-D188-47AE-8B0A-1EB3040C1EC7}"/>
    <hyperlink ref="B3002" r:id="rId9050" display="https://twitter.com/Romny58" xr:uid="{8FB9B55E-9E90-4686-8E0E-99FED8630FC1}"/>
    <hyperlink ref="E3002" r:id="rId9051" display="https://twitter.com/Romny58/status/723922977360887808" xr:uid="{83ED6C5D-4062-48C6-BB50-C1DAC2C70484}"/>
    <hyperlink ref="O3002" r:id="rId9052" display="https://pbs.twimg.com/profile_images/706450550158712832/97d1R5W7_normal.jpg" xr:uid="{A19751B0-F08D-4E0B-8726-E53C76C3342D}"/>
    <hyperlink ref="B3003" r:id="rId9053" display="https://twitter.com/mindrockets" xr:uid="{C09CF917-DBBC-48A8-A5C0-9B7CB6024AD0}"/>
    <hyperlink ref="E3003" r:id="rId9054" display="https://twitter.com/mindrockets/status/723924416279748608" xr:uid="{FA81B008-47DD-4777-B174-CA5D38010447}"/>
    <hyperlink ref="O3003" r:id="rId9055" display="https://pbs.twimg.com/profile_images/378800000114367535/ece45ccc5c5e231750ac50d6de366482_normal.jpeg" xr:uid="{F22997F4-A3A3-4E15-A96E-CC2041B213D8}"/>
    <hyperlink ref="B3004" r:id="rId9056" display="https://twitter.com/ggaugler" xr:uid="{87C08B6D-BA13-409C-A518-2A54F783363B}"/>
    <hyperlink ref="E3004" r:id="rId9057" display="https://twitter.com/ggaugler/status/723924547490189313" xr:uid="{C83980ED-D35B-4E98-9FBE-0FDDBA7AC12B}"/>
    <hyperlink ref="O3004" r:id="rId9058" display="https://pbs.twimg.com/profile_images/525270739453100033/S8Av1dAq_normal.jpeg" xr:uid="{A0CBE054-0E1C-4CD2-B9FA-A4F6E62C585D}"/>
    <hyperlink ref="B3005" r:id="rId9059" display="https://twitter.com/Databanque" xr:uid="{0BC50AE6-BD93-4D36-840A-6BEB085F3939}"/>
    <hyperlink ref="E3005" r:id="rId9060" display="https://twitter.com/Databanque/status/723924560819552256" xr:uid="{D2AC7878-4E59-4D3C-A1D3-C980053E46F4}"/>
    <hyperlink ref="O3005" r:id="rId9061" display="https://pbs.twimg.com/profile_images/552211771360940032/CmEYO0l3_normal.png" xr:uid="{042CEE82-6036-4633-8542-3B0D65DD6416}"/>
    <hyperlink ref="B3006" r:id="rId9062" display="https://twitter.com/iris_musiol" xr:uid="{55AD5A41-94AD-41A3-A26A-61F54F2F115D}"/>
    <hyperlink ref="E3006" r:id="rId9063" display="https://twitter.com/iris_musiol/status/723927852564008960" xr:uid="{CA3558FE-A4EE-4CD2-8BEA-CE19278927C6}"/>
    <hyperlink ref="O3006" r:id="rId9064" display="https://pbs.twimg.com/profile_images/710790619728228355/Rqq-ehz7_normal.jpg" xr:uid="{EDEEE851-BB0F-4A61-B0A1-F84903D85EF3}"/>
    <hyperlink ref="B3007" r:id="rId9065" display="https://twitter.com/prxpragma" xr:uid="{56BB39FC-043B-4A7B-94C4-447A966ECC9A}"/>
    <hyperlink ref="E3007" r:id="rId9066" display="https://twitter.com/prxpragma/status/723928026703093760" xr:uid="{CC93D225-B1E0-4481-8D24-6449D83B688C}"/>
    <hyperlink ref="O3007" r:id="rId9067" display="https://pbs.twimg.com/profile_images/595629691249233920/PnZxF5UO_normal.jpg" xr:uid="{7E832554-DD4C-4E83-A8BE-A6F37E37889F}"/>
    <hyperlink ref="B3008" r:id="rId9068" display="https://twitter.com/cncmachinerycnc" xr:uid="{5A838D7F-62B8-4AF7-A0EE-71D64C19D26C}"/>
    <hyperlink ref="E3008" r:id="rId9069" display="https://twitter.com/cncmachinerycnc/status/723929893256478724" xr:uid="{251339EF-628C-4FFE-8119-F2D86465AAE2}"/>
    <hyperlink ref="O3008" r:id="rId9070" display="https://pbs.twimg.com/profile_images/638459791808069633/jsEpsj5-_normal.jpg" xr:uid="{3F8E22D3-E3E5-42B1-A679-0AB4442735A7}"/>
    <hyperlink ref="B3009" r:id="rId9071" display="https://twitter.com/INDIZbot" xr:uid="{29957514-44E8-477F-80F1-89F70C2A08D2}"/>
    <hyperlink ref="E3009" r:id="rId9072" display="https://twitter.com/INDIZbot/status/723929916752977920" xr:uid="{303D40D0-D10B-4126-9B34-5E99FC220236}"/>
    <hyperlink ref="O3009" r:id="rId9073" display="https://pbs.twimg.com/profile_images/645716711723925506/t5G0qOS6_normal.jpg" xr:uid="{AD69CA97-609F-40CB-A18F-40AE3135CE8B}"/>
    <hyperlink ref="B3010" r:id="rId9074" display="https://twitter.com/INDIZbot" xr:uid="{583953BF-98F6-4B95-A086-58B1178F6D35}"/>
    <hyperlink ref="E3010" r:id="rId9075" display="https://twitter.com/INDIZbot/status/723929997229068288" xr:uid="{EE64ABFE-C7DE-49E6-869E-36255DD4C2E6}"/>
    <hyperlink ref="O3010" r:id="rId9076" display="https://pbs.twimg.com/profile_images/645716711723925506/t5G0qOS6_normal.jpg" xr:uid="{89D4759A-413D-4068-9EBE-A7F203973E0E}"/>
    <hyperlink ref="B3011" r:id="rId9077" display="https://twitter.com/ITDredaktion" xr:uid="{49FC7ADF-011D-462C-830F-5EC4EDBA0B1F}"/>
    <hyperlink ref="E3011" r:id="rId9078" display="https://twitter.com/ITDredaktion/status/723932247645106177" xr:uid="{7B02B5D1-3B1C-49AE-B0D7-5D7EFE3BD9F0}"/>
    <hyperlink ref="O3011" r:id="rId9079" display="https://pbs.twimg.com/profile_images/412569658013659136/d9TwrZXg_normal.jpeg" xr:uid="{CB74FEC0-B90E-4BF7-ABB6-95DCBE220037}"/>
    <hyperlink ref="B3012" r:id="rId9080" display="https://twitter.com/mediamorfo" xr:uid="{0730083D-FE99-48C0-9197-ACA065B6D3EE}"/>
    <hyperlink ref="E3012" r:id="rId9081" display="https://twitter.com/mediamorfo/status/723932347914170368" xr:uid="{69589075-1641-414C-A778-4E4BCB56B533}"/>
    <hyperlink ref="O3012" r:id="rId9082" display="https://pbs.twimg.com/profile_images/685769503016366080/O5hxeJeS_normal.png" xr:uid="{F6A325FF-E4DF-4A1A-AFFC-36F53F3B8EE6}"/>
    <hyperlink ref="B3013" r:id="rId9083" display="https://twitter.com/CentaUK" xr:uid="{C7984E5E-548D-4FC1-BE3D-99C0CA2847F0}"/>
    <hyperlink ref="E3013" r:id="rId9084" display="https://twitter.com/CentaUK/status/723932669856387074" xr:uid="{8B3D3666-006A-4309-97A6-47B6FD0D468B}"/>
    <hyperlink ref="O3013" r:id="rId9085" display="https://pbs.twimg.com/profile_images/700439210688434176/GMuBceYm_normal.jpg" xr:uid="{4B338F91-EAE9-4F10-B081-DCDF23A6DD2C}"/>
    <hyperlink ref="B3014" r:id="rId9086" display="https://twitter.com/RolandBent" xr:uid="{5BD270CA-9562-4B63-8628-E4060B10CAE9}"/>
    <hyperlink ref="E3014" r:id="rId9087" display="https://twitter.com/RolandBent/status/723938660098387968" xr:uid="{13FBA05C-F681-4562-8477-1B925D4E3EE2}"/>
    <hyperlink ref="O3014" r:id="rId9088" display="https://pbs.twimg.com/profile_images/451994816889360385/SYPpc3iI_normal.jpeg" xr:uid="{62AC57F0-EEFA-42C7-BD5D-98302E681E80}"/>
    <hyperlink ref="B3015" r:id="rId9089" display="https://twitter.com/Bitkom" xr:uid="{9B4B5087-165F-499D-8131-C1B4FB1F056D}"/>
    <hyperlink ref="E3015" r:id="rId9090" display="https://twitter.com/Bitkom/status/723938899161153536" xr:uid="{4E6E23CE-250F-4431-839B-1328A93811AB}"/>
    <hyperlink ref="O3015" r:id="rId9091" display="https://pbs.twimg.com/profile_images/615797525040136192/CKF9-v_o_normal.jpg" xr:uid="{5D01B549-1C08-46B0-A84F-40F9EB1A63EF}"/>
    <hyperlink ref="B3016" r:id="rId9092" display="https://twitter.com/Bitkom" xr:uid="{7A936AF5-FE13-42E9-B94B-F09A8A5167EA}"/>
    <hyperlink ref="E3016" r:id="rId9093" display="https://twitter.com/Bitkom/status/723938928311582721" xr:uid="{B0C3ECC7-CD00-46E6-9AFC-5DFFA2F14589}"/>
    <hyperlink ref="O3016" r:id="rId9094" display="https://pbs.twimg.com/profile_images/615797525040136192/CKF9-v_o_normal.jpg" xr:uid="{06CA8FD9-734F-45EB-9622-107798F70447}"/>
    <hyperlink ref="B3017" r:id="rId9095" display="https://twitter.com/ITK_OWL" xr:uid="{5AAF674F-28CA-4446-8359-83F906D90A4E}"/>
    <hyperlink ref="E3017" r:id="rId9096" display="https://twitter.com/ITK_OWL/status/723938967435890689" xr:uid="{AED80940-5FD3-4FB0-B035-08C0D290998E}"/>
    <hyperlink ref="O3017" r:id="rId9097" display="https://pbs.twimg.com/profile_images/601673968551075840/MnulnKkj_normal.png" xr:uid="{39C355B2-B48B-4343-A0AA-765F52BD0451}"/>
    <hyperlink ref="B3018" r:id="rId9098" display="https://twitter.com/ITK_OWL" xr:uid="{4B0B1D3E-A3B3-4C17-97CC-2D0C0FDA9B6F}"/>
    <hyperlink ref="E3018" r:id="rId9099" display="https://twitter.com/ITK_OWL/status/723938969189277696" xr:uid="{02C124FB-9ED5-44A2-9882-D689BEC413B4}"/>
    <hyperlink ref="O3018" r:id="rId9100" display="https://pbs.twimg.com/profile_images/601673968551075840/MnulnKkj_normal.png" xr:uid="{9798B8F9-5A31-4376-8EB0-48B4E194C26E}"/>
    <hyperlink ref="B3019" r:id="rId9101" display="https://twitter.com/croXXing_IBD" xr:uid="{D0ED8EC2-0E67-4B4B-9E37-ED1CAADC3DE2}"/>
    <hyperlink ref="E3019" r:id="rId9102" display="https://twitter.com/croXXing_IBD/status/723939423780528128" xr:uid="{6371CB6B-4F31-485B-9A3A-F936AC37F68E}"/>
    <hyperlink ref="O3019" r:id="rId9103" display="https://pbs.twimg.com/profile_images/600279861282869249/IpIJ3MKX_normal.png" xr:uid="{B7EA8794-C195-45B7-AC3B-50047F5CCECC}"/>
    <hyperlink ref="B3020" r:id="rId9104" display="https://twitter.com/croXXing_IBD" xr:uid="{BF17452C-56DD-4F1D-891D-D7E0DCDA72B1}"/>
    <hyperlink ref="E3020" r:id="rId9105" display="https://twitter.com/croXXing_IBD/status/723939430952787969" xr:uid="{1B728DC1-2999-4B65-96F4-21497B362076}"/>
    <hyperlink ref="O3020" r:id="rId9106" display="https://pbs.twimg.com/profile_images/600279861282869249/IpIJ3MKX_normal.png" xr:uid="{0A57CD64-DABD-4C3D-9225-0B984A9521F6}"/>
    <hyperlink ref="B3021" r:id="rId9107" display="https://twitter.com/cleanstrom" xr:uid="{56F045E3-963F-4DAE-BCDB-44A15E244E14}"/>
    <hyperlink ref="E3021" r:id="rId9108" display="https://twitter.com/cleanstrom/status/723945690867576833" xr:uid="{3F5E69DE-5188-401A-937D-F5A4C7E1E555}"/>
    <hyperlink ref="O3021" r:id="rId9109" display="https://pbs.twimg.com/profile_images/681580230549585920/44kC2r0f_normal.png" xr:uid="{84B39107-DC4E-422B-8498-151DD7901081}"/>
    <hyperlink ref="B3022" r:id="rId9110" display="https://twitter.com/INDIZbot" xr:uid="{A3180A4E-C06A-452F-8B0F-895C4921B51E}"/>
    <hyperlink ref="E3022" r:id="rId9111" display="https://twitter.com/INDIZbot/status/723947485157298177" xr:uid="{BBC73E8C-053B-4B8D-BE95-BE909CEB64B9}"/>
    <hyperlink ref="O3022" r:id="rId9112" display="https://pbs.twimg.com/profile_images/645716711723925506/t5G0qOS6_normal.jpg" xr:uid="{1CA96169-D7B1-4E1C-9441-AF239CE95D8D}"/>
    <hyperlink ref="B3023" r:id="rId9113" display="https://twitter.com/INDIZbot" xr:uid="{A3E00850-4D4A-4CD6-BB22-57E1DD10973D}"/>
    <hyperlink ref="E3023" r:id="rId9114" display="https://twitter.com/INDIZbot/status/723947775726112768" xr:uid="{490CD7E7-8478-460D-9D78-E6A2148ED3D9}"/>
    <hyperlink ref="O3023" r:id="rId9115" display="https://pbs.twimg.com/profile_images/645716711723925506/t5G0qOS6_normal.jpg" xr:uid="{C61A6F1B-3B41-4D78-A84A-DDB33132CDCE}"/>
    <hyperlink ref="B3024" r:id="rId9116" display="https://twitter.com/hasford_" xr:uid="{D5B96EE2-DE3E-4A7F-95FA-E6F5C42A224A}"/>
    <hyperlink ref="E3024" r:id="rId9117" display="https://twitter.com/hasford_/status/723948375176019969" xr:uid="{B80F1214-B2FE-48D5-AC9E-F1839BF4AA16}"/>
    <hyperlink ref="O3024" r:id="rId9118" display="https://pbs.twimg.com/profile_images/611813155258417152/t2BN8dsF_normal.jpg" xr:uid="{9160099C-8144-4598-87E7-95838EDD85A7}"/>
    <hyperlink ref="B3025" r:id="rId9119" display="https://twitter.com/kommoptimierer" xr:uid="{CCB9412F-57AD-42AA-B8AE-5B5B3EF9F141}"/>
    <hyperlink ref="E3025" r:id="rId9120" display="https://twitter.com/kommoptimierer/status/723949570447794176" xr:uid="{F85DE2CF-6102-494F-9039-16A376221CFC}"/>
    <hyperlink ref="O3025" r:id="rId9121" display="https://pbs.twimg.com/profile_images/541146126158536704/IYardufS_normal.jpeg" xr:uid="{ED88AD98-D138-457E-B051-D6DF83E262F3}"/>
    <hyperlink ref="B3026" r:id="rId9122" display="https://twitter.com/Tim_Caesar" xr:uid="{D2833485-E562-449B-A4E6-F6748CDF31C4}"/>
    <hyperlink ref="E3026" r:id="rId9123" display="https://twitter.com/Tim_Caesar/status/723950887815766017" xr:uid="{D9CAEA9E-A8C7-4CCF-B574-ED873E4D2A00}"/>
    <hyperlink ref="O3026" r:id="rId9124" display="https://pbs.twimg.com/profile_images/574517024556089345/fuK3tcde_normal.jpeg" xr:uid="{808F7826-39F9-4B6E-B9E9-DCA3612FD579}"/>
    <hyperlink ref="B3027" r:id="rId9125" display="https://twitter.com/Gruendercoaches" xr:uid="{AA693D72-3A67-4CA1-9BAD-A5907AA73EF8}"/>
    <hyperlink ref="E3027" r:id="rId9126" display="https://twitter.com/Gruendercoaches/status/723951402570113024" xr:uid="{6C056074-EBA8-4DE5-890D-27FE570B4609}"/>
    <hyperlink ref="O3027" r:id="rId9127" display="https://pbs.twimg.com/profile_images/561208179355185153/11KDu7Gt_normal.png" xr:uid="{A1FF8041-6A6E-43C3-BAEF-439919D52E08}"/>
    <hyperlink ref="B3028" r:id="rId9128" display="https://twitter.com/Gruendercoaches" xr:uid="{8B7D5A46-19F8-4B80-9502-36E1DC8F74C3}"/>
    <hyperlink ref="E3028" r:id="rId9129" display="https://twitter.com/Gruendercoaches/status/723951429719851008" xr:uid="{C3796F8F-38A8-4657-AAF1-3D19510267A4}"/>
    <hyperlink ref="O3028" r:id="rId9130" display="https://pbs.twimg.com/profile_images/561208179355185153/11KDu7Gt_normal.png" xr:uid="{9B47EA52-C051-484F-B151-7E56168834DE}"/>
    <hyperlink ref="B3029" r:id="rId9131" display="https://twitter.com/INDIZbot" xr:uid="{51DF91E8-1884-4C66-B5B0-CDEA953E2C32}"/>
    <hyperlink ref="E3029" r:id="rId9132" display="https://twitter.com/INDIZbot/status/723952366970646528" xr:uid="{40379EE6-DB9B-4C5D-A8B9-4C6026BFD7BD}"/>
    <hyperlink ref="O3029" r:id="rId9133" display="https://pbs.twimg.com/profile_images/645716711723925506/t5G0qOS6_normal.jpg" xr:uid="{17AF189B-73B7-4767-B5FA-5289E06D3382}"/>
    <hyperlink ref="B3030" r:id="rId9134" display="https://twitter.com/INDIZbot" xr:uid="{56D9B3E3-9CB5-4358-9E9B-A8109A7F6F10}"/>
    <hyperlink ref="E3030" r:id="rId9135" display="https://twitter.com/INDIZbot/status/723952682843693057" xr:uid="{B62013F9-31DC-497D-847C-5C803A879F88}"/>
    <hyperlink ref="O3030" r:id="rId9136" display="https://pbs.twimg.com/profile_images/645716711723925506/t5G0qOS6_normal.jpg" xr:uid="{6B41AB9C-1347-4251-8A90-111463262F54}"/>
    <hyperlink ref="B3031" r:id="rId9137" display="https://twitter.com/msftmfg" xr:uid="{5A2CECCE-30E2-407F-891C-C07EE670211C}"/>
    <hyperlink ref="E3031" r:id="rId9138" display="https://twitter.com/msftmfg/status/723953339449376769" xr:uid="{1AF72789-B04B-4551-9583-0CA13208E550}"/>
    <hyperlink ref="O3031" r:id="rId9139" display="https://pbs.twimg.com/profile_images/543161217645178880/JQuBT7KS_normal.png" xr:uid="{954813C7-B3F9-488E-A55A-0BCE663AE6C2}"/>
    <hyperlink ref="B3032" r:id="rId9140" display="https://twitter.com/startupkanal" xr:uid="{B1EDB45A-7353-499D-9198-E23EFBB7CBA9}"/>
    <hyperlink ref="E3032" r:id="rId9141" display="https://twitter.com/startupkanal/status/723954829291343872" xr:uid="{4C4D2533-83B2-4594-9D25-3989413B7D0E}"/>
    <hyperlink ref="O3032" r:id="rId9142" display="https://abs.twimg.com/sticky/default_profile_images/default_profile_3_normal.png" xr:uid="{C8C7E5C1-232C-4531-A524-73F7F4998913}"/>
    <hyperlink ref="B3033" r:id="rId9143" display="https://twitter.com/startupkanal" xr:uid="{2AA4883D-9277-42E4-91E8-27D65C7C864E}"/>
    <hyperlink ref="E3033" r:id="rId9144" display="https://twitter.com/startupkanal/status/723954830809677824" xr:uid="{2D652020-A73D-4F00-92E3-840C66E9173D}"/>
    <hyperlink ref="O3033" r:id="rId9145" display="https://abs.twimg.com/sticky/default_profile_images/default_profile_3_normal.png" xr:uid="{2D726537-7BBF-4E50-B691-E44CA3884800}"/>
    <hyperlink ref="B3034" r:id="rId9146" display="https://twitter.com/sallyafrank" xr:uid="{D2F651B6-F2C0-46D3-873B-B14E32D020AF}"/>
    <hyperlink ref="E3034" r:id="rId9147" display="https://twitter.com/sallyafrank/status/723955025379221505" xr:uid="{B9440623-2725-4359-AB74-75B3A30DC47D}"/>
    <hyperlink ref="O3034" r:id="rId9148" display="https://pbs.twimg.com/profile_images/602304216468738049/_0sb-3oB_normal.jpg" xr:uid="{2E86C5E4-1B7E-403F-992C-40F8BBAB24D6}"/>
    <hyperlink ref="B3035" r:id="rId9149" display="https://twitter.com/MarinerLLC" xr:uid="{72964808-5AD9-465F-9BD6-9E029251B4F6}"/>
    <hyperlink ref="E3035" r:id="rId9150" display="https://twitter.com/MarinerLLC/status/723955899044343809" xr:uid="{1A04B87E-2DC4-4916-BC1A-2828FB9A52B3}"/>
    <hyperlink ref="O3035" r:id="rId9151" display="https://pbs.twimg.com/profile_images/3502729434/95675e6f45ad2e1bbc6c5736995ec15c_normal.png" xr:uid="{FF1F9B69-23F8-4333-A9FC-F6C829D20434}"/>
    <hyperlink ref="B3036" r:id="rId9152" display="https://twitter.com/colbytylerford" xr:uid="{A56ACE0B-386F-478B-9E85-1A088C7CDD17}"/>
    <hyperlink ref="E3036" r:id="rId9153" display="https://twitter.com/colbytylerford/status/723956317614948354" xr:uid="{91077470-D62D-4E6C-81FD-534D753DAC53}"/>
    <hyperlink ref="O3036" r:id="rId9154" display="https://pbs.twimg.com/profile_images/588196149665865728/jmm9bQ6G_normal.jpg" xr:uid="{591F148A-403C-46A3-AFF3-C3E783115D6D}"/>
    <hyperlink ref="B3037" r:id="rId9155" display="https://twitter.com/kat2812" xr:uid="{ABB82260-567A-444B-8900-E19400B86B6F}"/>
    <hyperlink ref="E3037" r:id="rId9156" display="https://twitter.com/kat2812/status/723956582342635520" xr:uid="{82338908-494D-4662-A6A7-7564A8C44F4F}"/>
    <hyperlink ref="O3037" r:id="rId9157" display="https://pbs.twimg.com/profile_images/2994151206/72e14517d19cb49aa35fe3019df8b048_normal.jpeg" xr:uid="{C0957F18-435B-41CB-9558-D1BA15A0AEE3}"/>
    <hyperlink ref="B3038" r:id="rId9158" display="https://twitter.com/kommoptimierer" xr:uid="{736725C9-B4B5-4B11-A357-0BCF10D6DD98}"/>
    <hyperlink ref="E3038" r:id="rId9159" display="https://twitter.com/kommoptimierer/status/723957117967843328" xr:uid="{26081F27-CC95-4905-A125-95D50B87CF50}"/>
    <hyperlink ref="O3038" r:id="rId9160" display="https://pbs.twimg.com/profile_images/541146126158536704/IYardufS_normal.jpeg" xr:uid="{FF94C21A-2CA9-41AE-A368-88A5BF793DBD}"/>
    <hyperlink ref="B3039" r:id="rId9161" display="https://twitter.com/kat2812" xr:uid="{E13ED551-17FC-48A7-9F82-84D488720C6D}"/>
    <hyperlink ref="E3039" r:id="rId9162" display="https://twitter.com/kat2812/status/723957800066494464" xr:uid="{1DAD0CEC-5B99-4333-AABE-0654A0EEA75C}"/>
    <hyperlink ref="O3039" r:id="rId9163" display="https://pbs.twimg.com/profile_images/2994151206/72e14517d19cb49aa35fe3019df8b048_normal.jpeg" xr:uid="{2BC1CA31-DA8A-4636-8CB5-5AB5E610F35C}"/>
    <hyperlink ref="B3040" r:id="rId9164" display="https://twitter.com/kat2812" xr:uid="{B614E06F-020F-4083-B500-E39C5B567110}"/>
    <hyperlink ref="E3040" r:id="rId9165" display="https://twitter.com/kat2812/status/723958195723456513" xr:uid="{B7026A43-5587-46FD-BADC-B9731F492F2D}"/>
    <hyperlink ref="O3040" r:id="rId9166" display="https://pbs.twimg.com/profile_images/2994151206/72e14517d19cb49aa35fe3019df8b048_normal.jpeg" xr:uid="{7327863F-A538-4767-95E0-13D2AF706542}"/>
    <hyperlink ref="B3041" r:id="rId9167" display="https://twitter.com/kat2812" xr:uid="{7E05F977-2BE6-4B3F-B0EC-D07C4F16BBA9}"/>
    <hyperlink ref="E3041" r:id="rId9168" display="https://twitter.com/kat2812/status/723958414896992256" xr:uid="{8CAFA841-FE9A-4A94-95FD-9B6A430FB743}"/>
    <hyperlink ref="O3041" r:id="rId9169" display="https://pbs.twimg.com/profile_images/2994151206/72e14517d19cb49aa35fe3019df8b048_normal.jpeg" xr:uid="{67777B68-2F44-4ED1-8231-F113517079DF}"/>
    <hyperlink ref="B3042" r:id="rId9170" display="https://twitter.com/vemdiearbeitgeb" xr:uid="{17E48E19-2F02-4287-9092-C0D9241E212B}"/>
    <hyperlink ref="E3042" r:id="rId9171" display="https://twitter.com/vemdiearbeitgeb/status/723959160522575872" xr:uid="{1FB2A97F-147A-417F-8A51-E765FC66AA9A}"/>
    <hyperlink ref="O3042" r:id="rId9172" display="https://pbs.twimg.com/profile_images/1281327600/VEM_LOGO_1101_4c_o_Twitter_normal.jpg" xr:uid="{C912CA99-C502-425B-A355-D379F2C9B3CB}"/>
    <hyperlink ref="B3043" r:id="rId9173" display="https://twitter.com/clemgraf" xr:uid="{2BA4077F-4220-4944-BD44-D64BFACE68B2}"/>
    <hyperlink ref="E3043" r:id="rId9174" display="https://twitter.com/clemgraf/status/723961086525976577" xr:uid="{F7D85D32-0EB3-497E-A407-1E1FDCF8240F}"/>
    <hyperlink ref="O3043" r:id="rId9175" display="https://pbs.twimg.com/profile_images/502517483262443520/36kKzSvE_normal.jpeg" xr:uid="{C5BC232A-8AAE-47BD-9D88-EE3268E6A566}"/>
    <hyperlink ref="B3044" r:id="rId9176" display="https://twitter.com/kommoptimierer" xr:uid="{F1538129-9F26-4AF6-88EA-EF00DB1C2D0C}"/>
    <hyperlink ref="E3044" r:id="rId9177" display="https://twitter.com/kommoptimierer/status/723965926908014592" xr:uid="{17E014D5-91FC-4CFD-BCD0-CDC09CBE9B68}"/>
    <hyperlink ref="O3044" r:id="rId9178" display="https://pbs.twimg.com/profile_images/541146126158536704/IYardufS_normal.jpeg" xr:uid="{45D2CF4C-4519-40AA-9C08-67D5C691756C}"/>
    <hyperlink ref="B3045" r:id="rId9179" display="https://twitter.com/INDIZbot" xr:uid="{FA7D793C-DA46-4F9F-A838-727327F7B7B4}"/>
    <hyperlink ref="E3045" r:id="rId9180" display="https://twitter.com/INDIZbot/status/723967470193790976" xr:uid="{49BF647D-2FEA-486E-9BD9-D2D9E07C51E9}"/>
    <hyperlink ref="O3045" r:id="rId9181" display="https://pbs.twimg.com/profile_images/645716711723925506/t5G0qOS6_normal.jpg" xr:uid="{7D593A38-B590-4D31-80B4-96650D810C30}"/>
    <hyperlink ref="B3046" r:id="rId9182" display="https://twitter.com/changetokaizen" xr:uid="{2657FCD3-BD12-47F6-B964-1AB58BA8561E}"/>
    <hyperlink ref="E3046" r:id="rId9183" display="https://twitter.com/changetokaizen/status/723968911994183681" xr:uid="{897C8126-ED37-446A-9D74-E28AB6FE7B8F}"/>
    <hyperlink ref="O3046" r:id="rId9184" display="https://pbs.twimg.com/profile_images/463005839918247936/Ui2bf9cw_normal.jpeg" xr:uid="{66686109-1AA2-4FBC-8C2B-5B567DBB8815}"/>
    <hyperlink ref="B3047" r:id="rId9185" display="https://twitter.com/LeanKnowledge" xr:uid="{462EEEB6-834E-4883-BB91-26F3D6E2FBEA}"/>
    <hyperlink ref="E3047" r:id="rId9186" display="https://twitter.com/LeanKnowledge/status/723969048338419712" xr:uid="{15E3BD94-B5BB-48D8-98D8-D52D9E2C173A}"/>
    <hyperlink ref="O3047" r:id="rId9187" display="https://pbs.twimg.com/profile_images/667622351345950720/HAHOiaMn_normal.jpg" xr:uid="{545BEB10-4824-4F75-BC52-3CDA45389859}"/>
    <hyperlink ref="B3048" r:id="rId9188" display="https://twitter.com/Plastipolis" xr:uid="{BC5E6B19-BD10-4D9A-817F-E824E7D4F447}"/>
    <hyperlink ref="E3048" r:id="rId9189" display="https://twitter.com/Plastipolis/status/723969203225649153" xr:uid="{438CE827-35D3-40D9-A865-142674DAFEE7}"/>
    <hyperlink ref="O3048" r:id="rId9190" display="https://pbs.twimg.com/profile_images/644884377462272000/eEWsazpF_normal.jpg" xr:uid="{6A1610D5-84C6-480D-974F-F04E1AD515FB}"/>
    <hyperlink ref="B3049" r:id="rId9191" display="https://twitter.com/_lfactory" xr:uid="{10F3E335-6ACE-4641-B891-CB2B5CFD0240}"/>
    <hyperlink ref="E3049" r:id="rId9192" display="https://twitter.com/_lfactory/status/723969203322142721" xr:uid="{8A8E890A-6BA8-44F6-91C6-F4E52EAA8F78}"/>
    <hyperlink ref="O3049" r:id="rId9193" display="https://pbs.twimg.com/profile_images/3427840995/be9743841a82fcc743ed45c59638edb6_normal.png" xr:uid="{CFC5990A-D3F0-47A8-A8A4-97F2D32FA881}"/>
    <hyperlink ref="B3050" r:id="rId9194" display="https://twitter.com/Lean_john" xr:uid="{333537BE-89F8-46BE-AC48-254ACCD1BD49}"/>
    <hyperlink ref="E3050" r:id="rId9195" display="https://twitter.com/Lean_john/status/723969292845355008" xr:uid="{E700C941-2B91-4FCD-A540-EE780A9319CE}"/>
    <hyperlink ref="O3050" r:id="rId9196" display="https://pbs.twimg.com/profile_images/2181612837/Johann_normal.jpg" xr:uid="{164A8E98-B642-480C-9079-018590A55050}"/>
    <hyperlink ref="B3051" r:id="rId9197" display="https://twitter.com/serpil_ozguven" xr:uid="{2D8D8C53-9E97-49CA-AC7D-8E073A510202}"/>
    <hyperlink ref="E3051" r:id="rId9198" display="https://twitter.com/serpil_ozguven/status/723972496798691329" xr:uid="{413ED9A6-6D1B-4007-BAA1-5AE7C1A4E6D3}"/>
    <hyperlink ref="O3051" r:id="rId9199" display="https://pbs.twimg.com/profile_images/611187721080602625/r5O9HUl__normal.jpg" xr:uid="{70FC9F17-FE96-423E-A700-315C9351F4A6}"/>
    <hyperlink ref="B3052" r:id="rId9200" display="https://twitter.com/INDIZbot" xr:uid="{64DB5237-37A7-4D9A-BBDC-821F639EB4FE}"/>
    <hyperlink ref="E3052" r:id="rId9201" display="https://twitter.com/INDIZbot/status/723975083652448260" xr:uid="{DC598A2C-A9C3-468C-92C1-45CCF1DEA809}"/>
    <hyperlink ref="O3052" r:id="rId9202" display="https://pbs.twimg.com/profile_images/645716711723925506/t5G0qOS6_normal.jpg" xr:uid="{036A286D-5642-453A-A907-34990DC82B71}"/>
    <hyperlink ref="B3053" r:id="rId9203" display="https://twitter.com/INDIZbot" xr:uid="{65072C66-FB6D-4F95-8C90-6FEF079BE917}"/>
    <hyperlink ref="E3053" r:id="rId9204" display="https://twitter.com/INDIZbot/status/723975216729325569" xr:uid="{6094921A-1C33-4785-8B0E-617BC7C7D5AF}"/>
    <hyperlink ref="O3053" r:id="rId9205" display="https://pbs.twimg.com/profile_images/645716711723925506/t5G0qOS6_normal.jpg" xr:uid="{F68AE7FC-7572-49C9-826F-F3A4949607DF}"/>
    <hyperlink ref="B3054" r:id="rId9206" display="https://twitter.com/OleksiyAntonov" xr:uid="{2DD883D2-FBCE-4736-B0C7-D0E9454612F6}"/>
    <hyperlink ref="E3054" r:id="rId9207" display="https://twitter.com/OleksiyAntonov/status/723975883409752064" xr:uid="{332F7C4B-9C08-4D08-817A-E8EA4B9C016B}"/>
    <hyperlink ref="O3054" r:id="rId9208" display="https://abs.twimg.com/sticky/default_profile_images/default_profile_4_normal.png" xr:uid="{7E6DF3F9-85FA-4B92-A913-708C774DC960}"/>
    <hyperlink ref="B3055" r:id="rId9209" display="https://twitter.com/karelcrombach" xr:uid="{433D4E7A-0ABC-4C79-94C0-EF95BE4E91C8}"/>
    <hyperlink ref="E3055" r:id="rId9210" display="https://twitter.com/karelcrombach/status/723976417390764032" xr:uid="{1E31376A-A482-45FA-AB0B-775A30CFD177}"/>
    <hyperlink ref="O3055" r:id="rId9211" display="https://pbs.twimg.com/profile_images/3382064129/c8704527a56747df8e78cc48e86c3d9d_normal.jpeg" xr:uid="{88D9A35C-1C04-4E27-987C-C3B55EA122E6}"/>
    <hyperlink ref="B3056" r:id="rId9212" display="https://twitter.com/db_theblizz" xr:uid="{37C15C3F-CACC-4B96-ABBA-CEFF8DB8BDE8}"/>
    <hyperlink ref="E3056" r:id="rId9213" display="https://twitter.com/db_theblizz/status/723981188159946754" xr:uid="{857CFB1B-67EC-4F84-A342-D1CFBF064BAC}"/>
    <hyperlink ref="O3056" r:id="rId9214" display="https://pbs.twimg.com/profile_images/704353771820859392/r_-n_rEz_normal.jpg" xr:uid="{E159F3B5-2346-4BC0-B188-7544C1D99DDF}"/>
    <hyperlink ref="B3057" r:id="rId9215" display="https://twitter.com/s_crazyshin" xr:uid="{4133EC5C-B5CE-42EE-8B94-C7EDED1579BE}"/>
    <hyperlink ref="E3057" r:id="rId9216" display="https://twitter.com/s_crazyshin/status/723986443287314432" xr:uid="{AD87F873-4AF1-4FDA-973E-92C852FA6DAA}"/>
    <hyperlink ref="O3057" r:id="rId9217" display="https://pbs.twimg.com/profile_images/715622885646344192/KKSRmkdr_normal.jpg" xr:uid="{167A0E6B-9C69-4CCC-9396-140EA5D1D278}"/>
    <hyperlink ref="B3058" r:id="rId9218" display="https://twitter.com/Lenze_Gruppe" xr:uid="{9EE5F63E-1C77-4300-920F-8CA9E2319C8E}"/>
    <hyperlink ref="E3058" r:id="rId9219" display="https://twitter.com/Lenze_Gruppe/status/724016372200693760" xr:uid="{E36A62F2-AF68-45C7-92F1-D4887B8EAE32}"/>
    <hyperlink ref="O3058" r:id="rId9220" display="https://pbs.twimg.com/profile_images/1655244498/Lenze_RGB_400x400px_normal.jpg" xr:uid="{7E129A4F-9FDC-402D-BB5C-28D56E755A36}"/>
    <hyperlink ref="B3059" r:id="rId9221" display="https://twitter.com/NicoletteBarn" xr:uid="{545C0746-F29B-4FC3-9DFF-80B1B93A9AF9}"/>
    <hyperlink ref="E3059" r:id="rId9222" display="https://twitter.com/NicoletteBarn/status/724024882736955393" xr:uid="{0612A5A9-A8FF-4C7C-8075-7B7FF8515E04}"/>
    <hyperlink ref="O3059" r:id="rId9223" display="https://pbs.twimg.com/profile_images/705044001309794304/B3gEcfIM_normal.jpg" xr:uid="{BF71CC39-5FB3-49F8-AC0F-C8CF967BF117}"/>
    <hyperlink ref="B3060" r:id="rId9224" display="https://twitter.com/msftmfg" xr:uid="{C491A828-CD0B-4718-A2FC-DE15E3E318F0}"/>
    <hyperlink ref="E3060" r:id="rId9225" display="https://twitter.com/msftmfg/status/724025061062115328" xr:uid="{B5670EBF-F4FF-4AB6-B245-854226D85C27}"/>
    <hyperlink ref="O3060" r:id="rId9226" display="https://pbs.twimg.com/profile_images/543161217645178880/JQuBT7KS_normal.png" xr:uid="{3A852349-4E4E-47E2-B9BD-2423D579790E}"/>
    <hyperlink ref="B3061" r:id="rId9227" display="https://twitter.com/sallyafrank" xr:uid="{C11492C4-5479-406D-9FAD-372C326F49C1}"/>
    <hyperlink ref="E3061" r:id="rId9228" display="https://twitter.com/sallyafrank/status/724026775735508992" xr:uid="{77DE8BEB-5F1B-4514-8ABA-C0D01CD36796}"/>
    <hyperlink ref="O3061" r:id="rId9229" display="https://pbs.twimg.com/profile_images/602304216468738049/_0sb-3oB_normal.jpg" xr:uid="{C7ADE31C-AD65-4D83-A61F-DCE7596DB9CB}"/>
    <hyperlink ref="B3062" r:id="rId9230" display="https://twitter.com/MarinerLLC" xr:uid="{7C9B5001-69B7-42D8-972B-28DEC2FD9628}"/>
    <hyperlink ref="E3062" r:id="rId9231" display="https://twitter.com/MarinerLLC/status/724027595403202560" xr:uid="{04125B4F-AA5E-4676-8BA5-3F6F63E34B43}"/>
    <hyperlink ref="O3062" r:id="rId9232" display="https://pbs.twimg.com/profile_images/3502729434/95675e6f45ad2e1bbc6c5736995ec15c_normal.png" xr:uid="{4AE5D096-8073-4FA7-8DE7-A0CCBFAB7A8B}"/>
    <hyperlink ref="B3063" r:id="rId9233" display="https://twitter.com/colbytylerford" xr:uid="{D3F41CE0-1C1D-411A-B9B8-0D7AB16511BA}"/>
    <hyperlink ref="E3063" r:id="rId9234" display="https://twitter.com/colbytylerford/status/724028179816562688" xr:uid="{60B92F91-9C4F-4854-96A8-6CC8BCBB25C7}"/>
    <hyperlink ref="O3063" r:id="rId9235" display="https://pbs.twimg.com/profile_images/588196149665865728/jmm9bQ6G_normal.jpg" xr:uid="{5DFDDD99-C8F3-42B1-ACF6-78C06FB5C624}"/>
    <hyperlink ref="B3064" r:id="rId9236" display="https://twitter.com/RealJoeGuy" xr:uid="{397578A8-83CE-4E9B-9179-AF970CF4FEB2}"/>
    <hyperlink ref="E3064" r:id="rId9237" display="https://twitter.com/RealJoeGuy/status/724028984745402369" xr:uid="{203D85F9-6432-4F3D-A66B-496EF70B2911}"/>
    <hyperlink ref="O3064" r:id="rId9238" display="https://pbs.twimg.com/profile_images/1684373225/Joe_Guy_normal.jpg" xr:uid="{33584CE1-0F73-4507-A4A4-802BB4752574}"/>
    <hyperlink ref="B3065" r:id="rId9239" display="https://twitter.com/Philip_W_Morris" xr:uid="{C40FAA9F-4E5B-4E35-B1F0-574929E60B56}"/>
    <hyperlink ref="E3065" r:id="rId9240" display="https://twitter.com/Philip_W_Morris/status/724030694645751808" xr:uid="{6A043A21-F559-43C5-AB3B-FB917AF18EA5}"/>
    <hyperlink ref="O3065" r:id="rId9241" display="https://pbs.twimg.com/profile_images/688093545148723201/hCPglEEy_normal.jpg" xr:uid="{C303D3A1-C363-4B5F-B60E-94EB747E1BB9}"/>
    <hyperlink ref="B3066" r:id="rId9242" display="https://twitter.com/RIC_GRANAD0S" xr:uid="{4CB3F0E3-D34B-43E1-824C-F97BA63EA965}"/>
    <hyperlink ref="E3066" r:id="rId9243" display="https://twitter.com/RIC_GRANAD0S/status/724033507450707968" xr:uid="{EF196D42-39DF-49A4-9BE5-90F12430F75F}"/>
    <hyperlink ref="O3066" r:id="rId9244" display="https://pbs.twimg.com/profile_images/723168530204483584/ps-VkHWy_normal.jpg" xr:uid="{EE472D5C-7B52-4F73-B16C-1D63BDDF8F5C}"/>
    <hyperlink ref="B3067" r:id="rId9245" display="https://twitter.com/MichaelMelzig" xr:uid="{232B8C7B-9963-4348-B876-E75DF910B506}"/>
    <hyperlink ref="E3067" r:id="rId9246" display="https://twitter.com/MichaelMelzig/status/724035500944834560" xr:uid="{6D5CED99-72FE-4456-8D92-52FD11688FA9}"/>
    <hyperlink ref="O3067" r:id="rId9247" display="https://pbs.twimg.com/profile_images/699403300773433344/3F0h5APj_normal.jpg" xr:uid="{EB1F3160-C009-4584-8170-318B781A1CAA}"/>
    <hyperlink ref="B3068" r:id="rId9248" display="https://twitter.com/MfgCareersInc" xr:uid="{1CCA88D1-1E1B-469C-BBA5-90B5F630B302}"/>
    <hyperlink ref="E3068" r:id="rId9249" display="https://twitter.com/MfgCareersInc/status/724048989209939968" xr:uid="{24AF30E4-8E80-4FE7-92AE-BC96B58F0622}"/>
    <hyperlink ref="O3068" r:id="rId9250" display="https://pbs.twimg.com/profile_images/716042512972918784/tuj4bcDD_normal.jpg" xr:uid="{75BCEC1F-BFC3-4B3C-8C3C-225C19335FF2}"/>
    <hyperlink ref="B3069" r:id="rId9251" display="https://twitter.com/quickfindseotip" xr:uid="{CE715B53-51BF-4F32-9E56-7D1446EDAB1A}"/>
    <hyperlink ref="E3069" r:id="rId9252" display="https://twitter.com/quickfindseotip/status/724085462516662272" xr:uid="{5CDEDF4F-8CD3-4D55-BAF3-0FEFB6690596}"/>
    <hyperlink ref="O3069" r:id="rId9253" display="https://pbs.twimg.com/profile_images/592208932988264449/bM2abhue_normal.png" xr:uid="{C544574A-F744-4613-A3BA-A35C2FC167C7}"/>
    <hyperlink ref="B3070" r:id="rId9254" display="https://twitter.com/GhadaElAlfi" xr:uid="{97001CDC-414A-40EE-8BDD-E58CA0C571A1}"/>
    <hyperlink ref="E3070" r:id="rId9255" display="https://twitter.com/GhadaElAlfi/status/724090961903509504" xr:uid="{4625B4B3-8270-47B2-BC51-06A595901900}"/>
    <hyperlink ref="O3070" r:id="rId9256" display="https://abs.twimg.com/sticky/default_profile_images/default_profile_1_normal.png" xr:uid="{B0433A2C-35AB-45B5-8F28-F939D5138419}"/>
    <hyperlink ref="B3071" r:id="rId9257" display="https://twitter.com/QuickFindsIn" xr:uid="{21599872-C158-46A6-A2B6-194BBAC7CC09}"/>
    <hyperlink ref="E3071" r:id="rId9258" display="https://twitter.com/QuickFindsIn/status/724091501748211713" xr:uid="{A2F90679-C87A-4513-81F3-64F6C6A458CD}"/>
    <hyperlink ref="O3071" r:id="rId9259" display="https://pbs.twimg.com/profile_images/591951396217327616/HbcCX2zX_normal.png" xr:uid="{572F9C0C-CC43-4613-A5E9-6B24908FAA80}"/>
    <hyperlink ref="B3072" r:id="rId9260" display="https://twitter.com/MartinGaedt" xr:uid="{3F790A6E-015C-4AD7-89B9-7C04626FB8E7}"/>
    <hyperlink ref="E3072" r:id="rId9261" display="https://twitter.com/MartinGaedt/status/724105552041807872" xr:uid="{93322B0F-76B1-47F2-8715-F7F9C61AA32F}"/>
    <hyperlink ref="O3072" r:id="rId9262" display="https://pbs.twimg.com/profile_images/709444980553740288/Xds-Aan6_normal.jpg" xr:uid="{BAD4EA99-AB61-4ED9-AC28-FD446A538FFD}"/>
    <hyperlink ref="B3073" r:id="rId9263" display="https://twitter.com/MartinGaedt" xr:uid="{F2A1E1B3-F145-4B0A-8A2E-E5455B8A69C0}"/>
    <hyperlink ref="E3073" r:id="rId9264" display="https://twitter.com/MartinGaedt/status/724105579988439040" xr:uid="{07CD8405-E5BA-46AC-8F6B-D54AB536F97A}"/>
    <hyperlink ref="O3073" r:id="rId9265" display="https://pbs.twimg.com/profile_images/709444980553740288/Xds-Aan6_normal.jpg" xr:uid="{F44445F3-25B7-4FDF-B701-D00AD022287B}"/>
    <hyperlink ref="B3074" r:id="rId9266" display="https://twitter.com/INDIZbot" xr:uid="{43520366-D6CB-4D26-8A35-ED451798F622}"/>
    <hyperlink ref="E3074" r:id="rId9267" display="https://twitter.com/INDIZbot/status/724106389837221888" xr:uid="{A7CA9D6D-6D92-4852-9885-54CB38D48CC6}"/>
    <hyperlink ref="O3074" r:id="rId9268" display="https://pbs.twimg.com/profile_images/645716711723925506/t5G0qOS6_normal.jpg" xr:uid="{7C3E938E-D79A-432D-9597-015DECA138F1}"/>
    <hyperlink ref="B3075" r:id="rId9269" display="https://twitter.com/Balluff" xr:uid="{9FBCC55E-83B4-4C23-A34A-509F8D3CBA44}"/>
    <hyperlink ref="E3075" r:id="rId9270" display="https://twitter.com/Balluff/status/724116726326153216" xr:uid="{8D684EDC-B186-4F30-92B5-A0B888DF5BDD}"/>
    <hyperlink ref="O3075" r:id="rId9271" display="https://pbs.twimg.com/profile_images/663668561366245376/2ovYiiJf_normal.jpg" xr:uid="{95A70397-3B81-4610-9EDA-AEC85008D87B}"/>
    <hyperlink ref="B3076" r:id="rId9272" display="https://twitter.com/power4berlin" xr:uid="{D2E70835-006B-4E80-9E13-3A66DBC6F618}"/>
    <hyperlink ref="E3076" r:id="rId9273" display="https://twitter.com/power4berlin/status/724116925274566656" xr:uid="{9584CAE7-74DF-4541-8FA9-CEF985B67565}"/>
    <hyperlink ref="O3076" r:id="rId9274" display="https://pbs.twimg.com/profile_images/624872193743290368/WmNWpnpN_normal.jpg" xr:uid="{1B7B5996-DEED-40CD-9B0E-0D039C0C4B81}"/>
    <hyperlink ref="B3077" r:id="rId9275" display="https://twitter.com/Angela_Josephs" xr:uid="{4068A53E-FD98-483C-A4C6-AE5291FE2F20}"/>
    <hyperlink ref="E3077" r:id="rId9276" display="https://twitter.com/Angela_Josephs/status/724121445308215297" xr:uid="{47C22CEA-236B-40B5-9D0D-64EA658BF9FA}"/>
    <hyperlink ref="O3077" r:id="rId9277" display="https://pbs.twimg.com/profile_images/649572788148285440/Sxl5vTa3_normal.jpg" xr:uid="{213090ED-F9C6-4CE9-B496-A7D89BAF9B25}"/>
    <hyperlink ref="B3078" r:id="rId9278" display="https://twitter.com/David__DaSilva" xr:uid="{7AA929B7-E7B5-43D3-B8DE-49285E9499A0}"/>
    <hyperlink ref="E3078" r:id="rId9279" display="https://twitter.com/David__DaSilva/status/724123394132840448" xr:uid="{7C12778E-3490-458F-8CA0-567A42912A98}"/>
    <hyperlink ref="O3078" r:id="rId9280" display="https://pbs.twimg.com/profile_images/690464337526394880/dGzfOiEx_normal.jpg" xr:uid="{05F9DDB8-97C4-4917-8C03-AB3BE203AA47}"/>
    <hyperlink ref="B3079" r:id="rId9281" display="https://twitter.com/INDIZbot" xr:uid="{E4064C88-C517-4966-AC79-D93B11C59223}"/>
    <hyperlink ref="E3079" r:id="rId9282" display="https://twitter.com/INDIZbot/status/724123494372528128" xr:uid="{53FF9CA4-C222-4CF3-BD01-41E8362581BC}"/>
    <hyperlink ref="O3079" r:id="rId9283" display="https://pbs.twimg.com/profile_images/645716711723925506/t5G0qOS6_normal.jpg" xr:uid="{2771FD65-7F7A-449F-8B2C-3AF451FA0166}"/>
    <hyperlink ref="B3080" r:id="rId9284" display="https://twitter.com/DoreenJacobi1" xr:uid="{24D09705-B34E-41B7-94D5-FF5C5B564A3B}"/>
    <hyperlink ref="E3080" r:id="rId9285" display="https://twitter.com/DoreenJacobi1/status/724127338305302528" xr:uid="{373D6BED-ABF5-4E1A-8098-75060AC8E306}"/>
    <hyperlink ref="O3080" r:id="rId9286" display="https://pbs.twimg.com/profile_images/477208957602119680/8QlGcAVc_normal.jpeg" xr:uid="{08C5F094-856C-423A-B5F7-B92CCDE589F0}"/>
    <hyperlink ref="B3081" r:id="rId9287" display="https://twitter.com/kosubk" xr:uid="{14AC29B1-6D1B-4D73-AB20-6A08BDB8530F}"/>
    <hyperlink ref="E3081" r:id="rId9288" display="https://twitter.com/kosubk/status/724127959326531584" xr:uid="{0573907D-13C9-4269-8CD6-187B36CD2CA4}"/>
    <hyperlink ref="O3081" r:id="rId9289" display="https://pbs.twimg.com/profile_images/686576920461488130/S-nUCu2W_normal.png" xr:uid="{22EE60F4-3D8A-4E77-9193-99D67B363F83}"/>
    <hyperlink ref="B3082" r:id="rId9290" display="https://twitter.com/INDIZbot" xr:uid="{4E5F6448-4561-4DD5-B8DF-95DAA00FDD33}"/>
    <hyperlink ref="E3082" r:id="rId9291" display="https://twitter.com/INDIZbot/status/724128691186442240" xr:uid="{3D406E9E-AFA0-4849-8C80-15E098409071}"/>
    <hyperlink ref="O3082" r:id="rId9292" display="https://pbs.twimg.com/profile_images/645716711723925506/t5G0qOS6_normal.jpg" xr:uid="{118EC776-CEE5-4E9D-AAD0-6949ABF2C6E7}"/>
    <hyperlink ref="B3083" r:id="rId9293" display="https://twitter.com/tecomschweiz" xr:uid="{968F21A0-3D74-433F-947D-871E274CEB17}"/>
    <hyperlink ref="E3083" r:id="rId9294" display="https://twitter.com/tecomschweiz/status/724130382434734081" xr:uid="{753FFB43-8206-46FF-8461-A1FAE397985D}"/>
    <hyperlink ref="O3083" r:id="rId9295" display="https://pbs.twimg.com/profile_images/715293247459966976/SBJUyfDj_normal.jpg" xr:uid="{F64C953B-98A5-449B-9A1C-D66F664AC56F}"/>
    <hyperlink ref="B3084" r:id="rId9296" display="https://twitter.com/INDIZbot" xr:uid="{B794938D-9E5E-4212-B64F-A44B1B04DA2B}"/>
    <hyperlink ref="E3084" r:id="rId9297" display="https://twitter.com/INDIZbot/status/724131044170014722" xr:uid="{9F6CAC5D-6175-489A-B0A4-E26B371C58EE}"/>
    <hyperlink ref="O3084" r:id="rId9298" display="https://pbs.twimg.com/profile_images/645716711723925506/t5G0qOS6_normal.jpg" xr:uid="{2B6768F8-3BDF-46E4-A0C0-89FA389B316E}"/>
    <hyperlink ref="B3085" r:id="rId9299" display="https://twitter.com/knowhowag" xr:uid="{99C520DD-BA14-4439-AF71-BDD1D9D5BEE9}"/>
    <hyperlink ref="E3085" r:id="rId9300" display="https://twitter.com/knowhowag/status/724132060709969921" xr:uid="{D893511F-45B2-4C07-8408-161E6C9032A9}"/>
    <hyperlink ref="O3085" r:id="rId9301" display="https://pbs.twimg.com/profile_images/378800000109288008/2974a4a19e33d0106f232f48d87756ef_normal.jpeg" xr:uid="{C6995AD2-0DBD-4C06-819F-2DF6CF3828DA}"/>
    <hyperlink ref="B3086" r:id="rId9302" display="https://twitter.com/kommoptimierer" xr:uid="{D12A2A01-24DB-43AA-90BA-214D88577FF5}"/>
    <hyperlink ref="E3086" r:id="rId9303" display="https://twitter.com/kommoptimierer/status/724132315698483200" xr:uid="{F20D409E-F2F9-4859-9002-44112E4AF621}"/>
    <hyperlink ref="O3086" r:id="rId9304" display="https://pbs.twimg.com/profile_images/541146126158536704/IYardufS_normal.jpeg" xr:uid="{260AA08D-3112-4000-ABB3-FED45E84181C}"/>
    <hyperlink ref="B3087" r:id="rId9305" display="https://twitter.com/INDIZbot" xr:uid="{F0ACAAE0-3F5F-406F-952A-B15E692429A9}"/>
    <hyperlink ref="E3087" r:id="rId9306" display="https://twitter.com/INDIZbot/status/724133561998147584" xr:uid="{B26C9AD0-50E5-4044-95E8-C6AC55D437EE}"/>
    <hyperlink ref="O3087" r:id="rId9307" display="https://pbs.twimg.com/profile_images/645716711723925506/t5G0qOS6_normal.jpg" xr:uid="{020CA273-5558-42BD-A69B-E11AF620BCB5}"/>
    <hyperlink ref="B3088" r:id="rId9308" display="https://twitter.com/INDIZbot" xr:uid="{57F8306E-E6F2-4C11-82E1-1B007B48F8DC}"/>
    <hyperlink ref="E3088" r:id="rId9309" display="https://twitter.com/INDIZbot/status/724133692327731200" xr:uid="{E06E191E-6AF6-480B-9319-554355E2D193}"/>
    <hyperlink ref="O3088" r:id="rId9310" display="https://pbs.twimg.com/profile_images/645716711723925506/t5G0qOS6_normal.jpg" xr:uid="{9F4F0506-FEE2-4C01-9184-1A4D54DB1C1C}"/>
    <hyperlink ref="B3089" r:id="rId9311" display="https://twitter.com/derdawoso" xr:uid="{5282906B-5E75-47A0-907E-FFA19E690FA8}"/>
    <hyperlink ref="E3089" r:id="rId9312" display="https://twitter.com/derdawoso/status/724135686421536768" xr:uid="{4A3061A6-2EB5-4AD7-B64B-76BCC6790260}"/>
    <hyperlink ref="O3089" r:id="rId9313" display="https://pbs.twimg.com/profile_images/722146752057487360/wkdN1AEV_normal.jpg" xr:uid="{C55386B0-6C34-4696-9213-E7C600723D8B}"/>
    <hyperlink ref="B3090" r:id="rId9314" display="https://twitter.com/INDIZbot" xr:uid="{888D0D00-A440-4D50-B88A-C79FBC959745}"/>
    <hyperlink ref="E3090" r:id="rId9315" display="https://twitter.com/INDIZbot/status/724136077649387520" xr:uid="{712038A6-522A-47A7-97CF-BF148B8C3ADE}"/>
    <hyperlink ref="O3090" r:id="rId9316" display="https://pbs.twimg.com/profile_images/645716711723925506/t5G0qOS6_normal.jpg" xr:uid="{1E41ABCA-C7D5-44FD-B41F-86B2B30CDC20}"/>
    <hyperlink ref="B3091" r:id="rId9317" display="https://twitter.com/sas_d" xr:uid="{6111E59E-79C2-4AED-8BD2-A7EE810D73F4}"/>
    <hyperlink ref="E3091" r:id="rId9318" display="https://twitter.com/sas_d/status/724138305147813888" xr:uid="{09CD083F-2C87-4D8E-B0F2-A5A66240D4B5}"/>
    <hyperlink ref="O3091" r:id="rId9319" display="https://pbs.twimg.com/profile_images/722718227646803968/HVM2dokU_normal.jpg" xr:uid="{B53C25A9-1A77-438A-8DF8-DC89996D0DCE}"/>
    <hyperlink ref="B3092" r:id="rId9320" display="https://twitter.com/INDIZbot" xr:uid="{ABCEDC5D-9571-4A19-AD0C-3521E2E4F490}"/>
    <hyperlink ref="E3092" r:id="rId9321" display="https://twitter.com/INDIZbot/status/724138597188808705" xr:uid="{55A5DA91-D729-4721-AA62-4D99413BA24F}"/>
    <hyperlink ref="O3092" r:id="rId9322" display="https://pbs.twimg.com/profile_images/645716711723925506/t5G0qOS6_normal.jpg" xr:uid="{0AB35320-7C85-439B-ADBA-C5AB8261F4F3}"/>
    <hyperlink ref="B3093" r:id="rId9323" display="https://twitter.com/ClaudiaFeusi" xr:uid="{6A7D82C4-5E5F-456C-B2AF-932471171EA2}"/>
    <hyperlink ref="E3093" r:id="rId9324" display="https://twitter.com/ClaudiaFeusi/status/724139656690950144" xr:uid="{3C06491C-6434-4F96-9CB6-560FC359263F}"/>
    <hyperlink ref="O3093" r:id="rId9325" display="https://pbs.twimg.com/profile_images/647154695891496960/SRHGbk0s_normal.jpg" xr:uid="{1846718B-F4CC-4D04-B257-81BEECF0FCF3}"/>
    <hyperlink ref="B3094" r:id="rId9326" display="https://twitter.com/reanvent" xr:uid="{1C98DAAB-0278-456C-980C-E88879F50670}"/>
    <hyperlink ref="E3094" r:id="rId9327" display="https://twitter.com/reanvent/status/724143392012251137" xr:uid="{93AED516-01AD-4FD8-8678-8CAEDD9D9A4E}"/>
    <hyperlink ref="O3094" r:id="rId9328" display="https://pbs.twimg.com/profile_images/698748740811821056/qse_j83N_normal.jpg" xr:uid="{BF4B8567-55A4-48E6-8C72-43E19875F76B}"/>
    <hyperlink ref="B3095" r:id="rId9329" display="https://twitter.com/INDIZbot" xr:uid="{242DA844-6003-4CF7-AD55-3DC44EE0B9E6}"/>
    <hyperlink ref="E3095" r:id="rId9330" display="https://twitter.com/INDIZbot/status/724143633167949824" xr:uid="{D677CCC4-68F0-46C3-A3EE-3DA0D62DB4D1}"/>
    <hyperlink ref="O3095" r:id="rId9331" display="https://pbs.twimg.com/profile_images/645716711723925506/t5G0qOS6_normal.jpg" xr:uid="{08C7075A-E2AF-47D2-87D6-6678ED6104F6}"/>
    <hyperlink ref="B3096" r:id="rId9332" display="https://twitter.com/KUKA_RoboticsDE" xr:uid="{DD923DBB-A554-43E0-A7A6-EADE440C1DE6}"/>
    <hyperlink ref="E3096" r:id="rId9333" display="https://twitter.com/KUKA_RoboticsDE/status/724146054044758016" xr:uid="{A0CC378C-02F4-453F-9CBD-1A451637DC25}"/>
    <hyperlink ref="O3096" r:id="rId9334" display="https://pbs.twimg.com/profile_images/704767814406643712/VcnCdfke_normal.jpg" xr:uid="{E8B85387-319E-421E-BB2B-84B5A2DE1E6D}"/>
    <hyperlink ref="B3097" r:id="rId9335" display="https://twitter.com/konsultwerk" xr:uid="{07A75E4A-0F0E-4385-B80E-54E08F6A4CEA}"/>
    <hyperlink ref="E3097" r:id="rId9336" display="https://twitter.com/konsultwerk/status/724146095929065472" xr:uid="{817C9F24-DC6E-49B1-B772-AE1F03453AF3}"/>
    <hyperlink ref="O3097" r:id="rId9337" display="https://pbs.twimg.com/profile_images/1539645084/FB-KWlogo.004_normal.png" xr:uid="{FBEEEFCF-C6C3-49AA-B5E2-D6BBE1EE1F89}"/>
    <hyperlink ref="B3098" r:id="rId9338" display="https://twitter.com/TUslaender" xr:uid="{280335A5-20F7-4C87-A2D6-0FFE632B2C22}"/>
    <hyperlink ref="E3098" r:id="rId9339" display="https://twitter.com/TUslaender/status/724146127193432064" xr:uid="{E3A30531-DF20-49AD-A861-D9194F118085}"/>
    <hyperlink ref="O3098" r:id="rId9340" display="https://pbs.twimg.com/profile_images/504569405494161410/4CpoyfPM_normal.jpeg" xr:uid="{F42020A9-8ACC-4AB3-A7AD-BA0CB60C78C9}"/>
    <hyperlink ref="B3099" r:id="rId9341" display="https://twitter.com/5t0ll1" xr:uid="{0F66A908-0350-46FD-BD3F-E0FFD024A025}"/>
    <hyperlink ref="E3099" r:id="rId9342" display="https://twitter.com/5t0ll1/status/724147747541127168" xr:uid="{3385510D-E5C1-4A80-91B0-79D086D140D8}"/>
    <hyperlink ref="O3099" r:id="rId9343" display="https://pbs.twimg.com/profile_images/659449984572641280/UPBR3or__normal.jpg" xr:uid="{1CA86CC7-6401-4DA4-8BD9-2B325C32F067}"/>
    <hyperlink ref="B3100" r:id="rId9344" display="https://twitter.com/INDIZbot" xr:uid="{05F8035E-EEF2-4CFD-8A61-1E8A66C80E92}"/>
    <hyperlink ref="E3100" r:id="rId9345" display="https://twitter.com/INDIZbot/status/724148801699762178" xr:uid="{7AEEF040-63DF-453B-8239-90A68AC9BB4E}"/>
    <hyperlink ref="O3100" r:id="rId9346" display="https://pbs.twimg.com/profile_images/645716711723925506/t5G0qOS6_normal.jpg" xr:uid="{956C4AF0-1ACD-44CD-A976-02C2C0193870}"/>
    <hyperlink ref="B3101" r:id="rId9347" display="https://twitter.com/INDIZbot" xr:uid="{1AEBD2C4-7790-4E1E-B0F4-2430609DC60B}"/>
    <hyperlink ref="E3101" r:id="rId9348" display="https://twitter.com/INDIZbot/status/724148891873107969" xr:uid="{B39EF1FC-6800-46B7-AB11-D577D4D57198}"/>
    <hyperlink ref="O3101" r:id="rId9349" display="https://pbs.twimg.com/profile_images/645716711723925506/t5G0qOS6_normal.jpg" xr:uid="{04432353-798D-4E6D-BF5D-56E4AC2E4F79}"/>
    <hyperlink ref="B3102" r:id="rId9350" display="https://twitter.com/GTAI_com" xr:uid="{412154E0-47A2-4C66-8716-FC6F23EBABAB}"/>
    <hyperlink ref="E3102" r:id="rId9351" display="https://twitter.com/GTAI_com/status/724149693396205568" xr:uid="{F8214D58-75CD-44EB-BE7F-4BF9D3935D94}"/>
    <hyperlink ref="O3102" r:id="rId9352" display="https://pbs.twimg.com/profile_images/716977461079179268/JVN5NZO8_normal.jpg" xr:uid="{65D693B5-1DE8-4BDE-8887-2294D2BE4F6C}"/>
    <hyperlink ref="B3103" r:id="rId9353" display="https://twitter.com/cybus_io" xr:uid="{A7C945D3-0568-4B39-9F2D-5DA516B95BFF}"/>
    <hyperlink ref="E3103" r:id="rId9354" display="https://twitter.com/cybus_io/status/724154423073738752" xr:uid="{9802501D-6F9B-4916-87AD-953C0BF92B0D}"/>
    <hyperlink ref="O3103" r:id="rId9355" display="https://pbs.twimg.com/profile_images/673122571731251200/Rcblg7bz_normal.png" xr:uid="{3E1A2D0E-ED26-4AFE-8A4B-DBE0488C9388}"/>
    <hyperlink ref="B3104" r:id="rId9356" display="https://twitter.com/drwissing" xr:uid="{8360E599-4B06-40CF-ABBB-526B93DCCC21}"/>
    <hyperlink ref="E3104" r:id="rId9357" display="https://twitter.com/drwissing/status/724155757751635968" xr:uid="{F024EF81-ECED-4125-AE95-BF2697010D4E}"/>
    <hyperlink ref="O3104" r:id="rId9358" display="https://pbs.twimg.com/profile_images/668353815469555712/KWTVVgWw_normal.jpg" xr:uid="{46638144-EA26-492D-9547-8E3C3E134513}"/>
    <hyperlink ref="B3105" r:id="rId9359" display="https://twitter.com/kommoptimierer" xr:uid="{9808CAE3-564C-412B-BB6E-23979E70E4EA}"/>
    <hyperlink ref="E3105" r:id="rId9360" display="https://twitter.com/kommoptimierer/status/724155927511838720" xr:uid="{4F29AD02-110E-41E1-9B6C-B5E8CF66BFDA}"/>
    <hyperlink ref="O3105" r:id="rId9361" display="https://pbs.twimg.com/profile_images/541146126158536704/IYardufS_normal.jpeg" xr:uid="{7127D3DB-E70F-43C9-A736-D60C6FD7564A}"/>
    <hyperlink ref="B3106" r:id="rId9362" display="https://twitter.com/induux_de" xr:uid="{3C7EDC99-8DF1-4B57-AFC1-A29A0389D827}"/>
    <hyperlink ref="E3106" r:id="rId9363" display="https://twitter.com/induux_de/status/724157408826810368" xr:uid="{D746CAE1-F24F-43F3-BB9E-4E777369B2B1}"/>
    <hyperlink ref="O3106" r:id="rId9364" display="https://pbs.twimg.com/profile_images/455629070454116352/ujZ3h7Ww_normal.png" xr:uid="{C909F987-B605-4F37-8FB0-7A03A0ACD3E7}"/>
    <hyperlink ref="B3107" r:id="rId9365" display="https://twitter.com/JeffRConnolly" xr:uid="{DA6871C5-F2D2-45AD-BD70-D0B442F7586B}"/>
    <hyperlink ref="E3107" r:id="rId9366" display="https://twitter.com/JeffRConnolly/status/724158020154855426" xr:uid="{A79804D5-CB13-448E-BDCC-2E3D7888C084}"/>
    <hyperlink ref="O3107" r:id="rId9367" display="https://pbs.twimg.com/profile_images/444069537869094912/Oh8ZB7sl_normal.jpeg" xr:uid="{58E752B7-917E-42E1-BAC8-3A1ECF4725F4}"/>
    <hyperlink ref="B3108" r:id="rId9368" display="https://twitter.com/SlavisaTavic" xr:uid="{205810D5-5D3A-423D-8FA7-FDFB04A6BECF}"/>
    <hyperlink ref="E3108" r:id="rId9369" display="https://twitter.com/SlavisaTavic/status/724158215697608704" xr:uid="{B10F526C-DF9D-469F-B44B-CB452856964C}"/>
    <hyperlink ref="O3108" r:id="rId9370" display="https://pbs.twimg.com/profile_images/681554816389279744/ZcdsVGAl_normal.jpg" xr:uid="{5A44F377-C4BC-4F40-A39F-27F10069AF03}"/>
    <hyperlink ref="B3109" r:id="rId9371" display="https://twitter.com/verlinked" xr:uid="{A24B2B40-A104-4F60-A232-620877495861}"/>
    <hyperlink ref="E3109" r:id="rId9372" display="https://twitter.com/verlinked/status/724161010827857921" xr:uid="{2EB635C1-5889-4BD9-B77C-86438C33A94D}"/>
    <hyperlink ref="O3109" r:id="rId9373" display="https://pbs.twimg.com/profile_images/722385992343285760/ww8YLZ2q_normal.jpg" xr:uid="{A4AA21E0-D7A9-4376-8AA6-8A05F15DBF9C}"/>
    <hyperlink ref="B3110" r:id="rId9374" display="https://twitter.com/karelcrombach" xr:uid="{C33270B2-0496-47F8-B750-1542DCA0AC52}"/>
    <hyperlink ref="E3110" r:id="rId9375" display="https://twitter.com/karelcrombach/status/724161058148106240" xr:uid="{DC409698-5682-411E-B750-E8C4A9602452}"/>
    <hyperlink ref="O3110" r:id="rId9376" display="https://pbs.twimg.com/profile_images/3382064129/c8704527a56747df8e78cc48e86c3d9d_normal.jpeg" xr:uid="{0D4C16D6-6AB8-4EB4-BB55-DA028FF71144}"/>
    <hyperlink ref="B3111" r:id="rId9377" display="https://twitter.com/indiameetsurope" xr:uid="{D8F415FD-D477-48FB-B044-21D96C13447F}"/>
    <hyperlink ref="E3111" r:id="rId9378" display="https://twitter.com/indiameetsurope/status/724161545664663552" xr:uid="{A512007E-32C3-4401-A40A-2E6622957C6A}"/>
    <hyperlink ref="O3111" r:id="rId9379" display="https://pbs.twimg.com/profile_images/378800000106302626/31311e4d113bdaef750ff4784f301c13_normal.jpeg" xr:uid="{60DED277-300F-4A5E-945F-E4B368856D08}"/>
    <hyperlink ref="B3112" r:id="rId9380" display="https://twitter.com/INDIZbot" xr:uid="{78A8E87B-2D7A-4F4C-A90D-FE9333DE9681}"/>
    <hyperlink ref="E3112" r:id="rId9381" display="https://twitter.com/INDIZbot/status/724163837268754432" xr:uid="{60C9235E-D680-4080-8957-FC20B356E271}"/>
    <hyperlink ref="O3112" r:id="rId9382" display="https://pbs.twimg.com/profile_images/645716711723925506/t5G0qOS6_normal.jpg" xr:uid="{6E421655-00C3-4A4A-B418-E20F1BB3700D}"/>
    <hyperlink ref="B3113" r:id="rId9383" display="https://twitter.com/HGelis" xr:uid="{D5AAEEE4-5942-440E-8299-05CED69E678E}"/>
    <hyperlink ref="E3113" r:id="rId9384" display="https://twitter.com/HGelis/status/724164906585608192" xr:uid="{E0198AF0-7C2D-4DA3-939E-076FEB3DE863}"/>
    <hyperlink ref="O3113" r:id="rId9385" display="https://pbs.twimg.com/profile_images/378800000513916505/dee0d0a076c3dc398742830ffa73e849_normal.jpeg" xr:uid="{A3054FE3-FF7E-4CE5-B1AE-37FE331ED70B}"/>
    <hyperlink ref="B3114" r:id="rId9386" display="https://twitter.com/Bitkom_I40" xr:uid="{3BFE1B18-2843-406E-A5C6-31FFB2CA3019}"/>
    <hyperlink ref="E3114" r:id="rId9387" display="https://twitter.com/Bitkom_I40/status/724169277603864579" xr:uid="{8489844A-50C7-481D-BEC7-20B04DD3FD92}"/>
    <hyperlink ref="O3114" r:id="rId9388" display="https://pbs.twimg.com/profile_images/723407487395713024/0hZv7R8S_normal.jpg" xr:uid="{73F3CDFA-E1D4-4805-AE1F-A1755AA3E6ED}"/>
    <hyperlink ref="B3115" r:id="rId9389" display="https://twitter.com/IFCEBERT" xr:uid="{8E8E48B5-DD51-4E77-B890-CC497CCB22FC}"/>
    <hyperlink ref="E3115" r:id="rId9390" display="https://twitter.com/IFCEBERT/status/724170959670906880" xr:uid="{B654D1C2-DC79-4B33-A9D7-5E17B5D25DE8}"/>
    <hyperlink ref="O3115" r:id="rId9391" display="https://pbs.twimg.com/profile_images/378800000250647928/75cc085472c8fd6d2d0ba41fbcffe479_normal.jpeg" xr:uid="{F906CBF3-9DA9-4AEF-B973-904E8640CF9C}"/>
    <hyperlink ref="B3116" r:id="rId9392" display="https://twitter.com/BigDataTweetBot" xr:uid="{5C3E11F0-0A74-4C3D-A38A-1CF9F0A4B86B}"/>
    <hyperlink ref="E3116" r:id="rId9393" display="https://twitter.com/BigDataTweetBot/status/724171282699440128" xr:uid="{F752298A-B642-493F-B182-4658624D11AF}"/>
    <hyperlink ref="O3116" r:id="rId9394" display="https://pbs.twimg.com/profile_images/616793252524650496/bQbxJqmz_normal.jpg" xr:uid="{FBF3082A-74D1-4BFE-A013-42924E8D377E}"/>
    <hyperlink ref="B3117" r:id="rId9395" display="https://twitter.com/INDIZbot" xr:uid="{B0588975-A378-4B15-B824-F7014AD8AA57}"/>
    <hyperlink ref="E3117" r:id="rId9396" display="https://twitter.com/INDIZbot/status/724171666230751232" xr:uid="{442BA880-7655-40F4-AB81-2A69E26F45A7}"/>
    <hyperlink ref="O3117" r:id="rId9397" display="https://pbs.twimg.com/profile_images/645716711723925506/t5G0qOS6_normal.jpg" xr:uid="{6D1B3ACA-D4F8-4EF0-A01A-29138D8D2E22}"/>
    <hyperlink ref="B3118" r:id="rId9398" display="https://twitter.com/germanchassis" xr:uid="{F8942BC9-6DA0-4FE1-A70E-9FF6E42E1B35}"/>
    <hyperlink ref="E3118" r:id="rId9399" display="https://twitter.com/germanchassis/status/724171951351160833" xr:uid="{D02A9D7E-4252-4649-9773-323A767BDBA5}"/>
    <hyperlink ref="O3118" r:id="rId9400" display="https://pbs.twimg.com/profile_images/710688028063358977/d6NX_uKt_normal.jpg" xr:uid="{CD0F8110-A9AC-454F-A1EC-F8609342FACA}"/>
    <hyperlink ref="B3119" r:id="rId9401" display="https://twitter.com/ImTunnel" xr:uid="{293C02ED-DED8-43E6-BA3D-AB9AC46DB36B}"/>
    <hyperlink ref="E3119" r:id="rId9402" display="https://twitter.com/ImTunnel/status/724172340175753216" xr:uid="{BC4BE970-305F-4A82-B706-F4B14A4E389B}"/>
    <hyperlink ref="O3119" r:id="rId9403" display="https://pbs.twimg.com/profile_images/604981038096498688/MtnTCGY__normal.png" xr:uid="{956D42B3-F9BC-465A-892C-768AF4759043}"/>
    <hyperlink ref="B3120" r:id="rId9404" display="https://twitter.com/akwyz" xr:uid="{E6365292-F634-4F38-90A9-A855461F20D0}"/>
    <hyperlink ref="E3120" r:id="rId9405" display="https://twitter.com/akwyz/status/724172725242224640" xr:uid="{DA7B0871-F093-48A9-ACB3-2A8C799B9026}"/>
    <hyperlink ref="O3120" r:id="rId9406" display="https://pbs.twimg.com/profile_images/721423009114931200/0w9BDsO3_normal.jpg" xr:uid="{9FA1F645-E1EB-45D5-883D-009E4D542189}"/>
    <hyperlink ref="B3121" r:id="rId9407" display="https://twitter.com/renaschwarting" xr:uid="{E378AD6F-1691-42C4-9C36-E6E15A7B3CC2}"/>
    <hyperlink ref="E3121" r:id="rId9408" display="https://twitter.com/renaschwarting/status/724173053329084417" xr:uid="{84BFE6F4-A65B-4C68-A3F5-1BAE97F7A876}"/>
    <hyperlink ref="O3121" r:id="rId9409" display="https://pbs.twimg.com/profile_images/676499592674975745/Z-ThYeOX_normal.jpg" xr:uid="{E10EC4C5-0C33-4F74-9FA1-A36F563A9FD9}"/>
    <hyperlink ref="B3122" r:id="rId9410" display="https://twitter.com/sms2sms" xr:uid="{7C4FF988-9D9A-42D1-8EAE-AEFAA1AE1F64}"/>
    <hyperlink ref="E3122" r:id="rId9411" display="https://twitter.com/sms2sms/status/724173098564591616" xr:uid="{2D279073-1815-476A-BC15-A8BA5B9AD1B1}"/>
    <hyperlink ref="O3122" r:id="rId9412" display="https://pbs.twimg.com/profile_images/654019682811408384/80tMWtJJ_normal.png" xr:uid="{CE4BB4CC-E9B1-43A7-969A-B376F1FFCF8C}"/>
    <hyperlink ref="B3123" r:id="rId9413" display="https://twitter.com/Vuillermoz_P" xr:uid="{1A4BDE24-91D8-476D-BC3E-C0249287BAB2}"/>
    <hyperlink ref="E3123" r:id="rId9414" display="https://twitter.com/Vuillermoz_P/status/724173116453314561" xr:uid="{23567A74-57B4-4E3C-8EAF-3ECC50310288}"/>
    <hyperlink ref="O3123" r:id="rId9415" display="https://pbs.twimg.com/profile_images/621685340332498944/z50_SzqE_normal.jpg" xr:uid="{6988525F-1136-4870-A79F-3FA2BB3AE409}"/>
    <hyperlink ref="B3124" r:id="rId9416" display="https://twitter.com/slxlearning" xr:uid="{08C8A18B-7125-4D6C-A3C6-7E8A7F8830C5}"/>
    <hyperlink ref="E3124" r:id="rId9417" display="https://twitter.com/slxlearning/status/724173221289955329" xr:uid="{F9D03044-487E-42EE-BEAD-2364A108EBD1}"/>
    <hyperlink ref="O3124" r:id="rId9418" display="https://pbs.twimg.com/profile_images/703543205543997440/qXoxbiY7_normal.jpg" xr:uid="{1A8F424B-8EC0-4091-AF88-7F4BADA38EB9}"/>
    <hyperlink ref="B3125" r:id="rId9419" display="https://twitter.com/slxlearning" xr:uid="{FAC781BB-3A4D-45A5-B1EA-9D02A614EA1C}"/>
    <hyperlink ref="E3125" r:id="rId9420" display="https://twitter.com/slxlearning/status/724173240168411136" xr:uid="{D83E00C2-EE17-45E1-9021-C597E58315B4}"/>
    <hyperlink ref="O3125" r:id="rId9421" display="https://pbs.twimg.com/profile_images/703543205543997440/qXoxbiY7_normal.jpg" xr:uid="{810021E8-543E-45ED-AB62-DEFD8FE9046B}"/>
    <hyperlink ref="B3126" r:id="rId9422" display="https://twitter.com/INDIZbot" xr:uid="{A1C4C166-174A-4526-9567-0447BB3785B5}"/>
    <hyperlink ref="E3126" r:id="rId9423" display="https://twitter.com/INDIZbot/status/724174014449639424" xr:uid="{CD94B2E9-369F-4C6E-B146-7E1E6AE2ADEB}"/>
    <hyperlink ref="O3126" r:id="rId9424" display="https://pbs.twimg.com/profile_images/645716711723925506/t5G0qOS6_normal.jpg" xr:uid="{41B6390D-E288-4CA3-8B82-9453B1E033D2}"/>
    <hyperlink ref="B3127" r:id="rId9425" display="https://twitter.com/INDIZbot" xr:uid="{06323786-2EA8-4B75-B41A-42D5AE839114}"/>
    <hyperlink ref="E3127" r:id="rId9426" display="https://twitter.com/INDIZbot/status/724174070430994432" xr:uid="{2344728C-6130-480D-96C6-879A2E47C566}"/>
    <hyperlink ref="O3127" r:id="rId9427" display="https://pbs.twimg.com/profile_images/645716711723925506/t5G0qOS6_normal.jpg" xr:uid="{CD00BBF1-FDA8-419F-9280-FE3DA55CFF36}"/>
    <hyperlink ref="B3128" r:id="rId9428" display="https://twitter.com/INDIZbot" xr:uid="{EABD0616-3DE4-4DA3-B6FB-7B8CC2B64C4E}"/>
    <hyperlink ref="E3128" r:id="rId9429" display="https://twitter.com/INDIZbot/status/724174170549002240" xr:uid="{C949F2A3-A284-4122-A28D-35DA15DD4F36}"/>
    <hyperlink ref="O3128" r:id="rId9430" display="https://pbs.twimg.com/profile_images/645716711723925506/t5G0qOS6_normal.jpg" xr:uid="{13CC47B9-01CB-486E-8907-0B6B5F94E55E}"/>
    <hyperlink ref="B3129" r:id="rId9431" display="https://twitter.com/kommunikationsm" xr:uid="{8A7E32F3-3112-427B-86E3-3DF70B6A95A7}"/>
    <hyperlink ref="E3129" r:id="rId9432" display="https://twitter.com/kommunikationsm/status/724174249259356160" xr:uid="{C7BDFF44-B822-42A7-9E5C-43371F941291}"/>
    <hyperlink ref="O3129" r:id="rId9433" display="https://pbs.twimg.com/profile_images/619614759370014720/AS__iYuZ_normal.jpg" xr:uid="{515605C3-5F41-4561-83FD-245545864581}"/>
    <hyperlink ref="B3130" r:id="rId9434" display="https://twitter.com/kommunikationsm" xr:uid="{A62816F5-4228-4F40-953E-80EBE9EC9B21}"/>
    <hyperlink ref="E3130" r:id="rId9435" display="https://twitter.com/kommunikationsm/status/724174861715820544" xr:uid="{F2E9B258-7F79-43BE-A1EE-F67518F96D5B}"/>
    <hyperlink ref="O3130" r:id="rId9436" display="https://pbs.twimg.com/profile_images/619614759370014720/AS__iYuZ_normal.jpg" xr:uid="{7B48E95E-8611-4614-AB9A-46134ECCA922}"/>
    <hyperlink ref="B3131" r:id="rId9437" display="https://twitter.com/BOLDLYGO_FFM" xr:uid="{A635D511-DDAB-472A-A834-E2E590D12B04}"/>
    <hyperlink ref="E3131" r:id="rId9438" display="https://twitter.com/BOLDLYGO_FFM/status/724175035313848320" xr:uid="{96678C5C-AEC4-433F-ABE3-8023705488A8}"/>
    <hyperlink ref="O3131" r:id="rId9439" display="https://pbs.twimg.com/profile_images/636836616263311360/-akWmcev_normal.png" xr:uid="{3FCB88B6-8C05-400E-A7E4-EB73374B15A1}"/>
    <hyperlink ref="B3132" r:id="rId9440" display="https://twitter.com/patriciaduques4" xr:uid="{3981A745-4C16-4183-947B-47639D00EB72}"/>
    <hyperlink ref="E3132" r:id="rId9441" display="https://twitter.com/patriciaduques4/status/724175173939802112" xr:uid="{7DD13021-AF42-4ECC-A18F-3A77DEEF7C1F}"/>
    <hyperlink ref="O3132" r:id="rId9442" display="https://abs.twimg.com/sticky/default_profile_images/default_profile_3_normal.png" xr:uid="{8D32580F-B73C-40CE-A1FB-0E163D205E5C}"/>
    <hyperlink ref="B3133" r:id="rId9443" display="https://twitter.com/patriciaduques4" xr:uid="{04AA0702-8EFC-40E6-BE40-EE36501D1BCA}"/>
    <hyperlink ref="E3133" r:id="rId9444" display="https://twitter.com/patriciaduques4/status/724175196207353857" xr:uid="{634E69C4-20AA-4F2C-ACBF-936117364402}"/>
    <hyperlink ref="O3133" r:id="rId9445" display="https://abs.twimg.com/sticky/default_profile_images/default_profile_3_normal.png" xr:uid="{B368C2FF-415A-4F50-ABF0-168F3F135B67}"/>
    <hyperlink ref="B3134" r:id="rId9446" display="https://twitter.com/markus_boehm_" xr:uid="{CA3E8721-0825-4AA3-86D6-4B4932F1D7AD}"/>
    <hyperlink ref="E3134" r:id="rId9447" display="https://twitter.com/markus_boehm_/status/724175579042463744" xr:uid="{5F26D53D-D7C4-48F5-A433-B2A56AC2DE22}"/>
    <hyperlink ref="O3134" r:id="rId9448" display="https://pbs.twimg.com/profile_images/588663919/IMGP2781_normal.JPG" xr:uid="{7342D7A4-AC81-4630-A9FC-4B48D0F08796}"/>
    <hyperlink ref="B3135" r:id="rId9449" display="https://twitter.com/INDIZbot" xr:uid="{BC06AE5A-363A-460E-81EB-7BDCFEAB65B6}"/>
    <hyperlink ref="E3135" r:id="rId9450" display="https://twitter.com/INDIZbot/status/724176497993482240" xr:uid="{D9383CC7-0AAC-46D0-A529-F964C5E4B04F}"/>
    <hyperlink ref="O3135" r:id="rId9451" display="https://pbs.twimg.com/profile_images/645716711723925506/t5G0qOS6_normal.jpg" xr:uid="{6506786C-BF5E-46C2-A4CB-0B7990E4AD26}"/>
    <hyperlink ref="B3136" r:id="rId9452" display="https://twitter.com/INDIZbot" xr:uid="{861AEFEC-C010-49D9-A76F-3F33AA9955C0}"/>
    <hyperlink ref="E3136" r:id="rId9453" display="https://twitter.com/INDIZbot/status/724176641841344513" xr:uid="{941895B8-0878-4E7A-85D5-3098F82194CC}"/>
    <hyperlink ref="O3136" r:id="rId9454" display="https://pbs.twimg.com/profile_images/645716711723925506/t5G0qOS6_normal.jpg" xr:uid="{B9FB80B4-9A18-4030-AAF6-B5E7D0A83F9E}"/>
    <hyperlink ref="B3137" r:id="rId9455" display="https://twitter.com/MartinGaedt" xr:uid="{AD27805B-0283-40BD-AA1B-02C5945266CE}"/>
    <hyperlink ref="E3137" r:id="rId9456" display="https://twitter.com/MartinGaedt/status/724176814390829056" xr:uid="{1AAB18B6-ABF1-4B73-A608-73FE90799C6B}"/>
    <hyperlink ref="O3137" r:id="rId9457" display="https://pbs.twimg.com/profile_images/709444980553740288/Xds-Aan6_normal.jpg" xr:uid="{F21A1D04-47ED-4178-9EBE-FC3751996D23}"/>
    <hyperlink ref="B3138" r:id="rId9458" display="https://twitter.com/MartinGaedt" xr:uid="{E4F293E0-E6A2-4299-8DDC-55057A8D187B}"/>
    <hyperlink ref="E3138" r:id="rId9459" display="https://twitter.com/MartinGaedt/status/724177655881412609" xr:uid="{18277F58-6BF1-4B31-8291-8E9026162C31}"/>
    <hyperlink ref="O3138" r:id="rId9460" display="https://pbs.twimg.com/profile_images/709444980553740288/Xds-Aan6_normal.jpg" xr:uid="{F4F47108-C3D8-4010-BE1D-1CC409942188}"/>
    <hyperlink ref="B3139" r:id="rId9461" display="https://twitter.com/charisma_expert" xr:uid="{69DC32B6-AE95-4568-9865-57284EA5913A}"/>
    <hyperlink ref="E3139" r:id="rId9462" display="https://twitter.com/charisma_expert/status/724179560372277253" xr:uid="{147D6D90-C893-41CC-9F8B-6087E095B97D}"/>
    <hyperlink ref="O3139" r:id="rId9463" display="https://pbs.twimg.com/profile_images/718892133357330432/9mvpJR26_normal.jpg" xr:uid="{181D65F7-2C2E-4F32-AAEB-996A823CFFE9}"/>
    <hyperlink ref="B3140" r:id="rId9464" display="https://twitter.com/INDIZbot" xr:uid="{98404087-5B6C-4954-B618-3A2BBA365040}"/>
    <hyperlink ref="E3140" r:id="rId9465" display="https://twitter.com/INDIZbot/status/724181679053651968" xr:uid="{2A61F7A4-33D4-46BC-A09F-0A535236A99E}"/>
    <hyperlink ref="O3140" r:id="rId9466" display="https://pbs.twimg.com/profile_images/645716711723925506/t5G0qOS6_normal.jpg" xr:uid="{5C6ED4FB-2863-47CC-B113-8D2F091C60B7}"/>
    <hyperlink ref="B3141" r:id="rId9467" display="https://twitter.com/MartinGaedt" xr:uid="{74CFA9D3-2234-4739-9281-C07B6DE321D0}"/>
    <hyperlink ref="E3141" r:id="rId9468" display="https://twitter.com/MartinGaedt/status/724182058671681537" xr:uid="{59317386-C281-4FAF-B96E-E81D8CDBE51B}"/>
    <hyperlink ref="O3141" r:id="rId9469" display="https://pbs.twimg.com/profile_images/709444980553740288/Xds-Aan6_normal.jpg" xr:uid="{5A044DC6-EDFE-4581-B0CE-F123C998F21D}"/>
    <hyperlink ref="B3142" r:id="rId9470" display="https://twitter.com/tuevnordpolitik" xr:uid="{449D7773-74CE-4DE7-A572-E97ACB523F42}"/>
    <hyperlink ref="E3142" r:id="rId9471" display="https://twitter.com/tuevnordpolitik/status/724185781540163584" xr:uid="{AE4AF5A5-9350-49AC-93A2-198114990AB4}"/>
    <hyperlink ref="O3142" r:id="rId9472" display="https://pbs.twimg.com/profile_images/420844205607362560/p085f4o7_normal.png" xr:uid="{6F0E02FD-FB06-4B20-9814-65E50FBD960A}"/>
    <hyperlink ref="B3143" r:id="rId9473" display="https://twitter.com/tuevnordpolitik" xr:uid="{EA00DEB9-DBF4-4246-872C-2300AC00B4B1}"/>
    <hyperlink ref="E3143" r:id="rId9474" display="https://twitter.com/tuevnordpolitik/status/724185868890705920" xr:uid="{55EFD841-74A3-4C84-BCA9-EDD83B5DFAF4}"/>
    <hyperlink ref="O3143" r:id="rId9475" display="https://pbs.twimg.com/profile_images/420844205607362560/p085f4o7_normal.png" xr:uid="{9479E16C-1FB1-4CAC-8E0E-C415A57FF6D9}"/>
    <hyperlink ref="B3144" r:id="rId9476" display="https://twitter.com/tuevnordpolitik" xr:uid="{EFE502E4-F4D4-4CF1-A355-26F43C22FB30}"/>
    <hyperlink ref="E3144" r:id="rId9477" display="https://twitter.com/tuevnordpolitik/status/724186158750638081" xr:uid="{07003BFC-4B1E-47A2-855D-899EE9091305}"/>
    <hyperlink ref="O3144" r:id="rId9478" display="https://pbs.twimg.com/profile_images/420844205607362560/p085f4o7_normal.png" xr:uid="{E9EC4711-C87D-487C-9471-E2698E9E27E0}"/>
    <hyperlink ref="B3145" r:id="rId9479" display="https://twitter.com/induux_de" xr:uid="{398AD182-F076-4693-9271-00465CE2AB78}"/>
    <hyperlink ref="E3145" r:id="rId9480" display="https://twitter.com/induux_de/status/724186202270765056" xr:uid="{ACD96F24-AD6A-4F3C-8D6E-185E16251E18}"/>
    <hyperlink ref="O3145" r:id="rId9481" display="https://pbs.twimg.com/profile_images/455629070454116352/ujZ3h7Ww_normal.png" xr:uid="{92C63018-69AC-488F-8C43-63A18C8AB8CC}"/>
    <hyperlink ref="B3146" r:id="rId9482" display="https://twitter.com/INDIZbot" xr:uid="{B9063741-7793-4357-9284-B968EE3F14E3}"/>
    <hyperlink ref="E3146" r:id="rId9483" display="https://twitter.com/INDIZbot/status/724186415584690176" xr:uid="{BB0E5A04-BF5E-4DC2-A35A-DB5A5CE68C3E}"/>
    <hyperlink ref="O3146" r:id="rId9484" display="https://pbs.twimg.com/profile_images/645716711723925506/t5G0qOS6_normal.jpg" xr:uid="{49A42A74-9C08-48DC-8326-90ED2B5902F5}"/>
    <hyperlink ref="B3147" r:id="rId9485" display="https://twitter.com/INDIZbot" xr:uid="{09CE020F-3862-41EE-A148-A960F670C91F}"/>
    <hyperlink ref="E3147" r:id="rId9486" display="https://twitter.com/INDIZbot/status/724186494831869953" xr:uid="{C30B05BD-04E4-44D1-9839-3C2672695195}"/>
    <hyperlink ref="O3147" r:id="rId9487" display="https://pbs.twimg.com/profile_images/645716711723925506/t5G0qOS6_normal.jpg" xr:uid="{8ECFBD9C-490C-41A0-9B53-1F7C0DA58AE3}"/>
    <hyperlink ref="B3148" r:id="rId9488" display="https://twitter.com/Gruendercoaches" xr:uid="{B0AD737E-6CC0-4A7C-9472-4E3886665D89}"/>
    <hyperlink ref="E3148" r:id="rId9489" display="https://twitter.com/Gruendercoaches/status/724189928435945473" xr:uid="{417F25DE-D6E2-4D13-AA14-C6E4794D37B8}"/>
    <hyperlink ref="O3148" r:id="rId9490" display="https://pbs.twimg.com/profile_images/561208179355185153/11KDu7Gt_normal.png" xr:uid="{A587D429-838A-4D66-9BDE-7737E02670DC}"/>
    <hyperlink ref="B3149" r:id="rId9491" display="https://twitter.com/bastihollmann" xr:uid="{FAA6791C-6561-49B2-ABF2-6FB1BFF9285F}"/>
    <hyperlink ref="E3149" r:id="rId9492" display="https://twitter.com/bastihollmann/status/724190338974388224" xr:uid="{3E83009B-68CC-4C03-ABBE-DD5D903DD4D2}"/>
    <hyperlink ref="O3149" r:id="rId9493" display="https://pbs.twimg.com/profile_images/593054907936186369/zjxLhMTm_normal.jpg" xr:uid="{C1A49F9E-ACCE-485E-9812-412AA1E750CF}"/>
    <hyperlink ref="B3150" r:id="rId9494" display="https://twitter.com/db_theblizz" xr:uid="{725C04E6-46F4-4AF1-8F8E-D343D9E07F4F}"/>
    <hyperlink ref="E3150" r:id="rId9495" display="https://twitter.com/db_theblizz/status/724191076110749696" xr:uid="{10762390-04FF-48BE-B29F-77054E52F47A}"/>
    <hyperlink ref="O3150" r:id="rId9496" display="https://pbs.twimg.com/profile_images/704353771820859392/r_-n_rEz_normal.jpg" xr:uid="{3F8C1A23-F0F5-4923-BD17-BD122C8C9218}"/>
    <hyperlink ref="B3151" r:id="rId9497" display="https://twitter.com/db_theblizz" xr:uid="{6A4AD5BF-7983-428A-885E-F8AA07708F9B}"/>
    <hyperlink ref="E3151" r:id="rId9498" display="https://twitter.com/db_theblizz/status/724191240040910851" xr:uid="{2E3491F8-B8E9-4B4D-A416-0FBCCADA81E1}"/>
    <hyperlink ref="O3151" r:id="rId9499" display="https://pbs.twimg.com/profile_images/704353771820859392/r_-n_rEz_normal.jpg" xr:uid="{F432AAC4-C608-4F69-AF3E-30DED31FC630}"/>
    <hyperlink ref="B3152" r:id="rId9500" display="https://twitter.com/PortalAlemania" xr:uid="{13B05441-47FC-49E7-9E97-8979B55E3F0C}"/>
    <hyperlink ref="E3152" r:id="rId9501" display="https://twitter.com/PortalAlemania/status/724191292541009920" xr:uid="{A967FA4F-F333-46FE-BE18-2A0F819297B3}"/>
    <hyperlink ref="O3152" r:id="rId9502" display="https://pbs.twimg.com/profile_images/667101652479029249/acksmKgE_normal.png" xr:uid="{054713D0-4E49-4768-BD1E-13F2C3B4F9CB}"/>
    <hyperlink ref="B3153" r:id="rId9503" display="https://twitter.com/Andrew_c_hughes" xr:uid="{6F03AD38-5BD9-4A18-B30A-FEC8C3B69F25}"/>
    <hyperlink ref="E3153" r:id="rId9504" display="https://twitter.com/Andrew_c_hughes/status/724192302512648192" xr:uid="{7E968C6D-F0FE-40DD-97FE-AECDAACE8421}"/>
    <hyperlink ref="O3153" r:id="rId9505" display="https://pbs.twimg.com/profile_images/603901794952081408/RIhnPuaN_normal.jpg" xr:uid="{6D4A4A6C-7BF3-409A-8CF4-97A48023BF92}"/>
    <hyperlink ref="B3154" r:id="rId9506" display="https://twitter.com/startupkanal" xr:uid="{CB5BFF97-88A7-40B4-9D18-119C3E9DD78D}"/>
    <hyperlink ref="E3154" r:id="rId9507" display="https://twitter.com/startupkanal/status/724192571724038148" xr:uid="{AB5A48E0-5D91-438C-B864-3E6709359232}"/>
    <hyperlink ref="O3154" r:id="rId9508" display="https://abs.twimg.com/sticky/default_profile_images/default_profile_3_normal.png" xr:uid="{7116C256-8C20-4502-8976-24FE38F9A984}"/>
    <hyperlink ref="B3155" r:id="rId9509" display="https://twitter.com/RussellKMills" xr:uid="{E0CACD0C-72CA-4E3F-8756-1EB632DBAC12}"/>
    <hyperlink ref="E3155" r:id="rId9510" display="https://twitter.com/RussellKMills/status/724193442193129472" xr:uid="{134DFACC-698C-4222-811F-37ADC0534662}"/>
    <hyperlink ref="O3155" r:id="rId9511" display="https://pbs.twimg.com/profile_images/596548379880062977/eUtFjQxd_normal.jpg" xr:uid="{CB957039-6D66-410C-83CA-140AEC4AA5D7}"/>
    <hyperlink ref="B3156" r:id="rId9512" display="https://twitter.com/EmaxSystemsLtd" xr:uid="{C025CA84-1249-4986-B29D-796FD5AC6549}"/>
    <hyperlink ref="E3156" r:id="rId9513" display="https://twitter.com/EmaxSystemsLtd/status/724193532186116097" xr:uid="{9C09CEF1-21A1-4181-A9C6-3C4C7F63D62D}"/>
    <hyperlink ref="O3156" r:id="rId9514" display="https://pbs.twimg.com/profile_images/378800000213941474/08fa8e4c8019e684b4c0868e952facbf_normal.jpeg" xr:uid="{68262F56-C9D8-4DCA-BCD3-D60D0D2C080B}"/>
    <hyperlink ref="B3157" r:id="rId9515" display="https://twitter.com/NoreigaEmelia" xr:uid="{8B51EC86-E9F5-4D23-96EC-5272FD59174E}"/>
    <hyperlink ref="E3157" r:id="rId9516" display="https://twitter.com/NoreigaEmelia/status/724193665921388545" xr:uid="{AACD96B0-9E6E-4BB7-9954-928569329C04}"/>
    <hyperlink ref="O3157" r:id="rId9517" display="https://abs.twimg.com/sticky/default_profile_images/default_profile_3_normal.png" xr:uid="{9DB48151-16AA-4739-B45E-153D1AB85249}"/>
    <hyperlink ref="B3158" r:id="rId9518" display="https://twitter.com/PASSnews" xr:uid="{D083255F-2F3E-4475-9CE5-AB1CFE763D1E}"/>
    <hyperlink ref="E3158" r:id="rId9519" display="https://twitter.com/PASSnews/status/724193689338187777" xr:uid="{B0D83641-C3C0-4A69-BCCA-D9C92E641A82}"/>
    <hyperlink ref="O3158" r:id="rId9520" display="https://pbs.twimg.com/profile_images/378800000181509745/cc2ac55b1f8cf6de6ab7c9ea96eae6fa_normal.png" xr:uid="{AE728704-E8CC-4D4A-9B4F-650923FAE44C}"/>
    <hyperlink ref="B3159" r:id="rId9521" display="https://twitter.com/nicolaikr" xr:uid="{EF5A40BB-2016-4B94-92D8-4790EC029605}"/>
    <hyperlink ref="E3159" r:id="rId9522" display="https://twitter.com/nicolaikr/status/724193984667619328" xr:uid="{554366FB-1F55-43E9-B2E4-6C1B391868E7}"/>
    <hyperlink ref="O3159" r:id="rId9523" display="https://pbs.twimg.com/profile_images/709356351768686592/BWnChYSq_normal.jpg" xr:uid="{D2199A7A-AB54-4C29-BC03-D68FE9CC0CCF}"/>
    <hyperlink ref="B3160" r:id="rId9524" display="https://twitter.com/wirtschaft_msl" xr:uid="{4DF3AA00-3FD0-4B89-8A48-13AC23160BFC}"/>
    <hyperlink ref="E3160" r:id="rId9525" display="https://twitter.com/wirtschaft_msl/status/724194240494993408" xr:uid="{295BAB51-B102-4848-814D-449E2C0735C3}"/>
    <hyperlink ref="O3160" r:id="rId9526" display="https://pbs.twimg.com/profile_images/717312614456500224/5vZuHX_n_normal.jpg" xr:uid="{DB911939-FA5B-42F1-A52F-D8450A7FEC2A}"/>
    <hyperlink ref="B3161" r:id="rId9527" display="https://twitter.com/KPMG_DE" xr:uid="{C280C230-38B2-49E7-BD77-15B1D7013621}"/>
    <hyperlink ref="E3161" r:id="rId9528" display="https://twitter.com/KPMG_DE/status/724194801906802689" xr:uid="{DE9BA4EE-C6BC-41A2-8096-BC585F53B470}"/>
    <hyperlink ref="O3161" r:id="rId9529" display="https://pbs.twimg.com/profile_images/672817485134045185/q-VTXmOg_normal.jpg" xr:uid="{BB08BA51-83D9-4235-8F2A-514BED089CA5}"/>
    <hyperlink ref="B3162" r:id="rId9530" display="https://twitter.com/herg4711" xr:uid="{640CF2F5-5942-42CD-98E9-B1BDFA13530A}"/>
    <hyperlink ref="E3162" r:id="rId9531" display="https://twitter.com/herg4711/status/724194863298818048" xr:uid="{95C7700E-2A6D-4263-993A-51D583B569FD}"/>
    <hyperlink ref="O3162" r:id="rId9532" display="https://pbs.twimg.com/profile_images/720258876004777984/WWMnLPCN_normal.jpg" xr:uid="{B58B92E1-A968-46E6-8D4A-CCA2F69835D5}"/>
    <hyperlink ref="B3163" r:id="rId9533" display="https://twitter.com/FERCHAU" xr:uid="{6F2F07DE-7B7D-4DAC-A7F0-EA3BC643B0C5}"/>
    <hyperlink ref="E3163" r:id="rId9534" display="https://twitter.com/FERCHAU/status/724194986607161344" xr:uid="{1D950A51-4E81-4394-9DB2-26B6B8D1C9EF}"/>
    <hyperlink ref="O3163" r:id="rId9535" display="https://pbs.twimg.com/profile_images/473462374200909824/EVvRwnqG_normal.jpeg" xr:uid="{AFAB1410-B97E-4570-A168-018ED94A31D5}"/>
    <hyperlink ref="B3164" r:id="rId9536" display="https://twitter.com/BoschGlobal" xr:uid="{D9637154-624F-40C0-8827-E0AE2DCD3325}"/>
    <hyperlink ref="E3164" r:id="rId9537" display="https://twitter.com/BoschGlobal/status/724195442288775168" xr:uid="{27A61F1F-C216-40AD-9AB4-95BB64DCF558}"/>
    <hyperlink ref="O3164" r:id="rId9538" display="https://pbs.twimg.com/profile_images/1521890851/logo_normal.jpg" xr:uid="{EEF77FD9-78D3-4327-9721-DC2D940E9460}"/>
    <hyperlink ref="B3165" r:id="rId9539" display="https://twitter.com/Dzianis_Yf" xr:uid="{D448E051-AB79-45D6-B2D1-D50E449B22E2}"/>
    <hyperlink ref="E3165" r:id="rId9540" display="https://twitter.com/Dzianis_Yf/status/724195973292036096" xr:uid="{5219875C-9534-430F-B6EA-F802F3E58F63}"/>
    <hyperlink ref="O3165" r:id="rId9541" display="https://pbs.twimg.com/profile_images/716922653823533056/KQM-iyE__normal.jpg" xr:uid="{51C18838-40FE-4143-AA44-DF9F208F3378}"/>
    <hyperlink ref="B3166" r:id="rId9542" display="https://twitter.com/H_IT_D" xr:uid="{094E8A8D-5839-464F-B127-55E95F464346}"/>
    <hyperlink ref="E3166" r:id="rId9543" display="https://twitter.com/H_IT_D/status/724197574861692929" xr:uid="{17A5BA3F-CC0E-4202-ADCB-269747EE8101}"/>
    <hyperlink ref="O3166" r:id="rId9544" display="https://pbs.twimg.com/profile_images/662723326096224256/5V4KH9_O_normal.jpg" xr:uid="{6B135480-F9DD-4CAA-8DC5-EDA43CCE3B5C}"/>
    <hyperlink ref="B3167" r:id="rId9545" display="https://twitter.com/Motorious_Cafe" xr:uid="{832A1256-6BE8-421C-A83C-FD9BC9CD26CD}"/>
    <hyperlink ref="E3167" r:id="rId9546" display="https://twitter.com/Motorious_Cafe/status/724199907637231616" xr:uid="{F2D46CDA-A5C4-424E-AB6C-73EE9149FBE9}"/>
    <hyperlink ref="O3167" r:id="rId9547" display="https://pbs.twimg.com/profile_images/714784847986823168/CGqBEzx2_normal.jpg" xr:uid="{89FC987B-7DC9-428E-AAFE-EC7120B8DCE6}"/>
    <hyperlink ref="B3168" r:id="rId9548" display="https://twitter.com/Daniela_Fasano_" xr:uid="{BAA61377-D84D-478C-BCE3-63C5F84424A0}"/>
    <hyperlink ref="E3168" r:id="rId9549" display="https://twitter.com/Daniela_Fasano_/status/724202257143717888" xr:uid="{39D09BA9-7C7C-47B5-B9BB-41DB35F17E3F}"/>
    <hyperlink ref="O3168" r:id="rId9550" display="https://pbs.twimg.com/profile_images/461160007162019840/g_znRn8e_normal.jpeg" xr:uid="{91983DFD-2274-4E94-8D9A-541F0566400A}"/>
    <hyperlink ref="B3169" r:id="rId9551" display="https://twitter.com/ICV_llc" xr:uid="{547596D4-1B61-4EA9-A372-D5CD0888CF64}"/>
    <hyperlink ref="E3169" r:id="rId9552" display="https://twitter.com/ICV_llc/status/724202554133979136" xr:uid="{3BBCFB1A-7A50-4940-9F50-1B141FB6BFB5}"/>
    <hyperlink ref="O3169" r:id="rId9553" display="https://pbs.twimg.com/profile_images/716065899481075713/7tnVg9KH_normal.jpg" xr:uid="{9C0CB0EC-92F3-434B-B51F-B7FAF0DAFE76}"/>
    <hyperlink ref="B3170" r:id="rId9554" display="https://twitter.com/DCAI4online" xr:uid="{AE7E8BA9-64C1-4E9D-8C30-7A0EA194493B}"/>
    <hyperlink ref="E3170" r:id="rId9555" display="https://twitter.com/DCAI4online/status/724203975214567424" xr:uid="{C19A5A3D-19E0-4D25-8BC6-D3488AAB58A1}"/>
    <hyperlink ref="O3170" r:id="rId9556" display="https://pbs.twimg.com/profile_images/669471279158796288/iXgOCW46_normal.jpg" xr:uid="{2959DDF8-282E-4F63-AA8D-2258D2647879}"/>
    <hyperlink ref="B3171" r:id="rId9557" display="https://twitter.com/Martin_Demel" xr:uid="{CE792430-95F7-4639-B23B-B1FC0E3BE9B9}"/>
    <hyperlink ref="E3171" r:id="rId9558" display="https://twitter.com/Martin_Demel/status/724206130709291008" xr:uid="{63AB2127-1759-40BF-98D4-9D1023C88F38}"/>
    <hyperlink ref="O3171" r:id="rId9559" display="https://pbs.twimg.com/profile_images/3020224163/dd9be06125f57cfbdc462d4a984befa5_normal.jpeg" xr:uid="{F2A1171B-C1F7-48B8-9452-B2FE3D4524BB}"/>
    <hyperlink ref="B3172" r:id="rId9560" display="https://twitter.com/QuickFindsIn" xr:uid="{D78BAFFC-E6BC-4F6A-B569-599BA5C1F10D}"/>
    <hyperlink ref="E3172" r:id="rId9561" display="https://twitter.com/QuickFindsIn/status/724206257851109376" xr:uid="{79160990-D536-4114-95C4-8A7D60CFC9F2}"/>
    <hyperlink ref="O3172" r:id="rId9562" display="https://pbs.twimg.com/profile_images/591951396217327616/HbcCX2zX_normal.png" xr:uid="{57674970-5F5E-475A-916C-1EBCE52E86D3}"/>
    <hyperlink ref="B3173" r:id="rId9563" display="https://twitter.com/RolandBent" xr:uid="{80D7EE3C-CC0D-4EB2-9BC5-17200F5B8864}"/>
    <hyperlink ref="E3173" r:id="rId9564" display="https://twitter.com/RolandBent/status/724207279432732673" xr:uid="{97967AEA-BB3B-477D-8636-55C3B23B7CDD}"/>
    <hyperlink ref="O3173" r:id="rId9565" display="https://pbs.twimg.com/profile_images/451994816889360385/SYPpc3iI_normal.jpeg" xr:uid="{C3AAC251-C213-4994-8229-88E00EFAC307}"/>
    <hyperlink ref="B3174" r:id="rId9566" display="https://twitter.com/SelbmannSimone" xr:uid="{5BCA2C28-0E7F-4073-9BFA-36D2BD901727}"/>
    <hyperlink ref="E3174" r:id="rId9567" display="https://twitter.com/SelbmannSimone/status/724207302925029376" xr:uid="{EAB7E2FF-C0BA-4704-9488-C9060246C988}"/>
    <hyperlink ref="O3174" r:id="rId9568" display="https://pbs.twimg.com/profile_images/692403173802274816/HYrFPo6f_normal.jpg" xr:uid="{AF0571A9-1CB8-4257-8996-91A150B7DA9B}"/>
    <hyperlink ref="B3175" r:id="rId9569" display="https://twitter.com/MiceliMarcello" xr:uid="{0597A58C-7AD0-4CB5-AA2E-97BA2C958138}"/>
    <hyperlink ref="E3175" r:id="rId9570" display="https://twitter.com/MiceliMarcello/status/724207833168928768" xr:uid="{A542DA6A-6952-49DE-A7F6-46656235393E}"/>
    <hyperlink ref="O3175" r:id="rId9571" display="https://pbs.twimg.com/profile_images/600931948937220096/eFgywrzm_normal.jpg" xr:uid="{F3B4BF55-76B6-465F-B745-AF3C2F2F1AD7}"/>
    <hyperlink ref="B3176" r:id="rId9572" display="https://twitter.com/RiemenspergerF" xr:uid="{21023929-C4D0-465B-94FE-116EF5EBB7B4}"/>
    <hyperlink ref="E3176" r:id="rId9573" display="https://twitter.com/RiemenspergerF/status/724208888334135296" xr:uid="{BD2ECCE8-8AA2-4B60-9FC9-B067A05AEE6B}"/>
    <hyperlink ref="O3176" r:id="rId9574" display="https://pbs.twimg.com/profile_images/692360292546842624/MNSepg8N_normal.jpg" xr:uid="{26FCE0DF-5EB7-4CF4-97FF-99DABDB7B543}"/>
    <hyperlink ref="B3177" r:id="rId9575" display="https://twitter.com/SimonDueckert" xr:uid="{40C22E5C-988F-43B3-AE37-115DBB7BB35B}"/>
    <hyperlink ref="E3177" r:id="rId9576" display="https://twitter.com/SimonDueckert/status/724209080382967808" xr:uid="{EFE693FB-BB63-4630-ABBC-F070D8673C99}"/>
    <hyperlink ref="O3177" r:id="rId9577" display="https://pbs.twimg.com/profile_images/459419068546564097/es5HC_rO_normal.png" xr:uid="{5C82E8BB-B614-4D0E-AFA3-46206B785887}"/>
    <hyperlink ref="B3178" r:id="rId9578" display="https://twitter.com/CarstenDierig" xr:uid="{DDB01B20-A417-4946-A1DA-AAE93AB986BE}"/>
    <hyperlink ref="E3178" r:id="rId9579" display="https://twitter.com/CarstenDierig/status/724209530767310848" xr:uid="{F63679CD-88D1-4C4C-B7E3-33F2E7D5B4E6}"/>
    <hyperlink ref="O3178" r:id="rId9580" display="https://pbs.twimg.com/profile_images/486066079261655040/uyhY_MQH_normal.jpeg" xr:uid="{6107D899-A2C3-4B65-B184-7BF7FD569C48}"/>
    <hyperlink ref="B3179" r:id="rId9581" display="https://twitter.com/OOgbukagu" xr:uid="{B229EA6A-5BD3-4525-A82D-189741131F4D}"/>
    <hyperlink ref="E3179" r:id="rId9582" display="https://twitter.com/OOgbukagu/status/724209639768903681" xr:uid="{A59B701A-6BFE-4A83-8E62-7D29D8EF3861}"/>
    <hyperlink ref="O3179" r:id="rId9583" display="https://pbs.twimg.com/profile_images/466860381533515776/jiQ9EbK1_normal.jpeg" xr:uid="{03758936-0E4A-4EEC-82ED-DD31F83C1609}"/>
    <hyperlink ref="B3180" r:id="rId9584" display="https://twitter.com/MarkusWoehl" xr:uid="{9C31AD6B-4AD0-43D7-85FC-5A7DEB527CF3}"/>
    <hyperlink ref="E3180" r:id="rId9585" display="https://twitter.com/MarkusWoehl/status/724211197353046016" xr:uid="{F08DF2D7-24DD-48C3-AD33-4461DE4BD498}"/>
    <hyperlink ref="O3180" r:id="rId9586" display="https://pbs.twimg.com/profile_images/565176446037934080/ifc63zPY_normal.jpeg" xr:uid="{D577817F-9702-49B8-BE76-FBBDE681CC3D}"/>
    <hyperlink ref="B3181" r:id="rId9587" display="https://twitter.com/hannover_messe" xr:uid="{5A5E104B-A9E0-44F7-998A-B8720EED0A57}"/>
    <hyperlink ref="E3181" r:id="rId9588" display="https://twitter.com/hannover_messe/status/724211380862242816" xr:uid="{B7C0CB64-32F9-4FB8-8E55-F443CF88F0D8}"/>
    <hyperlink ref="O3181" r:id="rId9589" display="https://pbs.twimg.com/profile_images/685255985/Bild_2_normal.png" xr:uid="{0CA7C255-4201-4327-A332-3E8AA0EC27C5}"/>
    <hyperlink ref="B3182" r:id="rId9590" display="https://twitter.com/Bitkom_I40" xr:uid="{DDCFD3B1-1F68-4119-9675-83DDCA72F0B0}"/>
    <hyperlink ref="E3182" r:id="rId9591" display="https://twitter.com/Bitkom_I40/status/724212559381852160" xr:uid="{15BCD309-079A-40D5-A430-D752F23DB48E}"/>
    <hyperlink ref="O3182" r:id="rId9592" display="https://pbs.twimg.com/profile_images/723407487395713024/0hZv7R8S_normal.jpg" xr:uid="{E99E0EE6-976F-4B34-BC03-27E2E929F55F}"/>
    <hyperlink ref="B3183" r:id="rId9593" display="https://twitter.com/mpemediatwit" xr:uid="{901C533C-6AFC-424D-AC9C-6C9EF844CB94}"/>
    <hyperlink ref="E3183" r:id="rId9594" display="https://twitter.com/mpemediatwit/status/724215107677462528" xr:uid="{87E266F7-6903-4651-A337-0FDC5035295F}"/>
    <hyperlink ref="O3183" r:id="rId9595" display="https://pbs.twimg.com/profile_images/468162248452485120/XpQk9Er4_normal.jpeg" xr:uid="{36E47743-9CA1-4922-A241-3EAEAD896D34}"/>
    <hyperlink ref="B3184" r:id="rId9596" display="https://twitter.com/NiinaHaasola" xr:uid="{118EE29C-D2A6-4FE9-B704-6E286E176F8C}"/>
    <hyperlink ref="E3184" r:id="rId9597" display="https://twitter.com/NiinaHaasola/status/724216972808953857" xr:uid="{7F6CF8FF-2709-4A2D-B7A8-D1AF4ACC88EF}"/>
    <hyperlink ref="O3184" r:id="rId9598" display="https://pbs.twimg.com/profile_images/664870663304384512/Kiuf736S_normal.jpg" xr:uid="{C8205CC0-3305-47B2-A7DB-96E8FF856303}"/>
    <hyperlink ref="B3185" r:id="rId9599" display="https://twitter.com/Bitkom_I40" xr:uid="{5FC368C8-4608-42E2-B623-BF8ADE0A18B8}"/>
    <hyperlink ref="E3185" r:id="rId9600" display="https://twitter.com/Bitkom_I40/status/724217921673814016" xr:uid="{FB4D301E-F219-4949-B55A-2CC58B96AC13}"/>
    <hyperlink ref="O3185" r:id="rId9601" display="https://pbs.twimg.com/profile_images/723407487395713024/0hZv7R8S_normal.jpg" xr:uid="{C7F35B2B-F1B9-4B6C-810C-EF13DA0D8B6E}"/>
    <hyperlink ref="B3186" r:id="rId9602" display="https://twitter.com/EngineerComms" xr:uid="{C841E48A-CAB2-44F9-86A8-8C613873FD1E}"/>
    <hyperlink ref="E3186" r:id="rId9603" display="https://twitter.com/EngineerComms/status/724218326306660352" xr:uid="{21E3B38C-EB25-49C9-A42F-39350D0D7487}"/>
    <hyperlink ref="O3186" r:id="rId9604" display="https://pbs.twimg.com/profile_images/378800000698798371/91c11e1cc05d51e0068a8a5f1b5a114d_normal.jpeg" xr:uid="{3B192F58-8526-43D8-95BC-76021E413C65}"/>
    <hyperlink ref="B3187" r:id="rId9605" display="https://twitter.com/CSGermany" xr:uid="{C0543F63-6138-4778-8D89-D0B0C724464D}"/>
    <hyperlink ref="E3187" r:id="rId9606" display="https://twitter.com/CSGermany/status/724218491671318528" xr:uid="{42AFD705-D879-4254-A8E6-F72582017B25}"/>
    <hyperlink ref="O3187" r:id="rId9607" display="https://pbs.twimg.com/profile_images/518189608098869249/udoveSaH_normal.jpeg" xr:uid="{2ECB4B18-C8FF-47DF-A36E-98FA0BED76EE}"/>
    <hyperlink ref="B3188" r:id="rId9608" display="https://twitter.com/TrippBraden" xr:uid="{4EC2CC8A-DDFC-4577-ACAE-693AB6845291}"/>
    <hyperlink ref="E3188" r:id="rId9609" display="https://twitter.com/TrippBraden/status/724218591864860672" xr:uid="{AE4EB6A6-2117-4F97-AC81-A359954FF388}"/>
    <hyperlink ref="O3188" r:id="rId9610" display="https://pbs.twimg.com/profile_images/686262456126205952/wCla5uWm_normal.jpg" xr:uid="{63CAC9C5-E11F-43CD-9D5C-DB3C237D4D83}"/>
    <hyperlink ref="B3189" r:id="rId9611" display="https://twitter.com/Evetse" xr:uid="{AD150EF6-18A4-4195-8609-516119A08C85}"/>
    <hyperlink ref="E3189" r:id="rId9612" display="https://twitter.com/Evetse/status/724219450413748224" xr:uid="{71D1BD1E-102B-4887-981D-129C88AF7696}"/>
    <hyperlink ref="O3189" r:id="rId9613" display="https://pbs.twimg.com/profile_images/607471680647241728/QSYQ2ibq_normal.jpg" xr:uid="{27802B07-F160-4A70-B221-9B440FE8556F}"/>
    <hyperlink ref="B3190" r:id="rId9614" display="https://twitter.com/WinfriedFelser" xr:uid="{F8DB7BB1-5F89-44F9-88EF-9321150A32F5}"/>
    <hyperlink ref="E3190" r:id="rId9615" display="https://twitter.com/WinfriedFelser/status/724219847790436352" xr:uid="{93E88244-40D1-473D-B265-54AED25492B1}"/>
    <hyperlink ref="O3190" r:id="rId9616" display="https://pbs.twimg.com/profile_images/562193841587896321/nfd18Y4g_normal.jpeg" xr:uid="{DC506270-3C5F-4DFD-908E-66234C89E63B}"/>
    <hyperlink ref="B3191" r:id="rId9617" display="https://twitter.com/westerbarkey" xr:uid="{8212DC9D-3B26-4D63-A076-BD1C4E40BCB2}"/>
    <hyperlink ref="E3191" r:id="rId9618" display="https://twitter.com/westerbarkey/status/724219926421098496" xr:uid="{E19C0446-BA4E-4709-A77E-415B117BBC30}"/>
    <hyperlink ref="O3191" r:id="rId9619" display="https://pbs.twimg.com/profile_images/691230711764893697/RnVw8ft4_normal.jpg" xr:uid="{8703C4C9-29C6-4FE6-A753-D58342D7EFC3}"/>
    <hyperlink ref="B3192" r:id="rId9620" display="https://twitter.com/ElroyWonder" xr:uid="{A4AE5017-6F59-43FF-8EE7-AE3400DBB7FA}"/>
    <hyperlink ref="E3192" r:id="rId9621" display="https://twitter.com/ElroyWonder/status/724221228760895488" xr:uid="{62F4B259-99A6-4278-A9C1-22930940A0FB}"/>
    <hyperlink ref="O3192" r:id="rId9622" display="https://pbs.twimg.com/profile_images/710998412557213696/35ck8XjS_normal.jpg" xr:uid="{E15FCDBB-6BB9-4A0D-A7E4-70394C636C98}"/>
    <hyperlink ref="B3193" r:id="rId9623" display="https://twitter.com/ElroyWonder" xr:uid="{5D6C7EE3-B300-4A40-A7C0-54BFDC94DF11}"/>
    <hyperlink ref="E3193" r:id="rId9624" display="https://twitter.com/ElroyWonder/status/724221307622137857" xr:uid="{E96026F2-9195-434F-A195-E834BAF97512}"/>
    <hyperlink ref="O3193" r:id="rId9625" display="https://pbs.twimg.com/profile_images/710998412557213696/35ck8XjS_normal.jpg" xr:uid="{75F4664F-F319-47D2-8C32-B6846C821B75}"/>
    <hyperlink ref="B3194" r:id="rId9626" display="https://twitter.com/ElroyWonder" xr:uid="{2B9BF90E-9667-4C50-93A0-BDB8E3FD0092}"/>
    <hyperlink ref="E3194" r:id="rId9627" display="https://twitter.com/ElroyWonder/status/724221351452631041" xr:uid="{2F2166F5-3E72-4C33-BFDD-C3901E3813F2}"/>
    <hyperlink ref="O3194" r:id="rId9628" display="https://pbs.twimg.com/profile_images/710998412557213696/35ck8XjS_normal.jpg" xr:uid="{0B00A991-0A1B-4860-A419-A127D336CFD4}"/>
    <hyperlink ref="B3195" r:id="rId9629" display="https://twitter.com/pierremdm" xr:uid="{B25A0E79-E99E-4225-8320-9E63B1A89373}"/>
    <hyperlink ref="E3195" r:id="rId9630" display="https://twitter.com/pierremdm/status/724221622912208897" xr:uid="{EDFE18DA-382D-4796-8188-EF3D8432B3AC}"/>
    <hyperlink ref="O3195" r:id="rId9631" display="https://pbs.twimg.com/profile_images/682096839919808512/J2pWjyqZ_normal.png" xr:uid="{DBB6E9A4-5E68-45E2-946E-43E315E75A19}"/>
    <hyperlink ref="B3196" r:id="rId9632" display="https://twitter.com/Dominik_Ortlepp" xr:uid="{A4F3BE4F-AF9D-4094-BC2B-46D1B8C3F22D}"/>
    <hyperlink ref="E3196" r:id="rId9633" display="https://twitter.com/Dominik_Ortlepp/status/724222894897770496" xr:uid="{1141F8C2-AA50-4D3C-8C2D-6CF4115CA49F}"/>
    <hyperlink ref="O3196" r:id="rId9634" display="https://pbs.twimg.com/profile_images/654265087822270464/xwz4d0Ug_normal.jpg" xr:uid="{5EF26982-1846-452D-8EC3-566451AEAEAD}"/>
    <hyperlink ref="B3197" r:id="rId9635" display="https://twitter.com/Paderbornersj" xr:uid="{5AF9CB53-0B5E-45F3-B947-E0B17EFF295B}"/>
    <hyperlink ref="E3197" r:id="rId9636" display="https://twitter.com/Paderbornersj/status/724224029603835904" xr:uid="{C5A11B48-D4E4-460C-B156-B02B7342E647}"/>
    <hyperlink ref="O3197" r:id="rId9637" display="https://pbs.twimg.com/profile_images/1185506594/logo-new_for_the_blog_normal.jpg" xr:uid="{0A9B307A-5616-4D3B-BA70-CAEA862F6C24}"/>
    <hyperlink ref="B3198" r:id="rId9638" display="https://twitter.com/INDIZbot" xr:uid="{5CFE1347-CE20-4BA1-B3FF-99738CB0C200}"/>
    <hyperlink ref="E3198" r:id="rId9639" display="https://twitter.com/INDIZbot/status/724224164719144960" xr:uid="{69162399-DC51-4C1C-A381-450F45874C32}"/>
    <hyperlink ref="O3198" r:id="rId9640" display="https://pbs.twimg.com/profile_images/645716711723925506/t5G0qOS6_normal.jpg" xr:uid="{DCCF588C-96EF-414A-8FED-21CF154F0A22}"/>
    <hyperlink ref="B3199" r:id="rId9641" display="https://twitter.com/RahmanNow" xr:uid="{52A92FE6-B8B4-473D-B6C6-ADB774C0A6EC}"/>
    <hyperlink ref="E3199" r:id="rId9642" display="https://twitter.com/RahmanNow/status/724224289243828224" xr:uid="{5F10FA25-C793-4033-AC24-A1E57CE161E1}"/>
    <hyperlink ref="O3199" r:id="rId9643" display="https://pbs.twimg.com/profile_images/706237713700298754/yOEMWn0A_normal.jpg" xr:uid="{0ACB3131-4659-4D75-ABBF-9762CF505271}"/>
    <hyperlink ref="B3200" r:id="rId9644" display="https://twitter.com/VDMAonline" xr:uid="{56F85BF5-23B4-4A95-89AB-47687C8B4BAF}"/>
    <hyperlink ref="E3200" r:id="rId9645" display="https://twitter.com/VDMAonline/status/724224305178009600" xr:uid="{45702558-EEA3-4AA8-815D-89EB9AFF8E66}"/>
    <hyperlink ref="O3200" r:id="rId9646" display="https://pbs.twimg.com/profile_images/609375510158774272/P5glOk4b_normal.jpg" xr:uid="{C06136FB-D0A2-4681-8553-2F80FD92DF2A}"/>
    <hyperlink ref="B3201" r:id="rId9647" display="https://twitter.com/MicrosoftDE" xr:uid="{CC06290B-3943-42F5-9290-90E22565F72E}"/>
    <hyperlink ref="E3201" r:id="rId9648" display="https://twitter.com/MicrosoftDE/status/724224462674079744" xr:uid="{A7E48D4E-6831-47DC-B68E-6B38CF75DCD9}"/>
    <hyperlink ref="O3201" r:id="rId9649" display="https://pbs.twimg.com/profile_images/2869245274/630f76a528817f2fed7c9aa0afafe163_normal.png" xr:uid="{ABDE162E-D643-4B10-90DA-FC2F2DD8E6F6}"/>
    <hyperlink ref="B3202" r:id="rId9650" display="https://twitter.com/gaadvancement" xr:uid="{A617EE60-EE8F-4ADB-B680-497B2050A8BE}"/>
    <hyperlink ref="E3202" r:id="rId9651" display="https://twitter.com/gaadvancement/status/724225809955713025" xr:uid="{BC248D0B-6D0B-472D-8035-93E02D474EF3}"/>
    <hyperlink ref="O3202" r:id="rId9652" display="https://pbs.twimg.com/profile_images/604852979888353280/bPLJGs-u_normal.jpg" xr:uid="{DB89702E-1304-4126-96A6-3CCFB852C2F3}"/>
    <hyperlink ref="B3203" r:id="rId9653" display="https://twitter.com/INDIZbot" xr:uid="{84F81D1A-4831-462B-9A96-99970E5A2601}"/>
    <hyperlink ref="E3203" r:id="rId9654" display="https://twitter.com/INDIZbot/status/724227009719750656" xr:uid="{98F76064-47C6-4231-B1DE-4FFBE6142879}"/>
    <hyperlink ref="O3203" r:id="rId9655" display="https://pbs.twimg.com/profile_images/645716711723925506/t5G0qOS6_normal.jpg" xr:uid="{4CC00272-D5E8-4916-8852-BF80CFADB690}"/>
    <hyperlink ref="B3204" r:id="rId9656" display="https://twitter.com/thyssenkrupp" xr:uid="{3F968A04-FAC9-4280-9558-2656BB8067F0}"/>
    <hyperlink ref="E3204" r:id="rId9657" display="https://twitter.com/thyssenkrupp/status/724227072198098949" xr:uid="{9A3B2131-AF17-49DB-BC45-D9D15F9704C4}"/>
    <hyperlink ref="O3204" r:id="rId9658" display="https://pbs.twimg.com/profile_images/667280858798100481/FrPnpui4_normal.png" xr:uid="{96E1A1F5-AB4A-4911-806D-85844337DC31}"/>
    <hyperlink ref="B3205" r:id="rId9659" display="https://twitter.com/MarksMusing" xr:uid="{9BD6E75C-DFEA-42B8-97F3-22F74D083A56}"/>
    <hyperlink ref="E3205" r:id="rId9660" display="https://twitter.com/MarksMusing/status/724227685833043974" xr:uid="{F878CF4E-05FD-450E-869E-BC5477185E6D}"/>
    <hyperlink ref="O3205" r:id="rId9661" display="https://pbs.twimg.com/profile_images/574607405507477504/3W6b6mD4_normal.jpeg" xr:uid="{01F4A07D-4A01-4671-B0A1-3C7014C6B83B}"/>
    <hyperlink ref="B3206" r:id="rId9662" display="https://twitter.com/SachinKaradgi" xr:uid="{959119A0-95AE-4D03-8F63-16DE56330E77}"/>
    <hyperlink ref="E3206" r:id="rId9663" display="https://twitter.com/SachinKaradgi/status/724227791273775105" xr:uid="{7B8DAADD-0884-4773-9A8C-5B74E15F53A1}"/>
    <hyperlink ref="O3206" r:id="rId9664" display="https://pbs.twimg.com/profile_images/682941586313998340/UigLU__D_normal.jpg" xr:uid="{63B99620-2868-40DD-9586-36E433A4AD18}"/>
    <hyperlink ref="B3207" r:id="rId9665" display="https://twitter.com/FrankTobiasBaur" xr:uid="{17DE9BBC-6ACA-47FB-A807-522BB48794E8}"/>
    <hyperlink ref="E3207" r:id="rId9666" display="https://twitter.com/FrankTobiasBaur/status/724228540430950400" xr:uid="{FA2F97C9-6B33-4B64-9679-B986A36FB0D9}"/>
    <hyperlink ref="O3207" r:id="rId9667" display="https://pbs.twimg.com/profile_images/534472892277202944/3REr63wB_normal.jpeg" xr:uid="{A35E036E-B337-448A-9BF4-015D7B218DE0}"/>
    <hyperlink ref="B3208" r:id="rId9668" display="https://twitter.com/MarksMusing" xr:uid="{5DDD9BDA-74A6-43EC-B820-D41DEAE799AE}"/>
    <hyperlink ref="E3208" r:id="rId9669" display="https://twitter.com/MarksMusing/status/724229383800512512" xr:uid="{33DF1E05-7323-4EEA-A404-F4EE7AD18BE1}"/>
    <hyperlink ref="O3208" r:id="rId9670" display="https://pbs.twimg.com/profile_images/574607405507477504/3W6b6mD4_normal.jpeg" xr:uid="{22ECD60F-3583-4A7F-8232-2237FECB00F1}"/>
    <hyperlink ref="B3209" r:id="rId9671" display="https://twitter.com/ewhitmore" xr:uid="{7035DEFE-780B-4640-830C-F7F36317DF99}"/>
    <hyperlink ref="E3209" r:id="rId9672" display="https://twitter.com/ewhitmore/status/724229431099691010" xr:uid="{73B041A9-56FD-4463-A06E-D53CAF3E6059}"/>
    <hyperlink ref="O3209" r:id="rId9673" display="https://pbs.twimg.com/profile_images/723598030331482113/0moddKXe_normal.jpg" xr:uid="{6185E79B-A603-4E52-91AD-803530F5129D}"/>
    <hyperlink ref="B3210" r:id="rId9674" display="https://twitter.com/H_IT_D" xr:uid="{D29770B0-86A4-4A6B-92ED-017015CBA3B8}"/>
    <hyperlink ref="E3210" r:id="rId9675" display="https://twitter.com/H_IT_D/status/724229918595289088" xr:uid="{B3C65F15-8AE7-457E-86D3-096144385107}"/>
    <hyperlink ref="O3210" r:id="rId9676" display="https://pbs.twimg.com/profile_images/662723326096224256/5V4KH9_O_normal.jpg" xr:uid="{962CF548-D9C2-43D5-A782-92F91EDE4FBD}"/>
    <hyperlink ref="B3211" r:id="rId9677" display="https://twitter.com/MSEnterpriseDE" xr:uid="{4F39AF29-D5A6-4576-A699-93DC3DB368DA}"/>
    <hyperlink ref="E3211" r:id="rId9678" display="https://twitter.com/MSEnterpriseDE/status/724230287752835072" xr:uid="{8FFD8ADE-40AD-412E-ADF7-0F9D2FF8C719}"/>
    <hyperlink ref="O3211" r:id="rId9679" display="https://pbs.twimg.com/profile_images/510473520963260416/0aLMP4NT_normal.png" xr:uid="{DE8C1E3B-5292-4238-B200-FEBD7997A82E}"/>
    <hyperlink ref="B3212" r:id="rId9680" display="https://twitter.com/WinfriedFelser" xr:uid="{69B40CFA-EB8B-4BC1-B335-FD9B0AA4AE4D}"/>
    <hyperlink ref="E3212" r:id="rId9681" display="https://twitter.com/WinfriedFelser/status/724231330989506560" xr:uid="{43C5F8C1-BB6D-42EF-96ED-934262F55536}"/>
    <hyperlink ref="O3212" r:id="rId9682" display="https://pbs.twimg.com/profile_images/562193841587896321/nfd18Y4g_normal.jpeg" xr:uid="{21600884-7F17-4CBE-99A6-F869045686FA}"/>
    <hyperlink ref="B3213" r:id="rId9683" display="https://twitter.com/neerajdeuskar79" xr:uid="{5C65137F-242F-4266-93C3-E448E9D4AF21}"/>
    <hyperlink ref="E3213" r:id="rId9684" display="https://twitter.com/neerajdeuskar79/status/724231381879013376" xr:uid="{E12634E9-920F-4DCE-8C3A-2D9CAFCCB7A2}"/>
    <hyperlink ref="O3213" r:id="rId9685" display="https://pbs.twimg.com/profile_images/648870164297965568/7muw2QvW_normal.jpg" xr:uid="{C9E99E45-CC48-4367-9D73-6EA458FBD81B}"/>
    <hyperlink ref="B3214" r:id="rId9686" display="https://twitter.com/UVNMeinecke" xr:uid="{591458C7-1EE1-41D4-B2ED-8F26E5E3222F}"/>
    <hyperlink ref="E3214" r:id="rId9687" display="https://twitter.com/UVNMeinecke/status/724231858490322946" xr:uid="{C17371A5-2584-4D52-B6B1-40DF478B3CE1}"/>
    <hyperlink ref="O3214" r:id="rId9688" display="https://pbs.twimg.com/profile_images/657548982667743232/Ww53-EZT_normal.jpg" xr:uid="{BD684738-2C8A-4C07-A814-F66A5DDEDECF}"/>
    <hyperlink ref="B3215" r:id="rId9689" display="https://twitter.com/neerajdeuskar79" xr:uid="{B32AE6B5-C3A8-4D52-8D42-F998DE011EA5}"/>
    <hyperlink ref="E3215" r:id="rId9690" display="https://twitter.com/neerajdeuskar79/status/724231957870202881" xr:uid="{4A76B44C-D26C-4BC4-86C0-F03BF2015FBC}"/>
    <hyperlink ref="O3215" r:id="rId9691" display="https://pbs.twimg.com/profile_images/648870164297965568/7muw2QvW_normal.jpg" xr:uid="{2000A557-7D9E-45F2-9DE0-5CAEC3FE0C42}"/>
    <hyperlink ref="B3216" r:id="rId9692" display="https://twitter.com/INDIZbot" xr:uid="{EEE69694-B1D1-4787-AF9D-65F4BD6E7792}"/>
    <hyperlink ref="E3216" r:id="rId9693" display="https://twitter.com/INDIZbot/status/724232012010283009" xr:uid="{58E06133-DBCD-4183-A695-E48A0F2A985D}"/>
    <hyperlink ref="O3216" r:id="rId9694" display="https://pbs.twimg.com/profile_images/645716711723925506/t5G0qOS6_normal.jpg" xr:uid="{00542C2F-9452-463B-B301-FCAEB9BE4397}"/>
    <hyperlink ref="B3217" r:id="rId9695" display="https://twitter.com/iaapraaipr" xr:uid="{BCAC203D-C93C-4F36-BE50-1A8DAA993DA3}"/>
    <hyperlink ref="E3217" r:id="rId9696" display="https://twitter.com/iaapraaipr/status/724232212619522048" xr:uid="{428737AF-AC12-42D0-B02E-8D3052EEEFD5}"/>
    <hyperlink ref="O3217" r:id="rId9697" display="https://pbs.twimg.com/profile_images/635477090016489472/cPsLdWnA_normal.jpg" xr:uid="{68EDDCC1-C58E-488B-8A21-5F35D19A5A1C}"/>
    <hyperlink ref="B3218" r:id="rId9698" display="https://twitter.com/RuthIliana46" xr:uid="{BEBA5845-45FA-46A7-BA4B-A02D0A83C9E4}"/>
    <hyperlink ref="E3218" r:id="rId9699" display="https://twitter.com/RuthIliana46/status/724232666179096576" xr:uid="{D12B6808-F1BA-460B-B7A6-488EBA133CFC}"/>
    <hyperlink ref="O3218" r:id="rId9700" display="https://pbs.twimg.com/profile_images/682330340329795584/qexE6I0C_normal.jpg" xr:uid="{2D513404-1845-4A19-B847-E919A3924C82}"/>
    <hyperlink ref="B3219" r:id="rId9701" display="https://twitter.com/BoschPresse" xr:uid="{4FD9CD22-EBC4-4453-9CC1-A08143FD265F}"/>
    <hyperlink ref="E3219" r:id="rId9702" display="https://twitter.com/BoschPresse/status/724232759066152960" xr:uid="{49558DA2-1205-4A6D-98D8-89A745CE2DB6}"/>
    <hyperlink ref="O3219" r:id="rId9703" display="https://pbs.twimg.com/profile_images/2619086509/ld3z97zhhdbs2essw7s9_normal.jpeg" xr:uid="{9CBAF677-42C5-45CA-97C9-A45A43FB72AD}"/>
    <hyperlink ref="B3220" r:id="rId9704" display="https://twitter.com/CarstenDierig" xr:uid="{978CB2F1-598B-4113-9F2D-0AE503649F89}"/>
    <hyperlink ref="E3220" r:id="rId9705" display="https://twitter.com/CarstenDierig/status/724232837445091328" xr:uid="{D4D78443-E642-4C48-82DF-A26F2685727B}"/>
    <hyperlink ref="O3220" r:id="rId9706" display="https://pbs.twimg.com/profile_images/486066079261655040/uyhY_MQH_normal.jpeg" xr:uid="{35A48BFD-C498-4A28-8792-38B126B52E07}"/>
    <hyperlink ref="B3221" r:id="rId9707" display="https://twitter.com/VDMAonline" xr:uid="{1FD6ECBB-18F9-4D7D-82A8-39D01B6657FA}"/>
    <hyperlink ref="E3221" r:id="rId9708" display="https://twitter.com/VDMAonline/status/724233744354279424" xr:uid="{4D86A87D-CDE8-4A8B-A6A8-EF28A194CA46}"/>
    <hyperlink ref="O3221" r:id="rId9709" display="https://pbs.twimg.com/profile_images/609375510158774272/P5glOk4b_normal.jpg" xr:uid="{42A0866A-9B8E-4959-8C38-7D7709DF5D79}"/>
    <hyperlink ref="B3222" r:id="rId9710" display="https://twitter.com/OOgbukagu" xr:uid="{52718DED-D5D0-4E2E-89BB-5CE9F26D0424}"/>
    <hyperlink ref="E3222" r:id="rId9711" display="https://twitter.com/OOgbukagu/status/724234212728016896" xr:uid="{98A8EF21-85C7-412F-92EE-A51627171B87}"/>
    <hyperlink ref="O3222" r:id="rId9712" display="https://pbs.twimg.com/profile_images/466860381533515776/jiQ9EbK1_normal.jpeg" xr:uid="{25C03A0F-D365-45FD-A595-B85CF1F93B92}"/>
    <hyperlink ref="B3223" r:id="rId9713" display="https://twitter.com/INDIZbot" xr:uid="{DC8D9962-A154-45A7-B0E2-76D9F5E03EFA}"/>
    <hyperlink ref="E3223" r:id="rId9714" display="https://twitter.com/INDIZbot/status/724234303589240832" xr:uid="{044C3DF1-E8B8-4ABA-AAB6-7A1B3BFB280A}"/>
    <hyperlink ref="O3223" r:id="rId9715" display="https://pbs.twimg.com/profile_images/645716711723925506/t5G0qOS6_normal.jpg" xr:uid="{DB5295A7-B9D6-4948-801F-38F6D1ADBC54}"/>
    <hyperlink ref="B3224" r:id="rId9716" display="https://twitter.com/INDIZbot" xr:uid="{934350D4-1419-4B87-9888-171091CABA29}"/>
    <hyperlink ref="E3224" r:id="rId9717" display="https://twitter.com/INDIZbot/status/724234533017673728" xr:uid="{A69D73FA-D311-4C64-B533-12EBEF7A2BFC}"/>
    <hyperlink ref="O3224" r:id="rId9718" display="https://pbs.twimg.com/profile_images/645716711723925506/t5G0qOS6_normal.jpg" xr:uid="{F5040F3F-CE0A-468A-B599-BC651788F993}"/>
    <hyperlink ref="B3225" r:id="rId9719" display="https://twitter.com/CarstenDierig" xr:uid="{7204464B-7D83-4E49-BBE3-3CFCC435EFDE}"/>
    <hyperlink ref="E3225" r:id="rId9720" display="https://twitter.com/CarstenDierig/status/724234604832526336" xr:uid="{E4CEBD15-77EE-4456-865A-1524DA37B945}"/>
    <hyperlink ref="O3225" r:id="rId9721" display="https://pbs.twimg.com/profile_images/486066079261655040/uyhY_MQH_normal.jpeg" xr:uid="{39CCB403-3A68-4CE0-ABCB-86B0BB0DC69B}"/>
    <hyperlink ref="B3226" r:id="rId9722" display="https://twitter.com/schroederluegde" xr:uid="{4427446E-9B38-4BDD-B090-F28142F293D9}"/>
    <hyperlink ref="E3226" r:id="rId9723" display="https://twitter.com/schroederluegde/status/724235262793027588" xr:uid="{43274F23-D972-4B7E-9D8B-BF3ED35D0B25}"/>
    <hyperlink ref="O3226" r:id="rId9724" display="https://pbs.twimg.com/profile_images/378800000461229603/54dcc490f17c8812011cde76385f9b9d_normal.jpeg" xr:uid="{29F39A4D-F008-496F-8A44-E4CE8C53CFD3}"/>
    <hyperlink ref="B3227" r:id="rId9725" display="https://twitter.com/foresight_lab" xr:uid="{9605E952-CAB4-4B13-8B79-46B272D4FF65}"/>
    <hyperlink ref="E3227" r:id="rId9726" display="https://twitter.com/foresight_lab/status/724236480504311808" xr:uid="{070E8121-A322-4D06-85C9-B8E6176FCFB2}"/>
    <hyperlink ref="O3227" r:id="rId9727" display="https://pbs.twimg.com/profile_images/665798535779065856/sbUN3m6Q_normal.jpg" xr:uid="{97AE5A3B-4974-46F0-9538-E45DC74C66A2}"/>
    <hyperlink ref="B3228" r:id="rId9728" display="https://twitter.com/IT2Industry" xr:uid="{EC1703CE-35F1-4E43-8673-FF465BC1CEA6}"/>
    <hyperlink ref="E3228" r:id="rId9729" display="https://twitter.com/IT2Industry/status/724236486531526657" xr:uid="{F380D554-EBEA-46D5-82FE-C8318805400C}"/>
    <hyperlink ref="F3228" r:id="rId9730" xr:uid="{3019F728-DDAA-4589-8B9E-A4C0E69D0997}"/>
    <hyperlink ref="O3228" r:id="rId9731" display="https://pbs.twimg.com/profile_images/489403559394304001/8SQlWWA1_normal.jpeg" xr:uid="{77D1FF6A-E60D-4000-93DF-CEF2AC5C6C72}"/>
    <hyperlink ref="B3229" r:id="rId9732" display="https://twitter.com/INDIZbot" xr:uid="{DE2D743C-622E-4A7E-9EBA-CAD34155A2D1}"/>
    <hyperlink ref="E3229" r:id="rId9733" display="https://twitter.com/INDIZbot/status/724236747169763328" xr:uid="{95AECCDD-86A1-4195-81B5-088894E9E6E0}"/>
    <hyperlink ref="O3229" r:id="rId9734" display="https://pbs.twimg.com/profile_images/645716711723925506/t5G0qOS6_normal.jpg" xr:uid="{387D71B2-DC61-4A33-B5AB-A10316DA8456}"/>
    <hyperlink ref="B3230" r:id="rId9735" display="https://twitter.com/catkinEU" xr:uid="{4AFB4BD4-7C4A-427D-9C7E-5DCDF9C35766}"/>
    <hyperlink ref="E3230" r:id="rId9736" display="https://twitter.com/catkinEU/status/724237872224722944" xr:uid="{54273B66-8442-42AA-9DEA-A45005F8FD40}"/>
    <hyperlink ref="O3230" r:id="rId9737" display="https://pbs.twimg.com/profile_images/604338428227010560/6jzSa8us_normal.png" xr:uid="{C97F04DC-59AB-40A5-BF36-DC73CC757523}"/>
    <hyperlink ref="B3231" r:id="rId9738" display="https://twitter.com/Linde_WoMH" xr:uid="{C4F464C2-C5A9-4BDB-AA68-64536E12715E}"/>
    <hyperlink ref="E3231" r:id="rId9739" display="https://twitter.com/Linde_WoMH/status/724237984359280640" xr:uid="{68CF00A9-1AD2-4ED2-8001-3690BC45E229}"/>
    <hyperlink ref="O3231" r:id="rId9740" display="https://pbs.twimg.com/profile_images/722046888816414721/6ATUmhSW_normal.jpg" xr:uid="{1BE6627E-C984-4B40-82A6-41083B566721}"/>
    <hyperlink ref="B3232" r:id="rId9741" display="https://twitter.com/akwyz" xr:uid="{D7526E27-8C2F-4F72-BFC5-042F4B459AD4}"/>
    <hyperlink ref="E3232" r:id="rId9742" display="https://twitter.com/akwyz/status/724238440351580161" xr:uid="{15E828E7-B697-42CB-A413-6FA7ECF2A016}"/>
    <hyperlink ref="O3232" r:id="rId9743" display="https://pbs.twimg.com/profile_images/721423009114931200/0w9BDsO3_normal.jpg" xr:uid="{8FDAF259-A2E5-40C6-B173-FC981E7E342A}"/>
    <hyperlink ref="B3233" r:id="rId9744" display="https://twitter.com/RolandDuerre" xr:uid="{4F231147-6070-44B4-BB33-5C08D5A7E931}"/>
    <hyperlink ref="E3233" r:id="rId9745" display="https://twitter.com/RolandDuerre/status/724241181870292993" xr:uid="{35C7FDE0-1581-4A6C-85AD-E19249B65CAF}"/>
    <hyperlink ref="O3233" r:id="rId9746" display="https://pbs.twimg.com/profile_images/3083763260/1ea674655cb6144191e83d3ee23b16b6_normal.jpeg" xr:uid="{ABFAB872-B19B-4CDA-801E-A03852338221}"/>
    <hyperlink ref="B3234" r:id="rId9747" display="https://twitter.com/IlkkaNiemela" xr:uid="{1978B8F8-5E1E-47B7-A048-EB4543D847F3}"/>
    <hyperlink ref="E3234" r:id="rId9748" display="https://twitter.com/IlkkaNiemela/status/724241456987254784" xr:uid="{E814DAEF-B4A9-4A6E-9752-81087A916677}"/>
    <hyperlink ref="O3234" r:id="rId9749" display="https://pbs.twimg.com/profile_images/507173330248400896/2G4YgdTe_normal.jpeg" xr:uid="{6D0CB798-8B9B-462A-84FC-71445D0BDEEA}"/>
    <hyperlink ref="B3235" r:id="rId9750" display="https://twitter.com/pareekhjain" xr:uid="{F46BD64E-2A55-4176-8B97-9D92F8614B61}"/>
    <hyperlink ref="E3235" r:id="rId9751" display="https://twitter.com/pareekhjain/status/724241646683066368" xr:uid="{BD274426-A36A-40F1-8D41-8E6CF407A979}"/>
    <hyperlink ref="M3235" r:id="rId9752" xr:uid="{4382FDD0-AF55-4EE1-8127-DA74E1244369}"/>
    <hyperlink ref="O3235" r:id="rId9753" display="https://pbs.twimg.com/profile_images/467633700562141184/epYfiO63_normal.jpeg" xr:uid="{8115D816-AA02-440F-8760-75D2322EF80B}"/>
    <hyperlink ref="B3236" r:id="rId9754" display="https://twitter.com/SASCHAKAUS1" xr:uid="{3E812B03-0122-4407-B764-F93D77C8CE80}"/>
    <hyperlink ref="E3236" r:id="rId9755" display="https://twitter.com/SASCHAKAUS1/status/724243047358337024" xr:uid="{BB16E275-501B-41E2-921F-68541C82EDC7}"/>
    <hyperlink ref="O3236" r:id="rId9756" display="https://pbs.twimg.com/profile_images/507446718355759104/Hjza08vg_normal.jpeg" xr:uid="{E7EEC5FE-1976-4BB9-A637-5372EA88AE1C}"/>
    <hyperlink ref="B3237" r:id="rId9757" display="https://twitter.com/askklaushaasis" xr:uid="{77C1CC4E-36B7-4BE2-ADA2-DFE82E42FA18}"/>
    <hyperlink ref="E3237" r:id="rId9758" display="https://twitter.com/askklaushaasis/status/724243283728293888" xr:uid="{6BCA9FED-5066-49F6-9FA3-25633E3A654B}"/>
    <hyperlink ref="O3237" r:id="rId9759" display="https://pbs.twimg.com/profile_images/579215161363427328/FqfBn-sr_normal.jpg" xr:uid="{671BC481-C016-4439-9737-19B0B542790E}"/>
    <hyperlink ref="B3238" r:id="rId9760" display="https://twitter.com/INDIZbot" xr:uid="{779A5578-F14E-4796-A145-76A7E9EC38CE}"/>
    <hyperlink ref="E3238" r:id="rId9761" display="https://twitter.com/INDIZbot/status/724244293297291264" xr:uid="{124E34BB-11FC-43BC-8770-CF8B4FAE68A7}"/>
    <hyperlink ref="O3238" r:id="rId9762" display="https://pbs.twimg.com/profile_images/645716711723925506/t5G0qOS6_normal.jpg" xr:uid="{C9CDC7D8-4C8C-4D31-A074-61F3F20E466F}"/>
    <hyperlink ref="B3239" r:id="rId9763" display="https://twitter.com/MartinGaedt" xr:uid="{895A1A31-7198-463F-8875-4878797672CA}"/>
    <hyperlink ref="E3239" r:id="rId9764" display="https://twitter.com/MartinGaedt/status/724245117855522818" xr:uid="{1F5F033D-3DB5-4FC9-BDBE-988CE1C40940}"/>
    <hyperlink ref="O3239" r:id="rId9765" display="https://pbs.twimg.com/profile_images/709444980553740288/Xds-Aan6_normal.jpg" xr:uid="{1CA4F6E8-3286-4BF0-B939-C202A9418A06}"/>
    <hyperlink ref="B3240" r:id="rId9766" display="https://twitter.com/Bitkom_I40" xr:uid="{639BFBF9-D8C2-4EC0-A484-2606C321AEC6}"/>
    <hyperlink ref="E3240" r:id="rId9767" display="https://twitter.com/Bitkom_I40/status/724245766999429120" xr:uid="{D373823C-E57F-4F1E-8A76-06BB67E1AA0B}"/>
    <hyperlink ref="O3240" r:id="rId9768" display="https://pbs.twimg.com/profile_images/723407487395713024/0hZv7R8S_normal.jpg" xr:uid="{0AE7F0CE-1F70-4F36-8B69-4A5D1C1EC1AA}"/>
    <hyperlink ref="B3241" r:id="rId9769" display="https://twitter.com/i_k_sudhoff" xr:uid="{D2087EB3-3F8C-4B1B-8262-2A8824369E3C}"/>
    <hyperlink ref="E3241" r:id="rId9770" display="https://twitter.com/i_k_sudhoff/status/724247472944590851" xr:uid="{91DD4532-6152-43D2-B914-184886B28C15}"/>
    <hyperlink ref="O3241" r:id="rId9771" display="https://pbs.twimg.com/profile_images/450307122459590656/Ib7Js4Be_normal.jpeg" xr:uid="{C0B56F1E-5AF1-4A8E-957C-8692AC211F29}"/>
    <hyperlink ref="B3242" r:id="rId9772" display="https://twitter.com/_bluebiz" xr:uid="{C44D4B11-4AE4-4D06-B8AC-9BD3E63E5ED2}"/>
    <hyperlink ref="E3242" r:id="rId9773" display="https://twitter.com/_bluebiz/status/724248734532550656" xr:uid="{75A95CDF-AEF8-4152-8497-BE32985072B8}"/>
    <hyperlink ref="O3242" r:id="rId9774" display="https://pbs.twimg.com/profile_images/696770120769761281/vlTP9A_7_normal.jpg" xr:uid="{BF68A147-493A-4D23-B079-84A0FA212C61}"/>
    <hyperlink ref="B3243" r:id="rId9775" display="https://twitter.com/Wolfgang_Dorst" xr:uid="{D61A2DD0-BB08-49BE-997C-BDC2E1F4481E}"/>
    <hyperlink ref="E3243" r:id="rId9776" display="https://twitter.com/Wolfgang_Dorst/status/724250055109185536" xr:uid="{F84542FE-4719-446D-AD8B-72538DF2AC71}"/>
    <hyperlink ref="O3243" r:id="rId9777" display="https://pbs.twimg.com/profile_images/556507839561084928/0NQjY3j6_normal.jpeg" xr:uid="{14DC5173-99A6-46ED-8780-943131D6F5E6}"/>
    <hyperlink ref="B3244" r:id="rId9778" display="https://twitter.com/Angela_Josephs" xr:uid="{C205DCE6-22CE-4A75-9A76-55558BB7C606}"/>
    <hyperlink ref="E3244" r:id="rId9779" display="https://twitter.com/Angela_Josephs/status/724250106711683072" xr:uid="{36461A14-1F14-426F-AC34-4565F7563E2F}"/>
    <hyperlink ref="O3244" r:id="rId9780" display="https://pbs.twimg.com/profile_images/649572788148285440/Sxl5vTa3_normal.jpg" xr:uid="{D4385290-DA05-4468-AC70-4D37C2F9653F}"/>
    <hyperlink ref="B3245" r:id="rId9781" display="https://twitter.com/verlinked" xr:uid="{3405D598-CCD8-4E49-ACDB-1A68FF0C08CF}"/>
    <hyperlink ref="E3245" r:id="rId9782" display="https://twitter.com/verlinked/status/724251602819764224" xr:uid="{9AF68AC4-5BED-4F44-B1F5-EB5115E18F22}"/>
    <hyperlink ref="O3245" r:id="rId9783" display="https://pbs.twimg.com/profile_images/722385992343285760/ww8YLZ2q_normal.jpg" xr:uid="{3025BF56-6788-4E59-8E89-57EA7BFB27C2}"/>
    <hyperlink ref="B3246" r:id="rId9784" display="https://twitter.com/catkinEU" xr:uid="{603484F6-B574-4D79-B20B-5A8FCDADC047}"/>
    <hyperlink ref="E3246" r:id="rId9785" display="https://twitter.com/catkinEU/status/724254673125793793" xr:uid="{98E260D3-C41F-402A-96D3-8DAFEDB6FA2A}"/>
    <hyperlink ref="O3246" r:id="rId9786" display="https://pbs.twimg.com/profile_images/604338428227010560/6jzSa8us_normal.png" xr:uid="{B6CEE294-973F-4F7B-81EC-A91E7B6B51FB}"/>
    <hyperlink ref="B3247" r:id="rId9787" display="https://twitter.com/catkinEU" xr:uid="{2206E340-DFE7-4820-9975-97D06CAFCC79}"/>
    <hyperlink ref="E3247" r:id="rId9788" display="https://twitter.com/catkinEU/status/724256094411980800" xr:uid="{77A8BEFF-A52C-4870-B4A7-39C15FB88367}"/>
    <hyperlink ref="O3247" r:id="rId9789" display="https://pbs.twimg.com/profile_images/604338428227010560/6jzSa8us_normal.png" xr:uid="{E7B345B9-66D3-41FD-BC1B-779C3628F052}"/>
    <hyperlink ref="B3248" r:id="rId9790" display="https://twitter.com/martinruskowski" xr:uid="{3A6F7065-437D-4708-968D-276F5DADCF11}"/>
    <hyperlink ref="E3248" r:id="rId9791" display="https://twitter.com/martinruskowski/status/724257681486282752" xr:uid="{82212A59-52C1-4D9F-9BDC-8F071871DA08}"/>
    <hyperlink ref="O3248" r:id="rId9792" display="https://pbs.twimg.com/profile_images/600009481204924416/MjO5xAdb_normal.jpg" xr:uid="{07D011C5-618B-42F3-9686-451B0E2BBF65}"/>
    <hyperlink ref="B3249" r:id="rId9793" display="https://twitter.com/MartinGaedt" xr:uid="{5872C328-4762-4696-9A94-961D6DD037AF}"/>
    <hyperlink ref="E3249" r:id="rId9794" display="https://twitter.com/MartinGaedt/status/724257735752187904" xr:uid="{B4F42E1F-2300-43AD-B71D-9B6FFBEFAEAA}"/>
    <hyperlink ref="O3249" r:id="rId9795" display="https://pbs.twimg.com/profile_images/709444980553740288/Xds-Aan6_normal.jpg" xr:uid="{AFABA7B1-6FED-44FE-8572-D0CFD2FD6E28}"/>
    <hyperlink ref="B3250" r:id="rId9796" display="https://twitter.com/catkinEU" xr:uid="{864CF42A-3498-4477-BFC7-9BDB26DCDC52}"/>
    <hyperlink ref="E3250" r:id="rId9797" display="https://twitter.com/catkinEU/status/724259556335992833" xr:uid="{FC8CCEB1-D119-47A2-A97B-3BAE3E05F6D2}"/>
    <hyperlink ref="O3250" r:id="rId9798" display="https://pbs.twimg.com/profile_images/604338428227010560/6jzSa8us_normal.png" xr:uid="{63A3BEE8-6474-4C01-9508-5B021E945FD1}"/>
    <hyperlink ref="B3251" r:id="rId9799" display="https://twitter.com/buendnisZdI" xr:uid="{C5091198-9EC5-4F07-AD43-AA2732EB09BD}"/>
    <hyperlink ref="E3251" r:id="rId9800" display="https://twitter.com/buendnisZdI/status/724261392023474176" xr:uid="{5B9CD260-50CC-4466-A3AD-FC4BC7D73B24}"/>
    <hyperlink ref="O3251" r:id="rId9801" display="https://pbs.twimg.com/profile_images/625595391568908288/AeEkCkPt_normal.jpg" xr:uid="{D3C5FC40-DB67-492C-83DA-A78592C4B520}"/>
    <hyperlink ref="B3252" r:id="rId9802" display="https://twitter.com/martinruskowski" xr:uid="{834A426B-5932-47B8-B90E-F300C068C693}"/>
    <hyperlink ref="E3252" r:id="rId9803" display="https://twitter.com/martinruskowski/status/724261403230633984" xr:uid="{3C0259F8-9E4B-43D8-822C-5F4D622B548D}"/>
    <hyperlink ref="O3252" r:id="rId9804" display="https://pbs.twimg.com/profile_images/600009481204924416/MjO5xAdb_normal.jpg" xr:uid="{0298E8B6-B03B-4227-BAF4-71B3872AFBB5}"/>
    <hyperlink ref="B3253" r:id="rId9805" display="https://twitter.com/buendnisZdI" xr:uid="{28BAE73B-D62A-4246-B37D-954322E1148D}"/>
    <hyperlink ref="E3253" r:id="rId9806" display="https://twitter.com/buendnisZdI/status/724261408888729600" xr:uid="{7C4F7058-C215-4E24-8E3E-F51513849482}"/>
    <hyperlink ref="O3253" r:id="rId9807" display="https://pbs.twimg.com/profile_images/625595391568908288/AeEkCkPt_normal.jpg" xr:uid="{7764DF89-C726-4FAF-BD34-11CEECF62402}"/>
    <hyperlink ref="B3254" r:id="rId9808" display="https://twitter.com/MesseJournalist" xr:uid="{EB413123-318A-4ACB-98C1-A75FC80E7452}"/>
    <hyperlink ref="E3254" r:id="rId9809" display="https://twitter.com/MesseJournalist/status/724261570742722560" xr:uid="{149676D7-A0B4-4396-908B-F5F95BF373A2}"/>
    <hyperlink ref="O3254" r:id="rId9810" display="https://pbs.twimg.com/profile_images/577265159799881728/VbVFh8Vy_normal.jpeg" xr:uid="{7B0087B8-7B17-4662-9781-CFD3EE5AC9C8}"/>
    <hyperlink ref="B3255" r:id="rId9811" display="https://twitter.com/Balluff" xr:uid="{543F1EF2-F210-4EBB-BB61-66EE6A2279D2}"/>
    <hyperlink ref="E3255" r:id="rId9812" display="https://twitter.com/Balluff/status/724261849949151232" xr:uid="{7572FBC4-8CB8-40F3-8A96-DBB879707DE9}"/>
    <hyperlink ref="O3255" r:id="rId9813" display="https://pbs.twimg.com/profile_images/663668561366245376/2ovYiiJf_normal.jpg" xr:uid="{B431796A-1E7F-453F-9E7E-4AF031E8E71B}"/>
    <hyperlink ref="B3256" r:id="rId9814" display="https://twitter.com/mitunsdigital" xr:uid="{8AD1B8C8-57D6-40EA-972B-ACB8407003B6}"/>
    <hyperlink ref="E3256" r:id="rId9815" display="https://twitter.com/mitunsdigital/status/724263305007751168" xr:uid="{F68B9AFF-88F8-40BF-A306-025DE622C790}"/>
    <hyperlink ref="O3256" r:id="rId9816" display="https://pbs.twimg.com/profile_images/695227740136587265/5eHVsAlx_normal.png" xr:uid="{13F63401-0E59-4BAD-84A7-6597A262594E}"/>
    <hyperlink ref="B3257" r:id="rId9817" display="https://twitter.com/MarianKoeller" xr:uid="{90902593-D7E9-441C-B283-F1ACD8C3CD49}"/>
    <hyperlink ref="E3257" r:id="rId9818" display="https://twitter.com/MarianKoeller/status/724263475208400897" xr:uid="{DF9AE196-94E5-4E23-998D-D4C853618E2B}"/>
    <hyperlink ref="O3257" r:id="rId9819" display="https://pbs.twimg.com/profile_images/701004613206433792/o4DJfA8-_normal.jpg" xr:uid="{FBAD6B74-FE96-402C-BD27-CAEFBEE9B7BE}"/>
    <hyperlink ref="B3258" r:id="rId9820" display="https://twitter.com/MaikPlischke" xr:uid="{95A13D5F-5A54-4196-8E89-21FE0B1B352C}"/>
    <hyperlink ref="E3258" r:id="rId9821" display="https://twitter.com/MaikPlischke/status/724263636508749825" xr:uid="{6390086F-DB1E-41CC-B582-6FB53F18ABBA}"/>
    <hyperlink ref="O3258" r:id="rId9822" display="https://pbs.twimg.com/profile_images/561600740448153600/1SOPpS8W_normal.jpeg" xr:uid="{B6D6325B-2874-4371-A9B8-E124447B04E5}"/>
    <hyperlink ref="B3259" r:id="rId9823" display="https://twitter.com/rafael_sobek" xr:uid="{A7E687E8-1624-4398-95E5-7F266F8074F7}"/>
    <hyperlink ref="E3259" r:id="rId9824" display="https://twitter.com/rafael_sobek/status/724266312080457728" xr:uid="{92EDD361-D29A-461B-B89D-015B0E10A8A9}"/>
    <hyperlink ref="O3259" r:id="rId9825" display="https://pbs.twimg.com/profile_images/592594766296182784/nGFPRgoT_normal.jpg" xr:uid="{FEEA403C-5F24-4ED3-B21E-CD73926BD371}"/>
    <hyperlink ref="B3260" r:id="rId9826" display="https://twitter.com/RethinkRobotics" xr:uid="{DCD24F84-6264-419F-B01A-75FFAD46ECED}"/>
    <hyperlink ref="E3260" r:id="rId9827" display="https://twitter.com/RethinkRobotics/status/724269150814740481" xr:uid="{73FD2B6A-080C-48E8-A6F6-61FA307F4274}"/>
    <hyperlink ref="O3260" r:id="rId9828" display="https://pbs.twimg.com/profile_images/3673497206/85ee8240b2449d1748b6e4c0747fb409_normal.jpeg" xr:uid="{B4DA9AA3-1FD0-43FD-B4A3-270B2889F1B9}"/>
    <hyperlink ref="B3261" r:id="rId9829" display="https://twitter.com/PlantEngMag" xr:uid="{EAE90A0F-3EC8-42B1-ADD9-6A6934249F34}"/>
    <hyperlink ref="E3261" r:id="rId9830" display="https://twitter.com/PlantEngMag/status/724269310630227968" xr:uid="{CE72FCA3-1C34-486F-A628-032E6F796E56}"/>
    <hyperlink ref="O3261" r:id="rId9831" display="https://pbs.twimg.com/profile_images/2138019810/525357_10150679656844528_46884944527_9083227_1871050648_n_normal.jpg" xr:uid="{C8894F71-FF1F-4D3B-A7BA-1025A965ADBF}"/>
    <hyperlink ref="B3262" r:id="rId9832" display="https://twitter.com/alternacomm" xr:uid="{75D08F41-C857-4284-9852-C1739E686EDA}"/>
    <hyperlink ref="E3262" r:id="rId9833" display="https://twitter.com/alternacomm/status/724269896247435264" xr:uid="{8F001725-FA40-48CB-9BB7-DEA988B6AB2C}"/>
    <hyperlink ref="O3262" r:id="rId9834" display="https://pbs.twimg.com/profile_images/698877978822995969/MF_OL2e9_normal.jpg" xr:uid="{9413FE46-FDB9-48B4-B28C-4035578B0C9A}"/>
    <hyperlink ref="B3263" r:id="rId9835" display="https://twitter.com/alternacomm" xr:uid="{5B91CE9E-BD91-4D1E-A98D-873FE260A120}"/>
    <hyperlink ref="E3263" r:id="rId9836" display="https://twitter.com/alternacomm/status/724269931827748864" xr:uid="{C96F1E70-668D-4A9E-9056-ABE54030195A}"/>
    <hyperlink ref="O3263" r:id="rId9837" display="https://pbs.twimg.com/profile_images/698877978822995969/MF_OL2e9_normal.jpg" xr:uid="{74738C69-F07D-41BF-9863-AB6F9B6AE5D1}"/>
    <hyperlink ref="B3264" r:id="rId9838" display="https://twitter.com/angelhoyospr" xr:uid="{C386730A-3D84-46C1-AAC6-1334E442A96F}"/>
    <hyperlink ref="E3264" r:id="rId9839" display="https://twitter.com/angelhoyospr/status/724270031543083010" xr:uid="{E823B8A9-31D5-4855-BEC3-688C30D4091A}"/>
    <hyperlink ref="O3264" r:id="rId9840" display="https://pbs.twimg.com/profile_images/698878290594025472/4o6U1isf_normal.jpg" xr:uid="{A8FBEC31-F812-44D7-B346-B3C1F5413CE8}"/>
    <hyperlink ref="B3265" r:id="rId9841" display="https://twitter.com/LNI40" xr:uid="{2C553F9C-76B7-4A95-9FBC-5F368BA9265E}"/>
    <hyperlink ref="E3265" r:id="rId9842" display="https://twitter.com/LNI40/status/724270103030800384" xr:uid="{A1494762-4E27-4A58-A251-529E797BC6A9}"/>
    <hyperlink ref="O3265" r:id="rId9843" display="https://pbs.twimg.com/profile_images/722098538604281856/CcBxk1_M_normal.jpg" xr:uid="{2374B64C-D6F5-447F-AAA8-A7C44BF7F629}"/>
    <hyperlink ref="B3266" r:id="rId9844" display="https://twitter.com/MarianKoeller" xr:uid="{5B1753F7-7902-4263-8196-2C5A3B123067}"/>
    <hyperlink ref="E3266" r:id="rId9845" display="https://twitter.com/MarianKoeller/status/724270498390089728" xr:uid="{B924BF16-724C-4E54-80BE-57BEDEC0552E}"/>
    <hyperlink ref="O3266" r:id="rId9846" display="https://pbs.twimg.com/profile_images/701004613206433792/o4DJfA8-_normal.jpg" xr:uid="{DEDE3E09-B97F-4D2C-97C5-736F414F8A73}"/>
    <hyperlink ref="B3267" r:id="rId9847" display="https://twitter.com/LNI40" xr:uid="{B049AEB0-3078-42DC-B83B-68183D4F1F74}"/>
    <hyperlink ref="E3267" r:id="rId9848" display="https://twitter.com/LNI40/status/724271048036855809" xr:uid="{CF22A7FF-83CE-412B-BEB5-6C15C60261DA}"/>
    <hyperlink ref="O3267" r:id="rId9849" display="https://pbs.twimg.com/profile_images/722098538604281856/CcBxk1_M_normal.jpg" xr:uid="{4DF2097A-A197-427E-8E07-69F6C4388F49}"/>
    <hyperlink ref="B3268" r:id="rId9850" display="https://twitter.com/heikevangeel" xr:uid="{390BF4A0-92FD-4517-8CF0-393D14D05DAE}"/>
    <hyperlink ref="E3268" r:id="rId9851" display="https://twitter.com/heikevangeel/status/724271146481410048" xr:uid="{554330CB-FA0E-4481-95DF-D5633380999C}"/>
    <hyperlink ref="O3268" r:id="rId9852" display="https://pbs.twimg.com/profile_images/491236810560114688/qHaoNgg2_normal.jpeg" xr:uid="{E237F78C-B71E-4955-B36A-7FB39B751DBB}"/>
    <hyperlink ref="B3269" r:id="rId9853" display="https://twitter.com/NiklasSowa" xr:uid="{A07A84D8-2A55-4D44-BCB4-1F1F2EF09685}"/>
    <hyperlink ref="E3269" r:id="rId9854" display="https://twitter.com/NiklasSowa/status/724271656496160768" xr:uid="{639AA014-B91D-40AD-969D-949AC3560774}"/>
    <hyperlink ref="O3269" r:id="rId9855" display="https://pbs.twimg.com/profile_images/701089073046429696/hzMfG--q_normal.jpg" xr:uid="{D12FC131-1A02-449A-BD91-A374A3B41FEE}"/>
    <hyperlink ref="B3270" r:id="rId9856" display="https://twitter.com/mitunsdigital" xr:uid="{5F4B30EB-E35E-4119-9E11-C9E695229F6A}"/>
    <hyperlink ref="E3270" r:id="rId9857" display="https://twitter.com/mitunsdigital/status/724272404755832833" xr:uid="{06F5408B-9A98-4DDE-BCD2-B8C6F6EEDE0C}"/>
    <hyperlink ref="O3270" r:id="rId9858" display="https://pbs.twimg.com/profile_images/695227740136587265/5eHVsAlx_normal.png" xr:uid="{149B9E4E-6FA0-43AE-9B77-3DD6FA7579F8}"/>
    <hyperlink ref="B3271" r:id="rId9859" display="https://twitter.com/TStoeckl" xr:uid="{6B781FE1-4A97-43B6-AE0F-7202DF3B15E4}"/>
    <hyperlink ref="E3271" r:id="rId9860" display="https://twitter.com/TStoeckl/status/724272443074973696" xr:uid="{B21BF77D-80F6-41AD-A720-652FD4974EF2}"/>
    <hyperlink ref="O3271" r:id="rId9861" display="https://pbs.twimg.com/profile_images/440897442251563008/rQI9fFq1_normal.jpeg" xr:uid="{16F888E7-C0B4-4892-A2B7-B23EEDF1EB3A}"/>
    <hyperlink ref="B3272" r:id="rId9862" display="https://twitter.com/catkinEU" xr:uid="{C3C98FFD-3BB4-4FAF-8195-B78D93A16700}"/>
    <hyperlink ref="E3272" r:id="rId9863" display="https://twitter.com/catkinEU/status/724272477329854464" xr:uid="{BA51E294-0797-4CCD-902A-22E25675C97A}"/>
    <hyperlink ref="O3272" r:id="rId9864" display="https://pbs.twimg.com/profile_images/604338428227010560/6jzSa8us_normal.png" xr:uid="{8D4955A1-965C-47A7-8716-64CC21613F9D}"/>
    <hyperlink ref="B3273" r:id="rId9865" display="https://twitter.com/Bitkom_I40" xr:uid="{86A491EB-71E2-41D1-B4AA-6E9DF41FD40F}"/>
    <hyperlink ref="E3273" r:id="rId9866" display="https://twitter.com/Bitkom_I40/status/724272963823001600" xr:uid="{2B7C5A4D-C926-4F0D-B755-08F12996BE8C}"/>
    <hyperlink ref="O3273" r:id="rId9867" display="https://pbs.twimg.com/profile_images/723407487395713024/0hZv7R8S_normal.jpg" xr:uid="{C7F56FD3-55F4-4CE9-8BC1-CA0E984DDD96}"/>
    <hyperlink ref="B3274" r:id="rId9868" display="https://twitter.com/fjablonski" xr:uid="{18497617-F707-40A3-8F8E-02D845669ED4}"/>
    <hyperlink ref="E3274" r:id="rId9869" display="https://twitter.com/fjablonski/status/724274422136356864" xr:uid="{AC9AAD9F-87B7-43ED-924A-182EC30E81BA}"/>
    <hyperlink ref="O3274" r:id="rId9870" display="https://pbs.twimg.com/profile_images/528332865/fj_normal.jpg" xr:uid="{0356DFB0-C2C0-4CD9-945A-B3ADC661AFFC}"/>
    <hyperlink ref="B3275" r:id="rId9871" display="https://twitter.com/INDIZbot" xr:uid="{AB52AE80-2905-4F77-88F1-344F61C28A91}"/>
    <hyperlink ref="E3275" r:id="rId9872" display="https://twitter.com/INDIZbot/status/724274544542924801" xr:uid="{79B76096-EDC2-4D37-971A-F55AEE02C157}"/>
    <hyperlink ref="O3275" r:id="rId9873" display="https://pbs.twimg.com/profile_images/645716711723925506/t5G0qOS6_normal.jpg" xr:uid="{B1675EEB-9B27-48A6-83A4-07988FDE0DA0}"/>
    <hyperlink ref="B3276" r:id="rId9874" display="https://twitter.com/INDIZbot" xr:uid="{ACB2D5F3-D99C-424C-B576-6FE3BC3D8649}"/>
    <hyperlink ref="E3276" r:id="rId9875" display="https://twitter.com/INDIZbot/status/724274676709601280" xr:uid="{BADC397E-E718-4E1A-885F-97390E6DFAD5}"/>
    <hyperlink ref="O3276" r:id="rId9876" display="https://pbs.twimg.com/profile_images/645716711723925506/t5G0qOS6_normal.jpg" xr:uid="{E51CC824-1A40-45D5-89F8-7BB004B52B97}"/>
    <hyperlink ref="B3277" r:id="rId9877" display="https://twitter.com/INDIZbot" xr:uid="{59E236C8-19E2-4792-9C11-83E0E14E6724}"/>
    <hyperlink ref="E3277" r:id="rId9878" display="https://twitter.com/INDIZbot/status/724274773132455943" xr:uid="{E999BFB9-5251-4D38-A349-BAA635BD6D57}"/>
    <hyperlink ref="O3277" r:id="rId9879" display="https://pbs.twimg.com/profile_images/645716711723925506/t5G0qOS6_normal.jpg" xr:uid="{35A31AAA-9496-4626-B29E-C68559820E95}"/>
    <hyperlink ref="B3278" r:id="rId9880" display="https://twitter.com/tuevnordpolitik" xr:uid="{F9DA5F92-AB8C-4108-9940-5897F93660FC}"/>
    <hyperlink ref="E3278" r:id="rId9881" display="https://twitter.com/tuevnordpolitik/status/724274812420501504" xr:uid="{0A6960FF-BD79-4F60-8768-2189A480C12C}"/>
    <hyperlink ref="O3278" r:id="rId9882" display="https://pbs.twimg.com/profile_images/420844205607362560/p085f4o7_normal.png" xr:uid="{0650C749-FB05-44A4-B9A9-CAA729F6AF7C}"/>
    <hyperlink ref="B3279" r:id="rId9883" display="https://twitter.com/INDIZbot" xr:uid="{D206E87C-A386-476D-AECA-CB3C06407DD4}"/>
    <hyperlink ref="E3279" r:id="rId9884" display="https://twitter.com/INDIZbot/status/724274870775898112" xr:uid="{D78A49B9-F5AE-4A45-AD64-423F7133C839}"/>
    <hyperlink ref="O3279" r:id="rId9885" display="https://pbs.twimg.com/profile_images/645716711723925506/t5G0qOS6_normal.jpg" xr:uid="{4356E91B-93A3-4B94-AE7B-13A96C668EE9}"/>
    <hyperlink ref="B3280" r:id="rId9886" display="https://twitter.com/tuevnordpolitik" xr:uid="{269C26F5-D686-4AF9-BBC4-66D747EB5FA0}"/>
    <hyperlink ref="E3280" r:id="rId9887" display="https://twitter.com/tuevnordpolitik/status/724275229061685248" xr:uid="{2E9DAAC5-CE1B-4B19-A2F5-E8D612973CCD}"/>
    <hyperlink ref="O3280" r:id="rId9888" display="https://pbs.twimg.com/profile_images/420844205607362560/p085f4o7_normal.png" xr:uid="{99395CB9-3376-4B9E-966E-19F32ECF1D0E}"/>
    <hyperlink ref="B3281" r:id="rId9889" display="https://twitter.com/mitunsdigital" xr:uid="{AE98E759-B931-4ED4-A2E2-DC397DCB2351}"/>
    <hyperlink ref="E3281" r:id="rId9890" display="https://twitter.com/mitunsdigital/status/724275502836535296" xr:uid="{5923FAAD-53FB-4229-9234-E5CB487CB16B}"/>
    <hyperlink ref="O3281" r:id="rId9891" display="https://pbs.twimg.com/profile_images/695227740136587265/5eHVsAlx_normal.png" xr:uid="{8D020963-8635-4848-9E29-E141A1C7A1C0}"/>
    <hyperlink ref="B3282" r:id="rId9892" display="https://twitter.com/MarianKoeller" xr:uid="{7A3D7331-6F9F-4014-91A6-1ECA74AE9936}"/>
    <hyperlink ref="E3282" r:id="rId9893" display="https://twitter.com/MarianKoeller/status/724275570306113536" xr:uid="{5741B315-3DFC-4870-AB4A-E68FB78D9719}"/>
    <hyperlink ref="O3282" r:id="rId9894" display="https://pbs.twimg.com/profile_images/701004613206433792/o4DJfA8-_normal.jpg" xr:uid="{E6E64FC5-19C5-4ED9-91BF-BB4D21A43ADA}"/>
    <hyperlink ref="B3283" r:id="rId9895" display="https://twitter.com/MarianKoeller" xr:uid="{53CA7F97-7663-4CC2-B5D1-6D1F4D91EEAA}"/>
    <hyperlink ref="E3283" r:id="rId9896" display="https://twitter.com/MarianKoeller/status/724275692553277440" xr:uid="{89BDE606-1103-477F-9DCE-C34D8D8754AF}"/>
    <hyperlink ref="O3283" r:id="rId9897" display="https://pbs.twimg.com/profile_images/701004613206433792/o4DJfA8-_normal.jpg" xr:uid="{8F9AF863-E33A-488D-A43F-5282EAB9360F}"/>
    <hyperlink ref="B3284" r:id="rId9898" display="https://twitter.com/Bitkom_I40" xr:uid="{2771D44F-B76E-4F67-A023-1E0AF09B72E4}"/>
    <hyperlink ref="E3284" r:id="rId9899" display="https://twitter.com/Bitkom_I40/status/724276679502344194" xr:uid="{5A989678-26B3-4A2F-ADCE-12878D40BFFD}"/>
    <hyperlink ref="O3284" r:id="rId9900" display="https://pbs.twimg.com/profile_images/723407487395713024/0hZv7R8S_normal.jpg" xr:uid="{A38DD659-D8C3-4536-9FD8-7C9742A5ADA1}"/>
    <hyperlink ref="B3285" r:id="rId9901" display="https://twitter.com/Robert_Weber_" xr:uid="{1885E1BD-813C-4CB2-954E-86A03326D97C}"/>
    <hyperlink ref="E3285" r:id="rId9902" display="https://twitter.com/Robert_Weber_/status/724276744887390208" xr:uid="{D202DBF6-13DC-479D-964A-128ED55A02E5}"/>
    <hyperlink ref="O3285" r:id="rId9903" display="https://pbs.twimg.com/profile_images/619439854275952640/NO5busxw_normal.jpg" xr:uid="{AC2125D3-5357-4172-94F7-A5866546F042}"/>
    <hyperlink ref="B3286" r:id="rId9904" display="https://twitter.com/INDIZbot" xr:uid="{9476A13C-588F-4CCF-9950-78E5A98355CD}"/>
    <hyperlink ref="E3286" r:id="rId9905" display="https://twitter.com/INDIZbot/status/724277010365833217" xr:uid="{B22F9905-FC13-419B-BC4D-1A011ED973FC}"/>
    <hyperlink ref="O3286" r:id="rId9906" display="https://pbs.twimg.com/profile_images/645716711723925506/t5G0qOS6_normal.jpg" xr:uid="{81AC7ED3-771F-4CBA-BE48-74FCEE10D612}"/>
    <hyperlink ref="B3287" r:id="rId9907" display="https://twitter.com/INDIZbot" xr:uid="{3A3EA90E-630D-4AB8-AC4A-FD4BF18C1E0D}"/>
    <hyperlink ref="E3287" r:id="rId9908" display="https://twitter.com/INDIZbot/status/724277061712490496" xr:uid="{8E71362B-48DA-4BAF-A0FD-0FAAAD0BF656}"/>
    <hyperlink ref="O3287" r:id="rId9909" display="https://pbs.twimg.com/profile_images/645716711723925506/t5G0qOS6_normal.jpg" xr:uid="{9FA0CFEF-77A8-4E91-86BF-19B714209572}"/>
    <hyperlink ref="B3288" r:id="rId9910" display="https://twitter.com/INDIZbot" xr:uid="{18ACA659-A3FD-4C0C-A90E-AFDC23EA692F}"/>
    <hyperlink ref="E3288" r:id="rId9911" display="https://twitter.com/INDIZbot/status/724277160740028417" xr:uid="{BE577DFD-4DEE-40BF-91F2-A01F633C98B7}"/>
    <hyperlink ref="O3288" r:id="rId9912" display="https://pbs.twimg.com/profile_images/645716711723925506/t5G0qOS6_normal.jpg" xr:uid="{65C5C40A-E23E-43D3-B25A-22FC98E7ECB2}"/>
    <hyperlink ref="B3289" r:id="rId9913" display="https://twitter.com/deviceWISEM2M" xr:uid="{DED3D184-662F-497A-BD89-13792D8A91A5}"/>
    <hyperlink ref="E3289" r:id="rId9914" display="https://twitter.com/deviceWISEM2M/status/724277543336030210" xr:uid="{CE5C1269-985F-4C18-B30B-0FD6ED172E22}"/>
    <hyperlink ref="O3289" r:id="rId9915" display="https://pbs.twimg.com/profile_images/638707523160272896/YonVe2-H_normal.jpg" xr:uid="{47B798D1-2B14-4213-AED1-7AD83D764B31}"/>
    <hyperlink ref="B3290" r:id="rId9916" display="https://twitter.com/Balluff" xr:uid="{3534EC1E-1B74-4F9E-A8B4-5C4A59EC95AC}"/>
    <hyperlink ref="E3290" r:id="rId9917" display="https://twitter.com/Balluff/status/724277629218631680" xr:uid="{690457C4-AC3F-4926-9C1E-839956D04B15}"/>
    <hyperlink ref="O3290" r:id="rId9918" display="https://pbs.twimg.com/profile_images/663668561366245376/2ovYiiJf_normal.jpg" xr:uid="{6394A3DA-4894-4F18-BE60-46F64D3E9AF0}"/>
    <hyperlink ref="B3291" r:id="rId9919" display="https://twitter.com/andy_m81" xr:uid="{070A6C1F-7348-44DA-99D8-59F3F72D5899}"/>
    <hyperlink ref="E3291" r:id="rId9920" display="https://twitter.com/andy_m81/status/724277679525101568" xr:uid="{631769BB-892A-4184-B4D0-A3B13BF4F736}"/>
    <hyperlink ref="O3291" r:id="rId9921" display="https://pbs.twimg.com/profile_images/2701322020/1eb8ce228cf8d040b274144a49daa19a_normal.png" xr:uid="{23A5FEC2-E2ED-41D1-A118-731FBB8C52B7}"/>
    <hyperlink ref="B3292" r:id="rId9922" display="https://twitter.com/gpodagrosi" xr:uid="{526D0421-0747-48FE-8616-2EDD89895832}"/>
    <hyperlink ref="E3292" r:id="rId9923" display="https://twitter.com/gpodagrosi/status/724277990155272193" xr:uid="{509E7375-2A3A-439E-9A4F-320B85F1FA6B}"/>
    <hyperlink ref="O3292" r:id="rId9924" display="https://pbs.twimg.com/profile_images/588981131996966912/55KBnYR7_normal.jpg" xr:uid="{AA07B7FD-4294-4F7B-B541-34E78263A9AA}"/>
    <hyperlink ref="B3293" r:id="rId9925" display="https://twitter.com/INDIZbot" xr:uid="{9F96D2EA-9A95-498B-94ED-A24D5176BB86}"/>
    <hyperlink ref="E3293" r:id="rId9926" display="https://twitter.com/INDIZbot/status/724279716857937922" xr:uid="{BFCCCC79-ECEE-464D-8572-5F973374F8B1}"/>
    <hyperlink ref="O3293" r:id="rId9927" display="https://pbs.twimg.com/profile_images/645716711723925506/t5G0qOS6_normal.jpg" xr:uid="{E4EB293F-D257-420C-871B-587AF502D8ED}"/>
    <hyperlink ref="B3294" r:id="rId9928" display="https://twitter.com/SaREUSS" xr:uid="{E2985D9A-4614-432A-AE41-662EA39B698F}"/>
    <hyperlink ref="E3294" r:id="rId9929" display="https://twitter.com/SaREUSS/status/724280727186071552" xr:uid="{AE8F7F1B-BA5F-4E75-BC8D-1D698D0AAA4A}"/>
    <hyperlink ref="O3294" r:id="rId9930" display="https://pbs.twimg.com/profile_images/1640917480/SAbineJuni2011_normal.JPG" xr:uid="{77A8DDDF-D287-4BE4-8B26-3DF71EDCA17F}"/>
    <hyperlink ref="B3295" r:id="rId9931" display="https://twitter.com/DohmeyerK" xr:uid="{B75F2D59-24D6-4FBF-90C0-D9C23FCE4FCD}"/>
    <hyperlink ref="E3295" r:id="rId9932" display="https://twitter.com/DohmeyerK/status/724281893844336641" xr:uid="{2EC25541-7707-4808-9605-F7D1E059A5DB}"/>
    <hyperlink ref="O3295" r:id="rId9933" display="https://pbs.twimg.com/profile_images/677499340886265856/Tv7B4r_x_normal.jpg" xr:uid="{3C5AB335-E6CE-4BE2-A87F-DB8630C4568C}"/>
    <hyperlink ref="B3296" r:id="rId9934" display="https://twitter.com/ZVEIorg" xr:uid="{9DF6D60E-D2F4-4009-889B-07E566F72B2B}"/>
    <hyperlink ref="E3296" r:id="rId9935" display="https://twitter.com/ZVEIorg/status/724281991278002178" xr:uid="{35DE286E-617F-4CE7-8362-1C3D2A69F33E}"/>
    <hyperlink ref="O3296" r:id="rId9936" display="https://pbs.twimg.com/profile_images/479147477975588864/z94n3mRF_normal.jpeg" xr:uid="{4D1C366B-1F1D-45A1-9CD5-5C80FCF7F42B}"/>
    <hyperlink ref="B3297" r:id="rId9937" display="https://twitter.com/JackNehlig" xr:uid="{33C8D52C-73CC-498A-AD86-7F3F326275B0}"/>
    <hyperlink ref="E3297" r:id="rId9938" display="https://twitter.com/JackNehlig/status/724282588727140352" xr:uid="{25CA1687-5D3A-4D45-88FB-9B591749579E}"/>
    <hyperlink ref="O3297" r:id="rId9939" display="https://pbs.twimg.com/profile_images/449255466204286976/bWiirmgG_normal.jpeg" xr:uid="{B5E15561-B0B0-4C94-9D48-4497D0A1E317}"/>
    <hyperlink ref="B3298" r:id="rId9940" display="https://twitter.com/RiemenspergerF" xr:uid="{85061AE5-416F-4614-8122-0E6E5E120FEA}"/>
    <hyperlink ref="E3298" r:id="rId9941" display="https://twitter.com/RiemenspergerF/status/724282667114598400" xr:uid="{EA084E0A-D687-43A8-ACDD-A1B225AC0B68}"/>
    <hyperlink ref="O3298" r:id="rId9942" display="https://pbs.twimg.com/profile_images/692360292546842624/MNSepg8N_normal.jpg" xr:uid="{BFB261BB-22C2-437E-AF90-38653D4866F6}"/>
    <hyperlink ref="B3299" r:id="rId9943" display="https://twitter.com/catkinEU" xr:uid="{EB9001F2-F35E-450E-A92F-5ADE0A11892F}"/>
    <hyperlink ref="E3299" r:id="rId9944" display="https://twitter.com/catkinEU/status/724282935088541699" xr:uid="{F19F64E1-41DB-4EB0-BCE2-C41C7311CE89}"/>
    <hyperlink ref="O3299" r:id="rId9945" display="https://pbs.twimg.com/profile_images/604338428227010560/6jzSa8us_normal.png" xr:uid="{79CCA7C7-CF08-4C43-B44E-E248F57A2642}"/>
    <hyperlink ref="B3300" r:id="rId9946" display="https://twitter.com/WKerner" xr:uid="{E5A58C81-5406-46AB-A923-F02AC39600BB}"/>
    <hyperlink ref="E3300" r:id="rId9947" display="https://twitter.com/WKerner/status/724283749811281921" xr:uid="{6BEC26AB-FBE1-43AD-B224-5483985FB004}"/>
    <hyperlink ref="O3300" r:id="rId9948" display="https://pbs.twimg.com/profile_images/2766565660/ee6449a17487d18aa65c5ffcb266fad7_normal.png" xr:uid="{92482B20-00E2-4ED1-BF4F-9D2582845A96}"/>
    <hyperlink ref="B3301" r:id="rId9949" display="https://twitter.com/AmChamGermany" xr:uid="{C0C3EB72-AD61-4DBA-834B-79771D9AE115}"/>
    <hyperlink ref="E3301" r:id="rId9950" display="https://twitter.com/AmChamGermany/status/724284117110689792" xr:uid="{3CCD366F-659A-4BEA-B10F-7CE2C3A183C5}"/>
    <hyperlink ref="O3301" r:id="rId9951" display="https://pbs.twimg.com/profile_images/1879515257/Flags2_normal.png" xr:uid="{DC7F347F-8FB4-4A7F-B0D9-567230DC5146}"/>
    <hyperlink ref="B3302" r:id="rId9952" display="https://twitter.com/claus_hammer" xr:uid="{5A637EC0-56F8-430E-8A50-041D44753A35}"/>
    <hyperlink ref="E3302" r:id="rId9953" display="https://twitter.com/claus_hammer/status/724284248664973314" xr:uid="{0AD5209F-5806-4686-96EB-F534DC6FAB6F}"/>
    <hyperlink ref="O3302" r:id="rId9954" display="https://pbs.twimg.com/profile_images/635707143199571968/qylbWwZ3_normal.jpg" xr:uid="{39C20E41-CFDD-4F8F-AC72-54C6EC7F9575}"/>
    <hyperlink ref="B3303" r:id="rId9955" display="https://twitter.com/UPS_DE" xr:uid="{2FCCFC1F-EA81-4ECE-A893-066BC1FF57A8}"/>
    <hyperlink ref="E3303" r:id="rId9956" display="https://twitter.com/UPS_DE/status/724284651855032321" xr:uid="{1CE45E3E-6A39-49C9-85EF-B99AD65A2F10}"/>
    <hyperlink ref="O3303" r:id="rId9957" display="https://pbs.twimg.com/profile_images/692344591224283136/av-sU8ij_normal.png" xr:uid="{7D75C5F1-B91D-4356-9E08-6598A10CBD07}"/>
    <hyperlink ref="B3304" r:id="rId9958" display="https://twitter.com/msftmfg" xr:uid="{95B4D424-74D8-4B4B-B69B-4CD24C720457}"/>
    <hyperlink ref="E3304" r:id="rId9959" display="https://twitter.com/msftmfg/status/724285536588992514" xr:uid="{BEA94913-0FA8-4668-8957-CAB40D6D9C94}"/>
    <hyperlink ref="O3304" r:id="rId9960" display="https://pbs.twimg.com/profile_images/543161217645178880/JQuBT7KS_normal.png" xr:uid="{678936A0-5FC6-444A-83BD-F0746884910E}"/>
    <hyperlink ref="B3305" r:id="rId9961" display="https://twitter.com/ZeljkoP" xr:uid="{3DB12E4D-D68F-4921-B47E-CB39FB3FE665}"/>
    <hyperlink ref="E3305" r:id="rId9962" display="https://twitter.com/ZeljkoP/status/724286085057155072" xr:uid="{AB1FF1A1-A826-4466-B174-B533DF3625F3}"/>
    <hyperlink ref="O3305" r:id="rId9963" display="https://pbs.twimg.com/profile_images/2424564033/photo_normal.JPG" xr:uid="{87730358-C61B-4173-B868-EC63CD4B6F46}"/>
    <hyperlink ref="B3306" r:id="rId9964" display="https://twitter.com/h_molle" xr:uid="{AD1744BE-58EC-498D-9AB3-4BE87E4B82E0}"/>
    <hyperlink ref="E3306" r:id="rId9965" display="https://twitter.com/h_molle/status/724286105240088576" xr:uid="{810203D2-472D-4C8B-B9D0-2E2010D834B5}"/>
    <hyperlink ref="O3306" r:id="rId9966" display="https://pbs.twimg.com/profile_images/1862360129/Bild_006swr_normal.jpg" xr:uid="{7F9055E6-D5A9-40A4-8BDC-B33D4512925A}"/>
    <hyperlink ref="B3307" r:id="rId9967" display="https://twitter.com/RiemenspergerF" xr:uid="{B086CA60-48C3-40FA-A7E5-DA5575867064}"/>
    <hyperlink ref="E3307" r:id="rId9968" display="https://twitter.com/RiemenspergerF/status/724286184801861632" xr:uid="{FD31CD0B-3979-406C-8C4C-041C751B0D12}"/>
    <hyperlink ref="O3307" r:id="rId9969" display="https://pbs.twimg.com/profile_images/692360292546842624/MNSepg8N_normal.jpg" xr:uid="{F76D4A8A-59BD-462D-899D-EB2BDF72E0C3}"/>
    <hyperlink ref="B3308" r:id="rId9970" display="https://twitter.com/banthien" xr:uid="{E33218A9-32E6-42A2-82D1-841DC8D40197}"/>
    <hyperlink ref="E3308" r:id="rId9971" display="https://twitter.com/banthien/status/724289513196032000" xr:uid="{0FD34293-FEE6-40BF-A6FB-345AD49CD5C7}"/>
    <hyperlink ref="O3308" r:id="rId9972" display="https://pbs.twimg.com/profile_images/449542784849289216/-efWppov_normal.jpeg" xr:uid="{5A511AD2-2341-49F4-8659-00F11C326DA0}"/>
    <hyperlink ref="B3309" r:id="rId9973" display="https://twitter.com/sallyafrank" xr:uid="{4A378BD2-3C34-4D3E-8135-C4E71174FD8E}"/>
    <hyperlink ref="E3309" r:id="rId9974" display="https://twitter.com/sallyafrank/status/724289702942134272" xr:uid="{2A81F19E-6957-4153-8E05-74AAE33672BA}"/>
    <hyperlink ref="O3309" r:id="rId9975" display="https://pbs.twimg.com/profile_images/602304216468738049/_0sb-3oB_normal.jpg" xr:uid="{E7EDCF20-28CF-4DFC-9C0D-93E172094FBD}"/>
    <hyperlink ref="B3310" r:id="rId9976" display="https://twitter.com/rodneyabrooks" xr:uid="{D1B90132-00CB-48D6-8393-16F139580FE7}"/>
    <hyperlink ref="E3310" r:id="rId9977" display="https://twitter.com/rodneyabrooks/status/724291397281525760" xr:uid="{DDD5C1AC-DB48-46CA-BC5C-18B08420E8A6}"/>
    <hyperlink ref="O3310" r:id="rId9978" display="https://pbs.twimg.com/profile_images/2479347690/photo2_normal.jpeg" xr:uid="{F23FD013-D720-4C9B-897B-7B450B441B56}"/>
    <hyperlink ref="B3311" r:id="rId9979" display="https://twitter.com/MarinerLLC" xr:uid="{0BEBA2D3-3BA2-453D-BAE9-32A419956656}"/>
    <hyperlink ref="E3311" r:id="rId9980" display="https://twitter.com/MarinerLLC/status/724291671131824130" xr:uid="{F099A9AA-90BB-4FA7-91DA-31F73BD77B8C}"/>
    <hyperlink ref="O3311" r:id="rId9981" display="https://pbs.twimg.com/profile_images/3502729434/95675e6f45ad2e1bbc6c5736995ec15c_normal.png" xr:uid="{263ACDC4-EFC8-4460-A728-1C6C98399345}"/>
    <hyperlink ref="B3312" r:id="rId9982" display="https://twitter.com/INDIZbot" xr:uid="{8DCD1159-C548-495F-8F91-996DF7F4C441}"/>
    <hyperlink ref="E3312" r:id="rId9983" display="https://twitter.com/INDIZbot/status/724292109260476417" xr:uid="{6A493600-FE43-449B-9341-77E5B96D0605}"/>
    <hyperlink ref="O3312" r:id="rId9984" display="https://pbs.twimg.com/profile_images/645716711723925506/t5G0qOS6_normal.jpg" xr:uid="{70091CAB-CCA4-4115-B41F-7FBAABB93727}"/>
    <hyperlink ref="B3313" r:id="rId9985" display="https://twitter.com/INDIZbot" xr:uid="{4E583A23-2326-4301-84F1-92017F4AC11B}"/>
    <hyperlink ref="E3313" r:id="rId9986" display="https://twitter.com/INDIZbot/status/724292335673204736" xr:uid="{FC066143-47CF-420B-B5A2-207C54D66A90}"/>
    <hyperlink ref="O3313" r:id="rId9987" display="https://pbs.twimg.com/profile_images/645716711723925506/t5G0qOS6_normal.jpg" xr:uid="{DB8DA021-7154-4F1D-9780-CE945519BBBA}"/>
    <hyperlink ref="B3314" r:id="rId9988" display="https://twitter.com/ckoptimal1" xr:uid="{909BB998-2D87-40A7-9D90-416AC7968127}"/>
    <hyperlink ref="E3314" r:id="rId9989" display="https://twitter.com/ckoptimal1/status/724294676283547649" xr:uid="{3796D2F6-8AC8-4F5B-8AD3-5E2F24D4A1D9}"/>
    <hyperlink ref="O3314" r:id="rId9990" display="https://pbs.twimg.com/profile_images/564009971202150401/EjqdJlUz_normal.jpeg" xr:uid="{361090A0-2895-48C5-BB20-B28347593012}"/>
    <hyperlink ref="B3315" r:id="rId9991" display="https://twitter.com/ckoptimal1" xr:uid="{04D9ADAD-FC64-41FC-94E4-179E6E1D01E2}"/>
    <hyperlink ref="E3315" r:id="rId9992" display="https://twitter.com/ckoptimal1/status/724294761906089984" xr:uid="{0FC0D2A1-6610-4570-8BAD-028AF2D6826B}"/>
    <hyperlink ref="O3315" r:id="rId9993" display="https://pbs.twimg.com/profile_images/564009971202150401/EjqdJlUz_normal.jpeg" xr:uid="{534E2DF4-FA5D-4D3E-9FBF-768F161FD411}"/>
    <hyperlink ref="B3316" r:id="rId9994" display="https://twitter.com/DengelY" xr:uid="{165C1BAB-BA39-4B3A-B855-D4099DD888A0}"/>
    <hyperlink ref="E3316" r:id="rId9995" display="https://twitter.com/DengelY/status/724295511679897600" xr:uid="{AD8AADC1-A2A0-4C84-BA3A-71CD3D8A5BA2}"/>
    <hyperlink ref="O3316" r:id="rId9996" display="https://pbs.twimg.com/profile_images/663959200318529537/vd2w1roy_normal.jpg" xr:uid="{C5C108CD-B7E0-4827-8774-D07195B1E541}"/>
    <hyperlink ref="B3317" r:id="rId9997" display="https://twitter.com/colbytylerford" xr:uid="{4772FAE5-830B-4400-B64A-A98D59DCEA4D}"/>
    <hyperlink ref="E3317" r:id="rId9998" display="https://twitter.com/colbytylerford/status/724296712752365570" xr:uid="{3EFB9C5C-AD0F-4633-8F7F-3930F6BFACD4}"/>
    <hyperlink ref="O3317" r:id="rId9999" display="https://pbs.twimg.com/profile_images/588196149665865728/jmm9bQ6G_normal.jpg" xr:uid="{1724FF68-9B2B-481D-BD10-BD3F26E98A6C}"/>
    <hyperlink ref="B3318" r:id="rId10000" display="https://twitter.com/Philip_W_Morris" xr:uid="{BCC6678B-52C3-4A06-994E-0972B3969054}"/>
    <hyperlink ref="E3318" r:id="rId10001" display="https://twitter.com/Philip_W_Morris/status/724298231832809473" xr:uid="{EB764937-8542-493D-BCA7-C231835FE0B3}"/>
    <hyperlink ref="O3318" r:id="rId10002" display="https://pbs.twimg.com/profile_images/688093545148723201/hCPglEEy_normal.jpg" xr:uid="{D69E8731-334A-4CA4-BA7F-833564A7D70D}"/>
    <hyperlink ref="B3319" r:id="rId10003" display="https://twitter.com/Ronald_Heinze" xr:uid="{C2C77119-D638-4FE2-9B13-79CE15ACBB5F}"/>
    <hyperlink ref="E3319" r:id="rId10004" display="https://twitter.com/Ronald_Heinze/status/724298542798508033" xr:uid="{14934077-1C9C-42D3-8912-02D599E9DFC9}"/>
    <hyperlink ref="O3319" r:id="rId10005" display="https://pbs.twimg.com/profile_images/596283853507010560/rOqlbvhj_normal.jpg" xr:uid="{075BB57C-EDD8-4298-89A4-398FC69E141A}"/>
    <hyperlink ref="B3320" r:id="rId10006" display="https://twitter.com/automatisierer" xr:uid="{150D6574-6E1E-4798-AB66-6BA0FC2F9732}"/>
    <hyperlink ref="E3320" r:id="rId10007" display="https://twitter.com/automatisierer/status/724298817563181056" xr:uid="{F598EF1E-58C9-48D6-AD45-CF87F94207E6}"/>
    <hyperlink ref="O3320" r:id="rId10008" display="https://pbs.twimg.com/profile_images/378989830/Reinhard-Portrait_normal.jpg" xr:uid="{057781C4-40AC-41D0-AA20-CC15A19FEA66}"/>
    <hyperlink ref="B3321" r:id="rId10009" display="https://twitter.com/RealJoeGuy" xr:uid="{BA1ABCD3-545A-4B34-BC8F-82122F953783}"/>
    <hyperlink ref="E3321" r:id="rId10010" display="https://twitter.com/RealJoeGuy/status/724299196266876930" xr:uid="{BBE76E79-30DD-4B40-9421-73828B2ED1E7}"/>
    <hyperlink ref="O3321" r:id="rId10011" display="https://pbs.twimg.com/profile_images/1684373225/Joe_Guy_normal.jpg" xr:uid="{159CA364-555E-477E-B2A8-85057EFAC634}"/>
    <hyperlink ref="B3322" r:id="rId10012" display="https://twitter.com/automatisierer" xr:uid="{ACBF070E-02D7-419E-B236-6AA754CC6BBE}"/>
    <hyperlink ref="E3322" r:id="rId10013" display="https://twitter.com/automatisierer/status/724299201933352960" xr:uid="{AF64C5B3-03FE-4A59-A2D4-9B4AACC56437}"/>
    <hyperlink ref="O3322" r:id="rId10014" display="https://pbs.twimg.com/profile_images/378989830/Reinhard-Portrait_normal.jpg" xr:uid="{90A6CB8F-8471-48C3-92A8-3F1F30C1F170}"/>
    <hyperlink ref="B3323" r:id="rId10015" display="https://twitter.com/INDIZbot" xr:uid="{13D33F5A-8511-4E3C-A834-18B40BB566CE}"/>
    <hyperlink ref="E3323" r:id="rId10016" display="https://twitter.com/INDIZbot/status/724299737390845953" xr:uid="{B76E0F8B-DA8E-4976-902A-C501AE12D1B4}"/>
    <hyperlink ref="O3323" r:id="rId10017" display="https://pbs.twimg.com/profile_images/645716711723925506/t5G0qOS6_normal.jpg" xr:uid="{74670694-3E34-4D65-AB7F-0B61F3C0F9E6}"/>
    <hyperlink ref="B3324" r:id="rId10018" display="https://twitter.com/docbroemer" xr:uid="{40554051-F3CF-43DA-9398-D7D7D6E39413}"/>
    <hyperlink ref="E3324" r:id="rId10019" display="https://twitter.com/docbroemer/status/724299914403057664" xr:uid="{B4F7EF22-C514-496E-90FB-9F5E5CB330B0}"/>
    <hyperlink ref="O3324" r:id="rId10020" display="https://pbs.twimg.com/profile_images/659313711710994432/MhoVyL8j_normal.jpg" xr:uid="{986715BC-E162-4875-8C0F-D2A65C0DBE02}"/>
    <hyperlink ref="B3325" r:id="rId10021" display="https://twitter.com/tobias_goers" xr:uid="{4113ED13-D07D-4093-B5D6-8D71B1348042}"/>
    <hyperlink ref="E3325" r:id="rId10022" display="https://twitter.com/tobias_goers/status/724300048654278657" xr:uid="{B7385722-ABE8-4809-BA85-E324645713CC}"/>
    <hyperlink ref="O3325" r:id="rId10023" display="https://pbs.twimg.com/profile_images/619429467434434560/ywWYiH5V_normal.jpg" xr:uid="{041E14F3-20D2-468A-A6D2-E24F0B7962F9}"/>
    <hyperlink ref="B3326" r:id="rId10024" display="https://twitter.com/PB2013PB" xr:uid="{BE6AFF29-8422-4F7C-9293-8D108C71FE0B}"/>
    <hyperlink ref="E3326" r:id="rId10025" display="https://twitter.com/PB2013PB/status/724301375249723392" xr:uid="{51A7B181-A91D-4A5F-8E56-D88B3A82B34D}"/>
    <hyperlink ref="O3326" r:id="rId10026" display="https://abs.twimg.com/sticky/default_profile_images/default_profile_2_normal.png" xr:uid="{9B1511AF-13DC-48DA-AAEF-5CF3C186AEC7}"/>
    <hyperlink ref="B3327" r:id="rId10027" display="https://twitter.com/TLinn_Visionico" xr:uid="{DED9B8DA-57E8-484C-B943-86C5B13B6137}"/>
    <hyperlink ref="E3327" r:id="rId10028" display="https://twitter.com/TLinn_Visionico/status/724301956328644608" xr:uid="{6511C18E-FA54-499A-921B-D56F4E621A67}"/>
    <hyperlink ref="O3327" r:id="rId10029" display="https://pbs.twimg.com/profile_images/692017435269054464/uFlgRwyV_normal.jpg" xr:uid="{4E7F4DCF-25DB-4CEC-AE53-54189B68A226}"/>
    <hyperlink ref="B3328" r:id="rId10030" display="https://twitter.com/ROBOToni" xr:uid="{0CE2951A-E861-40DF-A28F-06C3AAF0D83C}"/>
    <hyperlink ref="E3328" r:id="rId10031" display="https://twitter.com/ROBOToni/status/724303557046972416" xr:uid="{A39ED1E9-F719-45E8-8FE5-FCB7DF262759}"/>
    <hyperlink ref="O3328" r:id="rId10032" display="https://pbs.twimg.com/profile_images/521027553796956160/3xW6Jwcx_normal.jpeg" xr:uid="{EBF8E980-A83A-4529-88BE-A8551C7BFBA3}"/>
    <hyperlink ref="B3329" r:id="rId10033" display="https://twitter.com/RahmanNow" xr:uid="{4E425829-5D2F-4DE4-819F-2977353A32D9}"/>
    <hyperlink ref="E3329" r:id="rId10034" display="https://twitter.com/RahmanNow/status/724304097046835200" xr:uid="{BCF81254-8E29-4C43-9FDA-DDF8613F8823}"/>
    <hyperlink ref="O3329" r:id="rId10035" display="https://pbs.twimg.com/profile_images/706237713700298754/yOEMWn0A_normal.jpg" xr:uid="{7D38D641-3B6C-49AC-ABC1-876A2893C56D}"/>
    <hyperlink ref="B3330" r:id="rId10036" display="https://twitter.com/INDIZbot" xr:uid="{11C1D2D1-6540-4AB8-9A9E-B7C60310A564}"/>
    <hyperlink ref="E3330" r:id="rId10037" display="https://twitter.com/INDIZbot/status/724307382218686464" xr:uid="{4342BDF7-FCD8-44FE-A359-BC3F7ED5D33D}"/>
    <hyperlink ref="O3330" r:id="rId10038" display="https://pbs.twimg.com/profile_images/645716711723925506/t5G0qOS6_normal.jpg" xr:uid="{8E1AB9F0-E497-49FF-A10E-C250BD90E961}"/>
    <hyperlink ref="B3331" r:id="rId10039" display="https://twitter.com/INDIZbot" xr:uid="{816E9A5D-C2BB-433F-B2A4-9B530EA46534}"/>
    <hyperlink ref="E3331" r:id="rId10040" display="https://twitter.com/INDIZbot/status/724307580110159873" xr:uid="{1FB326E2-D566-4A24-B43F-7FF3E11EC623}"/>
    <hyperlink ref="O3331" r:id="rId10041" display="https://pbs.twimg.com/profile_images/645716711723925506/t5G0qOS6_normal.jpg" xr:uid="{2837B58B-21E5-4CAD-AD28-E9A68F7CCB66}"/>
    <hyperlink ref="B3332" r:id="rId10042" display="https://twitter.com/cschaale" xr:uid="{5F507559-0BA1-4D9E-BB01-B93110A81904}"/>
    <hyperlink ref="E3332" r:id="rId10043" display="https://twitter.com/cschaale/status/724308360422629378" xr:uid="{C0B09DD4-5AB7-4257-A9B6-98600F404F10}"/>
    <hyperlink ref="O3332" r:id="rId10044" display="https://pbs.twimg.com/profile_images/537193955683606528/nTcT7Qtx_normal.jpeg" xr:uid="{6933D556-F848-47B6-98D4-487143E0F8FF}"/>
    <hyperlink ref="B3333" r:id="rId10045" display="https://twitter.com/KevinFaircloth1" xr:uid="{44E4544C-A327-4244-85D3-76A5993815D2}"/>
    <hyperlink ref="E3333" r:id="rId10046" display="https://twitter.com/KevinFaircloth1/status/724312040861515776" xr:uid="{5C86A536-560D-4995-A4B1-268864D52D83}"/>
    <hyperlink ref="O3333" r:id="rId10047" display="https://pbs.twimg.com/profile_images/723831481982803970/IcBb-LU4_normal.jpg" xr:uid="{60484BED-D6AB-4DAD-A15D-72E0B080BBFE}"/>
    <hyperlink ref="B3334" r:id="rId10048" display="https://twitter.com/H_IT_D" xr:uid="{F58532AB-6217-4DF1-8883-223DFC82B9EA}"/>
    <hyperlink ref="E3334" r:id="rId10049" display="https://twitter.com/H_IT_D/status/724312262257733632" xr:uid="{ABC32D72-E897-40F9-9733-BB44B86C1B33}"/>
    <hyperlink ref="O3334" r:id="rId10050" display="https://pbs.twimg.com/profile_images/662723326096224256/5V4KH9_O_normal.jpg" xr:uid="{390F5378-B0D4-4BC1-B3F1-DD96DCFA3DD0}"/>
    <hyperlink ref="B3335" r:id="rId10051" display="https://twitter.com/schwaerzler_it" xr:uid="{FF1BA554-3AAE-487B-85DD-3812ECB9D74E}"/>
    <hyperlink ref="E3335" r:id="rId10052" display="https://twitter.com/schwaerzler_it/status/724312757093470209" xr:uid="{88E89421-DBA8-4800-BF8C-F3AAC1FA2EBE}"/>
    <hyperlink ref="O3335" r:id="rId10053" display="https://pbs.twimg.com/profile_images/286802570/punkt_klein_normal.png" xr:uid="{E6D383ED-097D-410A-B5DA-3FFE63D88E19}"/>
    <hyperlink ref="B3336" r:id="rId10054" display="https://twitter.com/LilianaGorla" xr:uid="{89763596-5CD1-48AF-8BB1-7B05D98BCC68}"/>
    <hyperlink ref="E3336" r:id="rId10055" display="https://twitter.com/LilianaGorla/status/724314043838783488" xr:uid="{EAF3F986-D84E-4818-83BE-F66F9BB65DBD}"/>
    <hyperlink ref="O3336" r:id="rId10056" display="https://pbs.twimg.com/profile_images/710899596977901568/RWqeVkp7_normal.jpg" xr:uid="{8A52AAC4-9430-4C8E-A074-1B5E51F95EC7}"/>
    <hyperlink ref="B3337" r:id="rId10057" display="https://twitter.com/INDIZbot" xr:uid="{23651453-ABF7-4389-A470-EC575F72CA82}"/>
    <hyperlink ref="E3337" r:id="rId10058" display="https://twitter.com/INDIZbot/status/724315032096505856" xr:uid="{3923C80A-2D3D-4287-BB96-FBAF22E220FB}"/>
    <hyperlink ref="O3337" r:id="rId10059" display="https://pbs.twimg.com/profile_images/645716711723925506/t5G0qOS6_normal.jpg" xr:uid="{FFA9035D-F882-4429-A35E-AB7217CE14DB}"/>
    <hyperlink ref="B3338" r:id="rId10060" display="https://twitter.com/BeierMichael71" xr:uid="{4EB21F5E-176B-4EED-8B9F-FE67487F2E58}"/>
    <hyperlink ref="E3338" r:id="rId10061" display="https://twitter.com/BeierMichael71/status/724315989203144704" xr:uid="{998311CE-2D7F-496D-B24E-E5FD8CEAC9D4}"/>
    <hyperlink ref="O3338" r:id="rId10062" display="https://pbs.twimg.com/profile_images/704029343115300866/yUARofpi_normal.jpg" xr:uid="{9AA3F01D-0327-4023-9530-21C75CD130DA}"/>
    <hyperlink ref="B3339" r:id="rId10063" display="https://twitter.com/IngVersteher" xr:uid="{488E9C36-78AA-4801-9590-445D73814A80}"/>
    <hyperlink ref="E3339" r:id="rId10064" display="https://twitter.com/IngVersteher/status/724317318092861444" xr:uid="{12D60686-BCD6-4ADC-B34D-5FB46690323B}"/>
    <hyperlink ref="O3339" r:id="rId10065" display="https://pbs.twimg.com/profile_images/662218041833480192/KybAndDY_normal.jpg" xr:uid="{887E6144-29E5-402F-AE16-06BFCE94E2ED}"/>
    <hyperlink ref="B3340" r:id="rId10066" display="https://twitter.com/INDIZbot" xr:uid="{FB6DF73D-A9B4-4559-B67F-D67C211FFF97}"/>
    <hyperlink ref="E3340" r:id="rId10067" display="https://twitter.com/INDIZbot/status/724320007916802049" xr:uid="{C4E08DD6-72B0-4180-AEB4-C166F4331344}"/>
    <hyperlink ref="O3340" r:id="rId10068" display="https://pbs.twimg.com/profile_images/645716711723925506/t5G0qOS6_normal.jpg" xr:uid="{2416C00E-613E-46A5-90A7-AE693BB44838}"/>
    <hyperlink ref="B3341" r:id="rId10069" display="https://twitter.com/aaronbrickman" xr:uid="{4AD3A9FA-148C-4294-AC49-D5BD760DC2A1}"/>
    <hyperlink ref="E3341" r:id="rId10070" display="https://twitter.com/aaronbrickman/status/724321931877556229" xr:uid="{49560503-1019-4CE8-B0CF-4E2B01C8B43B}"/>
    <hyperlink ref="O3341" r:id="rId10071" display="https://pbs.twimg.com/profile_images/268961250/_5464740_normal.JPG" xr:uid="{44BDBFDC-1148-4401-A2A3-A684DFB9798A}"/>
    <hyperlink ref="B3342" r:id="rId10072" display="https://twitter.com/IHogerzeil" xr:uid="{98E43331-E5EA-4CEF-9A32-5F9104AE1247}"/>
    <hyperlink ref="E3342" r:id="rId10073" display="https://twitter.com/IHogerzeil/status/724322073850589185" xr:uid="{BE2C1185-9F02-4402-BF3F-5E6F3AB0D65C}"/>
    <hyperlink ref="O3342" r:id="rId10074" display="https://pbs.twimg.com/profile_images/709385473144328192/mmSYRI82_normal.jpg" xr:uid="{50C265DE-D40F-49D3-832A-40AAB0742482}"/>
    <hyperlink ref="B3343" r:id="rId10075" display="https://twitter.com/INDIZbot" xr:uid="{D6A4C3C5-7A8E-42C8-8E71-8328D272B474}"/>
    <hyperlink ref="E3343" r:id="rId10076" display="https://twitter.com/INDIZbot/status/724322304818339840" xr:uid="{3414AE79-2A8B-4F94-A882-351C9119339E}"/>
    <hyperlink ref="O3343" r:id="rId10077" display="https://pbs.twimg.com/profile_images/645716711723925506/t5G0qOS6_normal.jpg" xr:uid="{9D134352-D567-41A2-B0F2-4CE733F7C611}"/>
    <hyperlink ref="B3344" r:id="rId10078" display="https://twitter.com/apachi5223" xr:uid="{706D9554-8B23-41AF-8D1C-81931988EEBD}"/>
    <hyperlink ref="E3344" r:id="rId10079" display="https://twitter.com/apachi5223/status/724323498164801536" xr:uid="{57E08050-A4B6-4FAC-9B89-0E5AD0EBEE35}"/>
    <hyperlink ref="O3344" r:id="rId10080" display="https://pbs.twimg.com/profile_images/696304804444905473/i52XF6I6_normal.jpg" xr:uid="{1A1EFB54-D9ED-4A1A-A70B-676A7E126A77}"/>
    <hyperlink ref="B3345" r:id="rId10081" display="https://twitter.com/kingzulu82" xr:uid="{5FA2C1FD-007D-4019-97F3-42CE565E822C}"/>
    <hyperlink ref="E3345" r:id="rId10082" display="https://twitter.com/kingzulu82/status/724325551847157760" xr:uid="{C68466EE-23F7-49B7-9A3E-F1B040D80492}"/>
    <hyperlink ref="O3345" r:id="rId10083" display="https://pbs.twimg.com/profile_images/612275728835547136/Bu0GljvX_normal.jpg" xr:uid="{C7147B29-E95B-4C85-8B7D-D37CB9E425A3}"/>
    <hyperlink ref="B3346" r:id="rId10084" display="https://twitter.com/joegonett" xr:uid="{0D33F690-D299-498D-9C14-82C6D52F50E5}"/>
    <hyperlink ref="E3346" r:id="rId10085" display="https://twitter.com/joegonett/status/724326100772478977" xr:uid="{21943879-8E05-47A5-A756-2EF24C78830B}"/>
    <hyperlink ref="O3346" r:id="rId10086" display="https://pbs.twimg.com/profile_images/705912508675170305/MMWsnjwS_normal.jpg" xr:uid="{E9C8AF93-0F40-4AF7-BF9D-413415EBFB55}"/>
    <hyperlink ref="B3347" r:id="rId10087" display="https://twitter.com/kingzulu82" xr:uid="{BA7DDC8F-12D7-4EDD-B8FD-3750E1D5E4C5}"/>
    <hyperlink ref="E3347" r:id="rId10088" display="https://twitter.com/kingzulu82/status/724326406910566400" xr:uid="{E1D9374E-6E74-4CCA-B527-F86C10249739}"/>
    <hyperlink ref="O3347" r:id="rId10089" display="https://pbs.twimg.com/profile_images/612275728835547136/Bu0GljvX_normal.jpg" xr:uid="{C70147D5-6DA7-4966-B9F7-CF10D0F1BF2F}"/>
    <hyperlink ref="B3348" r:id="rId10090" display="https://twitter.com/kingzulu82" xr:uid="{6C60C423-3BFF-4B62-8FE6-0C7A122A797F}"/>
    <hyperlink ref="E3348" r:id="rId10091" display="https://twitter.com/kingzulu82/status/724326439894560770" xr:uid="{DAF6AF34-2A74-4F32-A379-4D48CD7A4F5B}"/>
    <hyperlink ref="O3348" r:id="rId10092" display="https://pbs.twimg.com/profile_images/612275728835547136/Bu0GljvX_normal.jpg" xr:uid="{D57793B8-B1A6-4197-AFFE-93226D3BF0AA}"/>
    <hyperlink ref="B3349" r:id="rId10093" display="https://twitter.com/kommoptimierer" xr:uid="{04C9AE59-8C94-4EB9-95BB-3146A998AF50}"/>
    <hyperlink ref="E3349" r:id="rId10094" display="https://twitter.com/kommoptimierer/status/724328312684814337" xr:uid="{0B6E87BC-F47D-4838-9ADE-FA9F5C58D61C}"/>
    <hyperlink ref="O3349" r:id="rId10095" display="https://pbs.twimg.com/profile_images/541146126158536704/IYardufS_normal.jpeg" xr:uid="{B60EB1E1-6069-4913-A0D4-9ECAFFEECA37}"/>
    <hyperlink ref="B3350" r:id="rId10096" display="https://twitter.com/TLinn_Visionico" xr:uid="{99F8785D-2E76-4B39-BE90-8C5D620C9F4B}"/>
    <hyperlink ref="E3350" r:id="rId10097" display="https://twitter.com/TLinn_Visionico/status/724328356989284352" xr:uid="{E4BDCF42-1AA5-412C-AD6F-0D32F39EAB59}"/>
    <hyperlink ref="O3350" r:id="rId10098" display="https://pbs.twimg.com/profile_images/692017435269054464/uFlgRwyV_normal.jpg" xr:uid="{79179C39-ACDF-4DB3-A517-861BC14C6897}"/>
    <hyperlink ref="B3351" r:id="rId10099" display="https://twitter.com/fnaujoks" xr:uid="{0D8FC32C-CF9D-465B-9568-E07A18A79F45}"/>
    <hyperlink ref="E3351" r:id="rId10100" display="https://twitter.com/fnaujoks/status/724329229614231553" xr:uid="{CCD5CE03-ED3F-4C56-B732-73CBB13C78D7}"/>
    <hyperlink ref="O3351" r:id="rId10101" display="https://pbs.twimg.com/profile_images/1154310723/Frank_Naujoks-por-hoch_min_normal.JPG" xr:uid="{7CA496CB-02E8-47DB-BE4D-6A3D778767F0}"/>
    <hyperlink ref="B3352" r:id="rId10102" display="https://twitter.com/sbolgard" xr:uid="{F380096B-A2DF-4C88-92A2-DE355A06B473}"/>
    <hyperlink ref="E3352" r:id="rId10103" display="https://twitter.com/sbolgard/status/724330233323642881" xr:uid="{1F043FBE-9565-4F7D-B7A6-DEEF07653C3A}"/>
    <hyperlink ref="O3352" r:id="rId10104" display="https://pbs.twimg.com/profile_images/431136671829336065/ijooYAzU_normal.jpeg" xr:uid="{10AEED92-424A-493C-BC5A-BD0C5FE1DA52}"/>
    <hyperlink ref="B3353" r:id="rId10105" display="https://twitter.com/INDIZbot" xr:uid="{A553B2A9-1F95-4F8F-88C0-992E487EC587}"/>
    <hyperlink ref="E3353" r:id="rId10106" display="https://twitter.com/INDIZbot/status/724332592858804229" xr:uid="{4BC3E155-9270-43F0-B0E6-F55B04808F87}"/>
    <hyperlink ref="O3353" r:id="rId10107" display="https://pbs.twimg.com/profile_images/645716711723925506/t5G0qOS6_normal.jpg" xr:uid="{9538EA3A-2B32-4A43-935F-DF939A8E9463}"/>
    <hyperlink ref="B3354" r:id="rId10108" display="https://twitter.com/StaplerPaul" xr:uid="{506E9106-959D-4F97-9696-81905B93691B}"/>
    <hyperlink ref="E3354" r:id="rId10109" display="https://twitter.com/StaplerPaul/status/724334225806249984" xr:uid="{5EEACE5C-EEB1-4873-9420-3944D2EC7937}"/>
    <hyperlink ref="O3354" r:id="rId10110" display="https://pbs.twimg.com/profile_images/716882543551885312/GxRIW86z_normal.jpg" xr:uid="{AEB50F6E-254D-493E-B8FA-8472FCEDCEEF}"/>
    <hyperlink ref="B3355" r:id="rId10111" display="https://twitter.com/INDIZbot" xr:uid="{98729436-6948-4386-BA5B-C529C176CE98}"/>
    <hyperlink ref="E3355" r:id="rId10112" display="https://twitter.com/INDIZbot/status/724334891408732160" xr:uid="{3CCDB032-4632-4E1F-BFF6-902E003FDA8A}"/>
    <hyperlink ref="O3355" r:id="rId10113" display="https://pbs.twimg.com/profile_images/645716711723925506/t5G0qOS6_normal.jpg" xr:uid="{B3284D1E-5058-424D-8D92-01FC5592F988}"/>
    <hyperlink ref="B3356" r:id="rId10114" display="https://twitter.com/MartinGaedt" xr:uid="{58DB2CA4-1F07-466C-9DC8-16BF0E508770}"/>
    <hyperlink ref="E3356" r:id="rId10115" display="https://twitter.com/MartinGaedt/status/724335145109561344" xr:uid="{EE1DDD03-4716-4531-B1F6-97DD523A829C}"/>
    <hyperlink ref="O3356" r:id="rId10116" display="https://pbs.twimg.com/profile_images/709444980553740288/Xds-Aan6_normal.jpg" xr:uid="{E916D7D0-6349-47B3-B798-3EF73593EBE0}"/>
    <hyperlink ref="B3357" r:id="rId10117" display="https://twitter.com/DirkSchaar" xr:uid="{422DB735-0B12-4146-87F4-154EA1C231E4}"/>
    <hyperlink ref="E3357" r:id="rId10118" display="https://twitter.com/DirkSchaar/status/724336866070302720" xr:uid="{839BD03E-6117-4FD3-BA12-32CAB4FEDA9D}"/>
    <hyperlink ref="O3357" r:id="rId10119" display="https://pbs.twimg.com/profile_images/448852244511748097/IIM58dga_normal.jpeg" xr:uid="{8B7506BE-F43C-49F0-A075-A1B8C1E2D498}"/>
    <hyperlink ref="B3358" r:id="rId10120" display="https://twitter.com/DigiRobotics" xr:uid="{80591964-33EE-4103-AA93-73FC516FCC2C}"/>
    <hyperlink ref="E3358" r:id="rId10121" display="https://twitter.com/DigiRobotics/status/724337293469855744" xr:uid="{D8D82A37-E284-4587-BE6C-F62701D3AB1A}"/>
    <hyperlink ref="O3358" r:id="rId10122" display="https://pbs.twimg.com/profile_images/627495276333273088/HU6O-APP_normal.jpg" xr:uid="{395BAB7F-4C47-4622-943D-D3B6BEB5E9CD}"/>
    <hyperlink ref="B3359" r:id="rId10123" display="https://twitter.com/kat2812" xr:uid="{B7EBB689-F63C-41E0-A549-4DA3F7D60B29}"/>
    <hyperlink ref="E3359" r:id="rId10124" display="https://twitter.com/kat2812/status/724341605130444801" xr:uid="{C19B626B-74DC-48E3-B6D9-3B727CFFEBB6}"/>
    <hyperlink ref="O3359" r:id="rId10125" display="https://pbs.twimg.com/profile_images/2994151206/72e14517d19cb49aa35fe3019df8b048_normal.jpeg" xr:uid="{C5D2EF29-E256-4B06-A97A-BEBBFD1AF899}"/>
    <hyperlink ref="B3360" r:id="rId10126" display="https://twitter.com/steffi_rtz" xr:uid="{0BC3C96F-D708-4AE9-B239-3BDD9BC3D033}"/>
    <hyperlink ref="E3360" r:id="rId10127" display="https://twitter.com/steffi_rtz/status/724341734931574784" xr:uid="{24C22082-0B3D-4B95-AC85-256566226B8D}"/>
    <hyperlink ref="O3360" r:id="rId10128" display="https://pbs.twimg.com/profile_images/718172859412127744/t782xBpk_normal.jpg" xr:uid="{4C1B342E-7541-4B36-A135-FFC5C8D83CDA}"/>
    <hyperlink ref="B3361" r:id="rId10129" display="https://twitter.com/msftmfg" xr:uid="{D84F0539-E7F5-4829-A149-E93C7C3A00D1}"/>
    <hyperlink ref="E3361" r:id="rId10130" display="https://twitter.com/msftmfg/status/724342148745859076" xr:uid="{4D89CF03-EE19-45E0-884C-6A4FCA86A1FE}"/>
    <hyperlink ref="O3361" r:id="rId10131" display="https://pbs.twimg.com/profile_images/543161217645178880/JQuBT7KS_normal.png" xr:uid="{2988BC57-7D17-4C59-940A-C0DFCB40C211}"/>
    <hyperlink ref="B3362" r:id="rId10132" display="https://twitter.com/sallyafrank" xr:uid="{7C09FE36-DFDC-4542-9D93-C7F898E07174}"/>
    <hyperlink ref="E3362" r:id="rId10133" display="https://twitter.com/sallyafrank/status/724344134803292161" xr:uid="{3A40F351-98A9-47C6-9C28-EFB71FA4549C}"/>
    <hyperlink ref="O3362" r:id="rId10134" display="https://pbs.twimg.com/profile_images/602304216468738049/_0sb-3oB_normal.jpg" xr:uid="{843D5BA9-BD98-464A-A25B-F14CB6F0D92F}"/>
    <hyperlink ref="B3363" r:id="rId10135" display="https://twitter.com/MarinerLLC" xr:uid="{36A57106-3233-48BD-9EFC-093817A8F64A}"/>
    <hyperlink ref="E3363" r:id="rId10136" display="https://twitter.com/MarinerLLC/status/724345101863006208" xr:uid="{276F557F-DA77-434A-BF82-622522EE8967}"/>
    <hyperlink ref="O3363" r:id="rId10137" display="https://pbs.twimg.com/profile_images/3502729434/95675e6f45ad2e1bbc6c5736995ec15c_normal.png" xr:uid="{3207A96A-37AA-4A1C-BF96-A5CC1DE70F13}"/>
    <hyperlink ref="B3364" r:id="rId10138" display="https://twitter.com/max_streibl" xr:uid="{89969BCB-E623-420F-83BD-F237565B42F9}"/>
    <hyperlink ref="E3364" r:id="rId10139" display="https://twitter.com/max_streibl/status/724345509650026497" xr:uid="{7B778201-39C6-41B1-A65A-AD8936F92C67}"/>
    <hyperlink ref="O3364" r:id="rId10140" display="https://pbs.twimg.com/profile_images/605661829587697664/HyEK4lD5_normal.jpg" xr:uid="{DE64D5A9-A3BA-485A-8EB7-669A259807D3}"/>
    <hyperlink ref="B3365" r:id="rId10141" display="https://twitter.com/colbytylerford" xr:uid="{4D709A85-9447-47B2-A18C-677CC35284B8}"/>
    <hyperlink ref="E3365" r:id="rId10142" display="https://twitter.com/colbytylerford/status/724346136425836544" xr:uid="{759E7CCE-6F03-44FF-B7D7-42CEAD4AD2B9}"/>
    <hyperlink ref="O3365" r:id="rId10143" display="https://pbs.twimg.com/profile_images/588196149665865728/jmm9bQ6G_normal.jpg" xr:uid="{4393E72D-2169-41F9-A1F5-74FD52ADAA53}"/>
    <hyperlink ref="B3366" r:id="rId10144" display="https://twitter.com/RealJoeGuy" xr:uid="{E443D0D0-DEC5-4FFA-9567-F34DF01BD2E7}"/>
    <hyperlink ref="E3366" r:id="rId10145" display="https://twitter.com/RealJoeGuy/status/724346941795123200" xr:uid="{C2FCFC01-12E4-4ED5-A1A8-7317AD6C0F25}"/>
    <hyperlink ref="O3366" r:id="rId10146" display="https://pbs.twimg.com/profile_images/1684373225/Joe_Guy_normal.jpg" xr:uid="{E9F0D6E6-A998-4199-83C9-9FBD352B3D52}"/>
    <hyperlink ref="B3367" r:id="rId10147" display="https://twitter.com/H_IT_D" xr:uid="{750BC000-FA18-4E2F-8D35-E17AF1306025}"/>
    <hyperlink ref="E3367" r:id="rId10148" display="https://twitter.com/H_IT_D/status/724348187029295104" xr:uid="{53394146-3F43-42BC-8F73-25A569EB6746}"/>
    <hyperlink ref="O3367" r:id="rId10149" display="https://pbs.twimg.com/profile_images/662723326096224256/5V4KH9_O_normal.jpg" xr:uid="{9B604C11-34D9-4CDB-B0A5-D3A68B94A80D}"/>
    <hyperlink ref="B3368" r:id="rId10150" display="https://twitter.com/Philip_W_Morris" xr:uid="{6A25848C-11F9-43ED-B249-CDC4899D4FD5}"/>
    <hyperlink ref="E3368" r:id="rId10151" display="https://twitter.com/Philip_W_Morris/status/724348538596016132" xr:uid="{84D2F984-767B-4C53-A479-3CFCB3841948}"/>
    <hyperlink ref="O3368" r:id="rId10152" display="https://pbs.twimg.com/profile_images/688093545148723201/hCPglEEy_normal.jpg" xr:uid="{63FDE9D4-CEC2-4361-A5C5-2892C49231B2}"/>
    <hyperlink ref="B3369" r:id="rId10153" display="https://twitter.com/INDIZbot" xr:uid="{FF049493-BE15-4A85-A1F8-4032026B908D}"/>
    <hyperlink ref="E3369" r:id="rId10154" display="https://twitter.com/INDIZbot/status/724349994015285248" xr:uid="{F9AE4B97-F5DE-4396-B1E9-EACCDA4D4298}"/>
    <hyperlink ref="O3369" r:id="rId10155" display="https://pbs.twimg.com/profile_images/645716711723925506/t5G0qOS6_normal.jpg" xr:uid="{CA19080A-36AA-4FC5-B7BD-AE4DB3A42C10}"/>
    <hyperlink ref="B3370" r:id="rId10156" display="https://twitter.com/BKV24" xr:uid="{D585A6D3-1CF9-4296-853D-676624495BF9}"/>
    <hyperlink ref="E3370" r:id="rId10157" display="https://twitter.com/BKV24/status/724350022599491590" xr:uid="{BEA4E40E-5961-48BA-B0FA-6C2D4D881947}"/>
    <hyperlink ref="O3370" r:id="rId10158" display="https://pbs.twimg.com/profile_images/700870440315723776/1Wtoil9s_normal.png" xr:uid="{2C6036FE-6254-4A97-8827-6C49E0F9D920}"/>
    <hyperlink ref="B3371" r:id="rId10159" display="https://twitter.com/Frank_Reinelt" xr:uid="{6CC689DD-6E84-46F3-8CFA-E476C8A2CCE4}"/>
    <hyperlink ref="E3371" r:id="rId10160" display="https://twitter.com/Frank_Reinelt/status/724350437177040899" xr:uid="{F6B89814-79E9-4F67-B59A-5A5EBD91D129}"/>
    <hyperlink ref="O3371" r:id="rId10161" display="https://pbs.twimg.com/profile_images/669853588152283137/mqKB9aP__normal.jpg" xr:uid="{2F7CB4C2-0A59-40AF-9D4B-4C2799C9338F}"/>
    <hyperlink ref="B3372" r:id="rId10162" display="https://twitter.com/xtstuttgart" xr:uid="{2A8AA1C7-976C-4C97-BB92-55293CC59E46}"/>
    <hyperlink ref="E3372" r:id="rId10163" display="https://twitter.com/xtstuttgart/status/724350468688728064" xr:uid="{9290601A-333A-4291-922D-A57DFE3C86C7}"/>
    <hyperlink ref="O3372" r:id="rId10164" display="https://pbs.twimg.com/profile_images/712051810698190848/Q9cvvAkM_normal.jpg" xr:uid="{BA7AB29F-5F40-4B97-B078-E0B9D5876431}"/>
    <hyperlink ref="B3373" r:id="rId10165" display="https://twitter.com/induux_de" xr:uid="{04562A2F-4221-48D2-8DC3-51808F184B43}"/>
    <hyperlink ref="E3373" r:id="rId10166" display="https://twitter.com/induux_de/status/724352257299456000" xr:uid="{82FB956B-26E3-41D0-84D1-8F8BDF56DC54}"/>
    <hyperlink ref="O3373" r:id="rId10167" display="https://pbs.twimg.com/profile_images/455629070454116352/ujZ3h7Ww_normal.png" xr:uid="{C472C5F5-8C54-4CCA-8B05-82F26196C5C3}"/>
    <hyperlink ref="B3374" r:id="rId10168" display="https://twitter.com/INDIZbot" xr:uid="{0C008784-0B83-4514-92EA-402D05F8BC6E}"/>
    <hyperlink ref="E3374" r:id="rId10169" display="https://twitter.com/INDIZbot/status/724352719335657472" xr:uid="{98F20618-618F-421C-9DB8-DFF5E7A9809A}"/>
    <hyperlink ref="O3374" r:id="rId10170" display="https://pbs.twimg.com/profile_images/645716711723925506/t5G0qOS6_normal.jpg" xr:uid="{52E1A717-7194-437C-AC70-D97DAA079081}"/>
    <hyperlink ref="B3375" r:id="rId10171" display="https://twitter.com/Frank_Reinelt" xr:uid="{7EC839C3-A007-4C3B-ABD2-ABA795741EB5}"/>
    <hyperlink ref="E3375" r:id="rId10172" display="https://twitter.com/Frank_Reinelt/status/724352870125047808" xr:uid="{52E9EDAA-039B-47E7-A948-0CDA99FF6F24}"/>
    <hyperlink ref="O3375" r:id="rId10173" display="https://pbs.twimg.com/profile_images/669853588152283137/mqKB9aP__normal.jpg" xr:uid="{B393198C-2AB2-4955-A570-E77FCA0BCF53}"/>
    <hyperlink ref="B3376" r:id="rId10174" display="https://twitter.com/induux_de" xr:uid="{E9D956C1-CD3E-494E-89D3-B8A30044352D}"/>
    <hyperlink ref="E3376" r:id="rId10175" display="https://twitter.com/induux_de/status/724353802359459840" xr:uid="{FD75A964-1CD5-4D05-9DFA-AA6A53BBDEF1}"/>
    <hyperlink ref="O3376" r:id="rId10176" display="https://pbs.twimg.com/profile_images/455629070454116352/ujZ3h7Ww_normal.png" xr:uid="{DE2E0D42-B008-444D-A763-280C68852787}"/>
    <hyperlink ref="B3377" r:id="rId10177" display="https://twitter.com/QuickFindsIn" xr:uid="{33695CED-07C2-42F0-899C-EFDD92FA9D47}"/>
    <hyperlink ref="E3377" r:id="rId10178" display="https://twitter.com/QuickFindsIn/status/724354234695606273" xr:uid="{8215C05E-063D-49E2-A75C-31D2BC2E0F68}"/>
    <hyperlink ref="O3377" r:id="rId10179" display="https://pbs.twimg.com/profile_images/591951396217327616/HbcCX2zX_normal.png" xr:uid="{9517A9C6-57D9-4628-91A6-975979F5349B}"/>
    <hyperlink ref="B3378" r:id="rId10180" display="https://twitter.com/unbelievable_m" xr:uid="{EF7DC5C8-C3E5-4A50-A809-837B47002BDA}"/>
    <hyperlink ref="E3378" r:id="rId10181" display="https://twitter.com/unbelievable_m/status/724354754416140288" xr:uid="{C988B04A-5A06-4166-8502-BBBAD54E83C1}"/>
    <hyperlink ref="O3378" r:id="rId10182" display="https://pbs.twimg.com/profile_images/1073416673/um_logo_facebook_normal.png" xr:uid="{2CAC0E58-CC96-4479-ACF6-A5BA4D9509E8}"/>
    <hyperlink ref="B3379" r:id="rId10183" display="https://twitter.com/nlp_stories" xr:uid="{096F33CE-7583-45AE-967A-F947892D98A3}"/>
    <hyperlink ref="E3379" r:id="rId10184" display="https://twitter.com/nlp_stories/status/724355407494430720" xr:uid="{6C32373E-D9DB-4461-97C9-E5EE290600B9}"/>
    <hyperlink ref="O3379" r:id="rId10185" display="https://pbs.twimg.com/profile_images/675784786321891329/PVScaDr-_normal.jpg" xr:uid="{886D3507-A59F-4473-9134-FDBFA97B6A0C}"/>
    <hyperlink ref="B3380" r:id="rId10186" display="https://twitter.com/BurakYenier" xr:uid="{CEF7635B-C32F-4F96-A4A0-BA20E8700A88}"/>
    <hyperlink ref="E3380" r:id="rId10187" display="https://twitter.com/BurakYenier/status/724358131703119872" xr:uid="{7E69D5D7-5ACD-4D1C-9100-E52E41BCE255}"/>
    <hyperlink ref="O3380" r:id="rId10188" display="https://pbs.twimg.com/profile_images/1687295442/image_normal.jpg" xr:uid="{6FE37916-76E3-48DC-9503-955DC097328B}"/>
    <hyperlink ref="B3381" r:id="rId10189" display="https://twitter.com/MelitaDelic" xr:uid="{544A0BF7-65CA-4121-A7B2-27A6EFD9FD29}"/>
    <hyperlink ref="E3381" r:id="rId10190" display="https://twitter.com/MelitaDelic/status/724360341870792704" xr:uid="{31669FE0-8DD6-470A-A985-8CC7BB33A7DF}"/>
    <hyperlink ref="O3381" r:id="rId10191" display="https://pbs.twimg.com/profile_images/578646264901955584/8ueJh3EI_normal.jpeg" xr:uid="{44C6860A-10F7-43E1-B203-49BEFA2934FE}"/>
    <hyperlink ref="B3382" r:id="rId10192" display="https://twitter.com/carlpalme" xr:uid="{8F644BBA-2B5E-4856-8816-8D51D15EFD3D}"/>
    <hyperlink ref="E3382" r:id="rId10193" display="https://twitter.com/carlpalme/status/724360493889105920" xr:uid="{42F1985C-61C7-4A6A-A747-7DD1F416CF64}"/>
    <hyperlink ref="O3382" r:id="rId10194" display="https://pbs.twimg.com/profile_images/1298615913/Hand2_normal.jpg" xr:uid="{828F0487-7B5A-40BB-AE2B-A270F09E8CEB}"/>
    <hyperlink ref="B3383" r:id="rId10195" display="https://twitter.com/CSGermany" xr:uid="{E0A95F63-8B4B-4FE4-94DC-702EAECF9704}"/>
    <hyperlink ref="E3383" r:id="rId10196" display="https://twitter.com/CSGermany/status/724364100516589568" xr:uid="{AFEA62FF-D51E-450A-89E9-E1A380856F73}"/>
    <hyperlink ref="O3383" r:id="rId10197" display="https://pbs.twimg.com/profile_images/518189608098869249/udoveSaH_normal.jpeg" xr:uid="{4F215D85-87CF-4FF2-9BDA-A8359910D457}"/>
    <hyperlink ref="B3384" r:id="rId10198" display="https://twitter.com/CSGermany" xr:uid="{15A6C97A-6325-41D7-8D61-326718E739BC}"/>
    <hyperlink ref="E3384" r:id="rId10199" display="https://twitter.com/CSGermany/status/724367792905052160" xr:uid="{69ADEE49-38D7-4CBD-BFD0-D45B128D46C5}"/>
    <hyperlink ref="O3384" r:id="rId10200" display="https://pbs.twimg.com/profile_images/518189608098869249/udoveSaH_normal.jpeg" xr:uid="{80CCF633-2EE4-4126-9A9B-F3CC2B269174}"/>
    <hyperlink ref="B3385" r:id="rId10201" display="https://twitter.com/Geschnattere" xr:uid="{08CEAC06-1A4B-4826-93BD-F4B5247870F7}"/>
    <hyperlink ref="E3385" r:id="rId10202" display="https://twitter.com/Geschnattere/status/724368211718901760" xr:uid="{088FA210-B5E4-4674-838E-B1E3A8CE8BC4}"/>
    <hyperlink ref="O3385" r:id="rId10203" display="https://pbs.twimg.com/profile_images/690957065490161664/Nat2upS4_normal.jpg" xr:uid="{69A4EF24-26BE-4579-89C0-5420E048F6BE}"/>
    <hyperlink ref="B3386" r:id="rId10204" display="https://twitter.com/gaadvancement" xr:uid="{A5B42CF1-8673-4949-BEC6-9DE1D0733586}"/>
    <hyperlink ref="E3386" r:id="rId10205" display="https://twitter.com/gaadvancement/status/724368518225915906" xr:uid="{7FC969EA-6F06-453F-A55B-61F38BCC1DC2}"/>
    <hyperlink ref="O3386" r:id="rId10206" display="https://pbs.twimg.com/profile_images/604852979888353280/bPLJGs-u_normal.jpg" xr:uid="{C197B994-31E0-4742-8D2E-8E169BC2DD81}"/>
    <hyperlink ref="B3387" r:id="rId10207" display="https://twitter.com/gaadvancement" xr:uid="{319A82AF-8012-4B6B-8853-AC8BF35B717D}"/>
    <hyperlink ref="E3387" r:id="rId10208" display="https://twitter.com/gaadvancement/status/724368876499165184" xr:uid="{E00DBE29-EE5C-4225-B440-80FABAB02396}"/>
    <hyperlink ref="O3387" r:id="rId10209" display="https://pbs.twimg.com/profile_images/604852979888353280/bPLJGs-u_normal.jpg" xr:uid="{21657C6C-186E-42A2-9017-5D22522881BA}"/>
    <hyperlink ref="B3388" r:id="rId10210" display="https://twitter.com/roomeezon" xr:uid="{04B544F7-63D2-4EE6-9D33-3ECA5C1FA06E}"/>
    <hyperlink ref="E3388" r:id="rId10211" display="https://twitter.com/roomeezon/status/724368886318129152" xr:uid="{E3DB8B32-DA67-4A22-9573-2B1DD984A6D8}"/>
    <hyperlink ref="O3388" r:id="rId10212" display="https://pbs.twimg.com/profile_images/714503631253479424/C1W-YKaG_normal.jpg" xr:uid="{3E2D4FD2-CE0C-4D5A-BB89-B0FBE52BF9EB}"/>
    <hyperlink ref="B3389" r:id="rId10213" display="https://twitter.com/gaadvancement" xr:uid="{C88F71F4-D523-4DF1-8603-081CB39E5DBA}"/>
    <hyperlink ref="E3389" r:id="rId10214" display="https://twitter.com/gaadvancement/status/724368942853029888" xr:uid="{00E6701B-34B0-4E63-99B0-8E7481870149}"/>
    <hyperlink ref="O3389" r:id="rId10215" display="https://pbs.twimg.com/profile_images/604852979888353280/bPLJGs-u_normal.jpg" xr:uid="{4A6B63DC-E3E4-4598-B023-9A52CE0B55DE}"/>
    <hyperlink ref="B3390" r:id="rId10216" display="https://twitter.com/Geschnattere" xr:uid="{52626A46-DD7D-4FE2-B935-3E20D7D6E415}"/>
    <hyperlink ref="E3390" r:id="rId10217" display="https://twitter.com/Geschnattere/status/724368994506006529" xr:uid="{2156B2AA-C5F2-4EDE-86F2-DCDC33C10168}"/>
    <hyperlink ref="O3390" r:id="rId10218" display="https://pbs.twimg.com/profile_images/690957065490161664/Nat2upS4_normal.jpg" xr:uid="{AE9A27AB-1963-49F1-95A0-3FEABD59E850}"/>
    <hyperlink ref="B3391" r:id="rId10219" display="https://twitter.com/h_scoshield" xr:uid="{C0246940-9FF3-4008-A912-5F89D7D25624}"/>
    <hyperlink ref="E3391" r:id="rId10220" display="https://twitter.com/h_scoshield/status/724369905714356225" xr:uid="{662DA89D-A37C-4B15-9D15-5162B93BFA5E}"/>
    <hyperlink ref="O3391" r:id="rId10221" display="https://pbs.twimg.com/profile_images/723056722634371072/L0JFDAVN_normal.jpg" xr:uid="{3B65F157-B6DB-4B40-AB47-DDD3556A6633}"/>
    <hyperlink ref="B3392" r:id="rId10222" display="https://twitter.com/h_scoshield" xr:uid="{2DC8676C-12ED-42AA-86CD-5AFB49B9F121}"/>
    <hyperlink ref="E3392" r:id="rId10223" display="https://twitter.com/h_scoshield/status/724370327464226816" xr:uid="{239C36BC-7AE9-4176-9EFE-35B531EF7B36}"/>
    <hyperlink ref="O3392" r:id="rId10224" display="https://pbs.twimg.com/profile_images/723056722634371072/L0JFDAVN_normal.jpg" xr:uid="{4AB254A2-6A72-4E6E-9C5F-F40AAF2A280F}"/>
    <hyperlink ref="B3393" r:id="rId10225" display="https://twitter.com/mjg73" xr:uid="{DEA040AD-D681-4BE1-9E2A-6DF73437AA36}"/>
    <hyperlink ref="E3393" r:id="rId10226" display="https://twitter.com/mjg73/status/724371423251279872" xr:uid="{5D1A3168-ECE9-4601-A9E0-9295F29113C6}"/>
    <hyperlink ref="O3393" r:id="rId10227" display="https://pbs.twimg.com/profile_images/614706754518130688/WFWO9x9i_normal.jpg" xr:uid="{62E11A81-0EF5-4EB8-9CF9-81AAF9AB232F}"/>
    <hyperlink ref="B3394" r:id="rId10228" display="https://twitter.com/EhrkeHeideMarie" xr:uid="{AC258503-857B-4E4E-A9E0-896F72E65DFA}"/>
    <hyperlink ref="E3394" r:id="rId10229" display="https://twitter.com/EhrkeHeideMarie/status/724376185262727168" xr:uid="{3F92C678-5223-4E56-814B-6C74146859B7}"/>
    <hyperlink ref="O3394" r:id="rId10230" display="https://pbs.twimg.com/profile_images/3072828143/e5426915b22318faa18155fbf31b7279_normal.jpeg" xr:uid="{BA7954A4-501C-485F-BBAA-3207E0951E6C}"/>
    <hyperlink ref="B3395" r:id="rId10231" display="https://twitter.com/EhrkeHeideMarie" xr:uid="{961B792F-DF1B-4DF7-BAD6-9D6D9E162DCA}"/>
    <hyperlink ref="E3395" r:id="rId10232" display="https://twitter.com/EhrkeHeideMarie/status/724376567984603136" xr:uid="{8CEC9E48-197D-439B-B1CF-3951257037A4}"/>
    <hyperlink ref="O3395" r:id="rId10233" display="https://pbs.twimg.com/profile_images/3072828143/e5426915b22318faa18155fbf31b7279_normal.jpeg" xr:uid="{CF7AA133-472F-4DAC-ACD3-94C0917ADFA5}"/>
    <hyperlink ref="B3396" r:id="rId10234" display="https://twitter.com/H_IT_D" xr:uid="{0DCD78FF-43F2-4A40-8018-894F2D4F6710}"/>
    <hyperlink ref="E3396" r:id="rId10235" display="https://twitter.com/H_IT_D/status/724379330084638720" xr:uid="{E0D4FAB6-291B-4E64-8B33-A2E9BA9BF336}"/>
    <hyperlink ref="O3396" r:id="rId10236" display="https://pbs.twimg.com/profile_images/662723326096224256/5V4KH9_O_normal.jpg" xr:uid="{B9E7182F-B8FB-4BB0-B31E-C94552F4A18C}"/>
    <hyperlink ref="B3397" r:id="rId10237" display="https://twitter.com/INDIZbot" xr:uid="{323D4856-F2C8-4B91-A564-F8F86088E5E1}"/>
    <hyperlink ref="E3397" r:id="rId10238" display="https://twitter.com/INDIZbot/status/724380185508872193" xr:uid="{0A393C4A-45A3-4257-BC78-B715DF09675A}"/>
    <hyperlink ref="O3397" r:id="rId10239" display="https://pbs.twimg.com/profile_images/645716711723925506/t5G0qOS6_normal.jpg" xr:uid="{CE7E4022-56CD-4224-936C-D7A15AB13259}"/>
    <hyperlink ref="B3398" r:id="rId10240" display="https://twitter.com/PPanchakIW" xr:uid="{168F49A8-7887-48C7-9A8F-DE3348FE107D}"/>
    <hyperlink ref="E3398" r:id="rId10241" display="https://twitter.com/PPanchakIW/status/724390800164048897" xr:uid="{1084C030-02F1-43B2-931B-22BBC9E64189}"/>
    <hyperlink ref="O3398" r:id="rId10242" display="https://pbs.twimg.com/profile_images/1827233338/Pat_P._no_glass.twitter_normal.jpg" xr:uid="{42F8D5F4-966E-41D3-8114-E4F266BF69F0}"/>
    <hyperlink ref="B3399" r:id="rId10243" display="https://twitter.com/kirstywilkinson" xr:uid="{5E8B396E-32E4-4F16-A213-7F619738AEE6}"/>
    <hyperlink ref="E3399" r:id="rId10244" display="https://twitter.com/kirstywilkinson/status/724392414216073217" xr:uid="{F63BDE30-9800-4F19-90CF-DE4754B38DA1}"/>
    <hyperlink ref="O3399" r:id="rId10245" display="https://pbs.twimg.com/profile_images/420534452683423745/xZTVCux1_normal.jpeg" xr:uid="{D72D1A8E-57C6-48A1-A1BE-355A3EDD6C99}"/>
    <hyperlink ref="B3400" r:id="rId10246" display="https://twitter.com/PeterKaridis" xr:uid="{65FC9C53-9573-48C5-904C-24AD2B8DA06C}"/>
    <hyperlink ref="E3400" r:id="rId10247" display="https://twitter.com/PeterKaridis/status/724392999598194688" xr:uid="{BC9809AA-EAD8-42E6-99FA-A49DD516281D}"/>
    <hyperlink ref="O3400" r:id="rId10248" display="https://pbs.twimg.com/profile_images/673724922460430337/KsyXOSmW_normal.jpg" xr:uid="{B5F50705-9EAE-4BE4-B91E-B960745043EA}"/>
    <hyperlink ref="B3401" r:id="rId10249" display="https://twitter.com/senbaravi" xr:uid="{DE031810-3817-4C46-BBE9-87A38708761A}"/>
    <hyperlink ref="E3401" r:id="rId10250" display="https://twitter.com/senbaravi/status/724400162798448640" xr:uid="{D2661947-5D70-4D83-B73A-E420D9B1E0BA}"/>
    <hyperlink ref="O3401" r:id="rId10251" display="https://pbs.twimg.com/profile_images/710772565183045632/vWh5WeNO_normal.jpg" xr:uid="{F651016F-BEA2-45FF-B25F-9A4E3D2BBD9F}"/>
    <hyperlink ref="B3402" r:id="rId10252" display="https://twitter.com/JeffRConnolly" xr:uid="{D13AD699-A094-400F-B477-B21044F6F848}"/>
    <hyperlink ref="E3402" r:id="rId10253" display="https://twitter.com/JeffRConnolly/status/724400498531422208" xr:uid="{513D4A96-369B-4AC2-AF4D-C521210AAF4A}"/>
    <hyperlink ref="O3402" r:id="rId10254" display="https://pbs.twimg.com/profile_images/444069537869094912/Oh8ZB7sl_normal.jpeg" xr:uid="{F70DB3C9-CF62-4278-95EF-CB006E59CAC0}"/>
    <hyperlink ref="B3403" r:id="rId10255" display="https://twitter.com/AlbertoMunoz" xr:uid="{4718182B-4E7B-44BD-823E-7D96D8A3BB68}"/>
    <hyperlink ref="E3403" r:id="rId10256" display="https://twitter.com/AlbertoMunoz/status/724420904944439296" xr:uid="{33BC3D89-0DC5-4756-9247-24E7299C644C}"/>
    <hyperlink ref="O3403" r:id="rId10257" display="https://pbs.twimg.com/profile_images/651607188897595392/TDR4Waba_normal.jpg" xr:uid="{F238C780-E5E8-4BBA-A045-51367C6CEDE2}"/>
    <hyperlink ref="B3404" r:id="rId10258" display="https://twitter.com/AlbertoMunoz" xr:uid="{16E977AC-38EE-4731-85C2-678415423D46}"/>
    <hyperlink ref="E3404" r:id="rId10259" display="https://twitter.com/AlbertoMunoz/status/724420971021488128" xr:uid="{21F0E036-2A5A-4C8F-AC0B-4BC7027D863E}"/>
    <hyperlink ref="O3404" r:id="rId10260" display="https://pbs.twimg.com/profile_images/651607188897595392/TDR4Waba_normal.jpg" xr:uid="{8539E7B0-1BB6-4C2A-A916-BBB6D0125747}"/>
    <hyperlink ref="B3405" r:id="rId10261" display="https://twitter.com/meganlilly24" xr:uid="{F29EB25B-212A-4CA3-980F-AA4E86143D92}"/>
    <hyperlink ref="E3405" r:id="rId10262" display="https://twitter.com/meganlilly24/status/724423004143263744" xr:uid="{42841225-17BB-40B3-8A3D-A96237E28D71}"/>
    <hyperlink ref="O3405" r:id="rId10263" display="https://pbs.twimg.com/profile_images/721548926843682816/wzEcHhcn_normal.jpg" xr:uid="{A0784C51-F866-4CC7-BCB9-FFEE3BFF6475}"/>
    <hyperlink ref="B3406" r:id="rId10264" display="https://twitter.com/JpIndustryNews" xr:uid="{78ED5F86-4296-45C9-B04E-9572FC3A28F2}"/>
    <hyperlink ref="E3406" r:id="rId10265" display="https://twitter.com/JpIndustryNews/status/724433624251113472" xr:uid="{498A7DE5-36AC-4AC3-A24C-92220CD2A182}"/>
    <hyperlink ref="O3406" r:id="rId10266" display="https://pbs.twimg.com/profile_images/638906659482406912/iaOi4nv__normal.png" xr:uid="{A1BEEDBC-AB4E-474A-9B6E-0E983C8881FF}"/>
    <hyperlink ref="B3407" r:id="rId10267" display="https://twitter.com/H_IT_D" xr:uid="{B1F755B6-A014-458D-8B80-CE59D5185D1B}"/>
    <hyperlink ref="E3407" r:id="rId10268" display="https://twitter.com/H_IT_D/status/724442912562368512" xr:uid="{D50BFF64-173D-496B-8FAE-314A440F0102}"/>
    <hyperlink ref="O3407" r:id="rId10269" display="https://pbs.twimg.com/profile_images/662723326096224256/5V4KH9_O_normal.jpg" xr:uid="{0FB02F84-8209-4F3E-BF2F-F0F4F3B043D6}"/>
    <hyperlink ref="B3408" r:id="rId10270" display="https://twitter.com/INDIZbot" xr:uid="{4FE1CF4F-2658-413B-A7A0-15D6D6DDF600}"/>
    <hyperlink ref="E3408" r:id="rId10271" display="https://twitter.com/INDIZbot/status/724443101067153409" xr:uid="{882D98C6-6D9F-4A74-8CD2-F285A030D156}"/>
    <hyperlink ref="O3408" r:id="rId10272" display="https://pbs.twimg.com/profile_images/645716711723925506/t5G0qOS6_normal.jpg" xr:uid="{2D5EA80E-DD69-4E07-A77F-DD73CA3C8B75}"/>
    <hyperlink ref="B3409" r:id="rId10273" display="https://twitter.com/VanYanMar" xr:uid="{DF5F2775-6D08-4EE0-B450-3C3540DBEAEC}"/>
    <hyperlink ref="E3409" r:id="rId10274" display="https://twitter.com/VanYanMar/status/724450432932827136" xr:uid="{6E6432E8-7ADC-42BC-B165-649D73A907BF}"/>
    <hyperlink ref="O3409" r:id="rId10275" display="https://pbs.twimg.com/profile_images/637589130348732416/Hh-lw5mM_normal.jpg" xr:uid="{261FE245-E6B9-4697-AB9C-221A52082334}"/>
    <hyperlink ref="B3410" r:id="rId10276" display="https://twitter.com/MarkusPeter" xr:uid="{BA80DDFA-8E27-47B8-84E3-026E54A82F46}"/>
    <hyperlink ref="E3410" r:id="rId10277" display="https://twitter.com/MarkusPeter/status/724452934055002112" xr:uid="{0AE6C54F-E2F3-46F9-80DD-BA7DF3B67026}"/>
    <hyperlink ref="O3410" r:id="rId10278" display="https://pbs.twimg.com/profile_images/704295347397517313/qrZSEZ4E_normal.jpg" xr:uid="{36E94239-C1DB-4F53-B505-C26DE02AAFA7}"/>
    <hyperlink ref="B3411" r:id="rId10279" display="https://twitter.com/INDIZbot" xr:uid="{43657368-EDA9-46B2-8FFA-FEEDC0475EA7}"/>
    <hyperlink ref="E3411" r:id="rId10280" display="https://twitter.com/INDIZbot/status/724453166251651072" xr:uid="{28664302-7D15-41A3-9248-968D80CF41A7}"/>
    <hyperlink ref="O3411" r:id="rId10281" display="https://pbs.twimg.com/profile_images/645716711723925506/t5G0qOS6_normal.jpg" xr:uid="{82BC1FF5-9FA1-4065-96E2-45A1DC43DBB2}"/>
    <hyperlink ref="B3412" r:id="rId10282" display="https://twitter.com/MartinGaedt" xr:uid="{ECB2536E-A2D2-4109-961D-B9B6AA8BC38B}"/>
    <hyperlink ref="E3412" r:id="rId10283" display="https://twitter.com/MartinGaedt/status/724454020455247872" xr:uid="{1E1EE792-CD40-41A7-833D-1DAE329831F0}"/>
    <hyperlink ref="O3412" r:id="rId10284" display="https://pbs.twimg.com/profile_images/709444980553740288/Xds-Aan6_normal.jpg" xr:uid="{9AC35E30-804D-4368-9892-D01D2FD3C847}"/>
    <hyperlink ref="B3413" r:id="rId10285" display="https://twitter.com/peterunterwegs" xr:uid="{15862609-F4A2-48B7-919E-588FA35DEBAD}"/>
    <hyperlink ref="E3413" r:id="rId10286" display="https://twitter.com/peterunterwegs/status/724454695473930240" xr:uid="{16BDC99B-67FB-4DC6-B94E-CA9AD332C859}"/>
    <hyperlink ref="O3413" r:id="rId10287" display="https://pbs.twimg.com/profile_images/2181738359/080823016_normal.jpg" xr:uid="{34A3E6A5-7ED1-4155-88A4-3792321CA5FC}"/>
    <hyperlink ref="B3414" r:id="rId10288" display="https://twitter.com/PwC_France" xr:uid="{A31FADBC-5AEB-4881-A074-7AC2AAA30530}"/>
    <hyperlink ref="E3414" r:id="rId10289" display="https://twitter.com/PwC_France/status/724455508401360899" xr:uid="{F4773C04-4598-4D55-A832-667E75963B51}"/>
    <hyperlink ref="O3414" r:id="rId10290" display="https://pbs.twimg.com/profile_images/623103587527344128/2HZGdh68_normal.png" xr:uid="{82C5F4DA-4D73-4A52-9ADF-7B9BBC9430F4}"/>
    <hyperlink ref="B3415" r:id="rId10291" display="https://twitter.com/ProdMgrNet" xr:uid="{3E431971-177E-4D4A-9525-CFC0A0EF99D2}"/>
    <hyperlink ref="E3415" r:id="rId10292" display="https://twitter.com/ProdMgrNet/status/724455966511607808" xr:uid="{AA5BC946-B529-4B32-BBFC-E7EAB7CD5E30}"/>
    <hyperlink ref="O3415" r:id="rId10293" display="https://pbs.twimg.com/profile_images/1336102736/AR69190_normal.jpg" xr:uid="{96395736-041D-4E2F-86AB-A8FC9A0D36D7}"/>
    <hyperlink ref="B3416" r:id="rId10294" display="https://twitter.com/Imaraqa" xr:uid="{87F30C0C-BB48-4C99-9CC4-C9237A9BE029}"/>
    <hyperlink ref="E3416" r:id="rId10295" display="https://twitter.com/Imaraqa/status/724456683649511424" xr:uid="{2F938D18-AE6B-4927-B9C2-FF1D07A336E8}"/>
    <hyperlink ref="O3416" r:id="rId10296" display="https://pbs.twimg.com/profile_images/537463766422548481/ZHC2PBM5_normal.jpeg" xr:uid="{FBE9A8E4-5630-46AD-B858-ADF4BC57D8FC}"/>
    <hyperlink ref="B3417" r:id="rId10297" display="https://twitter.com/cvoigt_roboyo" xr:uid="{3054927C-8288-4263-9F03-322400682DE3}"/>
    <hyperlink ref="E3417" r:id="rId10298" display="https://twitter.com/cvoigt_roboyo/status/724456731900805124" xr:uid="{99C0CA9F-5261-405C-8C89-9E52579B2CA3}"/>
    <hyperlink ref="O3417" r:id="rId10299" display="https://pbs.twimg.com/profile_images/706919062929084416/L4kA2Li8_normal.jpg" xr:uid="{AD5A1FE3-7835-4D97-98CC-C812D22ACD90}"/>
    <hyperlink ref="B3418" r:id="rId10300" display="https://twitter.com/H_IT_D" xr:uid="{4E4F71A6-6F04-4D3C-959B-72E16E31356F}"/>
    <hyperlink ref="E3418" r:id="rId10301" display="https://twitter.com/H_IT_D/status/724458115295383553" xr:uid="{B9B698EA-1407-4AED-8656-904A15F109AE}"/>
    <hyperlink ref="O3418" r:id="rId10302" display="https://pbs.twimg.com/profile_images/662723326096224256/5V4KH9_O_normal.jpg" xr:uid="{87D594E4-43B0-415D-9BD2-87660E0534AC}"/>
    <hyperlink ref="B3419" r:id="rId10303" display="https://twitter.com/INDIZbot" xr:uid="{AE4CF24A-F771-4267-8213-62A0FA8EAB98}"/>
    <hyperlink ref="E3419" r:id="rId10304" display="https://twitter.com/INDIZbot/status/724458349966823424" xr:uid="{CCAA54D4-7470-4E07-B9B1-3578CF879109}"/>
    <hyperlink ref="O3419" r:id="rId10305" display="https://pbs.twimg.com/profile_images/645716711723925506/t5G0qOS6_normal.jpg" xr:uid="{3D92D3C1-0D21-455C-AD4E-CA807AC556F9}"/>
    <hyperlink ref="B3420" r:id="rId10306" display="https://twitter.com/amortisat" xr:uid="{14311F4F-E56F-41ED-8D45-7FBD0A8EFC9C}"/>
    <hyperlink ref="E3420" r:id="rId10307" display="https://twitter.com/amortisat/status/724458946296176640" xr:uid="{E342319C-CA86-409F-9333-985871289D83}"/>
    <hyperlink ref="O3420" r:id="rId10308" display="https://pbs.twimg.com/profile_images/491969100977954816/_r5shUkP_normal.png" xr:uid="{822209FB-1E25-4D14-9E20-0450BDD8630C}"/>
    <hyperlink ref="B3421" r:id="rId10309" display="https://twitter.com/Ahmed_Adel" xr:uid="{108956C0-3928-4F6F-9F01-BCA90AF5C791}"/>
    <hyperlink ref="E3421" r:id="rId10310" display="https://twitter.com/Ahmed_Adel/status/724460316038434818" xr:uid="{85B03C44-E6E5-4427-9357-17E97582971C}"/>
    <hyperlink ref="O3421" r:id="rId10311" display="https://pbs.twimg.com/profile_images/623408883063631872/6sdKJAKP_normal.jpg" xr:uid="{F378D3E1-5AA2-4188-8783-B5B040A1141B}"/>
    <hyperlink ref="B3422" r:id="rId10312" display="https://twitter.com/stratadatalabs" xr:uid="{5124F914-8DF8-41BF-859F-0E920DAA2EC7}"/>
    <hyperlink ref="E3422" r:id="rId10313" display="https://twitter.com/stratadatalabs/status/724460623153737728" xr:uid="{0E617630-1A61-4421-9A6F-DCCF20C5DD1D}"/>
    <hyperlink ref="O3422" r:id="rId10314" display="https://pbs.twimg.com/profile_images/711547897683300352/jXMuRekr_normal.jpg" xr:uid="{5BE19C73-E9BF-4012-BD95-308AE8A3DBE2}"/>
    <hyperlink ref="B3423" r:id="rId10315" display="https://twitter.com/INDIZbot" xr:uid="{57ADDE8C-1B73-4910-849E-8879242880ED}"/>
    <hyperlink ref="E3423" r:id="rId10316" display="https://twitter.com/INDIZbot/status/724463380942204928" xr:uid="{AE56E8B2-677C-45B1-B60D-7FCAD25E2DC5}"/>
    <hyperlink ref="O3423" r:id="rId10317" display="https://pbs.twimg.com/profile_images/645716711723925506/t5G0qOS6_normal.jpg" xr:uid="{FCA18136-7AC6-45C7-9C03-829CAF25459B}"/>
    <hyperlink ref="B3424" r:id="rId10318" display="https://twitter.com/hjvsch" xr:uid="{CC933B90-39B4-4BF5-A029-D009390C3F70}"/>
    <hyperlink ref="E3424" r:id="rId10319" display="https://twitter.com/hjvsch/status/724463870178414592" xr:uid="{3373DDAD-0A12-4D64-90AE-B073271C129A}"/>
    <hyperlink ref="O3424" r:id="rId10320" display="https://pbs.twimg.com/profile_images/704596570717683712/S63wpVif_normal.jpg" xr:uid="{C6DC6877-F337-4FD2-8CFF-A444B8C2972C}"/>
    <hyperlink ref="B3425" r:id="rId10321" display="https://twitter.com/EVM_dk" xr:uid="{8539BE79-7A7F-499C-843E-820E4747F536}"/>
    <hyperlink ref="E3425" r:id="rId10322" display="https://twitter.com/EVM_dk/status/724464334991155200" xr:uid="{485C6E94-3314-4812-A902-05700F1189E3}"/>
    <hyperlink ref="O3425" r:id="rId10323" display="https://pbs.twimg.com/profile_images/664791397116026880/JzTJUnHj_normal.png" xr:uid="{D1502384-8DAF-47B7-B1C9-7CAC7D415DF8}"/>
    <hyperlink ref="B3426" r:id="rId10324" display="https://twitter.com/PKwissenswertes" xr:uid="{7D8E9A87-2F3F-45DB-A8E1-EAF5908D6EF9}"/>
    <hyperlink ref="E3426" r:id="rId10325" display="https://twitter.com/PKwissenswertes/status/724465252755185665" xr:uid="{E8B1D22A-EB89-4866-9A37-8FE7A5BACA3B}"/>
    <hyperlink ref="O3426" r:id="rId10326" display="https://pbs.twimg.com/profile_images/563972137573441536/oLvWhcKJ_normal.jpeg" xr:uid="{3FA9B031-1D99-4F05-823E-62AD16A1EB44}"/>
    <hyperlink ref="B3427" r:id="rId10327" display="https://twitter.com/juliewillemoe" xr:uid="{72CFFF49-EEE4-462C-907E-E5AC06CBE905}"/>
    <hyperlink ref="E3427" r:id="rId10328" display="https://twitter.com/juliewillemoe/status/724466553341784065" xr:uid="{313B1D65-D240-422B-A911-7648D728DDD2}"/>
    <hyperlink ref="O3427" r:id="rId10329" display="https://pbs.twimg.com/profile_images/514702909749985282/EneB6HL2_normal.jpeg" xr:uid="{D6A22AAE-1DA1-46C8-979B-68AD25CFEBAD}"/>
    <hyperlink ref="B3428" r:id="rId10330" display="https://twitter.com/3dindustries" xr:uid="{A91CDE99-2C48-416D-A2C2-7D349D5660CF}"/>
    <hyperlink ref="E3428" r:id="rId10331" display="https://twitter.com/3dindustries/status/724468793884422144" xr:uid="{A5B2642F-1692-45EB-875D-F4B41A04D6CD}"/>
    <hyperlink ref="O3428" r:id="rId10332" display="https://pbs.twimg.com/profile_images/2411691224/dqzws5vy52cahjax24gk_normal.jpeg" xr:uid="{029E2198-2CC2-4FC8-9E8B-2A621BDC1359}"/>
    <hyperlink ref="B3429" r:id="rId10333" display="https://twitter.com/DruckWege" xr:uid="{AF262C0E-9B3E-4699-A340-139173EE2F3D}"/>
    <hyperlink ref="E3429" r:id="rId10334" display="https://twitter.com/DruckWege/status/724468906463768576" xr:uid="{5528CD30-B9A8-45F8-8DDC-6556EE334C66}"/>
    <hyperlink ref="O3429" r:id="rId10335" display="https://pbs.twimg.com/profile_images/546342267875643393/j-IahLSz_normal.png" xr:uid="{BDB0E3A7-3DCB-414A-BF2C-39B1AD118238}"/>
    <hyperlink ref="B3430" r:id="rId10336" display="https://twitter.com/ToreKeller" xr:uid="{D47AB638-5DEB-4238-BE06-662E2D5B153B}"/>
    <hyperlink ref="E3430" r:id="rId10337" display="https://twitter.com/ToreKeller/status/724469097367502848" xr:uid="{6DDCC7E1-4E9E-4CF9-B298-6B0C3ED198E4}"/>
    <hyperlink ref="O3430" r:id="rId10338" display="https://pbs.twimg.com/profile_images/722335308587667456/D9WBDm85_normal.jpg" xr:uid="{8277FB00-087C-4058-B3A4-F9615EFD6553}"/>
    <hyperlink ref="B3431" r:id="rId10339" display="https://twitter.com/3D_Genuity" xr:uid="{30D810BC-221E-42DD-9BE2-C5CC3A30EEBF}"/>
    <hyperlink ref="E3431" r:id="rId10340" display="https://twitter.com/3D_Genuity/status/724469143529992192" xr:uid="{49D5F416-0E17-4BCD-B1B0-1CA58E40DAEE}"/>
    <hyperlink ref="O3431" r:id="rId10341" display="https://pbs.twimg.com/profile_images/525336344407453696/5YpBXTz6_normal.jpeg" xr:uid="{D91D96D4-D92F-4A1C-9B93-EE11550E0715}"/>
    <hyperlink ref="B3432" r:id="rId10342" display="https://twitter.com/NaciraSALVAN" xr:uid="{D92041E1-FDC5-4C59-9122-C11AFD668D06}"/>
    <hyperlink ref="E3432" r:id="rId10343" display="https://twitter.com/NaciraSALVAN/status/724469404352806912" xr:uid="{B4DB62CC-EE0B-4BDB-9CDE-97605E661E4D}"/>
    <hyperlink ref="O3432" r:id="rId10344" display="https://pbs.twimg.com/profile_images/717605975033831424/z66K0Oon_normal.jpg" xr:uid="{32324CDE-2D8D-410C-AACE-D9F1E847BD2E}"/>
    <hyperlink ref="B3433" r:id="rId10345" display="https://twitter.com/LReehten" xr:uid="{A8CE9577-D82A-4A27-A66B-555091B62D6D}"/>
    <hyperlink ref="E3433" r:id="rId10346" display="https://twitter.com/LReehten/status/724469421293604864" xr:uid="{D17A5709-9A96-452A-863C-B16F51AEA89C}"/>
    <hyperlink ref="O3433" r:id="rId10347" display="https://pbs.twimg.com/profile_images/623849156159868928/BetFDR_i_normal.jpg" xr:uid="{D211B24F-1398-49BB-BED8-38D49D74AF8B}"/>
    <hyperlink ref="B3434" r:id="rId10348" display="https://twitter.com/MartinGaedt" xr:uid="{C7D255B6-83FD-4FC7-8C74-EE631938FE69}"/>
    <hyperlink ref="E3434" r:id="rId10349" display="https://twitter.com/MartinGaedt/status/724469534254620672" xr:uid="{472540D1-0EBC-4C77-943E-26BF2BD1AD39}"/>
    <hyperlink ref="O3434" r:id="rId10350" display="https://pbs.twimg.com/profile_images/709444980553740288/Xds-Aan6_normal.jpg" xr:uid="{DC253C9C-64CB-4A1D-B2C4-2197D05AD9B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#industrie40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Mathias Engel</cp:lastModifiedBy>
  <dcterms:created xsi:type="dcterms:W3CDTF">2024-04-04T06:02:42Z</dcterms:created>
  <dcterms:modified xsi:type="dcterms:W3CDTF">2024-04-04T06:03:01Z</dcterms:modified>
</cp:coreProperties>
</file>