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rian/Desktop/2024/"/>
    </mc:Choice>
  </mc:AlternateContent>
  <xr:revisionPtr revIDLastSave="0" documentId="8_{53F18B3C-75AE-654D-AFFC-7FBD73391E2F}" xr6:coauthVersionLast="47" xr6:coauthVersionMax="47" xr10:uidLastSave="{00000000-0000-0000-0000-000000000000}"/>
  <bookViews>
    <workbookView xWindow="0" yWindow="500" windowWidth="38400" windowHeight="19580" tabRatio="823" xr2:uid="{00000000-000D-0000-FFFF-FFFF00000000}"/>
  </bookViews>
  <sheets>
    <sheet name="CTE EMITIDOS LIC. ABRIL 2024" sheetId="27" r:id="rId1"/>
    <sheet name="CTE.EMITIDOS POSG. ABRIL 2024" sheetId="29" r:id="rId2"/>
  </sheets>
  <definedNames>
    <definedName name="_xlnm.Print_Area" localSheetId="0">'CTE EMITIDOS LIC. ABRIL 2024'!$A$1:$T$177</definedName>
    <definedName name="_xlnm.Print_Area" localSheetId="1">'CTE.EMITIDOS POSG. ABRIL 2024'!$A$1:$U$27</definedName>
    <definedName name="_xlnm.Print_Titles" localSheetId="0">'CTE EMITIDOS LIC. ABRIL 2024'!$1:$6</definedName>
    <definedName name="_xlnm.Print_Titles" localSheetId="1">'CTE.EMITIDOS POSG. ABRIL 2024'!$1:$6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29" l="1"/>
  <c r="U26" i="29"/>
  <c r="U23" i="29"/>
  <c r="U21" i="29"/>
  <c r="U20" i="29"/>
  <c r="S144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24" i="27"/>
  <c r="S101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S75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S51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S28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75" i="27" l="1"/>
  <c r="T51" i="27"/>
  <c r="T144" i="27"/>
  <c r="T28" i="27"/>
  <c r="T125" i="27"/>
  <c r="T101" i="27"/>
  <c r="S17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 l="1"/>
  <c r="J27" i="29"/>
  <c r="I125" i="27"/>
  <c r="S27" i="29"/>
  <c r="R28" i="27"/>
  <c r="R51" i="27"/>
  <c r="R75" i="27"/>
  <c r="R101" i="27"/>
  <c r="R125" i="27"/>
  <c r="R144" i="27"/>
  <c r="R172" i="27" l="1"/>
  <c r="B25" i="29"/>
  <c r="U25" i="29" s="1"/>
  <c r="B22" i="29"/>
  <c r="U22" i="29" s="1"/>
  <c r="K13" i="29"/>
  <c r="K27" i="29" s="1"/>
  <c r="B15" i="29"/>
  <c r="U15" i="29" s="1"/>
  <c r="R27" i="29"/>
  <c r="Q27" i="29"/>
  <c r="P27" i="29"/>
  <c r="O27" i="29"/>
  <c r="N27" i="29"/>
  <c r="M27" i="29"/>
  <c r="L27" i="29"/>
  <c r="I27" i="29"/>
  <c r="H27" i="29"/>
  <c r="G27" i="29"/>
  <c r="F27" i="29"/>
  <c r="E27" i="29"/>
  <c r="D27" i="29"/>
  <c r="C27" i="29"/>
  <c r="Q172" i="27"/>
  <c r="P172" i="27"/>
  <c r="O172" i="27"/>
  <c r="N172" i="27"/>
  <c r="M172" i="27"/>
  <c r="L172" i="27"/>
  <c r="K172" i="27"/>
  <c r="J172" i="27"/>
  <c r="I172" i="27"/>
  <c r="H172" i="27"/>
  <c r="G172" i="27"/>
  <c r="F172" i="27"/>
  <c r="E172" i="27"/>
  <c r="D172" i="27"/>
  <c r="C172" i="27"/>
  <c r="B172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D144" i="27"/>
  <c r="C144" i="27"/>
  <c r="B144" i="27"/>
  <c r="Q125" i="27"/>
  <c r="P125" i="27"/>
  <c r="O125" i="27"/>
  <c r="N125" i="27"/>
  <c r="M125" i="27"/>
  <c r="L125" i="27"/>
  <c r="K125" i="27"/>
  <c r="J125" i="27"/>
  <c r="H125" i="27"/>
  <c r="G125" i="27"/>
  <c r="F125" i="27"/>
  <c r="E125" i="27"/>
  <c r="D125" i="27"/>
  <c r="C125" i="27"/>
  <c r="B125" i="27"/>
  <c r="Q101" i="27"/>
  <c r="P101" i="27"/>
  <c r="O101" i="27"/>
  <c r="N101" i="27"/>
  <c r="M101" i="27"/>
  <c r="L101" i="27"/>
  <c r="K101" i="27"/>
  <c r="J101" i="27"/>
  <c r="I101" i="27"/>
  <c r="H101" i="27"/>
  <c r="G101" i="27"/>
  <c r="F101" i="27"/>
  <c r="E101" i="27"/>
  <c r="D101" i="27"/>
  <c r="C101" i="27"/>
  <c r="B101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75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B18" i="29" l="1"/>
  <c r="U18" i="29" s="1"/>
  <c r="B13" i="29"/>
  <c r="U13" i="29" s="1"/>
  <c r="S125" i="27"/>
  <c r="B14" i="29" l="1"/>
  <c r="U14" i="29" s="1"/>
  <c r="B16" i="29"/>
  <c r="U16" i="29" s="1"/>
  <c r="B24" i="29"/>
  <c r="U24" i="29" s="1"/>
  <c r="B17" i="29" l="1"/>
  <c r="U17" i="29" s="1"/>
  <c r="B19" i="29" l="1"/>
  <c r="U19" i="29" s="1"/>
  <c r="U27" i="29" s="1"/>
  <c r="B27" i="29" l="1"/>
</calcChain>
</file>

<file path=xl/sharedStrings.xml><?xml version="1.0" encoding="utf-8"?>
<sst xmlns="http://schemas.openxmlformats.org/spreadsheetml/2006/main" count="312" uniqueCount="65">
  <si>
    <t>Total</t>
  </si>
  <si>
    <t>Licenciatura</t>
  </si>
  <si>
    <t>Tabla 1.- Documentos emitidos por cada licenciatura para el plantel Casa Libertad</t>
  </si>
  <si>
    <t>Tabla 2.- Documentos emitidos por cada licenciatura para el plantel Centro Histórico</t>
  </si>
  <si>
    <t>Tabla 3.- Documentos emitidos por cada licenciatura para el plantel Colonia Del Valle</t>
  </si>
  <si>
    <t>2007</t>
  </si>
  <si>
    <t>2008</t>
  </si>
  <si>
    <t>2009</t>
  </si>
  <si>
    <t>2010</t>
  </si>
  <si>
    <t>2011</t>
  </si>
  <si>
    <t>2012</t>
  </si>
  <si>
    <t>2013</t>
  </si>
  <si>
    <t>POSGRADO</t>
  </si>
  <si>
    <t>2006</t>
  </si>
  <si>
    <t>Tabla 1.- Documentos emitidos para Posgrado</t>
  </si>
  <si>
    <t>Tabla 5.- Documentos emitidos por cada licenciatura para el plantel Cuautepec</t>
  </si>
  <si>
    <t>2015</t>
  </si>
  <si>
    <t>ARTE Y PATRIMONIO CULTURAL</t>
  </si>
  <si>
    <t>CIENCIA POLÍTICA Y ADMINISTRACIÓN URBANA</t>
  </si>
  <si>
    <t>CIENCIAS SOCIALES</t>
  </si>
  <si>
    <t>COMUNICACIÓN Y CULTURA</t>
  </si>
  <si>
    <t>CREACIÓN LITERARIA</t>
  </si>
  <si>
    <t>DERECHO</t>
  </si>
  <si>
    <t>FILOSOFÍA E HISTORIA DE LAS IDEAS</t>
  </si>
  <si>
    <t xml:space="preserve">HISTORIA Y SOCIEDAD CONTEMPORANÉA </t>
  </si>
  <si>
    <t>INGENIERÍA EN SISTEMAS DE TRANSPORTE URBANO</t>
  </si>
  <si>
    <t>INGENIERÍA EN SISTEMAS ELECTRONICOS INDUSTRIALES</t>
  </si>
  <si>
    <t>INGENIERÍA EN SISTEMAS ELECTRÓNICOS Y DE TELECOMUNICACIONES</t>
  </si>
  <si>
    <t>PROMOCIÓN DE LA SALUD</t>
  </si>
  <si>
    <t>DOCTORADO EN PENSAMIENTO Y CULTURA EN AMÉRICA LATINA</t>
  </si>
  <si>
    <t>DOCTORADO EN CIENCIAS GENÓMICAS</t>
  </si>
  <si>
    <t>MAESTRÍA EN CIENCIAS GENÓMICAS</t>
  </si>
  <si>
    <t>MAESTRÍA EN CIENCIAS SOCIALES</t>
  </si>
  <si>
    <t>MAESTRÍA EN DEFENSA Y PROMOCIÓN DE LOS DERECHOS HUMANOS</t>
  </si>
  <si>
    <t>MAESTRÍA EN DIDÁCTICA Y CONCIENCIA HISTÓRICA</t>
  </si>
  <si>
    <t>MAESTRÍA EN DINÁMICA NO LINEAL</t>
  </si>
  <si>
    <t>MAESTRÍA EN EDUCACIÓN AMBIENTAL</t>
  </si>
  <si>
    <t>MAESTRÍA EN CIENCIAS DE LA COMPLEJIDAD</t>
  </si>
  <si>
    <t>MAESTRÍA EN FUENTES RENOVABLES DE ENERGÍA Y EFICIENCIA ENERGÉTICA</t>
  </si>
  <si>
    <t>MAESTRÍA EN PENSAMIENTO Y CULTURA EN AMÉRICA LATINA</t>
  </si>
  <si>
    <t>MAESTRÍA EN ESTUDIOS DE LA CIUDAD</t>
  </si>
  <si>
    <t>2016</t>
  </si>
  <si>
    <t>2017</t>
  </si>
  <si>
    <t>INGENIERÍA EN SISTEMAS ENERGÉTICOS</t>
  </si>
  <si>
    <t>2014</t>
  </si>
  <si>
    <t>INGENIERÍA DE SOFTWARE</t>
  </si>
  <si>
    <t>CIENCIAS GENÓMICAS</t>
  </si>
  <si>
    <t>NUTRICIÓN Y SALUD</t>
  </si>
  <si>
    <t>MAESTRÍA EN INGENIERÍA ENERGÉTICA</t>
  </si>
  <si>
    <t>2018</t>
  </si>
  <si>
    <t>CIENCIAS AMBIENTALES Y CAMBIO CLIMÁTICO</t>
  </si>
  <si>
    <t>DOCTORADO EN ESTUDIOS DE LA CIUDAD</t>
  </si>
  <si>
    <t>2019</t>
  </si>
  <si>
    <t>MODELACIÓN MATEMÁTICA</t>
  </si>
  <si>
    <t>2020</t>
  </si>
  <si>
    <t>2021</t>
  </si>
  <si>
    <t>Tabla 4.- Documentos emitidos por cada licenciatura para el plantel San Lorenzo Tezonco</t>
  </si>
  <si>
    <t>Tabla 6.- Documentos emitidos para PESCER</t>
  </si>
  <si>
    <t>Tabla 7.- Documentos emitidos para cada licenciatura en todos los planteles</t>
  </si>
  <si>
    <t>2022</t>
  </si>
  <si>
    <t>PROTECCIÓN CIVIL Y GESTIÓN DE RIESGOS</t>
  </si>
  <si>
    <t>2023</t>
  </si>
  <si>
    <t xml:space="preserve"> </t>
  </si>
  <si>
    <t>2024</t>
  </si>
  <si>
    <t>Reporte de Emisión de Certificados de Terminación de Estudios con corte al 30 de abril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</si>
</sst>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* #,##0.00_-;\-[$€-2]* #,##0.00_-;_-[$€-2]* &quot;-&quot;??_-"/>
  </numFmts>
  <fonts count="17" x14ac:knownFonts="1">
    <font>
      <sz val="11"/>
      <color theme="1"/>
      <name val="Rockwell"/>
      <family val="2"/>
      <scheme val="minor"/>
    </font>
    <font>
      <sz val="8"/>
      <name val="Arial"/>
      <family val="2"/>
    </font>
    <font>
      <sz val="11"/>
      <name val="Arial"/>
      <family val="2"/>
    </font>
    <font>
      <sz val="8"/>
      <color theme="1"/>
      <name val="Tahoma"/>
      <family val="2"/>
    </font>
    <font>
      <sz val="11"/>
      <color theme="0"/>
      <name val="Rockwell"/>
      <family val="2"/>
      <scheme val="minor"/>
    </font>
    <font>
      <sz val="11"/>
      <name val="Rockwell"/>
      <family val="2"/>
      <scheme val="minor"/>
    </font>
    <font>
      <sz val="14"/>
      <name val="Arial"/>
      <family val="2"/>
    </font>
    <font>
      <sz val="11"/>
      <name val="Rockwell"/>
      <family val="1"/>
      <scheme val="minor"/>
    </font>
    <font>
      <sz val="11"/>
      <color theme="1"/>
      <name val="Rockwell"/>
      <family val="2"/>
      <scheme val="minor"/>
    </font>
    <font>
      <b/>
      <sz val="11"/>
      <name val="Rockwell"/>
      <family val="1"/>
      <scheme val="minor"/>
    </font>
    <font>
      <sz val="8"/>
      <name val="Rockwell"/>
      <family val="2"/>
      <scheme val="minor"/>
    </font>
    <font>
      <sz val="11"/>
      <name val="Rockwell"/>
      <family val="1"/>
      <scheme val="minor"/>
    </font>
    <font>
      <sz val="11"/>
      <name val="Rockwell"/>
      <family val="1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Rockwell"/>
      <family val="1"/>
      <scheme val="major"/>
    </font>
    <font>
      <b/>
      <sz val="11"/>
      <name val="Rockwell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 applyAlignment="1">
      <alignment vertical="center"/>
    </xf>
    <xf numFmtId="0" fontId="5" fillId="2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5" fillId="2" borderId="0" xfId="1" quotePrefix="1" applyFont="1" applyFill="1" applyAlignment="1">
      <alignment horizontal="center"/>
    </xf>
    <xf numFmtId="0" fontId="5" fillId="0" borderId="0" xfId="0" applyFont="1"/>
    <xf numFmtId="0" fontId="5" fillId="3" borderId="0" xfId="1" quotePrefix="1" applyFont="1" applyFill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1" applyFill="1" applyAlignment="1">
      <alignment horizontal="center"/>
    </xf>
    <xf numFmtId="0" fontId="2" fillId="0" borderId="0" xfId="1" applyFont="1" applyAlignment="1">
      <alignment vertical="center"/>
    </xf>
    <xf numFmtId="0" fontId="9" fillId="0" borderId="0" xfId="1" applyFont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2" fillId="0" borderId="0" xfId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quotePrefix="1" applyFont="1" applyAlignment="1">
      <alignment horizontal="center"/>
    </xf>
    <xf numFmtId="0" fontId="13" fillId="2" borderId="0" xfId="1" applyFont="1" applyFill="1" applyAlignment="1">
      <alignment horizontal="center"/>
    </xf>
    <xf numFmtId="0" fontId="7" fillId="0" borderId="0" xfId="1" applyFont="1" applyAlignment="1">
      <alignment horizontal="center"/>
    </xf>
    <xf numFmtId="0" fontId="14" fillId="2" borderId="0" xfId="1" applyFont="1" applyFill="1" applyAlignment="1">
      <alignment horizontal="center"/>
    </xf>
    <xf numFmtId="0" fontId="9" fillId="0" borderId="0" xfId="1" quotePrefix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1" applyFont="1" applyAlignment="1">
      <alignment horizontal="center"/>
    </xf>
    <xf numFmtId="0" fontId="15" fillId="2" borderId="0" xfId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1" quotePrefix="1" applyFont="1" applyAlignment="1">
      <alignment horizontal="center"/>
    </xf>
    <xf numFmtId="0" fontId="13" fillId="0" borderId="0" xfId="1" applyFont="1" applyAlignment="1">
      <alignment horizontal="center"/>
    </xf>
    <xf numFmtId="0" fontId="13" fillId="3" borderId="0" xfId="1" applyFont="1" applyFill="1" applyAlignment="1">
      <alignment horizontal="center"/>
    </xf>
    <xf numFmtId="0" fontId="14" fillId="5" borderId="0" xfId="1" applyFont="1" applyFill="1" applyAlignment="1">
      <alignment horizontal="center"/>
    </xf>
    <xf numFmtId="0" fontId="5" fillId="2" borderId="0" xfId="1" applyFont="1" applyFill="1" applyAlignment="1">
      <alignment wrapText="1"/>
    </xf>
    <xf numFmtId="0" fontId="5" fillId="4" borderId="0" xfId="1" applyFont="1" applyFill="1" applyAlignment="1">
      <alignment wrapText="1"/>
    </xf>
    <xf numFmtId="0" fontId="0" fillId="2" borderId="0" xfId="1" applyFont="1" applyFill="1" applyAlignment="1">
      <alignment wrapText="1"/>
    </xf>
    <xf numFmtId="0" fontId="8" fillId="4" borderId="0" xfId="1" applyFont="1" applyFill="1" applyAlignment="1">
      <alignment wrapText="1"/>
    </xf>
    <xf numFmtId="0" fontId="0" fillId="4" borderId="0" xfId="1" applyFont="1" applyFill="1" applyAlignment="1">
      <alignment wrapText="1"/>
    </xf>
    <xf numFmtId="0" fontId="8" fillId="2" borderId="0" xfId="1" applyFont="1" applyFill="1" applyAlignment="1">
      <alignment wrapText="1"/>
    </xf>
    <xf numFmtId="0" fontId="6" fillId="0" borderId="0" xfId="1" applyFont="1" applyAlignment="1">
      <alignment horizont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center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0" xfId="1" applyAlignment="1">
      <alignment wrapText="1"/>
    </xf>
    <xf numFmtId="0" fontId="6" fillId="0" borderId="0" xfId="1" applyFont="1" applyAlignment="1">
      <alignment horizontal="center"/>
    </xf>
  </cellXfs>
  <cellStyles count="15">
    <cellStyle name="Euro" xfId="2" xr:uid="{00000000-0005-0000-0000-000000000000}"/>
    <cellStyle name="Normal" xfId="0" builtinId="0"/>
    <cellStyle name="Normal 16" xfId="3" xr:uid="{00000000-0005-0000-0000-000002000000}"/>
    <cellStyle name="Normal 2" xfId="1" xr:uid="{00000000-0005-0000-0000-000003000000}"/>
    <cellStyle name="Normal 35" xfId="4" xr:uid="{00000000-0005-0000-0000-000004000000}"/>
    <cellStyle name="Normal 56" xfId="5" xr:uid="{00000000-0005-0000-0000-000005000000}"/>
    <cellStyle name="Normal 77" xfId="6" xr:uid="{00000000-0005-0000-0000-000006000000}"/>
    <cellStyle name="Normal 78" xfId="7" xr:uid="{00000000-0005-0000-0000-000007000000}"/>
    <cellStyle name="Normal 79" xfId="8" xr:uid="{00000000-0005-0000-0000-000008000000}"/>
    <cellStyle name="Normal 80" xfId="9" xr:uid="{00000000-0005-0000-0000-000009000000}"/>
    <cellStyle name="Normal 81" xfId="10" xr:uid="{00000000-0005-0000-0000-00000A000000}"/>
    <cellStyle name="Normal 82" xfId="11" xr:uid="{00000000-0005-0000-0000-00000B000000}"/>
    <cellStyle name="Normal 83" xfId="12" xr:uid="{00000000-0005-0000-0000-00000C000000}"/>
    <cellStyle name="Normal 84" xfId="13" xr:uid="{00000000-0005-0000-0000-00000D000000}"/>
    <cellStyle name="Porcentual 2" xfId="14" xr:uid="{00000000-0005-0000-0000-00000E000000}"/>
  </cellStyles>
  <dxfs count="3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FFFFFF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aj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aj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ckwell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9509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0</xdr:row>
      <xdr:rowOff>0</xdr:rowOff>
    </xdr:from>
    <xdr:to>
      <xdr:col>13</xdr:col>
      <xdr:colOff>257175</xdr:colOff>
      <xdr:row>6</xdr:row>
      <xdr:rowOff>57151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42901" y="0"/>
          <a:ext cx="12766674" cy="920751"/>
          <a:chOff x="180975" y="0"/>
          <a:chExt cx="9458325" cy="1098500"/>
        </a:xfrm>
      </xdr:grpSpPr>
      <xdr:pic>
        <xdr:nvPicPr>
          <xdr:cNvPr id="3" name="2 Imagen" descr="pleca_CCyR01.tif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21761"/>
          <a:stretch>
            <a:fillRect/>
          </a:stretch>
        </xdr:blipFill>
        <xdr:spPr>
          <a:xfrm>
            <a:off x="5779951" y="0"/>
            <a:ext cx="3825579" cy="1098500"/>
          </a:xfrm>
          <a:prstGeom prst="rect">
            <a:avLst/>
          </a:prstGeom>
        </xdr:spPr>
      </xdr:pic>
      <xdr:grpSp>
        <xdr:nvGrpSpPr>
          <xdr:cNvPr id="4" name="10 Grup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180975" y="0"/>
            <a:ext cx="9458325" cy="1098500"/>
            <a:chOff x="180975" y="0"/>
            <a:chExt cx="9458325" cy="1098500"/>
          </a:xfrm>
        </xdr:grpSpPr>
        <xdr:pic>
          <xdr:nvPicPr>
            <xdr:cNvPr id="5" name="4 Imagen" descr="pleca_CCyR01.tif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rcRect r="73256"/>
            <a:stretch>
              <a:fillRect/>
            </a:stretch>
          </xdr:blipFill>
          <xdr:spPr>
            <a:xfrm>
              <a:off x="180975" y="0"/>
              <a:ext cx="1532659" cy="1098500"/>
            </a:xfrm>
            <a:prstGeom prst="rect">
              <a:avLst/>
            </a:prstGeom>
          </xdr:spPr>
        </xdr:pic>
        <xdr:cxnSp macro="">
          <xdr:nvCxnSpPr>
            <xdr:cNvPr id="6" name="4 Conector recto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198293" y="887558"/>
              <a:ext cx="9441007" cy="158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0</xdr:row>
      <xdr:rowOff>0</xdr:rowOff>
    </xdr:from>
    <xdr:to>
      <xdr:col>14</xdr:col>
      <xdr:colOff>257175</xdr:colOff>
      <xdr:row>6</xdr:row>
      <xdr:rowOff>57151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42901" y="0"/>
          <a:ext cx="11699874" cy="920751"/>
          <a:chOff x="180975" y="0"/>
          <a:chExt cx="9458325" cy="1098500"/>
        </a:xfrm>
      </xdr:grpSpPr>
      <xdr:pic>
        <xdr:nvPicPr>
          <xdr:cNvPr id="3" name="2 Imagen" descr="pleca_CCyR01.tif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21761"/>
          <a:stretch>
            <a:fillRect/>
          </a:stretch>
        </xdr:blipFill>
        <xdr:spPr>
          <a:xfrm>
            <a:off x="5779951" y="0"/>
            <a:ext cx="3825579" cy="1098500"/>
          </a:xfrm>
          <a:prstGeom prst="rect">
            <a:avLst/>
          </a:prstGeom>
        </xdr:spPr>
      </xdr:pic>
      <xdr:grpSp>
        <xdr:nvGrpSpPr>
          <xdr:cNvPr id="4" name="10 Grupo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180975" y="0"/>
            <a:ext cx="9458325" cy="1098500"/>
            <a:chOff x="180975" y="0"/>
            <a:chExt cx="9458325" cy="1098500"/>
          </a:xfrm>
        </xdr:grpSpPr>
        <xdr:pic>
          <xdr:nvPicPr>
            <xdr:cNvPr id="5" name="4 Imagen" descr="pleca_CCyR01.tif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rcRect r="73256"/>
            <a:stretch>
              <a:fillRect/>
            </a:stretch>
          </xdr:blipFill>
          <xdr:spPr>
            <a:xfrm>
              <a:off x="180975" y="0"/>
              <a:ext cx="1532659" cy="1098500"/>
            </a:xfrm>
            <a:prstGeom prst="rect">
              <a:avLst/>
            </a:prstGeom>
          </xdr:spPr>
        </xdr:pic>
        <xdr:cxnSp macro="">
          <xdr:nvCxnSpPr>
            <xdr:cNvPr id="6" name="4 Conector recto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CxnSpPr/>
          </xdr:nvCxnSpPr>
          <xdr:spPr>
            <a:xfrm>
              <a:off x="198293" y="887558"/>
              <a:ext cx="9441007" cy="158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a53932431311" displayName="Tabla53932431311" ref="A12:T28" totalsRowCount="1" headerRowDxfId="337" dataDxfId="336" totalsRowDxfId="335" headerRowCellStyle="Normal 2" dataCellStyle="Normal 2" totalsRowCellStyle="Normal 2">
  <tableColumns count="20">
    <tableColumn id="1" xr3:uid="{00000000-0010-0000-0000-000001000000}" name="Licenciatura" totalsRowLabel="Total" dataDxfId="334" totalsRowDxfId="333"/>
    <tableColumn id="2" xr3:uid="{00000000-0010-0000-0000-000002000000}" name="2007" totalsRowFunction="sum" dataDxfId="332" totalsRowDxfId="331" dataCellStyle="Normal 2"/>
    <tableColumn id="3" xr3:uid="{00000000-0010-0000-0000-000003000000}" name="2008" totalsRowFunction="sum" dataDxfId="330" totalsRowDxfId="329" dataCellStyle="Normal 2"/>
    <tableColumn id="4" xr3:uid="{00000000-0010-0000-0000-000004000000}" name="2009" totalsRowFunction="sum" dataDxfId="328" totalsRowDxfId="327" dataCellStyle="Normal 2"/>
    <tableColumn id="5" xr3:uid="{00000000-0010-0000-0000-000005000000}" name="2010" totalsRowFunction="sum" dataDxfId="326" totalsRowDxfId="325" dataCellStyle="Normal 2"/>
    <tableColumn id="6" xr3:uid="{00000000-0010-0000-0000-000006000000}" name="2011" totalsRowFunction="sum" dataDxfId="324" totalsRowDxfId="323" dataCellStyle="Normal 2"/>
    <tableColumn id="7" xr3:uid="{00000000-0010-0000-0000-000007000000}" name="2012" totalsRowFunction="sum" dataDxfId="322" totalsRowDxfId="321" dataCellStyle="Normal 2"/>
    <tableColumn id="8" xr3:uid="{00000000-0010-0000-0000-000008000000}" name="2013" totalsRowFunction="sum" dataDxfId="320" totalsRowDxfId="319" dataCellStyle="Normal 2"/>
    <tableColumn id="10" xr3:uid="{00000000-0010-0000-0000-00000A000000}" name="2014" totalsRowFunction="custom" dataDxfId="318" totalsRowDxfId="317" dataCellStyle="Normal 2">
      <totalsRowFormula>SUM(I13:I27)</totalsRowFormula>
    </tableColumn>
    <tableColumn id="9" xr3:uid="{00000000-0010-0000-0000-000009000000}" name="2015" totalsRowFunction="sum" dataDxfId="316" totalsRowDxfId="315" dataCellStyle="Normal 2"/>
    <tableColumn id="11" xr3:uid="{00000000-0010-0000-0000-00000B000000}" name="2016" totalsRowFunction="sum" dataDxfId="314" totalsRowDxfId="313" dataCellStyle="Normal 2"/>
    <tableColumn id="14" xr3:uid="{00000000-0010-0000-0000-00000E000000}" name="2017" totalsRowFunction="sum" dataDxfId="312" totalsRowDxfId="311" dataCellStyle="Normal 2"/>
    <tableColumn id="12" xr3:uid="{00000000-0010-0000-0000-00000C000000}" name="2018" totalsRowFunction="sum" dataDxfId="310" totalsRowDxfId="309" dataCellStyle="Normal 2"/>
    <tableColumn id="16" xr3:uid="{00000000-0010-0000-0000-000010000000}" name="2019" totalsRowFunction="sum" dataDxfId="308" totalsRowDxfId="307" dataCellStyle="Normal 2"/>
    <tableColumn id="15" xr3:uid="{00000000-0010-0000-0000-00000F000000}" name="2020" totalsRowFunction="sum" dataDxfId="306" totalsRowDxfId="305" dataCellStyle="Normal 2"/>
    <tableColumn id="17" xr3:uid="{00000000-0010-0000-0000-000011000000}" name="2021" totalsRowFunction="sum" dataDxfId="304" totalsRowDxfId="303" dataCellStyle="Normal 2"/>
    <tableColumn id="19" xr3:uid="{00000000-0010-0000-0000-000013000000}" name="2022" totalsRowFunction="sum" dataDxfId="302" totalsRowDxfId="301" dataCellStyle="Normal 2"/>
    <tableColumn id="20" xr3:uid="{00000000-0010-0000-0000-000014000000}" name="2023" totalsRowFunction="sum" dataDxfId="300" totalsRowDxfId="299" dataCellStyle="Normal 2"/>
    <tableColumn id="13" xr3:uid="{00000000-0010-0000-0000-00000D000000}" name="2024" totalsRowFunction="sum" dataDxfId="298" totalsRowDxfId="297" dataCellStyle="Normal 2"/>
    <tableColumn id="18" xr3:uid="{00000000-0010-0000-0000-000012000000}" name="Total" totalsRowFunction="sum" dataDxfId="296" totalsRowDxfId="295" dataCellStyle="Normal 2">
      <calculatedColumnFormula>SUM(B13:S13)</calculatedColumnFormula>
    </tableColumn>
  </tableColumns>
  <tableStyleInfo name="TableStyleMedium10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Tabla524042535714" displayName="Tabla524042535714" ref="A35:T51" totalsRowCount="1" headerRowDxfId="294" dataDxfId="293" totalsRowDxfId="292" headerRowCellStyle="Normal 2" dataCellStyle="Normal 2">
  <tableColumns count="20">
    <tableColumn id="1" xr3:uid="{00000000-0010-0000-0100-000001000000}" name="Licenciatura" totalsRowLabel="Total" dataDxfId="291" totalsRowDxfId="290" dataCellStyle="Normal 2"/>
    <tableColumn id="2" xr3:uid="{00000000-0010-0000-0100-000002000000}" name="2007" totalsRowFunction="sum" dataDxfId="289" totalsRowDxfId="288" dataCellStyle="Normal 2"/>
    <tableColumn id="3" xr3:uid="{00000000-0010-0000-0100-000003000000}" name="2008" totalsRowFunction="sum" dataDxfId="287" totalsRowDxfId="286" dataCellStyle="Normal 2"/>
    <tableColumn id="4" xr3:uid="{00000000-0010-0000-0100-000004000000}" name="2009" totalsRowFunction="sum" dataDxfId="285" totalsRowDxfId="284" dataCellStyle="Normal 2"/>
    <tableColumn id="5" xr3:uid="{00000000-0010-0000-0100-000005000000}" name="2010" totalsRowFunction="sum" dataDxfId="283" totalsRowDxfId="282" dataCellStyle="Normal 2"/>
    <tableColumn id="6" xr3:uid="{00000000-0010-0000-0100-000006000000}" name="2011" totalsRowFunction="sum" dataDxfId="281" totalsRowDxfId="280" dataCellStyle="Normal 2"/>
    <tableColumn id="7" xr3:uid="{00000000-0010-0000-0100-000007000000}" name="2012" totalsRowFunction="sum" dataDxfId="279" totalsRowDxfId="278" dataCellStyle="Normal 2"/>
    <tableColumn id="8" xr3:uid="{00000000-0010-0000-0100-000008000000}" name="2013" totalsRowFunction="sum" dataDxfId="277" totalsRowDxfId="276" dataCellStyle="Normal 2"/>
    <tableColumn id="11" xr3:uid="{00000000-0010-0000-0100-00000B000000}" name="2014" totalsRowFunction="custom" dataDxfId="275" totalsRowDxfId="274" dataCellStyle="Normal 2">
      <totalsRowFormula>SUM(I36:I50)</totalsRowFormula>
    </tableColumn>
    <tableColumn id="9" xr3:uid="{00000000-0010-0000-0100-000009000000}" name="2015" totalsRowFunction="sum" dataDxfId="273" totalsRowDxfId="272" dataCellStyle="Normal 2"/>
    <tableColumn id="10" xr3:uid="{00000000-0010-0000-0100-00000A000000}" name="2016" totalsRowFunction="sum" dataDxfId="271" totalsRowDxfId="270" dataCellStyle="Normal 2"/>
    <tableColumn id="12" xr3:uid="{00000000-0010-0000-0100-00000C000000}" name="2017" totalsRowFunction="sum" dataDxfId="269" totalsRowDxfId="268" dataCellStyle="Normal 2"/>
    <tableColumn id="14" xr3:uid="{00000000-0010-0000-0100-00000E000000}" name="2018" totalsRowFunction="sum" dataDxfId="267" totalsRowDxfId="266" dataCellStyle="Normal 2"/>
    <tableColumn id="16" xr3:uid="{00000000-0010-0000-0100-000010000000}" name="2019" totalsRowFunction="sum" dataDxfId="265" totalsRowDxfId="264" dataCellStyle="Normal 2"/>
    <tableColumn id="15" xr3:uid="{00000000-0010-0000-0100-00000F000000}" name="2020" totalsRowFunction="sum" dataDxfId="263" totalsRowDxfId="262" dataCellStyle="Normal 2"/>
    <tableColumn id="17" xr3:uid="{00000000-0010-0000-0100-000011000000}" name="2021" totalsRowFunction="sum" dataDxfId="261" totalsRowDxfId="260" dataCellStyle="Normal 2"/>
    <tableColumn id="18" xr3:uid="{00000000-0010-0000-0100-000012000000}" name="2022" totalsRowFunction="sum" dataDxfId="259" totalsRowDxfId="258" dataCellStyle="Normal 2"/>
    <tableColumn id="19" xr3:uid="{00000000-0010-0000-0100-000013000000}" name="2023" totalsRowFunction="sum" dataDxfId="257" totalsRowDxfId="256" dataCellStyle="Normal 2"/>
    <tableColumn id="13" xr3:uid="{00000000-0010-0000-0100-00000D000000}" name="2024" totalsRowFunction="sum" dataDxfId="255" totalsRowDxfId="254" dataCellStyle="Normal 2"/>
    <tableColumn id="20" xr3:uid="{00000000-0010-0000-0100-000014000000}" name="Total" totalsRowFunction="sum" dataDxfId="253" totalsRowDxfId="252" dataCellStyle="Normal 2">
      <calculatedColumnFormula>SUM(B36:S36)</calculatedColumnFormula>
    </tableColumn>
  </tableColumns>
  <tableStyleInfo name="TableStyleMedium10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Tabla534152632416" displayName="Tabla534152632416" ref="A58:T75" totalsRowCount="1" headerRowDxfId="251" dataDxfId="250" headerRowCellStyle="Normal 2" dataCellStyle="Normal 2">
  <tableColumns count="20">
    <tableColumn id="1" xr3:uid="{00000000-0010-0000-0200-000001000000}" name="Licenciatura" totalsRowLabel="Total" dataDxfId="249" dataCellStyle="Normal 2"/>
    <tableColumn id="2" xr3:uid="{00000000-0010-0000-0200-000002000000}" name="2007" totalsRowFunction="sum" dataDxfId="248" totalsRowDxfId="247" dataCellStyle="Normal 2"/>
    <tableColumn id="3" xr3:uid="{00000000-0010-0000-0200-000003000000}" name="2008" totalsRowFunction="sum" dataDxfId="246" totalsRowDxfId="245" dataCellStyle="Normal 2"/>
    <tableColumn id="4" xr3:uid="{00000000-0010-0000-0200-000004000000}" name="2009" totalsRowFunction="sum" dataDxfId="244" totalsRowDxfId="243" dataCellStyle="Normal 2"/>
    <tableColumn id="5" xr3:uid="{00000000-0010-0000-0200-000005000000}" name="2010" totalsRowFunction="sum" dataDxfId="242" totalsRowDxfId="241" dataCellStyle="Normal 2"/>
    <tableColumn id="6" xr3:uid="{00000000-0010-0000-0200-000006000000}" name="2011" totalsRowFunction="sum" dataDxfId="240" totalsRowDxfId="239" dataCellStyle="Normal 2"/>
    <tableColumn id="7" xr3:uid="{00000000-0010-0000-0200-000007000000}" name="2012" totalsRowFunction="sum" dataDxfId="238" totalsRowDxfId="237" dataCellStyle="Normal 2"/>
    <tableColumn id="8" xr3:uid="{00000000-0010-0000-0200-000008000000}" name="2013" totalsRowFunction="sum" dataDxfId="236" totalsRowDxfId="235" dataCellStyle="Normal 2"/>
    <tableColumn id="10" xr3:uid="{00000000-0010-0000-0200-00000A000000}" name="2014" totalsRowFunction="custom" dataDxfId="234" totalsRowDxfId="233" dataCellStyle="Normal 2">
      <totalsRowFormula>SUM(I59:I74)</totalsRowFormula>
    </tableColumn>
    <tableColumn id="9" xr3:uid="{00000000-0010-0000-0200-000009000000}" name="2015" totalsRowFunction="sum" dataDxfId="232" totalsRowDxfId="231" dataCellStyle="Normal 2"/>
    <tableColumn id="11" xr3:uid="{00000000-0010-0000-0200-00000B000000}" name="2016" totalsRowFunction="sum" dataDxfId="230" totalsRowDxfId="229" dataCellStyle="Normal 2"/>
    <tableColumn id="12" xr3:uid="{00000000-0010-0000-0200-00000C000000}" name="2017" totalsRowFunction="sum" dataDxfId="228" totalsRowDxfId="227" dataCellStyle="Normal 2"/>
    <tableColumn id="14" xr3:uid="{00000000-0010-0000-0200-00000E000000}" name="2018" totalsRowFunction="sum" dataDxfId="226" totalsRowDxfId="225" dataCellStyle="Normal 2"/>
    <tableColumn id="16" xr3:uid="{00000000-0010-0000-0200-000010000000}" name="2019" totalsRowFunction="sum" totalsRowDxfId="224"/>
    <tableColumn id="15" xr3:uid="{00000000-0010-0000-0200-00000F000000}" name="2020" totalsRowFunction="sum" dataDxfId="223" totalsRowDxfId="222" dataCellStyle="Normal 2"/>
    <tableColumn id="17" xr3:uid="{00000000-0010-0000-0200-000011000000}" name="2021" totalsRowFunction="sum" totalsRowDxfId="221"/>
    <tableColumn id="19" xr3:uid="{00000000-0010-0000-0200-000013000000}" name="2022" totalsRowFunction="sum" totalsRowDxfId="220"/>
    <tableColumn id="18" xr3:uid="{00000000-0010-0000-0200-000012000000}" name="2023" totalsRowFunction="sum" dataDxfId="219" totalsRowDxfId="218" dataCellStyle="Normal 2"/>
    <tableColumn id="13" xr3:uid="{00000000-0010-0000-0200-00000D000000}" name="2024" totalsRowFunction="sum" dataDxfId="217" totalsRowDxfId="216" dataCellStyle="Normal 2"/>
    <tableColumn id="20" xr3:uid="{00000000-0010-0000-0200-000014000000}" name="Total" totalsRowFunction="sum" dataDxfId="215" totalsRowDxfId="214" dataCellStyle="Normal 2">
      <calculatedColumnFormula>SUM(B59:S59)</calculatedColumnFormula>
    </tableColumn>
  </tableColumns>
  <tableStyleInfo name="TableStyleMedium10" showFirstColumn="0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3000000}" name="Tabla574372833518" displayName="Tabla574372833518" ref="A82:T101" totalsRowCount="1" headerRowDxfId="213" dataDxfId="212" totalsRowDxfId="211" headerRowCellStyle="Normal 2" dataCellStyle="Normal 2">
  <tableColumns count="20">
    <tableColumn id="1" xr3:uid="{00000000-0010-0000-0300-000001000000}" name="Licenciatura" totalsRowLabel="Total" dataDxfId="210" totalsRowDxfId="209" dataCellStyle="Normal 2"/>
    <tableColumn id="2" xr3:uid="{00000000-0010-0000-0300-000002000000}" name="2007" totalsRowFunction="sum" dataDxfId="208" totalsRowDxfId="207" dataCellStyle="Normal 2"/>
    <tableColumn id="3" xr3:uid="{00000000-0010-0000-0300-000003000000}" name="2008" totalsRowFunction="sum" dataDxfId="206" totalsRowDxfId="205" dataCellStyle="Normal 2"/>
    <tableColumn id="4" xr3:uid="{00000000-0010-0000-0300-000004000000}" name="2009" totalsRowFunction="sum" dataDxfId="204" totalsRowDxfId="203" dataCellStyle="Normal 2"/>
    <tableColumn id="5" xr3:uid="{00000000-0010-0000-0300-000005000000}" name="2010" totalsRowFunction="sum" dataDxfId="202" totalsRowDxfId="201" dataCellStyle="Normal 2"/>
    <tableColumn id="6" xr3:uid="{00000000-0010-0000-0300-000006000000}" name="2011" totalsRowFunction="sum" dataDxfId="200" totalsRowDxfId="199" dataCellStyle="Normal 2"/>
    <tableColumn id="7" xr3:uid="{00000000-0010-0000-0300-000007000000}" name="2012" totalsRowFunction="sum" dataDxfId="198" totalsRowDxfId="197" dataCellStyle="Normal 2"/>
    <tableColumn id="8" xr3:uid="{00000000-0010-0000-0300-000008000000}" name="2013" totalsRowFunction="sum" dataDxfId="196" totalsRowDxfId="195" dataCellStyle="Normal 2"/>
    <tableColumn id="10" xr3:uid="{00000000-0010-0000-0300-00000A000000}" name="2014" totalsRowFunction="custom" dataDxfId="194" totalsRowDxfId="193" dataCellStyle="Normal 2">
      <totalsRowFormula>SUM(I83:I99)</totalsRowFormula>
    </tableColumn>
    <tableColumn id="9" xr3:uid="{00000000-0010-0000-0300-000009000000}" name="2015" totalsRowFunction="sum" dataDxfId="192" totalsRowDxfId="191" dataCellStyle="Normal 2"/>
    <tableColumn id="11" xr3:uid="{00000000-0010-0000-0300-00000B000000}" name="2016" totalsRowFunction="sum" dataDxfId="190" totalsRowDxfId="189" dataCellStyle="Normal 2"/>
    <tableColumn id="12" xr3:uid="{00000000-0010-0000-0300-00000C000000}" name="2017" totalsRowFunction="sum" dataDxfId="188" totalsRowDxfId="187" dataCellStyle="Normal 2"/>
    <tableColumn id="14" xr3:uid="{00000000-0010-0000-0300-00000E000000}" name="2018" totalsRowFunction="sum" dataDxfId="186" totalsRowDxfId="185" dataCellStyle="Normal 2"/>
    <tableColumn id="16" xr3:uid="{00000000-0010-0000-0300-000010000000}" name="2019" totalsRowFunction="sum" dataDxfId="184" totalsRowDxfId="183" dataCellStyle="Normal 2"/>
    <tableColumn id="15" xr3:uid="{00000000-0010-0000-0300-00000F000000}" name="2020" totalsRowFunction="sum" dataDxfId="182" totalsRowDxfId="181" dataCellStyle="Normal 2"/>
    <tableColumn id="17" xr3:uid="{00000000-0010-0000-0300-000011000000}" name="2021" totalsRowFunction="sum" dataDxfId="180" totalsRowDxfId="179" dataCellStyle="Normal 2"/>
    <tableColumn id="18" xr3:uid="{00000000-0010-0000-0300-000012000000}" name="2022" totalsRowFunction="sum" dataDxfId="178" totalsRowDxfId="177" dataCellStyle="Normal 2"/>
    <tableColumn id="19" xr3:uid="{00000000-0010-0000-0300-000013000000}" name="2023" totalsRowFunction="sum" dataDxfId="176" totalsRowDxfId="175" dataCellStyle="Normal 2"/>
    <tableColumn id="13" xr3:uid="{00000000-0010-0000-0300-00000D000000}" name="2024" totalsRowFunction="sum" dataDxfId="174" totalsRowDxfId="173" dataCellStyle="Normal 2"/>
    <tableColumn id="20" xr3:uid="{00000000-0010-0000-0300-000014000000}" name="Total" totalsRowFunction="sum" dataDxfId="172" totalsRowDxfId="171" dataCellStyle="Normal 2">
      <calculatedColumnFormula>SUM(B83:S83)</calculatedColumnFormula>
    </tableColumn>
  </tableColumns>
  <tableStyleInfo name="TableStyleMedium10" showFirstColumn="0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a57437283336820" displayName="Tabla57437283336820" ref="A107:T125" totalsRowCount="1" headerRowDxfId="170" dataDxfId="169" totalsRowDxfId="168" headerRowCellStyle="Normal 2" dataCellStyle="Normal 2">
  <tableColumns count="20">
    <tableColumn id="1" xr3:uid="{00000000-0010-0000-0400-000001000000}" name="Licenciatura" totalsRowLabel="Total" dataDxfId="167" totalsRowDxfId="166" dataCellStyle="Normal 2"/>
    <tableColumn id="2" xr3:uid="{00000000-0010-0000-0400-000002000000}" name="2007" totalsRowFunction="sum" dataDxfId="165" totalsRowDxfId="164" dataCellStyle="Normal 2"/>
    <tableColumn id="3" xr3:uid="{00000000-0010-0000-0400-000003000000}" name="2008" totalsRowFunction="sum" dataDxfId="163" totalsRowDxfId="162" dataCellStyle="Normal 2"/>
    <tableColumn id="4" xr3:uid="{00000000-0010-0000-0400-000004000000}" name="2009" totalsRowFunction="sum" dataDxfId="161" totalsRowDxfId="160" dataCellStyle="Normal 2"/>
    <tableColumn id="5" xr3:uid="{00000000-0010-0000-0400-000005000000}" name="2010" totalsRowFunction="sum" dataDxfId="159" totalsRowDxfId="158" dataCellStyle="Normal 2"/>
    <tableColumn id="6" xr3:uid="{00000000-0010-0000-0400-000006000000}" name="2011" totalsRowFunction="sum" dataDxfId="157" totalsRowDxfId="156" dataCellStyle="Normal 2"/>
    <tableColumn id="7" xr3:uid="{00000000-0010-0000-0400-000007000000}" name="2012" totalsRowFunction="sum" dataDxfId="155" totalsRowDxfId="154" dataCellStyle="Normal 2"/>
    <tableColumn id="8" xr3:uid="{00000000-0010-0000-0400-000008000000}" name="2013" totalsRowFunction="sum" dataDxfId="153" totalsRowDxfId="152" dataCellStyle="Normal 2"/>
    <tableColumn id="11" xr3:uid="{00000000-0010-0000-0400-00000B000000}" name="2014" totalsRowFunction="custom" dataDxfId="151" totalsRowDxfId="150" dataCellStyle="Normal 2">
      <totalsRowFormula>SUM(I108:I124)</totalsRowFormula>
    </tableColumn>
    <tableColumn id="9" xr3:uid="{00000000-0010-0000-0400-000009000000}" name="2015" totalsRowFunction="sum" dataDxfId="149" totalsRowDxfId="148" dataCellStyle="Normal 2"/>
    <tableColumn id="10" xr3:uid="{00000000-0010-0000-0400-00000A000000}" name="2016" totalsRowFunction="sum" dataDxfId="147" totalsRowDxfId="146" dataCellStyle="Normal 2"/>
    <tableColumn id="12" xr3:uid="{00000000-0010-0000-0400-00000C000000}" name="2017" totalsRowFunction="sum" dataDxfId="145" totalsRowDxfId="144" dataCellStyle="Normal 2"/>
    <tableColumn id="14" xr3:uid="{00000000-0010-0000-0400-00000E000000}" name="2018" totalsRowFunction="sum" dataDxfId="143" totalsRowDxfId="142" dataCellStyle="Normal 2"/>
    <tableColumn id="16" xr3:uid="{00000000-0010-0000-0400-000010000000}" name="2019" totalsRowFunction="sum" dataDxfId="141" totalsRowDxfId="140" dataCellStyle="Normal 2"/>
    <tableColumn id="15" xr3:uid="{00000000-0010-0000-0400-00000F000000}" name="2020" totalsRowFunction="sum" dataDxfId="139" totalsRowDxfId="138" dataCellStyle="Normal 2"/>
    <tableColumn id="18" xr3:uid="{00000000-0010-0000-0400-000012000000}" name="2021" totalsRowFunction="sum" dataDxfId="137" totalsRowDxfId="136" dataCellStyle="Normal 2"/>
    <tableColumn id="17" xr3:uid="{00000000-0010-0000-0400-000011000000}" name="2022" totalsRowFunction="sum" dataDxfId="135" totalsRowDxfId="134" dataCellStyle="Normal 2"/>
    <tableColumn id="19" xr3:uid="{00000000-0010-0000-0400-000013000000}" name="2023" totalsRowFunction="sum" dataDxfId="133" totalsRowDxfId="132" dataCellStyle="Normal 2"/>
    <tableColumn id="13" xr3:uid="{00000000-0010-0000-0400-00000D000000}" name="2024" totalsRowFunction="sum" dataDxfId="131" totalsRowDxfId="130" dataCellStyle="Normal 2"/>
    <tableColumn id="20" xr3:uid="{00000000-0010-0000-0400-000014000000}" name="Total" totalsRowFunction="sum" dataDxfId="129" totalsRowDxfId="128" dataCellStyle="Normal 2">
      <calculatedColumnFormula>SUM(B108:S108)</calculatedColumnFormula>
    </tableColumn>
  </tableColumns>
  <tableStyleInfo name="TableStyleMedium10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5000000}" name="Tabla57437202934622" displayName="Tabla57437202934622" ref="A131:T144" totalsRowCount="1" headerRowDxfId="127" dataDxfId="126" totalsRowDxfId="125" headerRowCellStyle="Normal 2" dataCellStyle="Normal 2">
  <tableColumns count="20">
    <tableColumn id="1" xr3:uid="{00000000-0010-0000-0500-000001000000}" name="Licenciatura" totalsRowLabel="Total" dataDxfId="124" totalsRowDxfId="123" dataCellStyle="Normal 2"/>
    <tableColumn id="2" xr3:uid="{00000000-0010-0000-0500-000002000000}" name="2007" totalsRowFunction="sum" dataDxfId="122" totalsRowDxfId="121" dataCellStyle="Normal 2"/>
    <tableColumn id="3" xr3:uid="{00000000-0010-0000-0500-000003000000}" name="2008" totalsRowFunction="sum" dataDxfId="120" totalsRowDxfId="119" dataCellStyle="Normal 2"/>
    <tableColumn id="4" xr3:uid="{00000000-0010-0000-0500-000004000000}" name="2009" totalsRowFunction="sum" dataDxfId="118" totalsRowDxfId="117" dataCellStyle="Normal 2"/>
    <tableColumn id="5" xr3:uid="{00000000-0010-0000-0500-000005000000}" name="2010" totalsRowFunction="sum" dataDxfId="116" totalsRowDxfId="115" dataCellStyle="Normal 2"/>
    <tableColumn id="6" xr3:uid="{00000000-0010-0000-0500-000006000000}" name="2011" totalsRowFunction="sum" dataDxfId="114" totalsRowDxfId="113" dataCellStyle="Normal 2"/>
    <tableColumn id="7" xr3:uid="{00000000-0010-0000-0500-000007000000}" name="2012" totalsRowFunction="sum" dataDxfId="112" totalsRowDxfId="111" dataCellStyle="Normal 2"/>
    <tableColumn id="8" xr3:uid="{00000000-0010-0000-0500-000008000000}" name="2013" totalsRowFunction="sum" dataDxfId="110" totalsRowDxfId="109" dataCellStyle="Normal 2"/>
    <tableColumn id="10" xr3:uid="{00000000-0010-0000-0500-00000A000000}" name="2014" totalsRowFunction="custom" dataDxfId="108" totalsRowDxfId="107" dataCellStyle="Normal 2">
      <totalsRowFormula>SUM(I132:I143)</totalsRowFormula>
    </tableColumn>
    <tableColumn id="9" xr3:uid="{00000000-0010-0000-0500-000009000000}" name="2015" totalsRowFunction="sum" dataDxfId="106" totalsRowDxfId="105" dataCellStyle="Normal 2"/>
    <tableColumn id="11" xr3:uid="{00000000-0010-0000-0500-00000B000000}" name="2016" totalsRowFunction="sum" dataDxfId="104" totalsRowDxfId="103" dataCellStyle="Normal 2"/>
    <tableColumn id="12" xr3:uid="{00000000-0010-0000-0500-00000C000000}" name="2017" totalsRowFunction="sum" dataDxfId="102" totalsRowDxfId="101" dataCellStyle="Normal 2"/>
    <tableColumn id="14" xr3:uid="{00000000-0010-0000-0500-00000E000000}" name="2018" totalsRowFunction="sum" dataDxfId="100" totalsRowDxfId="99" dataCellStyle="Normal 2"/>
    <tableColumn id="16" xr3:uid="{00000000-0010-0000-0500-000010000000}" name="2019" totalsRowFunction="sum" dataDxfId="98" totalsRowDxfId="97" dataCellStyle="Normal 2"/>
    <tableColumn id="15" xr3:uid="{00000000-0010-0000-0500-00000F000000}" name="2020" totalsRowFunction="sum" dataDxfId="96" totalsRowDxfId="95" dataCellStyle="Normal 2"/>
    <tableColumn id="17" xr3:uid="{00000000-0010-0000-0500-000011000000}" name="2021" totalsRowFunction="sum" dataDxfId="94" totalsRowDxfId="93" dataCellStyle="Normal 2"/>
    <tableColumn id="18" xr3:uid="{00000000-0010-0000-0500-000012000000}" name="2022" totalsRowFunction="sum" dataDxfId="92" totalsRowDxfId="91" dataCellStyle="Normal 2"/>
    <tableColumn id="19" xr3:uid="{00000000-0010-0000-0500-000013000000}" name="2023" totalsRowFunction="sum" dataDxfId="90" totalsRowDxfId="89" dataCellStyle="Normal 2"/>
    <tableColumn id="13" xr3:uid="{00000000-0010-0000-0500-00000D000000}" name="2024" totalsRowFunction="sum" totalsRowDxfId="88" dataCellStyle="Normal 2"/>
    <tableColumn id="20" xr3:uid="{00000000-0010-0000-0500-000014000000}" name="Total" totalsRowFunction="sum" dataDxfId="87" totalsRowDxfId="86" dataCellStyle="Normal 2">
      <calculatedColumnFormula>SUM(B132:S132)</calculatedColumnFormula>
    </tableColumn>
  </tableColumns>
  <tableStyleInfo name="TableStyleMedium10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6000000}" name="Tabla353822327224" displayName="Tabla353822327224" ref="A152:T172" totalsRowCount="1" headerRowDxfId="85" totalsRowDxfId="84" headerRowCellStyle="Normal 2">
  <tableColumns count="20">
    <tableColumn id="1" xr3:uid="{00000000-0010-0000-0600-000001000000}" name="Licenciatura" totalsRowLabel="Total" dataDxfId="83" totalsRowDxfId="82" dataCellStyle="Normal 2"/>
    <tableColumn id="2" xr3:uid="{00000000-0010-0000-0600-000002000000}" name="2007" totalsRowFunction="sum" dataDxfId="81" totalsRowDxfId="80" dataCellStyle="Normal 2"/>
    <tableColumn id="3" xr3:uid="{00000000-0010-0000-0600-000003000000}" name="2008" totalsRowFunction="sum" dataDxfId="79" totalsRowDxfId="78" dataCellStyle="Normal 2"/>
    <tableColumn id="4" xr3:uid="{00000000-0010-0000-0600-000004000000}" name="2009" totalsRowFunction="sum" dataDxfId="77" totalsRowDxfId="76" dataCellStyle="Normal 2"/>
    <tableColumn id="5" xr3:uid="{00000000-0010-0000-0600-000005000000}" name="2010" totalsRowFunction="sum" dataDxfId="75" totalsRowDxfId="74" dataCellStyle="Normal 2"/>
    <tableColumn id="6" xr3:uid="{00000000-0010-0000-0600-000006000000}" name="2011" totalsRowFunction="sum" dataDxfId="73" totalsRowDxfId="72" dataCellStyle="Normal 2"/>
    <tableColumn id="7" xr3:uid="{00000000-0010-0000-0600-000007000000}" name="2012" totalsRowFunction="sum" dataDxfId="71" totalsRowDxfId="70" dataCellStyle="Normal 2"/>
    <tableColumn id="8" xr3:uid="{00000000-0010-0000-0600-000008000000}" name="2013" totalsRowFunction="sum" dataDxfId="69" totalsRowDxfId="68" dataCellStyle="Normal 2"/>
    <tableColumn id="10" xr3:uid="{00000000-0010-0000-0600-00000A000000}" name="2014" totalsRowFunction="custom" dataDxfId="67" totalsRowDxfId="66" dataCellStyle="Normal 2">
      <totalsRowFormula>SUM(I153:I171)</totalsRowFormula>
    </tableColumn>
    <tableColumn id="9" xr3:uid="{00000000-0010-0000-0600-000009000000}" name="2015" totalsRowFunction="sum" dataDxfId="65" totalsRowDxfId="64" dataCellStyle="Normal 2"/>
    <tableColumn id="11" xr3:uid="{00000000-0010-0000-0600-00000B000000}" name="2016" totalsRowFunction="sum" dataDxfId="63" totalsRowDxfId="62" dataCellStyle="Normal 2"/>
    <tableColumn id="12" xr3:uid="{00000000-0010-0000-0600-00000C000000}" name="2017" totalsRowFunction="sum" dataDxfId="61" totalsRowDxfId="60" dataCellStyle="Normal 2"/>
    <tableColumn id="14" xr3:uid="{00000000-0010-0000-0600-00000E000000}" name="2018" totalsRowFunction="sum" totalsRowDxfId="59" dataCellStyle="Normal 2"/>
    <tableColumn id="16" xr3:uid="{00000000-0010-0000-0600-000010000000}" name="2019" totalsRowFunction="sum" dataDxfId="58" totalsRowDxfId="57" dataCellStyle="Normal 2"/>
    <tableColumn id="15" xr3:uid="{00000000-0010-0000-0600-00000F000000}" name="2020" totalsRowFunction="sum" dataDxfId="56" totalsRowDxfId="55" dataCellStyle="Normal 2"/>
    <tableColumn id="18" xr3:uid="{00000000-0010-0000-0600-000012000000}" name="2021" totalsRowFunction="sum" dataDxfId="54" totalsRowDxfId="53" dataCellStyle="Normal 2"/>
    <tableColumn id="17" xr3:uid="{00000000-0010-0000-0600-000011000000}" name="2022" totalsRowFunction="sum" dataDxfId="52" totalsRowDxfId="51" dataCellStyle="Normal 2"/>
    <tableColumn id="19" xr3:uid="{00000000-0010-0000-0600-000013000000}" name="2023" totalsRowFunction="sum" dataDxfId="50" totalsRowDxfId="49" dataCellStyle="Normal 2"/>
    <tableColumn id="13" xr3:uid="{00000000-0010-0000-0600-00000D000000}" name="2024" totalsRowFunction="sum" dataDxfId="48" totalsRowDxfId="47" dataCellStyle="Normal 2" totalsRowCellStyle="Normal 2"/>
    <tableColumn id="20" xr3:uid="{00000000-0010-0000-0600-000014000000}" name="Total" totalsRowFunction="sum" dataDxfId="46" totalsRowDxfId="45" dataCellStyle="Normal 2">
      <calculatedColumnFormula>SUM(B153:S153)</calculatedColumnFormula>
    </tableColumn>
  </tableColumns>
  <tableStyleInfo name="TableStyleMedium10" showFirstColumn="0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7000000}" name="Tabla5393243037926" displayName="Tabla5393243037926" ref="A12:U27" totalsRowCount="1" headerRowDxfId="44" dataDxfId="43" totalsRowDxfId="42" headerRowCellStyle="Normal 2" dataCellStyle="Normal 2">
  <tableColumns count="21">
    <tableColumn id="1" xr3:uid="{00000000-0010-0000-0700-000001000000}" name="POSGRADO" totalsRowLabel="Total" dataDxfId="41" totalsRowDxfId="40"/>
    <tableColumn id="2" xr3:uid="{00000000-0010-0000-0700-000002000000}" name="2006" totalsRowFunction="sum" dataDxfId="39" totalsRowDxfId="38" dataCellStyle="Normal 2"/>
    <tableColumn id="3" xr3:uid="{00000000-0010-0000-0700-000003000000}" name="2007" totalsRowFunction="sum" dataDxfId="37" totalsRowDxfId="36" dataCellStyle="Normal 2"/>
    <tableColumn id="4" xr3:uid="{00000000-0010-0000-0700-000004000000}" name="2008" totalsRowFunction="sum" dataDxfId="35" totalsRowDxfId="34" dataCellStyle="Normal 2"/>
    <tableColumn id="5" xr3:uid="{00000000-0010-0000-0700-000005000000}" name="2009" totalsRowFunction="sum" dataDxfId="33" totalsRowDxfId="32" dataCellStyle="Normal 2"/>
    <tableColumn id="6" xr3:uid="{00000000-0010-0000-0700-000006000000}" name="2010" totalsRowFunction="sum" dataDxfId="31" totalsRowDxfId="30" dataCellStyle="Normal 2"/>
    <tableColumn id="7" xr3:uid="{00000000-0010-0000-0700-000007000000}" name="2011" totalsRowFunction="sum" dataDxfId="29" totalsRowDxfId="28" dataCellStyle="Normal 2"/>
    <tableColumn id="9" xr3:uid="{00000000-0010-0000-0700-000009000000}" name="2012" totalsRowFunction="sum" dataDxfId="27" totalsRowDxfId="26" dataCellStyle="Normal 2"/>
    <tableColumn id="8" xr3:uid="{00000000-0010-0000-0700-000008000000}" name="2013" totalsRowFunction="sum" dataDxfId="25" totalsRowDxfId="24" dataCellStyle="Normal 2"/>
    <tableColumn id="11" xr3:uid="{00000000-0010-0000-0700-00000B000000}" name="2014" totalsRowFunction="sum" dataDxfId="23" totalsRowDxfId="22" dataCellStyle="Normal 2"/>
    <tableColumn id="10" xr3:uid="{00000000-0010-0000-0700-00000A000000}" name="2015" totalsRowFunction="sum" dataDxfId="21" totalsRowDxfId="20" dataCellStyle="Normal 2"/>
    <tableColumn id="12" xr3:uid="{00000000-0010-0000-0700-00000C000000}" name="2016" totalsRowFunction="sum" dataDxfId="19" totalsRowDxfId="18" dataCellStyle="Normal 2"/>
    <tableColumn id="14" xr3:uid="{00000000-0010-0000-0700-00000E000000}" name="2017" totalsRowFunction="sum" dataDxfId="17" totalsRowDxfId="16" dataCellStyle="Normal 2"/>
    <tableColumn id="15" xr3:uid="{00000000-0010-0000-0700-00000F000000}" name="2018" totalsRowFunction="sum" dataDxfId="15" totalsRowDxfId="14" dataCellStyle="Normal 2"/>
    <tableColumn id="17" xr3:uid="{00000000-0010-0000-0700-000011000000}" name="2019" totalsRowFunction="sum" dataDxfId="13" totalsRowDxfId="12" dataCellStyle="Normal 2"/>
    <tableColumn id="16" xr3:uid="{00000000-0010-0000-0700-000010000000}" name="2020" totalsRowFunction="sum" dataDxfId="11" totalsRowDxfId="10" dataCellStyle="Normal 2"/>
    <tableColumn id="18" xr3:uid="{00000000-0010-0000-0700-000012000000}" name="2021" totalsRowFunction="sum" dataDxfId="9" totalsRowDxfId="8" dataCellStyle="Normal 2"/>
    <tableColumn id="19" xr3:uid="{00000000-0010-0000-0700-000013000000}" name="2022" totalsRowFunction="sum" dataDxfId="7" totalsRowDxfId="6" dataCellStyle="Normal 2"/>
    <tableColumn id="20" xr3:uid="{00000000-0010-0000-0700-000014000000}" name="2023" totalsRowFunction="sum" dataDxfId="5" totalsRowDxfId="4" dataCellStyle="Normal 2"/>
    <tableColumn id="13" xr3:uid="{00000000-0010-0000-0700-00000D000000}" name="2024" totalsRowFunction="sum" dataDxfId="3" totalsRowDxfId="2" dataCellStyle="Normal 2"/>
    <tableColumn id="21" xr3:uid="{00000000-0010-0000-0700-000015000000}" name="Total" totalsRowFunction="sum" dataDxfId="1" totalsRowDxfId="0" dataCellStyle="Normal 2">
      <calculatedColumnFormula>SUM(B13:T13)</calculatedColumnFormula>
    </tableColumn>
  </tableColumns>
  <tableStyleInfo name="TableStyleMedium10" showFirstColumn="0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undición">
  <a:themeElements>
    <a:clrScheme name="Fundición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undición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undició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AE172"/>
  <sheetViews>
    <sheetView showGridLines="0" tabSelected="1" zoomScale="150" zoomScaleNormal="150" workbookViewId="0">
      <selection activeCell="A31" sqref="A31:R31"/>
    </sheetView>
  </sheetViews>
  <sheetFormatPr baseColWidth="10" defaultColWidth="11" defaultRowHeight="11" x14ac:dyDescent="0.15"/>
  <cols>
    <col min="1" max="1" width="65.6640625" style="1" customWidth="1"/>
    <col min="2" max="2" width="8.6640625" style="1" customWidth="1"/>
    <col min="3" max="3" width="8.6640625" style="2" customWidth="1"/>
    <col min="4" max="11" width="8.6640625" style="1" customWidth="1"/>
    <col min="12" max="12" width="7.6640625" style="1" customWidth="1"/>
    <col min="13" max="14" width="8.6640625" style="1" customWidth="1"/>
    <col min="15" max="15" width="10.6640625" style="1" customWidth="1"/>
    <col min="16" max="16" width="8" style="2" customWidth="1"/>
    <col min="17" max="27" width="8" style="1" customWidth="1"/>
    <col min="28" max="16384" width="11" style="1"/>
  </cols>
  <sheetData>
    <row r="8" spans="1:31" ht="18" x14ac:dyDescent="0.2">
      <c r="A8" s="59" t="s">
        <v>64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31" ht="18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31" s="3" customFormat="1" ht="15" x14ac:dyDescent="0.2">
      <c r="A10" s="18" t="s">
        <v>2</v>
      </c>
      <c r="AE10" s="4"/>
    </row>
    <row r="11" spans="1:31" s="3" customFormat="1" ht="15" x14ac:dyDescent="0.2">
      <c r="AE11" s="4"/>
    </row>
    <row r="12" spans="1:31" s="4" customFormat="1" ht="15" x14ac:dyDescent="0.2">
      <c r="A12" s="4" t="s">
        <v>1</v>
      </c>
      <c r="B12" s="19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19" t="s">
        <v>10</v>
      </c>
      <c r="H12" s="19" t="s">
        <v>11</v>
      </c>
      <c r="I12" s="19" t="s">
        <v>44</v>
      </c>
      <c r="J12" s="19" t="s">
        <v>16</v>
      </c>
      <c r="K12" s="19" t="s">
        <v>41</v>
      </c>
      <c r="L12" s="19" t="s">
        <v>42</v>
      </c>
      <c r="M12" s="19" t="s">
        <v>49</v>
      </c>
      <c r="N12" s="19" t="s">
        <v>52</v>
      </c>
      <c r="O12" s="19" t="s">
        <v>54</v>
      </c>
      <c r="P12" s="19" t="s">
        <v>55</v>
      </c>
      <c r="Q12" s="19" t="s">
        <v>59</v>
      </c>
      <c r="R12" s="19" t="s">
        <v>61</v>
      </c>
      <c r="S12" s="39" t="s">
        <v>63</v>
      </c>
      <c r="T12" s="39" t="s">
        <v>0</v>
      </c>
    </row>
    <row r="13" spans="1:31" s="3" customFormat="1" ht="15" x14ac:dyDescent="0.2">
      <c r="A13" s="3" t="s">
        <v>17</v>
      </c>
      <c r="B13" s="8">
        <v>0</v>
      </c>
      <c r="C13" s="8">
        <v>2</v>
      </c>
      <c r="D13" s="8">
        <v>1</v>
      </c>
      <c r="E13" s="8">
        <v>0</v>
      </c>
      <c r="F13" s="8">
        <v>2</v>
      </c>
      <c r="G13" s="8">
        <v>0</v>
      </c>
      <c r="H13" s="8">
        <v>2</v>
      </c>
      <c r="I13" s="8">
        <v>34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37">
        <v>0</v>
      </c>
      <c r="T13" s="40">
        <f t="shared" ref="T13:T27" si="0">SUM(B13:S13)</f>
        <v>41</v>
      </c>
    </row>
    <row r="14" spans="1:31" s="3" customFormat="1" ht="15" x14ac:dyDescent="0.2">
      <c r="A14" s="3" t="s">
        <v>50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9">
        <v>0</v>
      </c>
      <c r="L14" s="9">
        <v>0</v>
      </c>
      <c r="M14" s="9">
        <v>1</v>
      </c>
      <c r="N14" s="9">
        <v>5</v>
      </c>
      <c r="O14" s="9">
        <v>1</v>
      </c>
      <c r="P14" s="9">
        <v>0</v>
      </c>
      <c r="Q14" s="9">
        <v>0</v>
      </c>
      <c r="R14" s="8">
        <v>4</v>
      </c>
      <c r="S14" s="37">
        <v>0</v>
      </c>
      <c r="T14" s="40">
        <f t="shared" si="0"/>
        <v>11</v>
      </c>
    </row>
    <row r="15" spans="1:31" s="3" customFormat="1" ht="15" x14ac:dyDescent="0.2">
      <c r="A15" s="3" t="s">
        <v>18</v>
      </c>
      <c r="B15" s="12">
        <v>4</v>
      </c>
      <c r="C15" s="12">
        <v>2</v>
      </c>
      <c r="D15" s="12">
        <v>3</v>
      </c>
      <c r="E15" s="12">
        <v>5</v>
      </c>
      <c r="F15" s="12">
        <v>16</v>
      </c>
      <c r="G15" s="8">
        <v>13</v>
      </c>
      <c r="H15" s="8">
        <v>26</v>
      </c>
      <c r="I15" s="8">
        <v>0</v>
      </c>
      <c r="J15" s="8">
        <v>22</v>
      </c>
      <c r="K15" s="8">
        <v>26</v>
      </c>
      <c r="L15" s="8">
        <v>20</v>
      </c>
      <c r="M15" s="8">
        <v>22</v>
      </c>
      <c r="N15" s="8">
        <v>32</v>
      </c>
      <c r="O15" s="8">
        <v>6</v>
      </c>
      <c r="P15" s="8">
        <v>40</v>
      </c>
      <c r="Q15" s="8">
        <v>46</v>
      </c>
      <c r="R15" s="8">
        <v>38</v>
      </c>
      <c r="S15" s="37">
        <v>18</v>
      </c>
      <c r="T15" s="40">
        <f t="shared" si="0"/>
        <v>339</v>
      </c>
    </row>
    <row r="16" spans="1:31" s="3" customFormat="1" ht="15" x14ac:dyDescent="0.2">
      <c r="A16" s="3" t="s">
        <v>19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2</v>
      </c>
      <c r="I16" s="4">
        <v>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8">
        <v>0</v>
      </c>
      <c r="S16" s="37">
        <v>0</v>
      </c>
      <c r="T16" s="40">
        <f t="shared" si="0"/>
        <v>3</v>
      </c>
    </row>
    <row r="17" spans="1:20" s="3" customFormat="1" ht="15" x14ac:dyDescent="0.2">
      <c r="A17" s="3" t="s">
        <v>20</v>
      </c>
      <c r="B17" s="8">
        <v>0</v>
      </c>
      <c r="C17" s="8">
        <v>9</v>
      </c>
      <c r="D17" s="8">
        <v>2</v>
      </c>
      <c r="E17" s="8">
        <v>3</v>
      </c>
      <c r="F17" s="8">
        <v>7</v>
      </c>
      <c r="G17" s="8">
        <v>4</v>
      </c>
      <c r="H17" s="8">
        <v>1</v>
      </c>
      <c r="I17" s="8">
        <v>0</v>
      </c>
      <c r="J17" s="8">
        <v>0</v>
      </c>
      <c r="K17" s="8">
        <v>3</v>
      </c>
      <c r="L17" s="8">
        <v>2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1</v>
      </c>
      <c r="S17" s="37">
        <v>0</v>
      </c>
      <c r="T17" s="40">
        <f t="shared" si="0"/>
        <v>32</v>
      </c>
    </row>
    <row r="18" spans="1:20" s="3" customFormat="1" ht="15" x14ac:dyDescent="0.2">
      <c r="A18" s="3" t="s">
        <v>21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1</v>
      </c>
      <c r="P18" s="9">
        <v>0</v>
      </c>
      <c r="Q18" s="9">
        <v>0</v>
      </c>
      <c r="R18" s="8">
        <v>0</v>
      </c>
      <c r="S18" s="37">
        <v>0</v>
      </c>
      <c r="T18" s="40">
        <f t="shared" si="0"/>
        <v>1</v>
      </c>
    </row>
    <row r="19" spans="1:20" s="3" customFormat="1" ht="15" x14ac:dyDescent="0.2">
      <c r="A19" s="3" t="s">
        <v>22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37">
        <v>0</v>
      </c>
      <c r="T19" s="40">
        <f t="shared" si="0"/>
        <v>0</v>
      </c>
    </row>
    <row r="20" spans="1:20" s="3" customFormat="1" ht="15" x14ac:dyDescent="0.2">
      <c r="A20" s="3" t="s">
        <v>23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8">
        <v>0</v>
      </c>
      <c r="S20" s="37">
        <v>0</v>
      </c>
      <c r="T20" s="40">
        <f t="shared" si="0"/>
        <v>0</v>
      </c>
    </row>
    <row r="21" spans="1:20" s="3" customFormat="1" ht="15" x14ac:dyDescent="0.2">
      <c r="A21" s="3" t="s">
        <v>24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37">
        <v>0</v>
      </c>
      <c r="T21" s="40">
        <f t="shared" si="0"/>
        <v>0</v>
      </c>
    </row>
    <row r="22" spans="1:20" s="3" customFormat="1" ht="15" x14ac:dyDescent="0.2">
      <c r="A22" s="3" t="s">
        <v>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9">
        <v>1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1</v>
      </c>
      <c r="R22" s="8">
        <v>1</v>
      </c>
      <c r="S22" s="37">
        <v>0</v>
      </c>
      <c r="T22" s="40">
        <f t="shared" si="0"/>
        <v>3</v>
      </c>
    </row>
    <row r="23" spans="1:20" s="3" customFormat="1" ht="15" x14ac:dyDescent="0.2">
      <c r="A23" s="3" t="s">
        <v>26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1</v>
      </c>
      <c r="H23" s="8">
        <v>1</v>
      </c>
      <c r="I23" s="8">
        <v>0</v>
      </c>
      <c r="J23" s="8">
        <v>0</v>
      </c>
      <c r="K23" s="8">
        <v>2</v>
      </c>
      <c r="L23" s="8">
        <v>3</v>
      </c>
      <c r="M23" s="8">
        <v>3</v>
      </c>
      <c r="N23" s="8">
        <v>4</v>
      </c>
      <c r="O23" s="8">
        <v>1</v>
      </c>
      <c r="P23" s="8">
        <v>5</v>
      </c>
      <c r="Q23" s="8">
        <v>3</v>
      </c>
      <c r="R23" s="8">
        <v>3</v>
      </c>
      <c r="S23" s="37">
        <v>2</v>
      </c>
      <c r="T23" s="40">
        <f t="shared" si="0"/>
        <v>28</v>
      </c>
    </row>
    <row r="24" spans="1:20" s="3" customFormat="1" ht="15" x14ac:dyDescent="0.2">
      <c r="A24" s="13" t="s">
        <v>27</v>
      </c>
      <c r="B24" s="4">
        <v>0</v>
      </c>
      <c r="C24" s="4">
        <v>0</v>
      </c>
      <c r="D24" s="4">
        <v>0</v>
      </c>
      <c r="E24" s="4">
        <v>2</v>
      </c>
      <c r="F24" s="4">
        <v>1</v>
      </c>
      <c r="G24" s="4">
        <v>1</v>
      </c>
      <c r="H24" s="4">
        <v>1</v>
      </c>
      <c r="I24" s="4">
        <v>3</v>
      </c>
      <c r="J24" s="9">
        <v>1</v>
      </c>
      <c r="K24" s="9">
        <v>6</v>
      </c>
      <c r="L24" s="9">
        <v>2</v>
      </c>
      <c r="M24" s="9">
        <v>2</v>
      </c>
      <c r="N24" s="9">
        <v>5</v>
      </c>
      <c r="O24" s="9">
        <v>2</v>
      </c>
      <c r="P24" s="9">
        <v>1</v>
      </c>
      <c r="Q24" s="9">
        <v>1</v>
      </c>
      <c r="R24" s="8">
        <v>11</v>
      </c>
      <c r="S24" s="37">
        <v>2</v>
      </c>
      <c r="T24" s="40">
        <f t="shared" si="0"/>
        <v>41</v>
      </c>
    </row>
    <row r="25" spans="1:20" s="3" customFormat="1" ht="15" x14ac:dyDescent="0.2">
      <c r="A25" s="13" t="s">
        <v>53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1</v>
      </c>
      <c r="O25" s="8">
        <v>0</v>
      </c>
      <c r="P25" s="8">
        <v>2</v>
      </c>
      <c r="Q25" s="8">
        <v>1</v>
      </c>
      <c r="R25" s="8">
        <v>4</v>
      </c>
      <c r="S25" s="37">
        <v>0</v>
      </c>
      <c r="T25" s="40">
        <f t="shared" si="0"/>
        <v>8</v>
      </c>
    </row>
    <row r="26" spans="1:20" s="3" customFormat="1" ht="15" x14ac:dyDescent="0.2">
      <c r="A26" s="13" t="s">
        <v>47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1</v>
      </c>
      <c r="R26" s="8">
        <v>8</v>
      </c>
      <c r="S26" s="37">
        <v>3</v>
      </c>
      <c r="T26" s="40">
        <f t="shared" si="0"/>
        <v>12</v>
      </c>
    </row>
    <row r="27" spans="1:20" ht="15" x14ac:dyDescent="0.2">
      <c r="A27" s="13" t="s">
        <v>28</v>
      </c>
      <c r="B27" s="8">
        <v>1</v>
      </c>
      <c r="C27" s="8">
        <v>8</v>
      </c>
      <c r="D27" s="8">
        <v>5</v>
      </c>
      <c r="E27" s="8">
        <v>8</v>
      </c>
      <c r="F27" s="8">
        <v>8</v>
      </c>
      <c r="G27" s="8">
        <v>7</v>
      </c>
      <c r="H27" s="8">
        <v>8</v>
      </c>
      <c r="I27" s="8">
        <v>18</v>
      </c>
      <c r="J27" s="8">
        <v>14</v>
      </c>
      <c r="K27" s="8">
        <v>13</v>
      </c>
      <c r="L27" s="8">
        <v>17</v>
      </c>
      <c r="M27" s="8">
        <v>12</v>
      </c>
      <c r="N27" s="8">
        <v>11</v>
      </c>
      <c r="O27" s="8">
        <v>5</v>
      </c>
      <c r="P27" s="8">
        <v>26</v>
      </c>
      <c r="Q27" s="8">
        <v>43</v>
      </c>
      <c r="R27" s="8">
        <v>36</v>
      </c>
      <c r="S27" s="37">
        <v>16</v>
      </c>
      <c r="T27" s="40">
        <f t="shared" si="0"/>
        <v>256</v>
      </c>
    </row>
    <row r="28" spans="1:20" s="2" customFormat="1" ht="15" x14ac:dyDescent="0.2">
      <c r="A28" s="28" t="s">
        <v>0</v>
      </c>
      <c r="B28" s="36">
        <f>SUBTOTAL(109,Tabla53932431311[2007])</f>
        <v>5</v>
      </c>
      <c r="C28" s="36">
        <f>SUBTOTAL(109,Tabla53932431311[2008])</f>
        <v>21</v>
      </c>
      <c r="D28" s="36">
        <f>SUBTOTAL(109,Tabla53932431311[2009])</f>
        <v>11</v>
      </c>
      <c r="E28" s="36">
        <f>SUBTOTAL(109,Tabla53932431311[2010])</f>
        <v>18</v>
      </c>
      <c r="F28" s="36">
        <f>SUBTOTAL(109,Tabla53932431311[2011])</f>
        <v>34</v>
      </c>
      <c r="G28" s="36">
        <f>SUBTOTAL(109,Tabla53932431311[2012])</f>
        <v>26</v>
      </c>
      <c r="H28" s="36">
        <f>SUBTOTAL(109,Tabla53932431311[2013])</f>
        <v>41</v>
      </c>
      <c r="I28" s="36">
        <f>SUM(I13:I27)</f>
        <v>56</v>
      </c>
      <c r="J28" s="36">
        <f>SUBTOTAL(109,Tabla53932431311[2015])</f>
        <v>38</v>
      </c>
      <c r="K28" s="36">
        <f>SUBTOTAL(109,Tabla53932431311[2016])</f>
        <v>50</v>
      </c>
      <c r="L28" s="36">
        <f>SUBTOTAL(109,Tabla53932431311[2017])</f>
        <v>44</v>
      </c>
      <c r="M28" s="36">
        <f>SUBTOTAL(109,Tabla53932431311[2018])</f>
        <v>40</v>
      </c>
      <c r="N28" s="36">
        <f>SUBTOTAL(109,Tabla53932431311[2019])</f>
        <v>58</v>
      </c>
      <c r="O28" s="36">
        <f>SUBTOTAL(109,Tabla53932431311[2020])</f>
        <v>16</v>
      </c>
      <c r="P28" s="36">
        <f>SUBTOTAL(109,Tabla53932431311[2021])</f>
        <v>74</v>
      </c>
      <c r="Q28" s="36">
        <f>SUBTOTAL(109,Tabla53932431311[2022])</f>
        <v>96</v>
      </c>
      <c r="R28" s="36">
        <f>SUBTOTAL(109,Tabla53932431311[2023])</f>
        <v>106</v>
      </c>
      <c r="S28" s="38">
        <f>SUBTOTAL(109,Tabla53932431311[2024])</f>
        <v>41</v>
      </c>
      <c r="T28" s="41">
        <f>SUBTOTAL(109,Tabla53932431311[Total])</f>
        <v>775</v>
      </c>
    </row>
    <row r="29" spans="1:20" ht="1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1" spans="1:20" ht="18" x14ac:dyDescent="0.2">
      <c r="A31" s="59" t="s">
        <v>64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</row>
    <row r="32" spans="1:20" ht="18" x14ac:dyDescent="0.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2" ht="15" x14ac:dyDescent="0.2">
      <c r="A33" s="18" t="s">
        <v>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22" ht="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22" ht="15" x14ac:dyDescent="0.2">
      <c r="A35" s="4" t="s">
        <v>1</v>
      </c>
      <c r="B35" s="4" t="s">
        <v>5</v>
      </c>
      <c r="C35" s="4" t="s">
        <v>6</v>
      </c>
      <c r="D35" s="4" t="s">
        <v>7</v>
      </c>
      <c r="E35" s="4" t="s">
        <v>8</v>
      </c>
      <c r="F35" s="4" t="s">
        <v>9</v>
      </c>
      <c r="G35" s="4" t="s">
        <v>10</v>
      </c>
      <c r="H35" s="4" t="s">
        <v>11</v>
      </c>
      <c r="I35" s="4" t="s">
        <v>44</v>
      </c>
      <c r="J35" s="4" t="s">
        <v>16</v>
      </c>
      <c r="K35" s="4" t="s">
        <v>41</v>
      </c>
      <c r="L35" s="4" t="s">
        <v>42</v>
      </c>
      <c r="M35" s="4" t="s">
        <v>49</v>
      </c>
      <c r="N35" s="4" t="s">
        <v>52</v>
      </c>
      <c r="O35" s="4" t="s">
        <v>54</v>
      </c>
      <c r="P35" s="4" t="s">
        <v>55</v>
      </c>
      <c r="Q35" s="4" t="s">
        <v>59</v>
      </c>
      <c r="R35" s="4" t="s">
        <v>61</v>
      </c>
      <c r="S35" s="37" t="s">
        <v>63</v>
      </c>
      <c r="T35" s="42" t="s">
        <v>0</v>
      </c>
      <c r="V35" s="2"/>
    </row>
    <row r="36" spans="1:22" ht="15" x14ac:dyDescent="0.2">
      <c r="A36" s="3" t="s">
        <v>17</v>
      </c>
      <c r="B36" s="8">
        <v>0</v>
      </c>
      <c r="C36" s="8">
        <v>0</v>
      </c>
      <c r="D36" s="8">
        <v>0</v>
      </c>
      <c r="E36" s="8">
        <v>0</v>
      </c>
      <c r="F36" s="8">
        <v>7</v>
      </c>
      <c r="G36" s="8">
        <v>3</v>
      </c>
      <c r="H36" s="8">
        <v>0</v>
      </c>
      <c r="I36" s="8">
        <v>8</v>
      </c>
      <c r="J36" s="8">
        <v>15</v>
      </c>
      <c r="K36" s="8">
        <v>16</v>
      </c>
      <c r="L36" s="8">
        <v>12</v>
      </c>
      <c r="M36" s="8">
        <v>12</v>
      </c>
      <c r="N36" s="8">
        <v>7</v>
      </c>
      <c r="O36" s="8">
        <v>3</v>
      </c>
      <c r="P36" s="8">
        <v>21</v>
      </c>
      <c r="Q36" s="8">
        <v>31</v>
      </c>
      <c r="R36" s="8">
        <v>40</v>
      </c>
      <c r="S36" s="37">
        <v>9</v>
      </c>
      <c r="T36" s="40">
        <f t="shared" ref="T36:T50" si="1">SUM(B36:S36)</f>
        <v>184</v>
      </c>
      <c r="V36" s="2"/>
    </row>
    <row r="37" spans="1:22" ht="15" x14ac:dyDescent="0.2">
      <c r="A37" s="3" t="s">
        <v>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8">
        <v>0</v>
      </c>
      <c r="S37" s="37">
        <v>0</v>
      </c>
      <c r="T37" s="40">
        <f t="shared" si="1"/>
        <v>0</v>
      </c>
      <c r="V37" s="2"/>
    </row>
    <row r="38" spans="1:22" ht="15" x14ac:dyDescent="0.2">
      <c r="A38" s="3" t="s">
        <v>18</v>
      </c>
      <c r="B38" s="8">
        <v>0</v>
      </c>
      <c r="C38" s="8">
        <v>0</v>
      </c>
      <c r="D38" s="8">
        <v>0</v>
      </c>
      <c r="E38" s="8">
        <v>1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37">
        <v>0</v>
      </c>
      <c r="T38" s="40">
        <f t="shared" si="1"/>
        <v>2</v>
      </c>
      <c r="V38" s="2"/>
    </row>
    <row r="39" spans="1:22" ht="15" x14ac:dyDescent="0.2">
      <c r="A39" s="3" t="s">
        <v>19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8">
        <v>0</v>
      </c>
      <c r="S39" s="37">
        <v>0</v>
      </c>
      <c r="T39" s="40">
        <f t="shared" si="1"/>
        <v>0</v>
      </c>
      <c r="V39" s="2"/>
    </row>
    <row r="40" spans="1:22" ht="15" x14ac:dyDescent="0.2">
      <c r="A40" s="3" t="s">
        <v>20</v>
      </c>
      <c r="B40" s="8">
        <v>4</v>
      </c>
      <c r="C40" s="8">
        <v>6</v>
      </c>
      <c r="D40" s="8">
        <v>8</v>
      </c>
      <c r="E40" s="8">
        <v>1</v>
      </c>
      <c r="F40" s="8">
        <v>11</v>
      </c>
      <c r="G40" s="8">
        <v>7</v>
      </c>
      <c r="H40" s="8">
        <v>13</v>
      </c>
      <c r="I40" s="8">
        <v>20</v>
      </c>
      <c r="J40" s="8">
        <v>20</v>
      </c>
      <c r="K40" s="8">
        <v>10</v>
      </c>
      <c r="L40" s="8">
        <v>19</v>
      </c>
      <c r="M40" s="8">
        <v>18</v>
      </c>
      <c r="N40" s="8">
        <v>21</v>
      </c>
      <c r="O40" s="8">
        <v>3</v>
      </c>
      <c r="P40" s="8">
        <v>46</v>
      </c>
      <c r="Q40" s="8">
        <v>39</v>
      </c>
      <c r="R40" s="8">
        <v>24</v>
      </c>
      <c r="S40" s="37">
        <v>18</v>
      </c>
      <c r="T40" s="40">
        <f t="shared" si="1"/>
        <v>288</v>
      </c>
      <c r="V40" s="2"/>
    </row>
    <row r="41" spans="1:22" ht="15" x14ac:dyDescent="0.2">
      <c r="A41" s="3" t="s">
        <v>21</v>
      </c>
      <c r="B41" s="9">
        <v>0</v>
      </c>
      <c r="C41" s="9">
        <v>0</v>
      </c>
      <c r="D41" s="9">
        <v>0</v>
      </c>
      <c r="E41" s="9">
        <v>0</v>
      </c>
      <c r="F41" s="9">
        <v>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8">
        <v>0</v>
      </c>
      <c r="S41" s="37">
        <v>0</v>
      </c>
      <c r="T41" s="40">
        <f t="shared" si="1"/>
        <v>1</v>
      </c>
      <c r="V41" s="2"/>
    </row>
    <row r="42" spans="1:22" ht="15" x14ac:dyDescent="0.2">
      <c r="A42" s="3" t="s">
        <v>22</v>
      </c>
      <c r="B42" s="8">
        <v>0</v>
      </c>
      <c r="C42" s="8">
        <v>0</v>
      </c>
      <c r="D42" s="8">
        <v>0</v>
      </c>
      <c r="E42" s="8">
        <v>0</v>
      </c>
      <c r="F42" s="8">
        <v>1</v>
      </c>
      <c r="G42" s="8">
        <v>2</v>
      </c>
      <c r="H42" s="8">
        <v>1</v>
      </c>
      <c r="I42" s="8">
        <v>4</v>
      </c>
      <c r="J42" s="8">
        <v>9</v>
      </c>
      <c r="K42" s="8">
        <v>4</v>
      </c>
      <c r="L42" s="8">
        <v>4</v>
      </c>
      <c r="M42" s="8">
        <v>3</v>
      </c>
      <c r="N42" s="8">
        <v>0</v>
      </c>
      <c r="O42" s="8">
        <v>0</v>
      </c>
      <c r="P42" s="8">
        <v>1</v>
      </c>
      <c r="Q42" s="8">
        <v>1</v>
      </c>
      <c r="R42" s="8">
        <v>1</v>
      </c>
      <c r="S42" s="37">
        <v>0</v>
      </c>
      <c r="T42" s="40">
        <f t="shared" si="1"/>
        <v>31</v>
      </c>
      <c r="V42" s="2"/>
    </row>
    <row r="43" spans="1:22" ht="15" x14ac:dyDescent="0.2">
      <c r="A43" s="3" t="s">
        <v>23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8">
        <v>0</v>
      </c>
      <c r="S43" s="37">
        <v>0</v>
      </c>
      <c r="T43" s="40">
        <f t="shared" si="1"/>
        <v>0</v>
      </c>
      <c r="V43" s="2"/>
    </row>
    <row r="44" spans="1:22" ht="15" x14ac:dyDescent="0.2">
      <c r="A44" s="3" t="s">
        <v>24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37">
        <v>0</v>
      </c>
      <c r="T44" s="40">
        <f t="shared" si="1"/>
        <v>0</v>
      </c>
      <c r="V44" s="2"/>
    </row>
    <row r="45" spans="1:22" ht="15" x14ac:dyDescent="0.2">
      <c r="A45" s="3" t="s">
        <v>25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1</v>
      </c>
      <c r="J45" s="9">
        <v>2</v>
      </c>
      <c r="K45" s="9">
        <v>1</v>
      </c>
      <c r="L45" s="9">
        <v>2</v>
      </c>
      <c r="M45" s="9">
        <v>3</v>
      </c>
      <c r="N45" s="9">
        <v>0</v>
      </c>
      <c r="O45" s="9">
        <v>0</v>
      </c>
      <c r="P45" s="9">
        <v>3</v>
      </c>
      <c r="Q45" s="9">
        <v>3</v>
      </c>
      <c r="R45" s="8">
        <v>6</v>
      </c>
      <c r="S45" s="37">
        <v>2</v>
      </c>
      <c r="T45" s="40">
        <f t="shared" si="1"/>
        <v>23</v>
      </c>
      <c r="V45" s="2"/>
    </row>
    <row r="46" spans="1:22" ht="15" x14ac:dyDescent="0.2">
      <c r="A46" s="3" t="s">
        <v>26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2</v>
      </c>
      <c r="H46" s="8">
        <v>0</v>
      </c>
      <c r="I46" s="8">
        <v>0</v>
      </c>
      <c r="J46" s="8">
        <v>0</v>
      </c>
      <c r="K46" s="8">
        <v>3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1</v>
      </c>
      <c r="R46" s="8">
        <v>0</v>
      </c>
      <c r="S46" s="37">
        <v>0</v>
      </c>
      <c r="T46" s="40">
        <f t="shared" si="1"/>
        <v>7</v>
      </c>
      <c r="V46" s="2"/>
    </row>
    <row r="47" spans="1:22" ht="15" x14ac:dyDescent="0.2">
      <c r="A47" t="s">
        <v>27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1</v>
      </c>
      <c r="I47" s="9">
        <v>0</v>
      </c>
      <c r="J47" s="9">
        <v>3</v>
      </c>
      <c r="K47" s="9">
        <v>1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1</v>
      </c>
      <c r="R47" s="8">
        <v>0</v>
      </c>
      <c r="S47" s="37">
        <v>0</v>
      </c>
      <c r="T47" s="40">
        <f t="shared" si="1"/>
        <v>7</v>
      </c>
      <c r="V47" s="2"/>
    </row>
    <row r="48" spans="1:22" ht="15" x14ac:dyDescent="0.2">
      <c r="A48" s="3" t="s">
        <v>53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37">
        <v>0</v>
      </c>
      <c r="T48" s="40">
        <f t="shared" si="1"/>
        <v>0</v>
      </c>
      <c r="V48" s="2"/>
    </row>
    <row r="49" spans="1:22" ht="15" x14ac:dyDescent="0.2">
      <c r="A49" s="3" t="s">
        <v>47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8">
        <v>0</v>
      </c>
      <c r="S49" s="37">
        <v>0</v>
      </c>
      <c r="T49" s="40">
        <f t="shared" si="1"/>
        <v>0</v>
      </c>
      <c r="V49" s="2"/>
    </row>
    <row r="50" spans="1:22" ht="15" x14ac:dyDescent="0.2">
      <c r="A50" t="s">
        <v>28</v>
      </c>
      <c r="B50" s="8">
        <v>5</v>
      </c>
      <c r="C50" s="8">
        <v>7</v>
      </c>
      <c r="D50" s="8">
        <v>3</v>
      </c>
      <c r="E50" s="8">
        <v>2</v>
      </c>
      <c r="F50" s="8">
        <v>3</v>
      </c>
      <c r="G50" s="8">
        <v>6</v>
      </c>
      <c r="H50" s="8">
        <v>8</v>
      </c>
      <c r="I50" s="8">
        <v>8</v>
      </c>
      <c r="J50" s="8">
        <v>12</v>
      </c>
      <c r="K50" s="8">
        <v>12</v>
      </c>
      <c r="L50" s="8">
        <v>6</v>
      </c>
      <c r="M50" s="8">
        <v>12</v>
      </c>
      <c r="N50" s="8">
        <v>17</v>
      </c>
      <c r="O50" s="8">
        <v>10</v>
      </c>
      <c r="P50" s="8">
        <v>32</v>
      </c>
      <c r="Q50" s="8">
        <v>30</v>
      </c>
      <c r="R50" s="8">
        <v>29</v>
      </c>
      <c r="S50" s="37">
        <v>2</v>
      </c>
      <c r="T50" s="40">
        <f t="shared" si="1"/>
        <v>204</v>
      </c>
      <c r="V50" s="2"/>
    </row>
    <row r="51" spans="1:22" ht="15" x14ac:dyDescent="0.2">
      <c r="A51" s="28" t="s">
        <v>0</v>
      </c>
      <c r="B51" s="29">
        <f>SUBTOTAL(109,Tabla524042535714[2007])</f>
        <v>9</v>
      </c>
      <c r="C51" s="29">
        <f>SUBTOTAL(109,Tabla524042535714[2008])</f>
        <v>13</v>
      </c>
      <c r="D51" s="29">
        <f>SUBTOTAL(109,Tabla524042535714[2009])</f>
        <v>11</v>
      </c>
      <c r="E51" s="29">
        <f>SUBTOTAL(109,Tabla524042535714[2010])</f>
        <v>4</v>
      </c>
      <c r="F51" s="29">
        <f>SUBTOTAL(109,Tabla524042535714[2011])</f>
        <v>24</v>
      </c>
      <c r="G51" s="29">
        <f>SUBTOTAL(109,Tabla524042535714[2012])</f>
        <v>20</v>
      </c>
      <c r="H51" s="29">
        <f>SUBTOTAL(109,Tabla524042535714[2013])</f>
        <v>23</v>
      </c>
      <c r="I51" s="29">
        <f>SUM(I36:I50)</f>
        <v>41</v>
      </c>
      <c r="J51" s="29">
        <f>SUBTOTAL(109,Tabla524042535714[2015])</f>
        <v>61</v>
      </c>
      <c r="K51" s="29">
        <f>SUBTOTAL(109,Tabla524042535714[2016])</f>
        <v>47</v>
      </c>
      <c r="L51" s="29">
        <f>SUBTOTAL(109,Tabla524042535714[2017])</f>
        <v>44</v>
      </c>
      <c r="M51" s="29">
        <f>SUBTOTAL(109,Tabla524042535714[2018])</f>
        <v>49</v>
      </c>
      <c r="N51" s="29">
        <f>SUBTOTAL(109,Tabla524042535714[2019])</f>
        <v>45</v>
      </c>
      <c r="O51" s="29">
        <f>SUBTOTAL(109,Tabla524042535714[2020])</f>
        <v>16</v>
      </c>
      <c r="P51" s="29">
        <f>SUBTOTAL(109,Tabla524042535714[2021])</f>
        <v>103</v>
      </c>
      <c r="Q51" s="29">
        <f>SUBTOTAL(109,Tabla524042535714[2022])</f>
        <v>106</v>
      </c>
      <c r="R51" s="29">
        <f>SUBTOTAL(109,Tabla524042535714[2023])</f>
        <v>100</v>
      </c>
      <c r="S51" s="38">
        <f>SUBTOTAL(109,Tabla524042535714[2024])</f>
        <v>31</v>
      </c>
      <c r="T51" s="38">
        <f>SUBTOTAL(109,Tabla524042535714[Total])</f>
        <v>747</v>
      </c>
      <c r="V51" s="2"/>
    </row>
    <row r="52" spans="1:22" ht="1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22" ht="1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22" ht="18" x14ac:dyDescent="0.2">
      <c r="A54" s="59" t="s">
        <v>64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</row>
    <row r="55" spans="1:22" ht="18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22" ht="15" x14ac:dyDescent="0.2">
      <c r="A56" s="18" t="s">
        <v>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22" ht="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22" ht="15" x14ac:dyDescent="0.2">
      <c r="A58" s="4" t="s">
        <v>1</v>
      </c>
      <c r="B58" s="4" t="s">
        <v>5</v>
      </c>
      <c r="C58" s="4" t="s">
        <v>6</v>
      </c>
      <c r="D58" s="4" t="s">
        <v>7</v>
      </c>
      <c r="E58" s="4" t="s">
        <v>8</v>
      </c>
      <c r="F58" s="4" t="s">
        <v>9</v>
      </c>
      <c r="G58" s="4" t="s">
        <v>10</v>
      </c>
      <c r="H58" s="4" t="s">
        <v>11</v>
      </c>
      <c r="I58" s="4" t="s">
        <v>44</v>
      </c>
      <c r="J58" s="4" t="s">
        <v>16</v>
      </c>
      <c r="K58" s="4" t="s">
        <v>41</v>
      </c>
      <c r="L58" s="4" t="s">
        <v>42</v>
      </c>
      <c r="M58" s="4" t="s">
        <v>49</v>
      </c>
      <c r="N58" s="4" t="s">
        <v>52</v>
      </c>
      <c r="O58" s="4" t="s">
        <v>54</v>
      </c>
      <c r="P58" s="4" t="s">
        <v>55</v>
      </c>
      <c r="Q58" s="4" t="s">
        <v>59</v>
      </c>
      <c r="R58" s="4" t="s">
        <v>61</v>
      </c>
      <c r="S58" s="30" t="s">
        <v>63</v>
      </c>
      <c r="T58" s="31" t="s">
        <v>0</v>
      </c>
      <c r="V58" s="2"/>
    </row>
    <row r="59" spans="1:22" ht="15" x14ac:dyDescent="0.2">
      <c r="A59" s="3" t="s">
        <v>17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30">
        <v>0</v>
      </c>
      <c r="T59" s="43">
        <f t="shared" ref="T59:T74" si="2">SUM(B59:S59)</f>
        <v>0</v>
      </c>
      <c r="V59" s="2"/>
    </row>
    <row r="60" spans="1:22" ht="15" x14ac:dyDescent="0.2">
      <c r="A60" s="3" t="s">
        <v>50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8">
        <v>3</v>
      </c>
      <c r="S60" s="30">
        <v>6</v>
      </c>
      <c r="T60" s="43">
        <f t="shared" si="2"/>
        <v>9</v>
      </c>
      <c r="V60" s="2"/>
    </row>
    <row r="61" spans="1:22" ht="15" x14ac:dyDescent="0.2">
      <c r="A61" s="3" t="s">
        <v>18</v>
      </c>
      <c r="B61" s="8">
        <v>13</v>
      </c>
      <c r="C61" s="8">
        <v>2</v>
      </c>
      <c r="D61" s="8">
        <v>1</v>
      </c>
      <c r="E61" s="8">
        <v>4</v>
      </c>
      <c r="F61" s="8">
        <v>5</v>
      </c>
      <c r="G61" s="8">
        <v>11</v>
      </c>
      <c r="H61" s="8">
        <v>21</v>
      </c>
      <c r="I61" s="8">
        <v>11</v>
      </c>
      <c r="J61" s="8">
        <v>20</v>
      </c>
      <c r="K61" s="8">
        <v>10</v>
      </c>
      <c r="L61" s="8">
        <v>24</v>
      </c>
      <c r="M61" s="8">
        <v>14</v>
      </c>
      <c r="N61" s="8">
        <v>17</v>
      </c>
      <c r="O61" s="8">
        <v>19</v>
      </c>
      <c r="P61" s="8">
        <v>43</v>
      </c>
      <c r="Q61" s="8">
        <v>38</v>
      </c>
      <c r="R61" s="8">
        <v>28</v>
      </c>
      <c r="S61" s="30">
        <v>6</v>
      </c>
      <c r="T61" s="43">
        <f t="shared" si="2"/>
        <v>287</v>
      </c>
      <c r="V61" s="2"/>
    </row>
    <row r="62" spans="1:22" ht="15" x14ac:dyDescent="0.2">
      <c r="A62" s="3" t="s">
        <v>46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9">
        <v>0</v>
      </c>
      <c r="J62" s="9">
        <v>0</v>
      </c>
      <c r="K62" s="9">
        <v>0</v>
      </c>
      <c r="L62" s="9">
        <v>4</v>
      </c>
      <c r="M62" s="9">
        <v>7</v>
      </c>
      <c r="N62" s="9">
        <v>3</v>
      </c>
      <c r="O62" s="9">
        <v>0</v>
      </c>
      <c r="P62" s="9">
        <v>2</v>
      </c>
      <c r="Q62" s="9">
        <v>6</v>
      </c>
      <c r="R62" s="8">
        <v>13</v>
      </c>
      <c r="S62" s="30">
        <v>8</v>
      </c>
      <c r="T62" s="43">
        <f t="shared" si="2"/>
        <v>43</v>
      </c>
      <c r="V62" s="2"/>
    </row>
    <row r="63" spans="1:22" ht="15" x14ac:dyDescent="0.2">
      <c r="A63" s="3" t="s">
        <v>19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30">
        <v>0</v>
      </c>
      <c r="T63" s="43">
        <f t="shared" si="2"/>
        <v>0</v>
      </c>
      <c r="V63" s="2"/>
    </row>
    <row r="64" spans="1:22" ht="15" x14ac:dyDescent="0.2">
      <c r="A64" s="3" t="s">
        <v>20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8">
        <v>0</v>
      </c>
      <c r="S64" s="30">
        <v>0</v>
      </c>
      <c r="T64" s="43">
        <f t="shared" si="2"/>
        <v>0</v>
      </c>
      <c r="V64" s="2"/>
    </row>
    <row r="65" spans="1:25" ht="15" x14ac:dyDescent="0.2">
      <c r="A65" s="3" t="s">
        <v>21</v>
      </c>
      <c r="B65" s="8">
        <v>0</v>
      </c>
      <c r="C65" s="8">
        <v>0</v>
      </c>
      <c r="D65" s="8">
        <v>0</v>
      </c>
      <c r="E65" s="8">
        <v>2</v>
      </c>
      <c r="F65" s="8">
        <v>3</v>
      </c>
      <c r="G65" s="8">
        <v>1</v>
      </c>
      <c r="H65" s="8">
        <v>6</v>
      </c>
      <c r="I65" s="8">
        <v>8</v>
      </c>
      <c r="J65" s="8">
        <v>4</v>
      </c>
      <c r="K65" s="8">
        <v>6</v>
      </c>
      <c r="L65" s="8">
        <v>9</v>
      </c>
      <c r="M65" s="8">
        <v>7</v>
      </c>
      <c r="N65" s="8">
        <v>7</v>
      </c>
      <c r="O65" s="8">
        <v>4</v>
      </c>
      <c r="P65" s="8">
        <v>24</v>
      </c>
      <c r="Q65" s="8">
        <v>26</v>
      </c>
      <c r="R65" s="8">
        <v>15</v>
      </c>
      <c r="S65" s="30">
        <v>2</v>
      </c>
      <c r="T65" s="43">
        <f t="shared" si="2"/>
        <v>124</v>
      </c>
      <c r="V65" s="2"/>
    </row>
    <row r="66" spans="1:25" ht="15" x14ac:dyDescent="0.2">
      <c r="A66" s="3" t="s">
        <v>22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2</v>
      </c>
      <c r="O66" s="9">
        <v>0</v>
      </c>
      <c r="P66" s="9">
        <v>0</v>
      </c>
      <c r="Q66" s="9">
        <v>0</v>
      </c>
      <c r="R66" s="8">
        <v>0</v>
      </c>
      <c r="S66" s="30">
        <v>0</v>
      </c>
      <c r="T66" s="43">
        <f t="shared" si="2"/>
        <v>2</v>
      </c>
      <c r="V66" s="2"/>
    </row>
    <row r="67" spans="1:25" ht="15" x14ac:dyDescent="0.2">
      <c r="A67" s="3" t="s">
        <v>23</v>
      </c>
      <c r="B67" s="8">
        <v>0</v>
      </c>
      <c r="C67" s="8">
        <v>0</v>
      </c>
      <c r="D67" s="8">
        <v>0</v>
      </c>
      <c r="E67" s="8">
        <v>0</v>
      </c>
      <c r="F67" s="8">
        <v>2</v>
      </c>
      <c r="G67" s="8">
        <v>0</v>
      </c>
      <c r="H67" s="8">
        <v>4</v>
      </c>
      <c r="I67" s="8">
        <v>1</v>
      </c>
      <c r="J67" s="8">
        <v>6</v>
      </c>
      <c r="K67" s="8">
        <v>1</v>
      </c>
      <c r="L67" s="8">
        <v>2</v>
      </c>
      <c r="M67" s="8">
        <v>1</v>
      </c>
      <c r="N67" s="8">
        <v>2</v>
      </c>
      <c r="O67" s="8">
        <v>1</v>
      </c>
      <c r="P67" s="8">
        <v>12</v>
      </c>
      <c r="Q67" s="8">
        <v>11</v>
      </c>
      <c r="R67" s="8">
        <v>6</v>
      </c>
      <c r="S67" s="30">
        <v>1</v>
      </c>
      <c r="T67" s="43">
        <f t="shared" si="2"/>
        <v>50</v>
      </c>
      <c r="V67" s="2"/>
    </row>
    <row r="68" spans="1:25" ht="15" x14ac:dyDescent="0.2">
      <c r="A68" s="3" t="s">
        <v>24</v>
      </c>
      <c r="B68" s="9">
        <v>1</v>
      </c>
      <c r="C68" s="9">
        <v>2</v>
      </c>
      <c r="D68" s="9">
        <v>1</v>
      </c>
      <c r="E68" s="9">
        <v>1</v>
      </c>
      <c r="F68" s="9">
        <v>0</v>
      </c>
      <c r="G68" s="9">
        <v>3</v>
      </c>
      <c r="H68" s="9">
        <v>1</v>
      </c>
      <c r="I68" s="9">
        <v>0</v>
      </c>
      <c r="J68" s="9">
        <v>0</v>
      </c>
      <c r="K68" s="9">
        <v>0</v>
      </c>
      <c r="L68" s="9">
        <v>0</v>
      </c>
      <c r="M68" s="9">
        <v>1</v>
      </c>
      <c r="N68" s="9">
        <v>0</v>
      </c>
      <c r="O68" s="9">
        <v>0</v>
      </c>
      <c r="P68" s="9">
        <v>0</v>
      </c>
      <c r="Q68" s="9">
        <v>0</v>
      </c>
      <c r="R68" s="8">
        <v>0</v>
      </c>
      <c r="S68" s="30">
        <v>0</v>
      </c>
      <c r="T68" s="43">
        <f t="shared" si="2"/>
        <v>10</v>
      </c>
      <c r="V68" s="2"/>
    </row>
    <row r="69" spans="1:25" ht="15" x14ac:dyDescent="0.2">
      <c r="A69" s="3" t="s">
        <v>25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30">
        <v>0</v>
      </c>
      <c r="T69" s="43">
        <f t="shared" si="2"/>
        <v>0</v>
      </c>
      <c r="V69" s="2"/>
    </row>
    <row r="70" spans="1:25" ht="15" x14ac:dyDescent="0.2">
      <c r="A70" s="3" t="s">
        <v>26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8">
        <v>0</v>
      </c>
      <c r="S70" s="30">
        <v>0</v>
      </c>
      <c r="T70" s="43">
        <f t="shared" si="2"/>
        <v>0</v>
      </c>
      <c r="V70" s="2"/>
    </row>
    <row r="71" spans="1:25" ht="15" x14ac:dyDescent="0.2">
      <c r="A71" t="s">
        <v>27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1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30">
        <v>0</v>
      </c>
      <c r="T71" s="43">
        <f t="shared" si="2"/>
        <v>1</v>
      </c>
      <c r="V71" s="2"/>
    </row>
    <row r="72" spans="1:25" ht="15" x14ac:dyDescent="0.2">
      <c r="A72" s="3" t="s">
        <v>53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8">
        <v>0</v>
      </c>
      <c r="S72" s="30">
        <v>0</v>
      </c>
      <c r="T72" s="43">
        <f t="shared" si="2"/>
        <v>0</v>
      </c>
      <c r="V72" s="2"/>
    </row>
    <row r="73" spans="1:25" ht="15" x14ac:dyDescent="0.2">
      <c r="A73" s="3" t="s">
        <v>47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30">
        <v>0</v>
      </c>
      <c r="T73" s="43">
        <f t="shared" si="2"/>
        <v>0</v>
      </c>
      <c r="V73" s="2"/>
    </row>
    <row r="74" spans="1:25" ht="15" x14ac:dyDescent="0.2">
      <c r="A74" t="s">
        <v>28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1</v>
      </c>
      <c r="I74" s="9">
        <v>0</v>
      </c>
      <c r="J74" s="9">
        <v>0</v>
      </c>
      <c r="K74" s="9">
        <v>1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1</v>
      </c>
      <c r="R74" s="8">
        <v>0</v>
      </c>
      <c r="S74" s="30">
        <v>0</v>
      </c>
      <c r="T74" s="43">
        <f t="shared" si="2"/>
        <v>3</v>
      </c>
      <c r="V74" s="2"/>
    </row>
    <row r="75" spans="1:25" ht="15" x14ac:dyDescent="0.2">
      <c r="A75" t="s">
        <v>0</v>
      </c>
      <c r="B75" s="29">
        <f>SUBTOTAL(109,Tabla534152632416[2007])</f>
        <v>14</v>
      </c>
      <c r="C75" s="29">
        <f>SUBTOTAL(109,Tabla534152632416[2008])</f>
        <v>4</v>
      </c>
      <c r="D75" s="29">
        <f>SUBTOTAL(109,Tabla534152632416[2009])</f>
        <v>2</v>
      </c>
      <c r="E75" s="29">
        <f>SUBTOTAL(109,Tabla534152632416[2010])</f>
        <v>7</v>
      </c>
      <c r="F75" s="29">
        <f>SUBTOTAL(109,Tabla534152632416[2011])</f>
        <v>10</v>
      </c>
      <c r="G75" s="29">
        <f>SUBTOTAL(109,Tabla534152632416[2012])</f>
        <v>15</v>
      </c>
      <c r="H75" s="29">
        <f>SUBTOTAL(109,Tabla534152632416[2013])</f>
        <v>33</v>
      </c>
      <c r="I75" s="29">
        <f>SUM(I59:I74)</f>
        <v>20</v>
      </c>
      <c r="J75" s="29">
        <f>SUBTOTAL(109,Tabla534152632416[2015])</f>
        <v>30</v>
      </c>
      <c r="K75" s="29">
        <f>SUBTOTAL(109,Tabla534152632416[2016])</f>
        <v>18</v>
      </c>
      <c r="L75" s="29">
        <f>SUBTOTAL(109,Tabla534152632416[2017])</f>
        <v>39</v>
      </c>
      <c r="M75" s="29">
        <f>SUBTOTAL(109,Tabla534152632416[2018])</f>
        <v>31</v>
      </c>
      <c r="N75" s="29">
        <f>SUBTOTAL(109,Tabla534152632416[2019])</f>
        <v>31</v>
      </c>
      <c r="O75" s="29">
        <f>SUBTOTAL(109,Tabla534152632416[2020])</f>
        <v>24</v>
      </c>
      <c r="P75" s="29">
        <f>SUBTOTAL(109,Tabla534152632416[2021])</f>
        <v>81</v>
      </c>
      <c r="Q75" s="29">
        <f>SUBTOTAL(109,Tabla534152632416[2022])</f>
        <v>82</v>
      </c>
      <c r="R75" s="29">
        <f>SUBTOTAL(109,Tabla534152632416[2023])</f>
        <v>65</v>
      </c>
      <c r="S75" s="38">
        <f>SUBTOTAL(109,Tabla534152632416[2024])</f>
        <v>23</v>
      </c>
      <c r="T75" s="29">
        <f>SUBTOTAL(109,Tabla534152632416[Total])</f>
        <v>529</v>
      </c>
      <c r="V75" s="2"/>
    </row>
    <row r="76" spans="1:25" ht="1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8" spans="1:25" ht="18" x14ac:dyDescent="0.2">
      <c r="A78" s="59" t="s">
        <v>64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15"/>
      <c r="T78" s="15"/>
      <c r="U78" s="15"/>
      <c r="V78" s="15"/>
      <c r="W78" s="15"/>
      <c r="X78" s="15"/>
      <c r="Y78" s="15"/>
    </row>
    <row r="80" spans="1:25" ht="15" x14ac:dyDescent="0.2">
      <c r="A80" s="18" t="s">
        <v>56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22" ht="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22" ht="15" x14ac:dyDescent="0.2">
      <c r="A82" s="4" t="s">
        <v>1</v>
      </c>
      <c r="B82" s="4" t="s">
        <v>5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44</v>
      </c>
      <c r="J82" s="4" t="s">
        <v>16</v>
      </c>
      <c r="K82" s="4" t="s">
        <v>41</v>
      </c>
      <c r="L82" s="4" t="s">
        <v>42</v>
      </c>
      <c r="M82" s="4" t="s">
        <v>49</v>
      </c>
      <c r="N82" s="4" t="s">
        <v>52</v>
      </c>
      <c r="O82" s="4" t="s">
        <v>54</v>
      </c>
      <c r="P82" s="4" t="s">
        <v>55</v>
      </c>
      <c r="Q82" s="4" t="s">
        <v>59</v>
      </c>
      <c r="R82" s="4" t="s">
        <v>61</v>
      </c>
      <c r="S82" s="30" t="s">
        <v>63</v>
      </c>
      <c r="T82" s="31" t="s">
        <v>0</v>
      </c>
      <c r="V82" s="2"/>
    </row>
    <row r="83" spans="1:22" ht="15" x14ac:dyDescent="0.2">
      <c r="A83" s="3" t="s">
        <v>17</v>
      </c>
      <c r="B83" s="8">
        <v>0</v>
      </c>
      <c r="C83" s="8">
        <v>0</v>
      </c>
      <c r="D83" s="8">
        <v>4</v>
      </c>
      <c r="E83" s="8">
        <v>5</v>
      </c>
      <c r="F83" s="8">
        <v>10</v>
      </c>
      <c r="G83" s="8">
        <v>6</v>
      </c>
      <c r="H83" s="8">
        <v>17</v>
      </c>
      <c r="I83" s="8">
        <v>17</v>
      </c>
      <c r="J83" s="8">
        <v>8</v>
      </c>
      <c r="K83" s="8">
        <v>18</v>
      </c>
      <c r="L83" s="8">
        <v>16</v>
      </c>
      <c r="M83" s="8">
        <v>17</v>
      </c>
      <c r="N83" s="8">
        <v>9</v>
      </c>
      <c r="O83" s="8">
        <v>5</v>
      </c>
      <c r="P83" s="8">
        <v>14</v>
      </c>
      <c r="Q83" s="8">
        <v>28</v>
      </c>
      <c r="R83" s="8">
        <v>28</v>
      </c>
      <c r="S83" s="30">
        <v>8</v>
      </c>
      <c r="T83" s="32">
        <f t="shared" ref="T83:T100" si="3">SUM(B83:S83)</f>
        <v>210</v>
      </c>
      <c r="V83" s="2"/>
    </row>
    <row r="84" spans="1:22" ht="15" x14ac:dyDescent="0.2">
      <c r="A84" s="3" t="s">
        <v>50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9">
        <v>0</v>
      </c>
      <c r="J84" s="4">
        <v>0</v>
      </c>
      <c r="K84" s="9">
        <v>0</v>
      </c>
      <c r="L84" s="9">
        <v>0</v>
      </c>
      <c r="M84" s="9">
        <v>0</v>
      </c>
      <c r="N84" s="9">
        <v>5</v>
      </c>
      <c r="O84" s="9">
        <v>0</v>
      </c>
      <c r="P84" s="9">
        <v>3</v>
      </c>
      <c r="Q84" s="9">
        <v>0</v>
      </c>
      <c r="R84" s="8">
        <v>6</v>
      </c>
      <c r="S84" s="30">
        <v>1</v>
      </c>
      <c r="T84" s="32">
        <f t="shared" si="3"/>
        <v>15</v>
      </c>
      <c r="V84" s="2"/>
    </row>
    <row r="85" spans="1:22" ht="15" x14ac:dyDescent="0.2">
      <c r="A85" s="3" t="s">
        <v>18</v>
      </c>
      <c r="B85" s="8">
        <v>0</v>
      </c>
      <c r="C85" s="8">
        <v>2</v>
      </c>
      <c r="D85" s="8">
        <v>3</v>
      </c>
      <c r="E85" s="8">
        <v>54</v>
      </c>
      <c r="F85" s="8">
        <v>53</v>
      </c>
      <c r="G85" s="8">
        <v>57</v>
      </c>
      <c r="H85" s="8">
        <v>81</v>
      </c>
      <c r="I85" s="8">
        <v>73</v>
      </c>
      <c r="J85" s="8">
        <v>80</v>
      </c>
      <c r="K85" s="8">
        <v>56</v>
      </c>
      <c r="L85" s="8">
        <v>44</v>
      </c>
      <c r="M85" s="8">
        <v>53</v>
      </c>
      <c r="N85" s="8">
        <v>57</v>
      </c>
      <c r="O85" s="8">
        <v>27</v>
      </c>
      <c r="P85" s="8">
        <v>68</v>
      </c>
      <c r="Q85" s="8">
        <v>102</v>
      </c>
      <c r="R85" s="8">
        <v>48</v>
      </c>
      <c r="S85" s="30">
        <v>21</v>
      </c>
      <c r="T85" s="32">
        <f t="shared" si="3"/>
        <v>879</v>
      </c>
      <c r="V85" s="2"/>
    </row>
    <row r="86" spans="1:22" ht="15" x14ac:dyDescent="0.2">
      <c r="A86" s="3" t="s">
        <v>19</v>
      </c>
      <c r="B86" s="9">
        <v>0</v>
      </c>
      <c r="C86" s="9">
        <v>0</v>
      </c>
      <c r="D86" s="9">
        <v>0</v>
      </c>
      <c r="E86" s="9">
        <v>1</v>
      </c>
      <c r="F86" s="9">
        <v>10</v>
      </c>
      <c r="G86" s="9">
        <v>6</v>
      </c>
      <c r="H86" s="9">
        <v>10</v>
      </c>
      <c r="I86" s="9">
        <v>10</v>
      </c>
      <c r="J86" s="9">
        <v>11</v>
      </c>
      <c r="K86" s="9">
        <v>5</v>
      </c>
      <c r="L86" s="9">
        <v>15</v>
      </c>
      <c r="M86" s="9">
        <v>14</v>
      </c>
      <c r="N86" s="9">
        <v>6</v>
      </c>
      <c r="O86" s="9">
        <v>1</v>
      </c>
      <c r="P86" s="9">
        <v>9</v>
      </c>
      <c r="Q86" s="9">
        <v>11</v>
      </c>
      <c r="R86" s="8">
        <v>14</v>
      </c>
      <c r="S86" s="30">
        <v>2</v>
      </c>
      <c r="T86" s="32">
        <f t="shared" si="3"/>
        <v>125</v>
      </c>
      <c r="V86" s="2"/>
    </row>
    <row r="87" spans="1:22" ht="15" x14ac:dyDescent="0.2">
      <c r="A87" s="3" t="s">
        <v>20</v>
      </c>
      <c r="B87" s="8">
        <v>0</v>
      </c>
      <c r="C87" s="8">
        <v>1</v>
      </c>
      <c r="D87" s="8">
        <v>3</v>
      </c>
      <c r="E87" s="8">
        <v>27</v>
      </c>
      <c r="F87" s="8">
        <v>64</v>
      </c>
      <c r="G87" s="8">
        <v>38</v>
      </c>
      <c r="H87" s="8">
        <v>51</v>
      </c>
      <c r="I87" s="8">
        <v>94</v>
      </c>
      <c r="J87" s="8">
        <v>97</v>
      </c>
      <c r="K87" s="8">
        <v>91</v>
      </c>
      <c r="L87" s="8">
        <v>57</v>
      </c>
      <c r="M87" s="8">
        <v>55</v>
      </c>
      <c r="N87" s="8">
        <v>91</v>
      </c>
      <c r="O87" s="8">
        <v>26</v>
      </c>
      <c r="P87" s="8">
        <v>99</v>
      </c>
      <c r="Q87" s="8">
        <v>97</v>
      </c>
      <c r="R87" s="8">
        <v>63</v>
      </c>
      <c r="S87" s="30">
        <v>25</v>
      </c>
      <c r="T87" s="32">
        <f t="shared" si="3"/>
        <v>979</v>
      </c>
      <c r="V87" s="2"/>
    </row>
    <row r="88" spans="1:22" ht="15" x14ac:dyDescent="0.2">
      <c r="A88" s="3" t="s">
        <v>21</v>
      </c>
      <c r="B88" s="9">
        <v>0</v>
      </c>
      <c r="C88" s="9">
        <v>0</v>
      </c>
      <c r="D88" s="9">
        <v>1</v>
      </c>
      <c r="E88" s="9">
        <v>3</v>
      </c>
      <c r="F88" s="9">
        <v>4</v>
      </c>
      <c r="G88" s="9">
        <v>3</v>
      </c>
      <c r="H88" s="9">
        <v>10</v>
      </c>
      <c r="I88" s="9">
        <v>11</v>
      </c>
      <c r="J88" s="9">
        <v>13</v>
      </c>
      <c r="K88" s="9">
        <v>6</v>
      </c>
      <c r="L88" s="9">
        <v>5</v>
      </c>
      <c r="M88" s="9">
        <v>10</v>
      </c>
      <c r="N88" s="9">
        <v>6</v>
      </c>
      <c r="O88" s="9">
        <v>10</v>
      </c>
      <c r="P88" s="9">
        <v>18</v>
      </c>
      <c r="Q88" s="9">
        <v>26</v>
      </c>
      <c r="R88" s="8">
        <v>14</v>
      </c>
      <c r="S88" s="30">
        <v>5</v>
      </c>
      <c r="T88" s="32">
        <f t="shared" si="3"/>
        <v>145</v>
      </c>
      <c r="V88" s="2"/>
    </row>
    <row r="89" spans="1:22" ht="15" x14ac:dyDescent="0.2">
      <c r="A89" s="3" t="s">
        <v>22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1</v>
      </c>
      <c r="O89" s="8">
        <v>0</v>
      </c>
      <c r="P89" s="8">
        <v>1</v>
      </c>
      <c r="Q89" s="8">
        <v>0</v>
      </c>
      <c r="R89" s="8">
        <v>0</v>
      </c>
      <c r="S89" s="30">
        <v>0</v>
      </c>
      <c r="T89" s="32">
        <f t="shared" si="3"/>
        <v>2</v>
      </c>
      <c r="V89" s="2"/>
    </row>
    <row r="90" spans="1:22" ht="15" x14ac:dyDescent="0.2">
      <c r="A90" s="3" t="s">
        <v>23</v>
      </c>
      <c r="B90" s="9">
        <v>0</v>
      </c>
      <c r="C90" s="9">
        <v>0</v>
      </c>
      <c r="D90" s="9">
        <v>1</v>
      </c>
      <c r="E90" s="9">
        <v>0</v>
      </c>
      <c r="F90" s="9">
        <v>2</v>
      </c>
      <c r="G90" s="9">
        <v>3</v>
      </c>
      <c r="H90" s="9">
        <v>6</v>
      </c>
      <c r="I90" s="9">
        <v>7</v>
      </c>
      <c r="J90" s="9">
        <v>6</v>
      </c>
      <c r="K90" s="9">
        <v>3</v>
      </c>
      <c r="L90" s="9">
        <v>4</v>
      </c>
      <c r="M90" s="9">
        <v>7</v>
      </c>
      <c r="N90" s="9">
        <v>6</v>
      </c>
      <c r="O90" s="9">
        <v>8</v>
      </c>
      <c r="P90" s="9">
        <v>9</v>
      </c>
      <c r="Q90" s="9">
        <v>10</v>
      </c>
      <c r="R90" s="8">
        <v>8</v>
      </c>
      <c r="S90" s="30">
        <v>5</v>
      </c>
      <c r="T90" s="32">
        <f t="shared" si="3"/>
        <v>85</v>
      </c>
      <c r="V90" s="2"/>
    </row>
    <row r="91" spans="1:22" ht="15" x14ac:dyDescent="0.2">
      <c r="A91" s="3" t="s">
        <v>24</v>
      </c>
      <c r="B91" s="8">
        <v>0</v>
      </c>
      <c r="C91" s="8">
        <v>0</v>
      </c>
      <c r="D91" s="8">
        <v>5</v>
      </c>
      <c r="E91" s="8">
        <v>4</v>
      </c>
      <c r="F91" s="8">
        <v>4</v>
      </c>
      <c r="G91" s="8">
        <v>11</v>
      </c>
      <c r="H91" s="8">
        <v>8</v>
      </c>
      <c r="I91" s="8">
        <v>10</v>
      </c>
      <c r="J91" s="8">
        <v>11</v>
      </c>
      <c r="K91" s="8">
        <v>15</v>
      </c>
      <c r="L91" s="8">
        <v>15</v>
      </c>
      <c r="M91" s="8">
        <v>5</v>
      </c>
      <c r="N91" s="8">
        <v>22</v>
      </c>
      <c r="O91" s="8">
        <v>9</v>
      </c>
      <c r="P91" s="8">
        <v>21</v>
      </c>
      <c r="Q91" s="8">
        <v>23</v>
      </c>
      <c r="R91" s="8">
        <v>11</v>
      </c>
      <c r="S91" s="30">
        <v>6</v>
      </c>
      <c r="T91" s="32">
        <f t="shared" si="3"/>
        <v>180</v>
      </c>
      <c r="V91" s="2"/>
    </row>
    <row r="92" spans="1:22" ht="15" x14ac:dyDescent="0.2">
      <c r="A92" s="3" t="s">
        <v>45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3</v>
      </c>
      <c r="M92" s="9">
        <v>0</v>
      </c>
      <c r="N92" s="9">
        <v>4</v>
      </c>
      <c r="O92" s="9">
        <v>1</v>
      </c>
      <c r="P92" s="9">
        <v>7</v>
      </c>
      <c r="Q92" s="9">
        <v>9</v>
      </c>
      <c r="R92" s="8">
        <v>12</v>
      </c>
      <c r="S92" s="30">
        <v>1</v>
      </c>
      <c r="T92" s="32">
        <f t="shared" si="3"/>
        <v>37</v>
      </c>
      <c r="V92" s="2"/>
    </row>
    <row r="93" spans="1:22" ht="15" x14ac:dyDescent="0.2">
      <c r="A93" s="3" t="s">
        <v>25</v>
      </c>
      <c r="B93" s="8">
        <v>0</v>
      </c>
      <c r="C93" s="8">
        <v>0</v>
      </c>
      <c r="D93" s="8">
        <v>0</v>
      </c>
      <c r="E93" s="8">
        <v>0</v>
      </c>
      <c r="F93" s="8">
        <v>2</v>
      </c>
      <c r="G93" s="8">
        <v>1</v>
      </c>
      <c r="H93" s="8">
        <v>3</v>
      </c>
      <c r="I93" s="8">
        <v>8</v>
      </c>
      <c r="J93" s="8">
        <v>7</v>
      </c>
      <c r="K93" s="8">
        <v>10</v>
      </c>
      <c r="L93" s="8">
        <v>10</v>
      </c>
      <c r="M93" s="8">
        <v>8</v>
      </c>
      <c r="N93" s="8">
        <v>5</v>
      </c>
      <c r="O93" s="8">
        <v>6</v>
      </c>
      <c r="P93" s="8">
        <v>11</v>
      </c>
      <c r="Q93" s="8">
        <v>3</v>
      </c>
      <c r="R93" s="8">
        <v>3</v>
      </c>
      <c r="S93" s="30">
        <v>1</v>
      </c>
      <c r="T93" s="32">
        <f t="shared" si="3"/>
        <v>78</v>
      </c>
      <c r="V93" s="2"/>
    </row>
    <row r="94" spans="1:22" ht="15" x14ac:dyDescent="0.2">
      <c r="A94" s="3" t="s">
        <v>26</v>
      </c>
      <c r="B94" s="9">
        <v>0</v>
      </c>
      <c r="C94" s="9">
        <v>0</v>
      </c>
      <c r="D94" s="9">
        <v>0</v>
      </c>
      <c r="E94" s="9">
        <v>0</v>
      </c>
      <c r="F94" s="9">
        <v>1</v>
      </c>
      <c r="G94" s="9">
        <v>1</v>
      </c>
      <c r="H94" s="9">
        <v>2</v>
      </c>
      <c r="I94" s="9">
        <v>2</v>
      </c>
      <c r="J94" s="9">
        <v>17</v>
      </c>
      <c r="K94" s="9">
        <v>11</v>
      </c>
      <c r="L94" s="9">
        <v>11</v>
      </c>
      <c r="M94" s="9">
        <v>15</v>
      </c>
      <c r="N94" s="9">
        <v>9</v>
      </c>
      <c r="O94" s="9">
        <v>5</v>
      </c>
      <c r="P94" s="9">
        <v>14</v>
      </c>
      <c r="Q94" s="9">
        <v>14</v>
      </c>
      <c r="R94" s="8">
        <v>10</v>
      </c>
      <c r="S94" s="30">
        <v>1</v>
      </c>
      <c r="T94" s="32">
        <f t="shared" si="3"/>
        <v>113</v>
      </c>
      <c r="V94" s="2"/>
    </row>
    <row r="95" spans="1:22" ht="15" x14ac:dyDescent="0.2">
      <c r="A95" t="s">
        <v>27</v>
      </c>
      <c r="B95" s="8">
        <v>0</v>
      </c>
      <c r="C95" s="8">
        <v>0</v>
      </c>
      <c r="D95" s="8">
        <v>0</v>
      </c>
      <c r="E95" s="8">
        <v>0</v>
      </c>
      <c r="F95" s="8">
        <v>1</v>
      </c>
      <c r="G95" s="8">
        <v>4</v>
      </c>
      <c r="H95" s="8">
        <v>8</v>
      </c>
      <c r="I95" s="8">
        <v>9</v>
      </c>
      <c r="J95" s="8">
        <v>14</v>
      </c>
      <c r="K95" s="8">
        <v>16</v>
      </c>
      <c r="L95" s="8">
        <v>14</v>
      </c>
      <c r="M95" s="8">
        <v>12</v>
      </c>
      <c r="N95" s="8">
        <v>18</v>
      </c>
      <c r="O95" s="8">
        <v>6</v>
      </c>
      <c r="P95" s="8">
        <v>18</v>
      </c>
      <c r="Q95" s="8">
        <v>7</v>
      </c>
      <c r="R95" s="8">
        <v>16</v>
      </c>
      <c r="S95" s="30">
        <v>1</v>
      </c>
      <c r="T95" s="32">
        <f t="shared" si="3"/>
        <v>144</v>
      </c>
      <c r="V95" s="2"/>
    </row>
    <row r="96" spans="1:22" ht="15" x14ac:dyDescent="0.2">
      <c r="A96" t="s">
        <v>43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1</v>
      </c>
      <c r="M96" s="9">
        <v>2</v>
      </c>
      <c r="N96" s="9">
        <v>10</v>
      </c>
      <c r="O96" s="9">
        <v>1</v>
      </c>
      <c r="P96" s="9">
        <v>11</v>
      </c>
      <c r="Q96" s="9">
        <v>11</v>
      </c>
      <c r="R96" s="8">
        <v>11</v>
      </c>
      <c r="S96" s="30">
        <v>1</v>
      </c>
      <c r="T96" s="32">
        <f t="shared" si="3"/>
        <v>48</v>
      </c>
      <c r="V96" s="2"/>
    </row>
    <row r="97" spans="1:23" ht="15" x14ac:dyDescent="0.2">
      <c r="A97" s="3" t="s">
        <v>47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1</v>
      </c>
      <c r="M97" s="8">
        <v>3</v>
      </c>
      <c r="N97" s="8">
        <v>0</v>
      </c>
      <c r="O97" s="8">
        <v>0</v>
      </c>
      <c r="P97" s="8">
        <v>3</v>
      </c>
      <c r="Q97" s="8">
        <v>7</v>
      </c>
      <c r="R97" s="8">
        <v>13</v>
      </c>
      <c r="S97" s="30">
        <v>11</v>
      </c>
      <c r="T97" s="32">
        <f t="shared" si="3"/>
        <v>38</v>
      </c>
      <c r="V97" s="2"/>
    </row>
    <row r="98" spans="1:23" ht="15" x14ac:dyDescent="0.2">
      <c r="A98" s="3" t="s">
        <v>53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3</v>
      </c>
      <c r="O98" s="9">
        <v>1</v>
      </c>
      <c r="P98" s="9">
        <v>7</v>
      </c>
      <c r="Q98" s="9">
        <v>6</v>
      </c>
      <c r="R98" s="8">
        <v>4</v>
      </c>
      <c r="S98" s="30">
        <v>1</v>
      </c>
      <c r="T98" s="32">
        <f t="shared" si="3"/>
        <v>22</v>
      </c>
      <c r="V98" s="2"/>
    </row>
    <row r="99" spans="1:23" ht="15" x14ac:dyDescent="0.2">
      <c r="A99" t="s">
        <v>28</v>
      </c>
      <c r="B99" s="8">
        <v>0</v>
      </c>
      <c r="C99" s="8">
        <v>0</v>
      </c>
      <c r="D99" s="8">
        <v>1</v>
      </c>
      <c r="E99" s="8">
        <v>8</v>
      </c>
      <c r="F99" s="8">
        <v>10</v>
      </c>
      <c r="G99" s="8">
        <v>24</v>
      </c>
      <c r="H99" s="8">
        <v>41</v>
      </c>
      <c r="I99" s="8">
        <v>31</v>
      </c>
      <c r="J99" s="8">
        <v>35</v>
      </c>
      <c r="K99" s="8">
        <v>31</v>
      </c>
      <c r="L99" s="8">
        <v>19</v>
      </c>
      <c r="M99" s="8">
        <v>42</v>
      </c>
      <c r="N99" s="8">
        <v>40</v>
      </c>
      <c r="O99" s="8">
        <v>11</v>
      </c>
      <c r="P99" s="8">
        <v>48</v>
      </c>
      <c r="Q99" s="8">
        <v>47</v>
      </c>
      <c r="R99" s="8">
        <v>52</v>
      </c>
      <c r="S99" s="30">
        <v>23</v>
      </c>
      <c r="T99" s="32">
        <f t="shared" si="3"/>
        <v>463</v>
      </c>
      <c r="V99" s="2"/>
    </row>
    <row r="100" spans="1:23" ht="15" x14ac:dyDescent="0.2">
      <c r="A100" t="s">
        <v>60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4</v>
      </c>
      <c r="R100" s="8">
        <v>1</v>
      </c>
      <c r="S100" s="30">
        <v>5</v>
      </c>
      <c r="T100" s="32">
        <f t="shared" si="3"/>
        <v>10</v>
      </c>
      <c r="U100" s="6"/>
      <c r="W100" s="2"/>
    </row>
    <row r="101" spans="1:23" ht="15" x14ac:dyDescent="0.2">
      <c r="A101" s="28" t="s">
        <v>0</v>
      </c>
      <c r="B101" s="29">
        <f>SUBTOTAL(109,Tabla574372833518[2007])</f>
        <v>0</v>
      </c>
      <c r="C101" s="29">
        <f>SUBTOTAL(109,Tabla574372833518[2008])</f>
        <v>3</v>
      </c>
      <c r="D101" s="29">
        <f>SUBTOTAL(109,Tabla574372833518[2009])</f>
        <v>18</v>
      </c>
      <c r="E101" s="29">
        <f>SUBTOTAL(109,Tabla574372833518[2010])</f>
        <v>102</v>
      </c>
      <c r="F101" s="29">
        <f>SUBTOTAL(109,Tabla574372833518[2011])</f>
        <v>161</v>
      </c>
      <c r="G101" s="29">
        <f>SUBTOTAL(109,Tabla574372833518[2012])</f>
        <v>154</v>
      </c>
      <c r="H101" s="29">
        <f>SUBTOTAL(109,Tabla574372833518[2013])</f>
        <v>237</v>
      </c>
      <c r="I101" s="29">
        <f>SUM(I83:I99)</f>
        <v>272</v>
      </c>
      <c r="J101" s="29">
        <f>SUBTOTAL(109,Tabla574372833518[2015])</f>
        <v>299</v>
      </c>
      <c r="K101" s="29">
        <f>SUBTOTAL(109,Tabla574372833518[2016])</f>
        <v>262</v>
      </c>
      <c r="L101" s="29">
        <f>SUBTOTAL(109,Tabla574372833518[2017])</f>
        <v>215</v>
      </c>
      <c r="M101" s="29">
        <f>SUBTOTAL(109,Tabla574372833518[2018])</f>
        <v>243</v>
      </c>
      <c r="N101" s="29">
        <f>SUBTOTAL(109,Tabla574372833518[2019])</f>
        <v>292</v>
      </c>
      <c r="O101" s="29">
        <f>SUBTOTAL(109,Tabla574372833518[2020])</f>
        <v>117</v>
      </c>
      <c r="P101" s="29">
        <f>SUBTOTAL(109,Tabla574372833518[2021])</f>
        <v>361</v>
      </c>
      <c r="Q101" s="29">
        <f>SUBTOTAL(109,Tabla574372833518[2022])</f>
        <v>405</v>
      </c>
      <c r="R101" s="29">
        <f>SUBTOTAL(109,Tabla574372833518[2023])</f>
        <v>314</v>
      </c>
      <c r="S101" s="38">
        <f>SUBTOTAL(109,Tabla574372833518[2024])</f>
        <v>118</v>
      </c>
      <c r="T101" s="29">
        <f>SUBTOTAL(109,Tabla574372833518[Total])</f>
        <v>3573</v>
      </c>
    </row>
    <row r="102" spans="1:23" ht="15" x14ac:dyDescent="0.2">
      <c r="A102" s="13"/>
      <c r="B102" s="5"/>
      <c r="C102" s="5"/>
      <c r="D102" s="5"/>
      <c r="E102" s="5"/>
      <c r="F102" s="5"/>
      <c r="G102" s="5"/>
      <c r="H102" s="5"/>
      <c r="I102" s="13"/>
      <c r="J102" s="5"/>
      <c r="L102" s="2"/>
      <c r="P102" s="1"/>
    </row>
    <row r="103" spans="1:23" ht="18" x14ac:dyDescent="0.2">
      <c r="A103" s="59" t="s">
        <v>64</v>
      </c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</row>
    <row r="104" spans="1:23" ht="18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 spans="1:23" ht="15" x14ac:dyDescent="0.2">
      <c r="A105" s="18" t="s">
        <v>15</v>
      </c>
      <c r="B105" s="3"/>
      <c r="C105" s="3"/>
      <c r="D105" s="3"/>
      <c r="E105" s="3" t="s">
        <v>62</v>
      </c>
      <c r="F105" s="3"/>
      <c r="G105" s="3"/>
      <c r="H105" s="3"/>
      <c r="I105" s="3"/>
      <c r="J105" s="5"/>
      <c r="L105" s="2"/>
      <c r="P105" s="1"/>
    </row>
    <row r="106" spans="1:23" ht="1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5"/>
      <c r="L106" s="2"/>
      <c r="N106" s="5"/>
    </row>
    <row r="107" spans="1:23" ht="15" x14ac:dyDescent="0.2">
      <c r="A107" s="4" t="s">
        <v>1</v>
      </c>
      <c r="B107" s="4" t="s">
        <v>5</v>
      </c>
      <c r="C107" s="4" t="s">
        <v>6</v>
      </c>
      <c r="D107" s="4" t="s">
        <v>7</v>
      </c>
      <c r="E107" s="4" t="s">
        <v>8</v>
      </c>
      <c r="F107" s="4" t="s">
        <v>9</v>
      </c>
      <c r="G107" s="4" t="s">
        <v>10</v>
      </c>
      <c r="H107" s="4" t="s">
        <v>11</v>
      </c>
      <c r="I107" s="4" t="s">
        <v>44</v>
      </c>
      <c r="J107" s="4" t="s">
        <v>16</v>
      </c>
      <c r="K107" s="4" t="s">
        <v>41</v>
      </c>
      <c r="L107" s="4" t="s">
        <v>42</v>
      </c>
      <c r="M107" s="4" t="s">
        <v>49</v>
      </c>
      <c r="N107" s="4" t="s">
        <v>52</v>
      </c>
      <c r="O107" s="4" t="s">
        <v>54</v>
      </c>
      <c r="P107" s="4" t="s">
        <v>55</v>
      </c>
      <c r="Q107" s="4" t="s">
        <v>59</v>
      </c>
      <c r="R107" s="4" t="s">
        <v>61</v>
      </c>
      <c r="S107" s="30" t="s">
        <v>63</v>
      </c>
      <c r="T107" s="31" t="s">
        <v>0</v>
      </c>
      <c r="V107" s="2"/>
    </row>
    <row r="108" spans="1:23" ht="15" x14ac:dyDescent="0.2">
      <c r="A108" s="3" t="s">
        <v>17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7</v>
      </c>
      <c r="I108" s="8">
        <v>8</v>
      </c>
      <c r="J108" s="8">
        <v>6</v>
      </c>
      <c r="K108" s="8">
        <v>4</v>
      </c>
      <c r="L108" s="8">
        <v>12</v>
      </c>
      <c r="M108" s="8">
        <v>6</v>
      </c>
      <c r="N108" s="8">
        <v>7</v>
      </c>
      <c r="O108" s="8">
        <v>6</v>
      </c>
      <c r="P108" s="8">
        <v>13</v>
      </c>
      <c r="Q108" s="8">
        <v>27</v>
      </c>
      <c r="R108" s="8">
        <v>11</v>
      </c>
      <c r="S108" s="30">
        <v>2</v>
      </c>
      <c r="T108" s="45">
        <f t="shared" ref="T108:T124" si="4">SUM(B108:S108)</f>
        <v>109</v>
      </c>
      <c r="V108" s="2"/>
    </row>
    <row r="109" spans="1:23" ht="15" x14ac:dyDescent="0.2">
      <c r="A109" s="3" t="s">
        <v>50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9">
        <v>0</v>
      </c>
      <c r="J109" s="4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8">
        <v>4</v>
      </c>
      <c r="S109" s="30">
        <v>0</v>
      </c>
      <c r="T109" s="45">
        <f t="shared" si="4"/>
        <v>4</v>
      </c>
      <c r="V109" s="2"/>
    </row>
    <row r="110" spans="1:23" ht="15" x14ac:dyDescent="0.2">
      <c r="A110" s="3" t="s">
        <v>18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3</v>
      </c>
      <c r="H110" s="8">
        <v>17</v>
      </c>
      <c r="I110" s="8">
        <v>15</v>
      </c>
      <c r="J110" s="8">
        <v>26</v>
      </c>
      <c r="K110" s="8">
        <v>19</v>
      </c>
      <c r="L110" s="8">
        <v>17</v>
      </c>
      <c r="M110" s="8">
        <v>9</v>
      </c>
      <c r="N110" s="8">
        <v>31</v>
      </c>
      <c r="O110" s="8">
        <v>16</v>
      </c>
      <c r="P110" s="8">
        <v>34</v>
      </c>
      <c r="Q110" s="8">
        <v>48</v>
      </c>
      <c r="R110" s="8">
        <v>15</v>
      </c>
      <c r="S110" s="30">
        <v>8</v>
      </c>
      <c r="T110" s="45">
        <f t="shared" si="4"/>
        <v>258</v>
      </c>
      <c r="V110" s="2"/>
    </row>
    <row r="111" spans="1:23" ht="15" x14ac:dyDescent="0.2">
      <c r="A111" s="3" t="s">
        <v>19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5</v>
      </c>
      <c r="I111" s="9">
        <v>2</v>
      </c>
      <c r="J111" s="9">
        <v>2</v>
      </c>
      <c r="K111" s="9">
        <v>6</v>
      </c>
      <c r="L111" s="9">
        <v>7</v>
      </c>
      <c r="M111" s="9">
        <v>3</v>
      </c>
      <c r="N111" s="9">
        <v>17</v>
      </c>
      <c r="O111" s="9">
        <v>3</v>
      </c>
      <c r="P111" s="9">
        <v>5</v>
      </c>
      <c r="Q111" s="9">
        <v>3</v>
      </c>
      <c r="R111" s="8">
        <v>5</v>
      </c>
      <c r="S111" s="30">
        <v>5</v>
      </c>
      <c r="T111" s="45">
        <f t="shared" si="4"/>
        <v>63</v>
      </c>
      <c r="V111" s="2"/>
    </row>
    <row r="112" spans="1:23" ht="15" x14ac:dyDescent="0.2">
      <c r="A112" s="3" t="s">
        <v>20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14</v>
      </c>
      <c r="I112" s="8">
        <v>23</v>
      </c>
      <c r="J112" s="8">
        <v>30</v>
      </c>
      <c r="K112" s="8">
        <v>26</v>
      </c>
      <c r="L112" s="8">
        <v>17</v>
      </c>
      <c r="M112" s="8">
        <v>24</v>
      </c>
      <c r="N112" s="8">
        <v>21</v>
      </c>
      <c r="O112" s="8">
        <v>20</v>
      </c>
      <c r="P112" s="8">
        <v>52</v>
      </c>
      <c r="Q112" s="8">
        <v>57</v>
      </c>
      <c r="R112" s="8">
        <v>45</v>
      </c>
      <c r="S112" s="30">
        <v>12</v>
      </c>
      <c r="T112" s="45">
        <f t="shared" si="4"/>
        <v>341</v>
      </c>
      <c r="V112" s="2"/>
    </row>
    <row r="113" spans="1:23" ht="15" x14ac:dyDescent="0.2">
      <c r="A113" s="3" t="s">
        <v>21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5</v>
      </c>
      <c r="I113" s="9">
        <v>6</v>
      </c>
      <c r="J113" s="9">
        <v>6</v>
      </c>
      <c r="K113" s="9">
        <v>5</v>
      </c>
      <c r="L113" s="9">
        <v>8</v>
      </c>
      <c r="M113" s="9">
        <v>5</v>
      </c>
      <c r="N113" s="9">
        <v>8</v>
      </c>
      <c r="O113" s="9">
        <v>3</v>
      </c>
      <c r="P113" s="9">
        <v>17</v>
      </c>
      <c r="Q113" s="9">
        <v>16</v>
      </c>
      <c r="R113" s="8">
        <v>6</v>
      </c>
      <c r="S113" s="30">
        <v>4</v>
      </c>
      <c r="T113" s="45">
        <f t="shared" si="4"/>
        <v>89</v>
      </c>
      <c r="V113" s="2"/>
    </row>
    <row r="114" spans="1:23" ht="15" x14ac:dyDescent="0.2">
      <c r="A114" s="3" t="s">
        <v>22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1</v>
      </c>
      <c r="L114" s="8">
        <v>1</v>
      </c>
      <c r="M114" s="8">
        <v>9</v>
      </c>
      <c r="N114" s="8">
        <v>19</v>
      </c>
      <c r="O114" s="8">
        <v>15</v>
      </c>
      <c r="P114" s="8">
        <v>48</v>
      </c>
      <c r="Q114" s="8">
        <v>71</v>
      </c>
      <c r="R114" s="8">
        <v>53</v>
      </c>
      <c r="S114" s="30">
        <v>13</v>
      </c>
      <c r="T114" s="45">
        <f t="shared" si="4"/>
        <v>230</v>
      </c>
      <c r="V114" s="2"/>
    </row>
    <row r="115" spans="1:23" ht="15" x14ac:dyDescent="0.2">
      <c r="A115" s="3" t="s">
        <v>23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1</v>
      </c>
      <c r="I115" s="9">
        <v>4</v>
      </c>
      <c r="J115" s="9">
        <v>6</v>
      </c>
      <c r="K115" s="9">
        <v>8</v>
      </c>
      <c r="L115" s="9">
        <v>5</v>
      </c>
      <c r="M115" s="9">
        <v>5</v>
      </c>
      <c r="N115" s="9">
        <v>3</v>
      </c>
      <c r="O115" s="9">
        <v>2</v>
      </c>
      <c r="P115" s="9">
        <v>6</v>
      </c>
      <c r="Q115" s="9">
        <v>6</v>
      </c>
      <c r="R115" s="8">
        <v>7</v>
      </c>
      <c r="S115" s="30">
        <v>5</v>
      </c>
      <c r="T115" s="45">
        <f t="shared" si="4"/>
        <v>58</v>
      </c>
      <c r="V115" s="2"/>
    </row>
    <row r="116" spans="1:23" ht="15" x14ac:dyDescent="0.2">
      <c r="A116" s="3" t="s">
        <v>24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3</v>
      </c>
      <c r="I116" s="8">
        <v>5</v>
      </c>
      <c r="J116" s="8">
        <v>1</v>
      </c>
      <c r="K116" s="8">
        <v>6</v>
      </c>
      <c r="L116" s="8">
        <v>4</v>
      </c>
      <c r="M116" s="8">
        <v>9</v>
      </c>
      <c r="N116" s="8">
        <v>6</v>
      </c>
      <c r="O116" s="8">
        <v>3</v>
      </c>
      <c r="P116" s="8">
        <v>18</v>
      </c>
      <c r="Q116" s="8">
        <v>11</v>
      </c>
      <c r="R116" s="8">
        <v>5</v>
      </c>
      <c r="S116" s="30">
        <v>3</v>
      </c>
      <c r="T116" s="45">
        <f t="shared" si="4"/>
        <v>74</v>
      </c>
      <c r="V116" s="2"/>
    </row>
    <row r="117" spans="1:23" customFormat="1" ht="15" x14ac:dyDescent="0.2">
      <c r="A117" t="s">
        <v>45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1</v>
      </c>
      <c r="N117" s="16">
        <v>1</v>
      </c>
      <c r="O117" s="16">
        <v>2</v>
      </c>
      <c r="P117" s="16">
        <v>10</v>
      </c>
      <c r="Q117" s="16">
        <v>13</v>
      </c>
      <c r="R117" s="8">
        <v>7</v>
      </c>
      <c r="S117" s="30">
        <v>2</v>
      </c>
      <c r="T117" s="45">
        <f t="shared" si="4"/>
        <v>36</v>
      </c>
    </row>
    <row r="118" spans="1:23" ht="15" x14ac:dyDescent="0.2">
      <c r="A118" s="3" t="s">
        <v>25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1</v>
      </c>
      <c r="J118" s="8">
        <v>1</v>
      </c>
      <c r="K118" s="8">
        <v>3</v>
      </c>
      <c r="L118" s="8">
        <v>2</v>
      </c>
      <c r="M118" s="8">
        <v>4</v>
      </c>
      <c r="N118" s="8">
        <v>3</v>
      </c>
      <c r="O118" s="8">
        <v>5</v>
      </c>
      <c r="P118" s="8">
        <v>7</v>
      </c>
      <c r="Q118" s="8">
        <v>8</v>
      </c>
      <c r="R118" s="8">
        <v>1</v>
      </c>
      <c r="S118" s="30">
        <v>1</v>
      </c>
      <c r="T118" s="45">
        <f t="shared" si="4"/>
        <v>36</v>
      </c>
      <c r="V118" s="2"/>
    </row>
    <row r="119" spans="1:23" ht="15" x14ac:dyDescent="0.2">
      <c r="A119" s="3" t="s">
        <v>26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4</v>
      </c>
      <c r="K119" s="11">
        <v>6</v>
      </c>
      <c r="L119" s="11">
        <v>3</v>
      </c>
      <c r="M119" s="11">
        <v>6</v>
      </c>
      <c r="N119" s="11">
        <v>10</v>
      </c>
      <c r="O119" s="11">
        <v>1</v>
      </c>
      <c r="P119" s="11">
        <v>5</v>
      </c>
      <c r="Q119" s="11">
        <v>4</v>
      </c>
      <c r="R119" s="8">
        <v>9</v>
      </c>
      <c r="S119" s="30">
        <v>0</v>
      </c>
      <c r="T119" s="45">
        <f t="shared" si="4"/>
        <v>48</v>
      </c>
      <c r="V119" s="2"/>
    </row>
    <row r="120" spans="1:23" ht="15" x14ac:dyDescent="0.2">
      <c r="A120" t="s">
        <v>27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9</v>
      </c>
      <c r="K120" s="8">
        <v>8</v>
      </c>
      <c r="L120" s="8">
        <v>9</v>
      </c>
      <c r="M120" s="8">
        <v>11</v>
      </c>
      <c r="N120" s="8">
        <v>5</v>
      </c>
      <c r="O120" s="8">
        <v>3</v>
      </c>
      <c r="P120" s="8">
        <v>11</v>
      </c>
      <c r="Q120" s="8">
        <v>10</v>
      </c>
      <c r="R120" s="8">
        <v>10</v>
      </c>
      <c r="S120" s="30">
        <v>5</v>
      </c>
      <c r="T120" s="45">
        <f t="shared" si="4"/>
        <v>82</v>
      </c>
      <c r="V120" s="2"/>
    </row>
    <row r="121" spans="1:23" ht="15" x14ac:dyDescent="0.2">
      <c r="A121" s="3" t="s">
        <v>47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3</v>
      </c>
      <c r="M121" s="11">
        <v>8</v>
      </c>
      <c r="N121" s="11">
        <v>4</v>
      </c>
      <c r="O121" s="11">
        <v>0</v>
      </c>
      <c r="P121" s="11">
        <v>2</v>
      </c>
      <c r="Q121" s="11">
        <v>10</v>
      </c>
      <c r="R121" s="8">
        <v>8</v>
      </c>
      <c r="S121" s="30">
        <v>4</v>
      </c>
      <c r="T121" s="45">
        <f t="shared" si="4"/>
        <v>39</v>
      </c>
      <c r="V121" s="2"/>
    </row>
    <row r="122" spans="1:23" ht="15" x14ac:dyDescent="0.2">
      <c r="A122" s="3" t="s">
        <v>53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1</v>
      </c>
      <c r="Q122" s="8">
        <v>0</v>
      </c>
      <c r="R122" s="8">
        <v>2</v>
      </c>
      <c r="S122" s="30">
        <v>0</v>
      </c>
      <c r="T122" s="45">
        <f t="shared" si="4"/>
        <v>3</v>
      </c>
      <c r="V122" s="2"/>
    </row>
    <row r="123" spans="1:23" ht="15" x14ac:dyDescent="0.2">
      <c r="A123" t="s">
        <v>28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4</v>
      </c>
      <c r="I123" s="11">
        <v>9</v>
      </c>
      <c r="J123" s="11">
        <v>8</v>
      </c>
      <c r="K123" s="11">
        <v>9</v>
      </c>
      <c r="L123" s="11">
        <v>17</v>
      </c>
      <c r="M123" s="11">
        <v>12</v>
      </c>
      <c r="N123" s="11">
        <v>15</v>
      </c>
      <c r="O123" s="11">
        <v>9</v>
      </c>
      <c r="P123" s="11">
        <v>10</v>
      </c>
      <c r="Q123" s="11">
        <v>39</v>
      </c>
      <c r="R123" s="8">
        <v>24</v>
      </c>
      <c r="S123" s="30">
        <v>6</v>
      </c>
      <c r="T123" s="45">
        <f t="shared" si="4"/>
        <v>162</v>
      </c>
      <c r="V123" s="2"/>
    </row>
    <row r="124" spans="1:23" ht="15" x14ac:dyDescent="0.2">
      <c r="A124" t="s">
        <v>60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5</v>
      </c>
      <c r="S124" s="30">
        <v>0</v>
      </c>
      <c r="T124" s="45">
        <f t="shared" si="4"/>
        <v>5</v>
      </c>
      <c r="U124" s="6"/>
      <c r="W124" s="2"/>
    </row>
    <row r="125" spans="1:23" ht="15" x14ac:dyDescent="0.2">
      <c r="A125" s="24" t="s">
        <v>0</v>
      </c>
      <c r="B125" s="25">
        <f>SUBTOTAL(109,Tabla57437283336820[2007])</f>
        <v>0</v>
      </c>
      <c r="C125" s="25">
        <f>SUBTOTAL(109,Tabla57437283336820[2008])</f>
        <v>0</v>
      </c>
      <c r="D125" s="25">
        <f>SUBTOTAL(109,Tabla57437283336820[2009])</f>
        <v>0</v>
      </c>
      <c r="E125" s="25">
        <f>SUBTOTAL(109,Tabla57437283336820[2010])</f>
        <v>0</v>
      </c>
      <c r="F125" s="25">
        <f>SUBTOTAL(109,Tabla57437283336820[2011])</f>
        <v>0</v>
      </c>
      <c r="G125" s="25">
        <f>SUBTOTAL(109,Tabla57437283336820[2012])</f>
        <v>3</v>
      </c>
      <c r="H125" s="25">
        <f>SUBTOTAL(109,Tabla57437283336820[2013])</f>
        <v>56</v>
      </c>
      <c r="I125" s="25">
        <f>SUM(I108:I124)</f>
        <v>74</v>
      </c>
      <c r="J125" s="25">
        <f>SUBTOTAL(109,Tabla57437283336820[2015])</f>
        <v>99</v>
      </c>
      <c r="K125" s="25">
        <f>SUBTOTAL(109,Tabla57437283336820[2016])</f>
        <v>101</v>
      </c>
      <c r="L125" s="25">
        <f>SUBTOTAL(109,Tabla57437283336820[2017])</f>
        <v>105</v>
      </c>
      <c r="M125" s="25">
        <f>SUBTOTAL(109,Tabla57437283336820[2018])</f>
        <v>112</v>
      </c>
      <c r="N125" s="25">
        <f>SUBTOTAL(109,Tabla57437283336820[2019])</f>
        <v>150</v>
      </c>
      <c r="O125" s="25">
        <f>SUBTOTAL(109,Tabla57437283336820[2020])</f>
        <v>88</v>
      </c>
      <c r="P125" s="25">
        <f>SUBTOTAL(109,Tabla57437283336820[2021])</f>
        <v>239</v>
      </c>
      <c r="Q125" s="25">
        <f>SUBTOTAL(109,Tabla57437283336820[2022])</f>
        <v>323</v>
      </c>
      <c r="R125" s="25">
        <f>SUBTOTAL(109,Tabla57437283336820[2023])</f>
        <v>217</v>
      </c>
      <c r="S125" s="29">
        <f>SUBTOTAL(109,Tabla57437283336820[2024])</f>
        <v>70</v>
      </c>
      <c r="T125" s="29">
        <f>SUBTOTAL(109,Tabla57437283336820[Total])</f>
        <v>1637</v>
      </c>
    </row>
    <row r="126" spans="1:23" ht="15" x14ac:dyDescent="0.2">
      <c r="A126" s="13"/>
      <c r="B126" s="5"/>
      <c r="C126" s="5"/>
      <c r="D126" s="5"/>
      <c r="E126" s="5"/>
      <c r="F126" s="5"/>
      <c r="G126" s="5"/>
      <c r="H126" s="5"/>
      <c r="I126" s="13"/>
      <c r="J126" s="5"/>
      <c r="L126" s="2"/>
      <c r="N126" s="5"/>
    </row>
    <row r="127" spans="1:23" ht="18" x14ac:dyDescent="0.2">
      <c r="A127" s="59" t="s">
        <v>64</v>
      </c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</row>
    <row r="128" spans="1:23" ht="15" x14ac:dyDescent="0.2">
      <c r="A128" s="7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5"/>
      <c r="N128" s="3"/>
    </row>
    <row r="129" spans="1:22" ht="15" x14ac:dyDescent="0.2">
      <c r="A129" s="18" t="s">
        <v>57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22" ht="15" x14ac:dyDescent="0.2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5"/>
    </row>
    <row r="131" spans="1:22" ht="15" x14ac:dyDescent="0.2">
      <c r="A131" s="4" t="s">
        <v>1</v>
      </c>
      <c r="B131" s="4" t="s">
        <v>5</v>
      </c>
      <c r="C131" s="4" t="s">
        <v>6</v>
      </c>
      <c r="D131" s="4" t="s">
        <v>7</v>
      </c>
      <c r="E131" s="4" t="s">
        <v>8</v>
      </c>
      <c r="F131" s="4" t="s">
        <v>9</v>
      </c>
      <c r="G131" s="4" t="s">
        <v>10</v>
      </c>
      <c r="H131" s="4" t="s">
        <v>11</v>
      </c>
      <c r="I131" s="4" t="s">
        <v>44</v>
      </c>
      <c r="J131" s="4" t="s">
        <v>16</v>
      </c>
      <c r="K131" s="4" t="s">
        <v>41</v>
      </c>
      <c r="L131" s="4" t="s">
        <v>42</v>
      </c>
      <c r="M131" s="4" t="s">
        <v>49</v>
      </c>
      <c r="N131" s="4" t="s">
        <v>52</v>
      </c>
      <c r="O131" s="4" t="s">
        <v>54</v>
      </c>
      <c r="P131" s="4" t="s">
        <v>55</v>
      </c>
      <c r="Q131" s="4" t="s">
        <v>59</v>
      </c>
      <c r="R131" s="4" t="s">
        <v>61</v>
      </c>
      <c r="S131" s="30" t="s">
        <v>63</v>
      </c>
      <c r="T131" s="31" t="s">
        <v>0</v>
      </c>
      <c r="V131" s="2"/>
    </row>
    <row r="132" spans="1:22" ht="15" x14ac:dyDescent="0.2">
      <c r="A132" s="3" t="s">
        <v>17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30">
        <v>0</v>
      </c>
      <c r="T132" s="44">
        <f t="shared" ref="T132:T143" si="5">SUM(B132:S132)</f>
        <v>0</v>
      </c>
      <c r="V132" s="2"/>
    </row>
    <row r="133" spans="1:22" ht="15" x14ac:dyDescent="0.2">
      <c r="A133" s="3" t="s">
        <v>18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9">
        <v>0</v>
      </c>
      <c r="J133" s="9">
        <v>2</v>
      </c>
      <c r="K133" s="9">
        <v>0</v>
      </c>
      <c r="L133" s="9">
        <v>0</v>
      </c>
      <c r="M133" s="9">
        <v>1</v>
      </c>
      <c r="N133" s="9">
        <v>0</v>
      </c>
      <c r="O133" s="9">
        <v>0</v>
      </c>
      <c r="P133" s="9">
        <v>2</v>
      </c>
      <c r="Q133" s="9">
        <v>2</v>
      </c>
      <c r="R133" s="8">
        <v>0</v>
      </c>
      <c r="S133" s="30">
        <v>0</v>
      </c>
      <c r="T133" s="44">
        <f t="shared" si="5"/>
        <v>7</v>
      </c>
      <c r="V133" s="2"/>
    </row>
    <row r="134" spans="1:22" ht="15" x14ac:dyDescent="0.2">
      <c r="A134" s="3" t="s">
        <v>19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30">
        <v>0</v>
      </c>
      <c r="T134" s="44">
        <f t="shared" si="5"/>
        <v>0</v>
      </c>
      <c r="V134" s="2"/>
    </row>
    <row r="135" spans="1:22" ht="15" x14ac:dyDescent="0.2">
      <c r="A135" s="3" t="s">
        <v>20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8">
        <v>0</v>
      </c>
      <c r="S135" s="30">
        <v>0</v>
      </c>
      <c r="T135" s="44">
        <f t="shared" si="5"/>
        <v>0</v>
      </c>
      <c r="V135" s="2"/>
    </row>
    <row r="136" spans="1:22" ht="15" x14ac:dyDescent="0.2">
      <c r="A136" s="3" t="s">
        <v>21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8">
        <v>0</v>
      </c>
      <c r="J136" s="8">
        <v>0</v>
      </c>
      <c r="K136" s="8">
        <v>0</v>
      </c>
      <c r="L136" s="8">
        <v>0</v>
      </c>
      <c r="M136" s="8">
        <v>2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30">
        <v>0</v>
      </c>
      <c r="T136" s="44">
        <f t="shared" si="5"/>
        <v>2</v>
      </c>
      <c r="V136" s="2"/>
    </row>
    <row r="137" spans="1:22" ht="15" x14ac:dyDescent="0.2">
      <c r="A137" s="3" t="s">
        <v>22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17</v>
      </c>
      <c r="H137" s="4">
        <v>3</v>
      </c>
      <c r="I137" s="9">
        <v>15</v>
      </c>
      <c r="J137" s="9">
        <v>6</v>
      </c>
      <c r="K137" s="9">
        <v>3</v>
      </c>
      <c r="L137" s="9">
        <v>0</v>
      </c>
      <c r="M137" s="9">
        <v>3</v>
      </c>
      <c r="N137" s="9">
        <v>22</v>
      </c>
      <c r="O137" s="9">
        <v>0</v>
      </c>
      <c r="P137" s="9">
        <v>7</v>
      </c>
      <c r="Q137" s="9">
        <v>0</v>
      </c>
      <c r="R137" s="8">
        <v>13</v>
      </c>
      <c r="S137" s="30">
        <v>0</v>
      </c>
      <c r="T137" s="44">
        <f t="shared" si="5"/>
        <v>89</v>
      </c>
      <c r="V137" s="2"/>
    </row>
    <row r="138" spans="1:22" ht="15" x14ac:dyDescent="0.2">
      <c r="A138" s="3" t="s">
        <v>23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30">
        <v>0</v>
      </c>
      <c r="T138" s="44">
        <f t="shared" si="5"/>
        <v>0</v>
      </c>
      <c r="V138" s="2"/>
    </row>
    <row r="139" spans="1:22" ht="15" x14ac:dyDescent="0.2">
      <c r="A139" s="3" t="s">
        <v>24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8">
        <v>0</v>
      </c>
      <c r="S139" s="30">
        <v>0</v>
      </c>
      <c r="T139" s="44">
        <f t="shared" si="5"/>
        <v>0</v>
      </c>
      <c r="V139" s="2"/>
    </row>
    <row r="140" spans="1:22" ht="15" x14ac:dyDescent="0.2">
      <c r="A140" s="3" t="s">
        <v>25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30">
        <v>0</v>
      </c>
      <c r="T140" s="44">
        <f t="shared" si="5"/>
        <v>0</v>
      </c>
      <c r="V140" s="2"/>
    </row>
    <row r="141" spans="1:22" ht="15" x14ac:dyDescent="0.2">
      <c r="A141" s="3" t="s">
        <v>26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8">
        <v>0</v>
      </c>
      <c r="S141" s="30">
        <v>0</v>
      </c>
      <c r="T141" s="44">
        <f t="shared" si="5"/>
        <v>0</v>
      </c>
      <c r="V141" s="2"/>
    </row>
    <row r="142" spans="1:22" ht="15" x14ac:dyDescent="0.2">
      <c r="A142" t="s">
        <v>27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30">
        <v>0</v>
      </c>
      <c r="T142" s="44">
        <f t="shared" si="5"/>
        <v>0</v>
      </c>
      <c r="V142" s="2"/>
    </row>
    <row r="143" spans="1:22" ht="15" x14ac:dyDescent="0.2">
      <c r="A143" t="s">
        <v>28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8">
        <v>0</v>
      </c>
      <c r="S143" s="30">
        <v>0</v>
      </c>
      <c r="T143" s="44">
        <f t="shared" si="5"/>
        <v>0</v>
      </c>
      <c r="V143" s="2"/>
    </row>
    <row r="144" spans="1:22" ht="15" x14ac:dyDescent="0.2">
      <c r="A144" s="28" t="s">
        <v>0</v>
      </c>
      <c r="B144" s="29">
        <f>SUBTOTAL(109,Tabla57437202934622[2007])</f>
        <v>0</v>
      </c>
      <c r="C144" s="29">
        <f>SUBTOTAL(109,Tabla57437202934622[2008])</f>
        <v>0</v>
      </c>
      <c r="D144" s="29">
        <f>SUBTOTAL(109,Tabla57437202934622[2009])</f>
        <v>0</v>
      </c>
      <c r="E144" s="29">
        <f>SUBTOTAL(109,Tabla57437202934622[2010])</f>
        <v>0</v>
      </c>
      <c r="F144" s="29">
        <f>SUBTOTAL(109,Tabla57437202934622[2011])</f>
        <v>0</v>
      </c>
      <c r="G144" s="29">
        <f>SUBTOTAL(109,Tabla57437202934622[2012])</f>
        <v>17</v>
      </c>
      <c r="H144" s="29">
        <f>SUBTOTAL(109,Tabla57437202934622[2013])</f>
        <v>3</v>
      </c>
      <c r="I144" s="29">
        <f>SUM(I132:I143)</f>
        <v>15</v>
      </c>
      <c r="J144" s="29">
        <f>SUBTOTAL(109,Tabla57437202934622[2015])</f>
        <v>8</v>
      </c>
      <c r="K144" s="29">
        <f>SUBTOTAL(109,Tabla57437202934622[2016])</f>
        <v>3</v>
      </c>
      <c r="L144" s="29">
        <f>SUBTOTAL(109,Tabla57437202934622[2017])</f>
        <v>0</v>
      </c>
      <c r="M144" s="29">
        <f>SUBTOTAL(109,Tabla57437202934622[2018])</f>
        <v>6</v>
      </c>
      <c r="N144" s="29">
        <f>SUBTOTAL(109,Tabla57437202934622[2019])</f>
        <v>22</v>
      </c>
      <c r="O144" s="29">
        <f>SUBTOTAL(109,Tabla57437202934622[2020])</f>
        <v>0</v>
      </c>
      <c r="P144" s="29">
        <f>SUBTOTAL(109,Tabla57437202934622[2021])</f>
        <v>9</v>
      </c>
      <c r="Q144" s="29">
        <f>SUBTOTAL(109,Tabla57437202934622[2022])</f>
        <v>2</v>
      </c>
      <c r="R144" s="29">
        <f>SUBTOTAL(109,Tabla57437202934622[2023])</f>
        <v>13</v>
      </c>
      <c r="S144" s="38">
        <f>SUBTOTAL(109,Tabla57437202934622[2024])</f>
        <v>0</v>
      </c>
      <c r="T144" s="29">
        <f>SUBTOTAL(109,Tabla57437202934622[Total])</f>
        <v>98</v>
      </c>
      <c r="V144" s="2"/>
    </row>
    <row r="145" spans="1:22" ht="15" x14ac:dyDescent="0.2">
      <c r="A145" s="7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5"/>
      <c r="N145" s="5"/>
    </row>
    <row r="146" spans="1:22" ht="15" x14ac:dyDescent="0.2">
      <c r="A146" s="7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5"/>
      <c r="N146" s="5"/>
    </row>
    <row r="147" spans="1:22" ht="15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5"/>
      <c r="N147" s="5"/>
    </row>
    <row r="148" spans="1:22" ht="18" x14ac:dyDescent="0.2">
      <c r="A148" s="59" t="s">
        <v>64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</row>
    <row r="149" spans="1:22" ht="18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 spans="1:22" ht="15" x14ac:dyDescent="0.2">
      <c r="A150" s="18" t="s">
        <v>58</v>
      </c>
      <c r="B150" s="4"/>
      <c r="C150" s="3"/>
      <c r="D150" s="3"/>
      <c r="E150" s="3"/>
      <c r="F150" s="4"/>
      <c r="G150" s="3"/>
      <c r="H150" s="3"/>
      <c r="I150" s="3"/>
      <c r="J150" s="3"/>
      <c r="K150" s="3"/>
      <c r="L150" s="3"/>
    </row>
    <row r="151" spans="1:22" ht="15" x14ac:dyDescent="0.2">
      <c r="A151" s="3"/>
      <c r="B151" s="4"/>
      <c r="C151" s="3"/>
      <c r="D151" s="3"/>
      <c r="E151" s="3"/>
      <c r="F151" s="4"/>
      <c r="G151" s="3"/>
      <c r="H151" s="3"/>
      <c r="I151" s="3"/>
      <c r="J151" s="3"/>
      <c r="K151" s="3"/>
      <c r="L151" s="3"/>
    </row>
    <row r="152" spans="1:22" ht="15" x14ac:dyDescent="0.2">
      <c r="A152" s="4" t="s">
        <v>1</v>
      </c>
      <c r="B152" s="4" t="s">
        <v>5</v>
      </c>
      <c r="C152" s="4" t="s">
        <v>6</v>
      </c>
      <c r="D152" s="4" t="s">
        <v>7</v>
      </c>
      <c r="E152" s="4" t="s">
        <v>8</v>
      </c>
      <c r="F152" s="4" t="s">
        <v>9</v>
      </c>
      <c r="G152" s="4" t="s">
        <v>10</v>
      </c>
      <c r="H152" s="4" t="s">
        <v>11</v>
      </c>
      <c r="I152" s="4" t="s">
        <v>44</v>
      </c>
      <c r="J152" s="4" t="s">
        <v>16</v>
      </c>
      <c r="K152" s="4" t="s">
        <v>41</v>
      </c>
      <c r="L152" s="4" t="s">
        <v>42</v>
      </c>
      <c r="M152" s="4" t="s">
        <v>49</v>
      </c>
      <c r="N152" s="4" t="s">
        <v>52</v>
      </c>
      <c r="O152" s="4" t="s">
        <v>54</v>
      </c>
      <c r="P152" s="4" t="s">
        <v>55</v>
      </c>
      <c r="Q152" s="4" t="s">
        <v>59</v>
      </c>
      <c r="R152" s="4" t="s">
        <v>61</v>
      </c>
      <c r="S152" s="30" t="s">
        <v>63</v>
      </c>
      <c r="T152" s="30" t="s">
        <v>0</v>
      </c>
      <c r="V152" s="2"/>
    </row>
    <row r="153" spans="1:22" ht="15" x14ac:dyDescent="0.2">
      <c r="A153" s="3" t="s">
        <v>17</v>
      </c>
      <c r="B153" s="8">
        <v>0</v>
      </c>
      <c r="C153" s="8">
        <v>2</v>
      </c>
      <c r="D153" s="8">
        <v>5</v>
      </c>
      <c r="E153" s="8">
        <v>5</v>
      </c>
      <c r="F153" s="8">
        <v>19</v>
      </c>
      <c r="G153" s="8">
        <v>9</v>
      </c>
      <c r="H153" s="8">
        <v>26</v>
      </c>
      <c r="I153" s="8">
        <v>33</v>
      </c>
      <c r="J153" s="8">
        <v>29</v>
      </c>
      <c r="K153" s="8">
        <v>38</v>
      </c>
      <c r="L153" s="8">
        <v>40</v>
      </c>
      <c r="M153" s="8">
        <v>35</v>
      </c>
      <c r="N153" s="8">
        <v>23</v>
      </c>
      <c r="O153" s="8">
        <v>14</v>
      </c>
      <c r="P153" s="8">
        <v>48</v>
      </c>
      <c r="Q153" s="21">
        <v>86</v>
      </c>
      <c r="R153" s="8">
        <v>69</v>
      </c>
      <c r="S153" s="33">
        <v>19</v>
      </c>
      <c r="T153" s="4">
        <f t="shared" ref="T153:T171" si="6">SUM(B153:S153)</f>
        <v>500</v>
      </c>
      <c r="V153" s="2"/>
    </row>
    <row r="154" spans="1:22" ht="15" x14ac:dyDescent="0.2">
      <c r="A154" s="3" t="s">
        <v>50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2</v>
      </c>
      <c r="N154" s="9">
        <v>10</v>
      </c>
      <c r="O154" s="9">
        <v>1</v>
      </c>
      <c r="P154" s="9">
        <v>3</v>
      </c>
      <c r="Q154" s="22">
        <v>0</v>
      </c>
      <c r="R154" s="8">
        <v>3</v>
      </c>
      <c r="S154" s="33">
        <v>1</v>
      </c>
      <c r="T154" s="4">
        <f t="shared" si="6"/>
        <v>20</v>
      </c>
      <c r="V154" s="2"/>
    </row>
    <row r="155" spans="1:22" ht="15" x14ac:dyDescent="0.2">
      <c r="A155" s="3" t="s">
        <v>18</v>
      </c>
      <c r="B155" s="12">
        <v>17</v>
      </c>
      <c r="C155" s="12">
        <v>6</v>
      </c>
      <c r="D155" s="12">
        <v>7</v>
      </c>
      <c r="E155" s="12">
        <v>64</v>
      </c>
      <c r="F155" s="12">
        <v>75</v>
      </c>
      <c r="G155" s="8">
        <v>84</v>
      </c>
      <c r="H155" s="8">
        <v>145</v>
      </c>
      <c r="I155" s="8">
        <v>133</v>
      </c>
      <c r="J155" s="8">
        <v>150</v>
      </c>
      <c r="K155" s="8">
        <v>111</v>
      </c>
      <c r="L155" s="8">
        <v>105</v>
      </c>
      <c r="M155" s="8">
        <v>98</v>
      </c>
      <c r="N155" s="8">
        <v>137</v>
      </c>
      <c r="O155" s="8">
        <v>67</v>
      </c>
      <c r="P155" s="8">
        <v>187</v>
      </c>
      <c r="Q155" s="20">
        <v>236</v>
      </c>
      <c r="R155" s="8">
        <v>125</v>
      </c>
      <c r="S155" s="33">
        <v>59</v>
      </c>
      <c r="T155" s="4">
        <f t="shared" si="6"/>
        <v>1806</v>
      </c>
      <c r="V155" s="2"/>
    </row>
    <row r="156" spans="1:22" ht="15" x14ac:dyDescent="0.2">
      <c r="A156" s="3" t="s">
        <v>46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4</v>
      </c>
      <c r="M156" s="9">
        <v>7</v>
      </c>
      <c r="N156" s="9">
        <v>3</v>
      </c>
      <c r="O156" s="9">
        <v>0</v>
      </c>
      <c r="P156" s="9">
        <v>2</v>
      </c>
      <c r="Q156" s="22">
        <v>6</v>
      </c>
      <c r="R156" s="8">
        <v>12</v>
      </c>
      <c r="S156" s="33">
        <v>8</v>
      </c>
      <c r="T156" s="4">
        <f t="shared" si="6"/>
        <v>42</v>
      </c>
      <c r="V156" s="2"/>
    </row>
    <row r="157" spans="1:22" ht="15" x14ac:dyDescent="0.2">
      <c r="A157" s="3" t="s">
        <v>19</v>
      </c>
      <c r="B157" s="8">
        <v>0</v>
      </c>
      <c r="C157" s="8">
        <v>0</v>
      </c>
      <c r="D157" s="8">
        <v>0</v>
      </c>
      <c r="E157" s="8">
        <v>1</v>
      </c>
      <c r="F157" s="8">
        <v>10</v>
      </c>
      <c r="G157" s="8">
        <v>6</v>
      </c>
      <c r="H157" s="8">
        <v>17</v>
      </c>
      <c r="I157" s="8">
        <v>13</v>
      </c>
      <c r="J157" s="8">
        <v>13</v>
      </c>
      <c r="K157" s="8">
        <v>11</v>
      </c>
      <c r="L157" s="8">
        <v>22</v>
      </c>
      <c r="M157" s="8">
        <v>17</v>
      </c>
      <c r="N157" s="8">
        <v>23</v>
      </c>
      <c r="O157" s="8">
        <v>4</v>
      </c>
      <c r="P157" s="8">
        <v>14</v>
      </c>
      <c r="Q157" s="20">
        <v>14</v>
      </c>
      <c r="R157" s="8">
        <v>18</v>
      </c>
      <c r="S157" s="33">
        <v>7</v>
      </c>
      <c r="T157" s="4">
        <f t="shared" si="6"/>
        <v>190</v>
      </c>
      <c r="V157" s="2"/>
    </row>
    <row r="158" spans="1:22" ht="15" x14ac:dyDescent="0.2">
      <c r="A158" s="3" t="s">
        <v>20</v>
      </c>
      <c r="B158" s="9">
        <v>4</v>
      </c>
      <c r="C158" s="9">
        <v>16</v>
      </c>
      <c r="D158" s="9">
        <v>13</v>
      </c>
      <c r="E158" s="9">
        <v>31</v>
      </c>
      <c r="F158" s="9">
        <v>82</v>
      </c>
      <c r="G158" s="9">
        <v>49</v>
      </c>
      <c r="H158" s="9">
        <v>79</v>
      </c>
      <c r="I158" s="9">
        <v>137</v>
      </c>
      <c r="J158" s="9">
        <v>147</v>
      </c>
      <c r="K158" s="9">
        <v>130</v>
      </c>
      <c r="L158" s="9">
        <v>95</v>
      </c>
      <c r="M158" s="9">
        <v>97</v>
      </c>
      <c r="N158" s="9">
        <v>133</v>
      </c>
      <c r="O158" s="9">
        <v>52</v>
      </c>
      <c r="P158" s="9">
        <v>197</v>
      </c>
      <c r="Q158" s="22">
        <v>193</v>
      </c>
      <c r="R158" s="8">
        <v>126</v>
      </c>
      <c r="S158" s="33">
        <v>55</v>
      </c>
      <c r="T158" s="4">
        <f t="shared" si="6"/>
        <v>1636</v>
      </c>
      <c r="V158" s="2"/>
    </row>
    <row r="159" spans="1:22" ht="15" x14ac:dyDescent="0.2">
      <c r="A159" s="3" t="s">
        <v>21</v>
      </c>
      <c r="B159" s="8">
        <v>0</v>
      </c>
      <c r="C159" s="8">
        <v>0</v>
      </c>
      <c r="D159" s="8">
        <v>1</v>
      </c>
      <c r="E159" s="8">
        <v>5</v>
      </c>
      <c r="F159" s="8">
        <v>8</v>
      </c>
      <c r="G159" s="8">
        <v>4</v>
      </c>
      <c r="H159" s="8">
        <v>21</v>
      </c>
      <c r="I159" s="8">
        <v>25</v>
      </c>
      <c r="J159" s="8">
        <v>23</v>
      </c>
      <c r="K159" s="8">
        <v>17</v>
      </c>
      <c r="L159" s="8">
        <v>22</v>
      </c>
      <c r="M159" s="8">
        <v>24</v>
      </c>
      <c r="N159" s="8">
        <v>21</v>
      </c>
      <c r="O159" s="8">
        <v>18</v>
      </c>
      <c r="P159" s="8">
        <v>59</v>
      </c>
      <c r="Q159" s="20">
        <v>68</v>
      </c>
      <c r="R159" s="8">
        <v>33</v>
      </c>
      <c r="S159" s="33">
        <v>12</v>
      </c>
      <c r="T159" s="4">
        <f t="shared" si="6"/>
        <v>361</v>
      </c>
      <c r="V159" s="2"/>
    </row>
    <row r="160" spans="1:22" ht="15" x14ac:dyDescent="0.2">
      <c r="A160" s="3" t="s">
        <v>22</v>
      </c>
      <c r="B160" s="9">
        <v>0</v>
      </c>
      <c r="C160" s="9">
        <v>0</v>
      </c>
      <c r="D160" s="9">
        <v>0</v>
      </c>
      <c r="E160" s="9">
        <v>0</v>
      </c>
      <c r="F160" s="9">
        <v>1</v>
      </c>
      <c r="G160" s="9">
        <v>19</v>
      </c>
      <c r="H160" s="9">
        <v>4</v>
      </c>
      <c r="I160" s="9">
        <v>19</v>
      </c>
      <c r="J160" s="9">
        <v>15</v>
      </c>
      <c r="K160" s="9">
        <v>8</v>
      </c>
      <c r="L160" s="9">
        <v>5</v>
      </c>
      <c r="M160" s="9">
        <v>15</v>
      </c>
      <c r="N160" s="9">
        <v>44</v>
      </c>
      <c r="O160" s="9">
        <v>15</v>
      </c>
      <c r="P160" s="9">
        <v>57</v>
      </c>
      <c r="Q160" s="22">
        <v>72</v>
      </c>
      <c r="R160" s="8">
        <v>58</v>
      </c>
      <c r="S160" s="33">
        <v>20</v>
      </c>
      <c r="T160" s="4">
        <f t="shared" si="6"/>
        <v>352</v>
      </c>
      <c r="V160" s="2"/>
    </row>
    <row r="161" spans="1:26" ht="15" x14ac:dyDescent="0.2">
      <c r="A161" s="3" t="s">
        <v>23</v>
      </c>
      <c r="B161" s="8">
        <v>0</v>
      </c>
      <c r="C161" s="8">
        <v>0</v>
      </c>
      <c r="D161" s="8">
        <v>1</v>
      </c>
      <c r="E161" s="8">
        <v>0</v>
      </c>
      <c r="F161" s="8">
        <v>4</v>
      </c>
      <c r="G161" s="8">
        <v>3</v>
      </c>
      <c r="H161" s="8">
        <v>11</v>
      </c>
      <c r="I161" s="8">
        <v>12</v>
      </c>
      <c r="J161" s="8">
        <v>18</v>
      </c>
      <c r="K161" s="8">
        <v>12</v>
      </c>
      <c r="L161" s="8">
        <v>11</v>
      </c>
      <c r="M161" s="8">
        <v>13</v>
      </c>
      <c r="N161" s="8">
        <v>11</v>
      </c>
      <c r="O161" s="8">
        <v>11</v>
      </c>
      <c r="P161" s="8">
        <v>27</v>
      </c>
      <c r="Q161" s="20">
        <v>27</v>
      </c>
      <c r="R161" s="8">
        <v>21</v>
      </c>
      <c r="S161" s="33">
        <v>11</v>
      </c>
      <c r="T161" s="4">
        <f t="shared" si="6"/>
        <v>193</v>
      </c>
      <c r="V161" s="2"/>
    </row>
    <row r="162" spans="1:26" ht="15" x14ac:dyDescent="0.2">
      <c r="A162" s="3" t="s">
        <v>24</v>
      </c>
      <c r="B162" s="9">
        <v>1</v>
      </c>
      <c r="C162" s="9">
        <v>2</v>
      </c>
      <c r="D162" s="9">
        <v>6</v>
      </c>
      <c r="E162" s="9">
        <v>5</v>
      </c>
      <c r="F162" s="9">
        <v>4</v>
      </c>
      <c r="G162" s="9">
        <v>14</v>
      </c>
      <c r="H162" s="9">
        <v>12</v>
      </c>
      <c r="I162" s="9">
        <v>15</v>
      </c>
      <c r="J162" s="9">
        <v>12</v>
      </c>
      <c r="K162" s="9">
        <v>21</v>
      </c>
      <c r="L162" s="9">
        <v>19</v>
      </c>
      <c r="M162" s="9">
        <v>15</v>
      </c>
      <c r="N162" s="9">
        <v>28</v>
      </c>
      <c r="O162" s="9">
        <v>12</v>
      </c>
      <c r="P162" s="9">
        <v>39</v>
      </c>
      <c r="Q162" s="22">
        <v>34</v>
      </c>
      <c r="R162" s="8">
        <v>16</v>
      </c>
      <c r="S162" s="33">
        <v>9</v>
      </c>
      <c r="T162" s="4">
        <f t="shared" si="6"/>
        <v>264</v>
      </c>
      <c r="V162" s="2"/>
    </row>
    <row r="163" spans="1:26" ht="15" x14ac:dyDescent="0.2">
      <c r="A163" s="3" t="s">
        <v>45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3</v>
      </c>
      <c r="M163" s="8">
        <v>1</v>
      </c>
      <c r="N163" s="8">
        <v>5</v>
      </c>
      <c r="O163" s="8">
        <v>3</v>
      </c>
      <c r="P163" s="8">
        <v>17</v>
      </c>
      <c r="Q163" s="20">
        <v>22</v>
      </c>
      <c r="R163" s="8">
        <v>19</v>
      </c>
      <c r="S163" s="33">
        <v>3</v>
      </c>
      <c r="T163" s="4">
        <f t="shared" si="6"/>
        <v>73</v>
      </c>
      <c r="V163" s="2"/>
    </row>
    <row r="164" spans="1:26" ht="15" x14ac:dyDescent="0.2">
      <c r="A164" s="3" t="s">
        <v>25</v>
      </c>
      <c r="B164" s="9">
        <v>0</v>
      </c>
      <c r="C164" s="9">
        <v>0</v>
      </c>
      <c r="D164" s="9">
        <v>0</v>
      </c>
      <c r="E164" s="9">
        <v>0</v>
      </c>
      <c r="F164" s="9">
        <v>2</v>
      </c>
      <c r="G164" s="9">
        <v>1</v>
      </c>
      <c r="H164" s="9">
        <v>3</v>
      </c>
      <c r="I164" s="9">
        <v>10</v>
      </c>
      <c r="J164" s="9">
        <v>11</v>
      </c>
      <c r="K164" s="9">
        <v>14</v>
      </c>
      <c r="L164" s="9">
        <v>14</v>
      </c>
      <c r="M164" s="9">
        <v>15</v>
      </c>
      <c r="N164" s="9">
        <v>8</v>
      </c>
      <c r="O164" s="9">
        <v>11</v>
      </c>
      <c r="P164" s="9">
        <v>21</v>
      </c>
      <c r="Q164" s="22">
        <v>15</v>
      </c>
      <c r="R164" s="8">
        <v>9</v>
      </c>
      <c r="S164" s="33">
        <v>4</v>
      </c>
      <c r="T164" s="4">
        <f t="shared" si="6"/>
        <v>138</v>
      </c>
      <c r="V164" s="2"/>
    </row>
    <row r="165" spans="1:26" ht="15" x14ac:dyDescent="0.2">
      <c r="A165" s="3" t="s">
        <v>26</v>
      </c>
      <c r="B165" s="8">
        <v>0</v>
      </c>
      <c r="C165" s="8">
        <v>0</v>
      </c>
      <c r="D165" s="8">
        <v>0</v>
      </c>
      <c r="E165" s="8">
        <v>0</v>
      </c>
      <c r="F165" s="8">
        <v>1</v>
      </c>
      <c r="G165" s="8">
        <v>2</v>
      </c>
      <c r="H165" s="8">
        <v>3</v>
      </c>
      <c r="I165" s="8">
        <v>2</v>
      </c>
      <c r="J165" s="8">
        <v>21</v>
      </c>
      <c r="K165" s="8">
        <v>22</v>
      </c>
      <c r="L165" s="8">
        <v>18</v>
      </c>
      <c r="M165" s="8">
        <v>24</v>
      </c>
      <c r="N165" s="8">
        <v>23</v>
      </c>
      <c r="O165" s="8">
        <v>7</v>
      </c>
      <c r="P165" s="8">
        <v>24</v>
      </c>
      <c r="Q165" s="20">
        <v>22</v>
      </c>
      <c r="R165" s="8">
        <v>21</v>
      </c>
      <c r="S165" s="33">
        <v>3</v>
      </c>
      <c r="T165" s="4">
        <f t="shared" si="6"/>
        <v>193</v>
      </c>
      <c r="V165" s="2"/>
    </row>
    <row r="166" spans="1:26" ht="15" x14ac:dyDescent="0.2">
      <c r="A166" t="s">
        <v>27</v>
      </c>
      <c r="B166" s="9">
        <v>0</v>
      </c>
      <c r="C166" s="9">
        <v>0</v>
      </c>
      <c r="D166" s="9">
        <v>0</v>
      </c>
      <c r="E166" s="9">
        <v>2</v>
      </c>
      <c r="F166" s="9">
        <v>2</v>
      </c>
      <c r="G166" s="9">
        <v>7</v>
      </c>
      <c r="H166" s="9">
        <v>10</v>
      </c>
      <c r="I166" s="9">
        <v>13</v>
      </c>
      <c r="J166" s="9">
        <v>27</v>
      </c>
      <c r="K166" s="9">
        <v>31</v>
      </c>
      <c r="L166" s="9">
        <v>25</v>
      </c>
      <c r="M166" s="9">
        <v>27</v>
      </c>
      <c r="N166" s="9">
        <v>28</v>
      </c>
      <c r="O166" s="9">
        <v>11</v>
      </c>
      <c r="P166" s="9">
        <v>30</v>
      </c>
      <c r="Q166" s="22">
        <v>19</v>
      </c>
      <c r="R166" s="8">
        <v>34</v>
      </c>
      <c r="S166" s="33">
        <v>8</v>
      </c>
      <c r="T166" s="4">
        <f t="shared" si="6"/>
        <v>274</v>
      </c>
      <c r="V166" s="2"/>
    </row>
    <row r="167" spans="1:26" ht="15" x14ac:dyDescent="0.2">
      <c r="A167" t="s">
        <v>43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1</v>
      </c>
      <c r="M167" s="8">
        <v>2</v>
      </c>
      <c r="N167" s="8">
        <v>10</v>
      </c>
      <c r="O167" s="8">
        <v>1</v>
      </c>
      <c r="P167" s="8">
        <v>11</v>
      </c>
      <c r="Q167" s="20">
        <v>11</v>
      </c>
      <c r="R167" s="8">
        <v>10</v>
      </c>
      <c r="S167" s="33">
        <v>1</v>
      </c>
      <c r="T167" s="27">
        <f t="shared" si="6"/>
        <v>47</v>
      </c>
      <c r="V167" s="2"/>
    </row>
    <row r="168" spans="1:26" ht="15" x14ac:dyDescent="0.2">
      <c r="A168" s="3" t="s">
        <v>53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7">
        <v>0</v>
      </c>
      <c r="N168" s="11">
        <v>4</v>
      </c>
      <c r="O168" s="11">
        <v>1</v>
      </c>
      <c r="P168" s="11">
        <v>10</v>
      </c>
      <c r="Q168" s="23">
        <v>7</v>
      </c>
      <c r="R168" s="8">
        <v>8</v>
      </c>
      <c r="S168" s="33">
        <v>1</v>
      </c>
      <c r="T168" s="4">
        <f t="shared" si="6"/>
        <v>31</v>
      </c>
      <c r="V168" s="2"/>
    </row>
    <row r="169" spans="1:26" ht="15" x14ac:dyDescent="0.2">
      <c r="A169" s="3" t="s">
        <v>47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4</v>
      </c>
      <c r="M169" s="8">
        <v>11</v>
      </c>
      <c r="N169" s="8">
        <v>4</v>
      </c>
      <c r="O169" s="8">
        <v>0</v>
      </c>
      <c r="P169" s="8">
        <v>5</v>
      </c>
      <c r="Q169" s="20">
        <v>18</v>
      </c>
      <c r="R169" s="8">
        <v>29</v>
      </c>
      <c r="S169" s="33">
        <v>17</v>
      </c>
      <c r="T169" s="4">
        <f t="shared" si="6"/>
        <v>88</v>
      </c>
      <c r="Z169" s="2"/>
    </row>
    <row r="170" spans="1:26" ht="15" x14ac:dyDescent="0.2">
      <c r="A170" t="s">
        <v>28</v>
      </c>
      <c r="B170" s="11">
        <v>6</v>
      </c>
      <c r="C170" s="11">
        <v>15</v>
      </c>
      <c r="D170" s="11">
        <v>9</v>
      </c>
      <c r="E170" s="11">
        <v>18</v>
      </c>
      <c r="F170" s="11">
        <v>21</v>
      </c>
      <c r="G170" s="11">
        <v>37</v>
      </c>
      <c r="H170" s="11">
        <v>62</v>
      </c>
      <c r="I170" s="11">
        <v>66</v>
      </c>
      <c r="J170" s="11">
        <v>69</v>
      </c>
      <c r="K170" s="11">
        <v>66</v>
      </c>
      <c r="L170" s="11">
        <v>59</v>
      </c>
      <c r="M170" s="11">
        <v>78</v>
      </c>
      <c r="N170" s="11">
        <v>83</v>
      </c>
      <c r="O170" s="11">
        <v>33</v>
      </c>
      <c r="P170" s="11">
        <v>116</v>
      </c>
      <c r="Q170" s="23">
        <v>160</v>
      </c>
      <c r="R170" s="8">
        <v>120</v>
      </c>
      <c r="S170" s="33">
        <v>36</v>
      </c>
      <c r="T170" s="27">
        <f t="shared" si="6"/>
        <v>1054</v>
      </c>
      <c r="V170" s="2"/>
    </row>
    <row r="171" spans="1:26" ht="15" x14ac:dyDescent="0.2">
      <c r="A171" t="s">
        <v>60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20">
        <v>4</v>
      </c>
      <c r="R171" s="8">
        <v>6</v>
      </c>
      <c r="S171" s="33">
        <v>16</v>
      </c>
      <c r="T171" s="27">
        <f t="shared" si="6"/>
        <v>26</v>
      </c>
      <c r="V171" s="2"/>
    </row>
    <row r="172" spans="1:26" ht="15" x14ac:dyDescent="0.2">
      <c r="A172" s="26" t="s">
        <v>0</v>
      </c>
      <c r="B172" s="25">
        <f>SUBTOTAL(109,Tabla353822327224[2007])</f>
        <v>28</v>
      </c>
      <c r="C172" s="25">
        <f>SUBTOTAL(109,Tabla353822327224[2008])</f>
        <v>41</v>
      </c>
      <c r="D172" s="25">
        <f>SUBTOTAL(109,Tabla353822327224[2009])</f>
        <v>42</v>
      </c>
      <c r="E172" s="25">
        <f>SUBTOTAL(109,Tabla353822327224[2010])</f>
        <v>131</v>
      </c>
      <c r="F172" s="25">
        <f>SUBTOTAL(109,Tabla353822327224[2011])</f>
        <v>229</v>
      </c>
      <c r="G172" s="25">
        <f>SUBTOTAL(109,Tabla353822327224[2012])</f>
        <v>235</v>
      </c>
      <c r="H172" s="25">
        <f>SUBTOTAL(109,Tabla353822327224[2013])</f>
        <v>393</v>
      </c>
      <c r="I172" s="25">
        <f>SUM(I153:I171)</f>
        <v>478</v>
      </c>
      <c r="J172" s="25">
        <f>SUBTOTAL(109,Tabla353822327224[2015])</f>
        <v>535</v>
      </c>
      <c r="K172" s="25">
        <f>SUBTOTAL(109,Tabla353822327224[2016])</f>
        <v>481</v>
      </c>
      <c r="L172" s="25">
        <f>SUBTOTAL(109,Tabla353822327224[2017])</f>
        <v>447</v>
      </c>
      <c r="M172" s="25">
        <f>SUBTOTAL(109,Tabla353822327224[2018])</f>
        <v>481</v>
      </c>
      <c r="N172" s="25">
        <f>SUBTOTAL(109,Tabla353822327224[2019])</f>
        <v>598</v>
      </c>
      <c r="O172" s="25">
        <f>SUBTOTAL(109,Tabla353822327224[2020])</f>
        <v>261</v>
      </c>
      <c r="P172" s="25">
        <f>SUBTOTAL(109,Tabla353822327224[2021])</f>
        <v>867</v>
      </c>
      <c r="Q172" s="25">
        <f>SUBTOTAL(109,Tabla353822327224[2022])</f>
        <v>1014</v>
      </c>
      <c r="R172" s="25">
        <f>SUBTOTAL(109,Tabla353822327224[2023])</f>
        <v>737</v>
      </c>
      <c r="S172" s="37">
        <f>SUBTOTAL(109,Tabla353822327224[2024])</f>
        <v>290</v>
      </c>
      <c r="T172" s="38">
        <f>SUBTOTAL(109,Tabla353822327224[Total])</f>
        <v>7288</v>
      </c>
      <c r="V172" s="2"/>
    </row>
  </sheetData>
  <sheetProtection algorithmName="SHA-512" hashValue="2j4S0NJmUcExB5zlOcxIvt13VCOiqv9bCQ0XIXfuL/IoN5kQ8qW+g6oxHwVtXZg5upVlBoY5OUFLtGGunqnJaQ==" saltValue="yrWCFaGi9QnKVT3mROdW8g==" spinCount="100000" sheet="1" objects="1" scenarios="1"/>
  <mergeCells count="7">
    <mergeCell ref="A8:R8"/>
    <mergeCell ref="A54:R54"/>
    <mergeCell ref="A103:R103"/>
    <mergeCell ref="A148:R148"/>
    <mergeCell ref="A31:R31"/>
    <mergeCell ref="A78:R78"/>
    <mergeCell ref="A127:R127"/>
  </mergeCells>
  <phoneticPr fontId="10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55" orientation="landscape" r:id="rId1"/>
  <headerFooter>
    <oddFooter>&amp;RPÁGINA &amp;P DE &amp;N</oddFooter>
  </headerFooter>
  <rowBreaks count="3" manualBreakCount="3">
    <brk id="53" max="19" man="1"/>
    <brk id="102" max="19" man="1"/>
    <brk id="147" max="19" man="1"/>
  </rowBreaks>
  <drawing r:id="rId2"/>
  <legacyDrawing r:id="rId3"/>
  <tableParts count="7"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E28"/>
  <sheetViews>
    <sheetView showGridLines="0" zoomScale="150" zoomScaleNormal="150" zoomScalePageLayoutView="87" workbookViewId="0">
      <selection activeCell="H22" sqref="H22"/>
    </sheetView>
  </sheetViews>
  <sheetFormatPr baseColWidth="10" defaultColWidth="11" defaultRowHeight="11" x14ac:dyDescent="0.15"/>
  <cols>
    <col min="1" max="1" width="43" style="58" customWidth="1"/>
    <col min="2" max="2" width="8.6640625" style="1" customWidth="1"/>
    <col min="3" max="3" width="8.6640625" style="2" customWidth="1"/>
    <col min="4" max="12" width="8.6640625" style="1" customWidth="1"/>
    <col min="13" max="13" width="7.6640625" style="1" customWidth="1"/>
    <col min="14" max="15" width="8.6640625" style="1" customWidth="1"/>
    <col min="16" max="16" width="9" style="1" customWidth="1"/>
    <col min="17" max="17" width="8" style="2" customWidth="1"/>
    <col min="18" max="19" width="8" style="1" customWidth="1"/>
    <col min="20" max="20" width="6.6640625" style="1" customWidth="1"/>
    <col min="21" max="27" width="8" style="1" customWidth="1"/>
    <col min="28" max="16384" width="11" style="1"/>
  </cols>
  <sheetData>
    <row r="8" spans="1:31" ht="18" x14ac:dyDescent="0.2">
      <c r="A8" s="59" t="s">
        <v>64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31" ht="18" x14ac:dyDescent="0.2">
      <c r="A9" s="52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31" s="3" customFormat="1" ht="16" x14ac:dyDescent="0.2">
      <c r="A10" s="53" t="s">
        <v>14</v>
      </c>
      <c r="AE10" s="4"/>
    </row>
    <row r="11" spans="1:31" s="3" customFormat="1" ht="15" x14ac:dyDescent="0.2">
      <c r="A11" s="54"/>
      <c r="AE11" s="4"/>
    </row>
    <row r="12" spans="1:31" s="4" customFormat="1" ht="16" x14ac:dyDescent="0.2">
      <c r="A12" s="55" t="s">
        <v>12</v>
      </c>
      <c r="B12" s="4" t="s">
        <v>13</v>
      </c>
      <c r="C12" s="4" t="s">
        <v>5</v>
      </c>
      <c r="D12" s="4" t="s">
        <v>6</v>
      </c>
      <c r="E12" s="4" t="s">
        <v>7</v>
      </c>
      <c r="F12" s="4" t="s">
        <v>8</v>
      </c>
      <c r="G12" s="4" t="s">
        <v>9</v>
      </c>
      <c r="H12" s="4" t="s">
        <v>10</v>
      </c>
      <c r="I12" s="4" t="s">
        <v>11</v>
      </c>
      <c r="J12" s="4" t="s">
        <v>44</v>
      </c>
      <c r="K12" s="4" t="s">
        <v>16</v>
      </c>
      <c r="L12" s="4" t="s">
        <v>41</v>
      </c>
      <c r="M12" s="4" t="s">
        <v>42</v>
      </c>
      <c r="N12" s="4" t="s">
        <v>49</v>
      </c>
      <c r="O12" s="4" t="s">
        <v>52</v>
      </c>
      <c r="P12" s="4" t="s">
        <v>54</v>
      </c>
      <c r="Q12" s="4" t="s">
        <v>55</v>
      </c>
      <c r="R12" s="4" t="s">
        <v>59</v>
      </c>
      <c r="S12" s="4" t="s">
        <v>61</v>
      </c>
      <c r="T12" s="33" t="s">
        <v>63</v>
      </c>
      <c r="U12" s="35" t="s">
        <v>0</v>
      </c>
    </row>
    <row r="13" spans="1:31" s="3" customFormat="1" ht="16" x14ac:dyDescent="0.2">
      <c r="A13" s="48" t="s">
        <v>30</v>
      </c>
      <c r="B13" s="8">
        <f>SUBTOTAL(109,B15)</f>
        <v>0</v>
      </c>
      <c r="C13" s="8">
        <v>0</v>
      </c>
      <c r="D13" s="8">
        <v>3</v>
      </c>
      <c r="E13" s="8">
        <v>0</v>
      </c>
      <c r="F13" s="8">
        <v>3</v>
      </c>
      <c r="G13" s="8">
        <v>2</v>
      </c>
      <c r="H13" s="8">
        <v>4</v>
      </c>
      <c r="I13" s="8">
        <v>5</v>
      </c>
      <c r="J13" s="8">
        <v>5</v>
      </c>
      <c r="K13" s="8">
        <f>SUBTOTAL(109,K15)</f>
        <v>0</v>
      </c>
      <c r="L13" s="8">
        <v>1</v>
      </c>
      <c r="M13" s="8">
        <v>1</v>
      </c>
      <c r="N13" s="8">
        <v>1</v>
      </c>
      <c r="O13" s="8">
        <v>0</v>
      </c>
      <c r="P13" s="8">
        <v>0</v>
      </c>
      <c r="Q13" s="8">
        <v>0</v>
      </c>
      <c r="R13" s="8">
        <v>0</v>
      </c>
      <c r="S13" s="10">
        <v>1</v>
      </c>
      <c r="T13" s="33">
        <v>0</v>
      </c>
      <c r="U13" s="34">
        <f t="shared" ref="U13:U26" si="0">SUM(B13:T13)</f>
        <v>26</v>
      </c>
    </row>
    <row r="14" spans="1:31" s="3" customFormat="1" ht="16" x14ac:dyDescent="0.2">
      <c r="A14" s="49" t="s">
        <v>51</v>
      </c>
      <c r="B14" s="10">
        <f>SUBTOTAL(109,B13)</f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3</v>
      </c>
      <c r="O14" s="10">
        <v>0</v>
      </c>
      <c r="P14" s="10">
        <v>0</v>
      </c>
      <c r="Q14" s="10">
        <v>3</v>
      </c>
      <c r="R14" s="10">
        <v>2</v>
      </c>
      <c r="S14" s="10">
        <v>5</v>
      </c>
      <c r="T14" s="33">
        <v>0</v>
      </c>
      <c r="U14" s="34">
        <f t="shared" si="0"/>
        <v>13</v>
      </c>
    </row>
    <row r="15" spans="1:31" s="3" customFormat="1" ht="32" x14ac:dyDescent="0.2">
      <c r="A15" s="47" t="s">
        <v>29</v>
      </c>
      <c r="B15" s="10">
        <f>SUBTOTAL(109,B12)</f>
        <v>0</v>
      </c>
      <c r="C15" s="10">
        <v>2</v>
      </c>
      <c r="D15" s="10">
        <v>1</v>
      </c>
      <c r="E15" s="10">
        <v>2</v>
      </c>
      <c r="F15" s="10">
        <v>2</v>
      </c>
      <c r="G15" s="10">
        <v>2</v>
      </c>
      <c r="H15" s="10">
        <v>0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</v>
      </c>
      <c r="P15" s="10">
        <v>1</v>
      </c>
      <c r="Q15" s="10">
        <v>0</v>
      </c>
      <c r="R15" s="10">
        <v>0</v>
      </c>
      <c r="S15" s="10">
        <v>0</v>
      </c>
      <c r="T15" s="33">
        <v>0</v>
      </c>
      <c r="U15" s="34">
        <f t="shared" si="0"/>
        <v>12</v>
      </c>
    </row>
    <row r="16" spans="1:31" s="3" customFormat="1" ht="16" x14ac:dyDescent="0.2">
      <c r="A16" s="46" t="s">
        <v>31</v>
      </c>
      <c r="B16" s="8">
        <f>SUBTOTAL(109,B13)</f>
        <v>0</v>
      </c>
      <c r="C16" s="8">
        <v>8</v>
      </c>
      <c r="D16" s="8">
        <v>18</v>
      </c>
      <c r="E16" s="8">
        <v>8</v>
      </c>
      <c r="F16" s="8">
        <v>6</v>
      </c>
      <c r="G16" s="8">
        <v>8</v>
      </c>
      <c r="H16" s="8">
        <v>8</v>
      </c>
      <c r="I16" s="8">
        <v>0</v>
      </c>
      <c r="J16" s="8">
        <v>8</v>
      </c>
      <c r="K16" s="8">
        <v>5</v>
      </c>
      <c r="L16" s="8">
        <v>3</v>
      </c>
      <c r="M16" s="8">
        <v>11</v>
      </c>
      <c r="N16" s="8">
        <v>2</v>
      </c>
      <c r="O16" s="8">
        <v>8</v>
      </c>
      <c r="P16" s="8">
        <v>9</v>
      </c>
      <c r="Q16" s="8">
        <v>7</v>
      </c>
      <c r="R16" s="8">
        <v>6</v>
      </c>
      <c r="S16" s="10">
        <v>8</v>
      </c>
      <c r="T16" s="33">
        <v>0</v>
      </c>
      <c r="U16" s="34">
        <f t="shared" si="0"/>
        <v>123</v>
      </c>
    </row>
    <row r="17" spans="1:22" s="3" customFormat="1" ht="16" x14ac:dyDescent="0.2">
      <c r="A17" s="47" t="s">
        <v>32</v>
      </c>
      <c r="B17" s="10">
        <f t="shared" ref="B17:B22" si="1">SUBTOTAL(109,B16)</f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11</v>
      </c>
      <c r="J17" s="10">
        <v>8</v>
      </c>
      <c r="K17" s="10">
        <v>3</v>
      </c>
      <c r="L17" s="10">
        <v>7</v>
      </c>
      <c r="M17" s="10">
        <v>0</v>
      </c>
      <c r="N17" s="10">
        <v>11</v>
      </c>
      <c r="O17" s="10">
        <v>2</v>
      </c>
      <c r="P17" s="10">
        <v>4</v>
      </c>
      <c r="Q17" s="10">
        <v>8</v>
      </c>
      <c r="R17" s="10">
        <v>14</v>
      </c>
      <c r="S17" s="10">
        <v>5</v>
      </c>
      <c r="T17" s="33">
        <v>14</v>
      </c>
      <c r="U17" s="34">
        <f t="shared" si="0"/>
        <v>87</v>
      </c>
    </row>
    <row r="18" spans="1:22" s="3" customFormat="1" ht="16" x14ac:dyDescent="0.2">
      <c r="A18" s="48" t="s">
        <v>37</v>
      </c>
      <c r="B18" s="8">
        <f>SUBTOTAL(109,B22)</f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3</v>
      </c>
      <c r="K18" s="8">
        <v>3</v>
      </c>
      <c r="L18" s="8">
        <v>6</v>
      </c>
      <c r="M18" s="8">
        <v>5</v>
      </c>
      <c r="N18" s="8">
        <v>4</v>
      </c>
      <c r="O18" s="8">
        <v>6</v>
      </c>
      <c r="P18" s="8">
        <v>2</v>
      </c>
      <c r="Q18" s="8">
        <v>8</v>
      </c>
      <c r="R18" s="8">
        <v>7</v>
      </c>
      <c r="S18" s="10">
        <v>5</v>
      </c>
      <c r="T18" s="33">
        <v>0</v>
      </c>
      <c r="U18" s="34">
        <f t="shared" si="0"/>
        <v>49</v>
      </c>
    </row>
    <row r="19" spans="1:22" s="3" customFormat="1" ht="34.5" customHeight="1" x14ac:dyDescent="0.2">
      <c r="A19" s="46" t="s">
        <v>33</v>
      </c>
      <c r="B19" s="8">
        <f>SUBTOTAL(109,B17)</f>
        <v>0</v>
      </c>
      <c r="C19" s="8">
        <v>0</v>
      </c>
      <c r="D19" s="8">
        <v>0</v>
      </c>
      <c r="E19" s="8">
        <v>7</v>
      </c>
      <c r="F19" s="8">
        <v>9</v>
      </c>
      <c r="G19" s="8">
        <v>3</v>
      </c>
      <c r="H19" s="8">
        <v>6</v>
      </c>
      <c r="I19" s="8">
        <v>11</v>
      </c>
      <c r="J19" s="8">
        <v>21</v>
      </c>
      <c r="K19" s="8">
        <v>8</v>
      </c>
      <c r="L19" s="8">
        <v>20</v>
      </c>
      <c r="M19" s="8">
        <v>2</v>
      </c>
      <c r="N19" s="8">
        <v>23</v>
      </c>
      <c r="O19" s="8">
        <v>6</v>
      </c>
      <c r="P19" s="8">
        <v>12</v>
      </c>
      <c r="Q19" s="8">
        <v>4</v>
      </c>
      <c r="R19" s="8">
        <v>28</v>
      </c>
      <c r="S19" s="10">
        <v>5</v>
      </c>
      <c r="T19" s="33">
        <v>10</v>
      </c>
      <c r="U19" s="34">
        <f t="shared" si="0"/>
        <v>175</v>
      </c>
    </row>
    <row r="20" spans="1:22" s="3" customFormat="1" ht="32" x14ac:dyDescent="0.2">
      <c r="A20" s="47" t="s">
        <v>34</v>
      </c>
      <c r="B20" s="10">
        <v>2</v>
      </c>
      <c r="C20" s="10">
        <v>4</v>
      </c>
      <c r="D20" s="10">
        <v>6</v>
      </c>
      <c r="E20" s="10">
        <v>2</v>
      </c>
      <c r="F20" s="10">
        <v>5</v>
      </c>
      <c r="G20" s="10">
        <v>1</v>
      </c>
      <c r="H20" s="10">
        <v>1</v>
      </c>
      <c r="I20" s="10">
        <v>0</v>
      </c>
      <c r="J20" s="10">
        <v>2</v>
      </c>
      <c r="K20" s="10">
        <v>0</v>
      </c>
      <c r="L20" s="10">
        <v>1</v>
      </c>
      <c r="M20" s="10">
        <v>0</v>
      </c>
      <c r="N20" s="10">
        <v>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33">
        <v>0</v>
      </c>
      <c r="U20" s="34">
        <f t="shared" si="0"/>
        <v>25</v>
      </c>
    </row>
    <row r="21" spans="1:22" s="3" customFormat="1" ht="16" x14ac:dyDescent="0.2">
      <c r="A21" s="46" t="s">
        <v>35</v>
      </c>
      <c r="B21" s="8">
        <v>0</v>
      </c>
      <c r="C21" s="8">
        <v>3</v>
      </c>
      <c r="D21" s="8">
        <v>0</v>
      </c>
      <c r="E21" s="8">
        <v>2</v>
      </c>
      <c r="F21" s="8">
        <v>4</v>
      </c>
      <c r="G21" s="8">
        <v>4</v>
      </c>
      <c r="H21" s="8">
        <v>4</v>
      </c>
      <c r="I21" s="8">
        <v>3</v>
      </c>
      <c r="J21" s="8">
        <v>5</v>
      </c>
      <c r="K21" s="8">
        <v>2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>
        <v>0</v>
      </c>
      <c r="R21" s="8">
        <v>0</v>
      </c>
      <c r="S21" s="10">
        <v>0</v>
      </c>
      <c r="T21" s="33">
        <v>0</v>
      </c>
      <c r="U21" s="34">
        <f t="shared" si="0"/>
        <v>28</v>
      </c>
    </row>
    <row r="22" spans="1:22" s="3" customFormat="1" ht="16" x14ac:dyDescent="0.2">
      <c r="A22" s="47" t="s">
        <v>36</v>
      </c>
      <c r="B22" s="10">
        <f t="shared" si="1"/>
        <v>0</v>
      </c>
      <c r="C22" s="10">
        <v>1</v>
      </c>
      <c r="D22" s="10">
        <v>0</v>
      </c>
      <c r="E22" s="10">
        <v>1</v>
      </c>
      <c r="F22" s="10">
        <v>11</v>
      </c>
      <c r="G22" s="10">
        <v>6</v>
      </c>
      <c r="H22" s="10">
        <v>4</v>
      </c>
      <c r="I22" s="10">
        <v>6</v>
      </c>
      <c r="J22" s="10">
        <v>3</v>
      </c>
      <c r="K22" s="10">
        <v>7</v>
      </c>
      <c r="L22" s="10">
        <v>1</v>
      </c>
      <c r="M22" s="10">
        <v>8</v>
      </c>
      <c r="N22" s="10">
        <v>5</v>
      </c>
      <c r="O22" s="10">
        <v>12</v>
      </c>
      <c r="P22" s="10">
        <v>0</v>
      </c>
      <c r="Q22" s="10">
        <v>2</v>
      </c>
      <c r="R22" s="10">
        <v>7</v>
      </c>
      <c r="S22" s="10">
        <v>6</v>
      </c>
      <c r="T22" s="33">
        <v>2</v>
      </c>
      <c r="U22" s="34">
        <f t="shared" si="0"/>
        <v>82</v>
      </c>
    </row>
    <row r="23" spans="1:22" s="3" customFormat="1" ht="16" x14ac:dyDescent="0.2">
      <c r="A23" s="50" t="s">
        <v>40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5</v>
      </c>
      <c r="L23" s="10">
        <v>1</v>
      </c>
      <c r="M23" s="10">
        <v>5</v>
      </c>
      <c r="N23" s="10">
        <v>2</v>
      </c>
      <c r="O23" s="10">
        <v>0</v>
      </c>
      <c r="P23" s="10">
        <v>3</v>
      </c>
      <c r="Q23" s="10">
        <v>2</v>
      </c>
      <c r="R23" s="10">
        <v>5</v>
      </c>
      <c r="S23" s="10">
        <v>0</v>
      </c>
      <c r="T23" s="33">
        <v>0</v>
      </c>
      <c r="U23" s="34">
        <f t="shared" si="0"/>
        <v>23</v>
      </c>
    </row>
    <row r="24" spans="1:22" s="3" customFormat="1" ht="30.75" customHeight="1" x14ac:dyDescent="0.2">
      <c r="A24" s="47" t="s">
        <v>38</v>
      </c>
      <c r="B24" s="10">
        <f>SUBTOTAL(109,B18)</f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2</v>
      </c>
      <c r="J24" s="10">
        <v>3</v>
      </c>
      <c r="K24" s="10">
        <v>3</v>
      </c>
      <c r="L24" s="10">
        <v>1</v>
      </c>
      <c r="M24" s="10">
        <v>4</v>
      </c>
      <c r="N24" s="10">
        <v>3</v>
      </c>
      <c r="O24" s="10">
        <v>0</v>
      </c>
      <c r="P24" s="10">
        <v>0</v>
      </c>
      <c r="Q24" s="10">
        <v>0</v>
      </c>
      <c r="R24" s="10">
        <v>1</v>
      </c>
      <c r="S24" s="10">
        <v>0</v>
      </c>
      <c r="T24" s="33">
        <v>0</v>
      </c>
      <c r="U24" s="34">
        <f t="shared" si="0"/>
        <v>17</v>
      </c>
    </row>
    <row r="25" spans="1:22" s="2" customFormat="1" ht="16" x14ac:dyDescent="0.2">
      <c r="A25" s="51" t="s">
        <v>48</v>
      </c>
      <c r="B25" s="8">
        <f>SUBTOTAL(109,B23)</f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7</v>
      </c>
      <c r="N25" s="8">
        <v>5</v>
      </c>
      <c r="O25" s="8">
        <v>1</v>
      </c>
      <c r="P25" s="8">
        <v>2</v>
      </c>
      <c r="Q25" s="8">
        <v>3</v>
      </c>
      <c r="R25" s="8">
        <v>3</v>
      </c>
      <c r="S25" s="10">
        <v>3</v>
      </c>
      <c r="T25" s="33">
        <v>1</v>
      </c>
      <c r="U25" s="34">
        <f t="shared" si="0"/>
        <v>25</v>
      </c>
    </row>
    <row r="26" spans="1:22" s="3" customFormat="1" ht="32" x14ac:dyDescent="0.2">
      <c r="A26" s="46" t="s">
        <v>39</v>
      </c>
      <c r="B26" s="8">
        <v>2</v>
      </c>
      <c r="C26" s="8">
        <v>3</v>
      </c>
      <c r="D26" s="8">
        <v>1</v>
      </c>
      <c r="E26" s="8">
        <v>0</v>
      </c>
      <c r="F26" s="8">
        <v>3</v>
      </c>
      <c r="G26" s="8">
        <v>6</v>
      </c>
      <c r="H26" s="8">
        <v>1</v>
      </c>
      <c r="I26" s="8">
        <v>4</v>
      </c>
      <c r="J26" s="8">
        <v>2</v>
      </c>
      <c r="K26" s="8">
        <v>3</v>
      </c>
      <c r="L26" s="8">
        <v>0</v>
      </c>
      <c r="M26" s="8">
        <v>0</v>
      </c>
      <c r="N26" s="8">
        <v>0</v>
      </c>
      <c r="O26" s="8">
        <v>1</v>
      </c>
      <c r="P26" s="8">
        <v>0</v>
      </c>
      <c r="Q26" s="8">
        <v>0</v>
      </c>
      <c r="R26" s="8">
        <v>0</v>
      </c>
      <c r="S26" s="10">
        <v>0</v>
      </c>
      <c r="T26" s="33">
        <v>0</v>
      </c>
      <c r="U26" s="34">
        <f t="shared" si="0"/>
        <v>26</v>
      </c>
    </row>
    <row r="27" spans="1:22" ht="16" x14ac:dyDescent="0.2">
      <c r="A27" s="56" t="s">
        <v>0</v>
      </c>
      <c r="B27" s="29">
        <f>SUBTOTAL(109,Tabla5393243037926[2006])</f>
        <v>4</v>
      </c>
      <c r="C27" s="29">
        <f>SUBTOTAL(109,Tabla5393243037926[2007])</f>
        <v>21</v>
      </c>
      <c r="D27" s="29">
        <f>SUBTOTAL(109,Tabla5393243037926[2008])</f>
        <v>29</v>
      </c>
      <c r="E27" s="29">
        <f>SUBTOTAL(109,Tabla5393243037926[2009])</f>
        <v>22</v>
      </c>
      <c r="F27" s="29">
        <f>SUBTOTAL(109,Tabla5393243037926[2010])</f>
        <v>43</v>
      </c>
      <c r="G27" s="29">
        <f>SUBTOTAL(109,Tabla5393243037926[2011])</f>
        <v>32</v>
      </c>
      <c r="H27" s="29">
        <f>SUBTOTAL(109,Tabla5393243037926[2012])</f>
        <v>28</v>
      </c>
      <c r="I27" s="29">
        <f>SUBTOTAL(109,Tabla5393243037926[2013])</f>
        <v>43</v>
      </c>
      <c r="J27" s="29">
        <f>SUBTOTAL(109,Tabla5393243037926[2014])</f>
        <v>60</v>
      </c>
      <c r="K27" s="29">
        <f>SUBTOTAL(109,Tabla5393243037926[2015])</f>
        <v>39</v>
      </c>
      <c r="L27" s="29">
        <f>SUBTOTAL(109,Tabla5393243037926[2016])</f>
        <v>41</v>
      </c>
      <c r="M27" s="29">
        <f>SUBTOTAL(109,Tabla5393243037926[2017])</f>
        <v>43</v>
      </c>
      <c r="N27" s="29">
        <f>SUBTOTAL(109,Tabla5393243037926[2018])</f>
        <v>60</v>
      </c>
      <c r="O27" s="29">
        <f>SUBTOTAL(109,Tabla5393243037926[2019])</f>
        <v>38</v>
      </c>
      <c r="P27" s="29">
        <f>SUBTOTAL(109,Tabla5393243037926[2020])</f>
        <v>33</v>
      </c>
      <c r="Q27" s="29">
        <f>SUBTOTAL(109,Tabla5393243037926[2021])</f>
        <v>37</v>
      </c>
      <c r="R27" s="29">
        <f>SUBTOTAL(109,Tabla5393243037926[2022])</f>
        <v>73</v>
      </c>
      <c r="S27" s="29">
        <f>SUBTOTAL(109,Tabla5393243037926[2023])</f>
        <v>38</v>
      </c>
      <c r="T27" s="29">
        <f>SUBTOTAL(109,Tabla5393243037926[2024])</f>
        <v>27</v>
      </c>
      <c r="U27" s="29">
        <f>SUBTOTAL(109,Tabla5393243037926[Total])</f>
        <v>711</v>
      </c>
      <c r="V27" s="2"/>
    </row>
    <row r="28" spans="1:22" ht="15" x14ac:dyDescent="0.2">
      <c r="A28" s="5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</sheetData>
  <sheetProtection algorithmName="SHA-512" hashValue="dDONbWnJn6Vw7q7Wf4VvlH2JG4l/zWxP4MGw1aRqQ0e3/SwliGBPt63bKMsCpnOwBxHeo1IySkez4nmWZrTeIA==" saltValue="R8oQRlpOAvUHTt5S5MOwtw==" spinCount="100000" sheet="1" objects="1" scenarios="1"/>
  <mergeCells count="1">
    <mergeCell ref="A8:R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55" orientation="landscape" r:id="rId1"/>
  <headerFooter>
    <oddFooter>&amp;RPÁGINA &amp;P DE &amp;N</oddFooter>
  </headerFooter>
  <rowBreaks count="1" manualBreakCount="1">
    <brk id="27" max="17" man="1"/>
  </rowBreaks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CTE EMITIDOS LIC. ABRIL 2024</vt:lpstr>
      <vt:lpstr>CTE.EMITIDOS POSG. ABRIL 2024</vt:lpstr>
      <vt:lpstr>'CTE EMITIDOS LIC. ABRIL 2024'!Área_de_impresión</vt:lpstr>
      <vt:lpstr>'CTE.EMITIDOS POSG. ABRIL 2024'!Área_de_impresión</vt:lpstr>
      <vt:lpstr>'CTE EMITIDOS LIC. ABRIL 2024'!Títulos_a_imprimir</vt:lpstr>
      <vt:lpstr>'CTE.EMITIDOS POSG. ABRIL 2024'!Títulos_a_imprimir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adrian reyes esquivel</cp:lastModifiedBy>
  <cp:lastPrinted>2023-08-31T19:06:30Z</cp:lastPrinted>
  <dcterms:created xsi:type="dcterms:W3CDTF">2012-01-27T20:45:41Z</dcterms:created>
  <dcterms:modified xsi:type="dcterms:W3CDTF">2024-05-02T16:45:59Z</dcterms:modified>
</cp:coreProperties>
</file>