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4200" yWindow="4340" windowWidth="37000" windowHeight="18540"/>
  </bookViews>
  <sheets>
    <sheet name="Model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6" i="1" l="1"/>
  <c r="S5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4" i="1"/>
  <c r="T5" i="1"/>
  <c r="T4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9" i="1"/>
  <c r="P6" i="1"/>
  <c r="P5" i="1"/>
  <c r="P4" i="1"/>
  <c r="P3" i="1"/>
  <c r="B8" i="1"/>
  <c r="B14" i="1"/>
  <c r="B13" i="1"/>
  <c r="C15" i="1"/>
  <c r="B6" i="1"/>
  <c r="B17" i="1"/>
  <c r="C19" i="1"/>
  <c r="G17" i="1"/>
  <c r="G18" i="1"/>
  <c r="B7" i="1"/>
  <c r="C20" i="1"/>
  <c r="C22" i="1"/>
  <c r="M2" i="1"/>
  <c r="G3" i="1"/>
  <c r="G4" i="1"/>
  <c r="G5" i="1"/>
  <c r="G6" i="1"/>
  <c r="G7" i="1"/>
</calcChain>
</file>

<file path=xl/sharedStrings.xml><?xml version="1.0" encoding="utf-8"?>
<sst xmlns="http://schemas.openxmlformats.org/spreadsheetml/2006/main" count="44" uniqueCount="38">
  <si>
    <t>Profit Model</t>
  </si>
  <si>
    <t>Unit Price</t>
  </si>
  <si>
    <t>Unit Cost</t>
  </si>
  <si>
    <t>Fixed Cost</t>
  </si>
  <si>
    <t>Model</t>
  </si>
  <si>
    <t>Quantity Sold</t>
  </si>
  <si>
    <t>Revenue</t>
  </si>
  <si>
    <t>Quantity Produced</t>
  </si>
  <si>
    <t>Variable Cost</t>
  </si>
  <si>
    <t>Profit</t>
  </si>
  <si>
    <t>Demand</t>
  </si>
  <si>
    <t>Data</t>
  </si>
  <si>
    <t>Probability</t>
  </si>
  <si>
    <t>Cumulative</t>
  </si>
  <si>
    <t>Interval</t>
  </si>
  <si>
    <t>VLOOKUP Table</t>
  </si>
  <si>
    <t>Demand Distribution</t>
  </si>
  <si>
    <t>Unit cost distribution</t>
  </si>
  <si>
    <t>Uniform</t>
  </si>
  <si>
    <t>a</t>
  </si>
  <si>
    <t xml:space="preserve">b </t>
  </si>
  <si>
    <t>b</t>
  </si>
  <si>
    <t>c</t>
  </si>
  <si>
    <t>R</t>
  </si>
  <si>
    <t>F( c )</t>
  </si>
  <si>
    <t>Fixed cost distribution</t>
  </si>
  <si>
    <t>Triangular</t>
  </si>
  <si>
    <t>Data Table</t>
  </si>
  <si>
    <t>Mean</t>
  </si>
  <si>
    <t>Minimum</t>
  </si>
  <si>
    <t>Maximum</t>
  </si>
  <si>
    <t>Summary Statistics</t>
  </si>
  <si>
    <t>Frequency</t>
  </si>
  <si>
    <t>Frequency Distribution</t>
  </si>
  <si>
    <t>Standard deviation</t>
  </si>
  <si>
    <t>Profit Percentiles</t>
  </si>
  <si>
    <t>Upper Cell Limit</t>
  </si>
  <si>
    <t>Cumulative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</si>
</sst>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9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Calibri"/>
    </font>
    <font>
      <b/>
      <sz val="12"/>
      <color theme="1"/>
      <name val="Arial"/>
    </font>
    <font>
      <sz val="12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  <xf numFmtId="0" fontId="1" fillId="2" borderId="2" xfId="0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2" fillId="2" borderId="7" xfId="0" applyFont="1" applyFill="1" applyBorder="1"/>
    <xf numFmtId="164" fontId="1" fillId="3" borderId="2" xfId="0" applyNumberFormat="1" applyFont="1" applyFill="1" applyBorder="1" applyAlignment="1">
      <alignment horizontal="right"/>
    </xf>
    <xf numFmtId="164" fontId="2" fillId="3" borderId="8" xfId="0" applyNumberFormat="1" applyFont="1" applyFill="1" applyBorder="1"/>
    <xf numFmtId="0" fontId="2" fillId="3" borderId="3" xfId="0" applyFont="1" applyFill="1" applyBorder="1"/>
    <xf numFmtId="0" fontId="1" fillId="3" borderId="4" xfId="0" applyFont="1" applyFill="1" applyBorder="1" applyAlignment="1">
      <alignment horizontal="right"/>
    </xf>
    <xf numFmtId="0" fontId="2" fillId="3" borderId="0" xfId="0" applyFont="1" applyFill="1" applyBorder="1"/>
    <xf numFmtId="0" fontId="2" fillId="3" borderId="5" xfId="0" applyFont="1" applyFill="1" applyBorder="1"/>
    <xf numFmtId="164" fontId="2" fillId="3" borderId="5" xfId="0" applyNumberFormat="1" applyFont="1" applyFill="1" applyBorder="1"/>
    <xf numFmtId="164" fontId="2" fillId="3" borderId="0" xfId="0" applyNumberFormat="1" applyFont="1" applyFill="1" applyBorder="1"/>
    <xf numFmtId="0" fontId="1" fillId="3" borderId="6" xfId="0" applyFont="1" applyFill="1" applyBorder="1" applyAlignment="1">
      <alignment horizontal="right"/>
    </xf>
    <xf numFmtId="0" fontId="2" fillId="3" borderId="9" xfId="0" applyFont="1" applyFill="1" applyBorder="1"/>
    <xf numFmtId="164" fontId="2" fillId="3" borderId="7" xfId="0" applyNumberFormat="1" applyFont="1" applyFill="1" applyBorder="1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/>
    <xf numFmtId="3" fontId="4" fillId="0" borderId="0" xfId="0" applyNumberFormat="1" applyFont="1" applyAlignment="1">
      <alignment horizontal="left" vertical="center" indent="6"/>
    </xf>
    <xf numFmtId="0" fontId="4" fillId="0" borderId="0" xfId="0" applyFont="1" applyAlignment="1">
      <alignment horizontal="left" vertical="center" indent="6"/>
    </xf>
    <xf numFmtId="0" fontId="1" fillId="0" borderId="9" xfId="0" applyFont="1" applyBorder="1"/>
    <xf numFmtId="164" fontId="2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right"/>
    </xf>
    <xf numFmtId="0" fontId="1" fillId="4" borderId="9" xfId="0" applyFont="1" applyFill="1" applyBorder="1"/>
    <xf numFmtId="0" fontId="2" fillId="4" borderId="0" xfId="0" applyFont="1" applyFill="1"/>
    <xf numFmtId="3" fontId="4" fillId="4" borderId="0" xfId="0" applyNumberFormat="1" applyFont="1" applyFill="1" applyAlignment="1">
      <alignment horizontal="left" vertical="center" indent="6"/>
    </xf>
    <xf numFmtId="0" fontId="1" fillId="4" borderId="0" xfId="0" applyFont="1" applyFill="1"/>
    <xf numFmtId="164" fontId="2" fillId="4" borderId="0" xfId="0" applyNumberFormat="1" applyFont="1" applyFill="1"/>
    <xf numFmtId="0" fontId="5" fillId="4" borderId="0" xfId="0" applyFont="1" applyFill="1" applyAlignment="1">
      <alignment horizontal="right"/>
    </xf>
    <xf numFmtId="165" fontId="6" fillId="4" borderId="0" xfId="0" applyNumberFormat="1" applyFont="1" applyFill="1"/>
    <xf numFmtId="0" fontId="6" fillId="4" borderId="0" xfId="0" applyFont="1" applyFill="1"/>
    <xf numFmtId="2" fontId="6" fillId="4" borderId="0" xfId="0" applyNumberFormat="1" applyFont="1" applyFill="1"/>
    <xf numFmtId="164" fontId="2" fillId="4" borderId="1" xfId="0" applyNumberFormat="1" applyFont="1" applyFill="1" applyBorder="1"/>
    <xf numFmtId="2" fontId="2" fillId="4" borderId="0" xfId="0" applyNumberFormat="1" applyFont="1" applyFill="1"/>
    <xf numFmtId="165" fontId="2" fillId="4" borderId="0" xfId="0" applyNumberFormat="1" applyFont="1" applyFill="1"/>
    <xf numFmtId="0" fontId="1" fillId="4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Model!$R$4:$R$17</c:f>
              <c:numCache>
                <c:formatCode>"$"#,##0</c:formatCode>
                <c:ptCount val="14"/>
                <c:pt idx="0">
                  <c:v>75000.0</c:v>
                </c:pt>
                <c:pt idx="1">
                  <c:v>100000.0</c:v>
                </c:pt>
                <c:pt idx="2">
                  <c:v>125000.0</c:v>
                </c:pt>
                <c:pt idx="3">
                  <c:v>150000.0</c:v>
                </c:pt>
                <c:pt idx="4">
                  <c:v>175000.0</c:v>
                </c:pt>
                <c:pt idx="5">
                  <c:v>200000.0</c:v>
                </c:pt>
                <c:pt idx="6">
                  <c:v>225000.0</c:v>
                </c:pt>
                <c:pt idx="7">
                  <c:v>250000.0</c:v>
                </c:pt>
                <c:pt idx="8">
                  <c:v>275000.0</c:v>
                </c:pt>
                <c:pt idx="9">
                  <c:v>300000.0</c:v>
                </c:pt>
                <c:pt idx="10">
                  <c:v>325000.0</c:v>
                </c:pt>
                <c:pt idx="11">
                  <c:v>350000.0</c:v>
                </c:pt>
                <c:pt idx="12">
                  <c:v>375000.0</c:v>
                </c:pt>
                <c:pt idx="13">
                  <c:v>400000.0</c:v>
                </c:pt>
              </c:numCache>
            </c:numRef>
          </c:cat>
          <c:val>
            <c:numRef>
              <c:f>Model!$T$4:$T$17</c:f>
              <c:numCache>
                <c:formatCode>General</c:formatCode>
                <c:ptCount val="14"/>
                <c:pt idx="0">
                  <c:v>0.0</c:v>
                </c:pt>
                <c:pt idx="1">
                  <c:v>1.0</c:v>
                </c:pt>
                <c:pt idx="2">
                  <c:v>4.0</c:v>
                </c:pt>
                <c:pt idx="3">
                  <c:v>9.0</c:v>
                </c:pt>
                <c:pt idx="4">
                  <c:v>8.0</c:v>
                </c:pt>
                <c:pt idx="5">
                  <c:v>12.0</c:v>
                </c:pt>
                <c:pt idx="6">
                  <c:v>13.0</c:v>
                </c:pt>
                <c:pt idx="7">
                  <c:v>15.0</c:v>
                </c:pt>
                <c:pt idx="8">
                  <c:v>15.0</c:v>
                </c:pt>
                <c:pt idx="9">
                  <c:v>13.0</c:v>
                </c:pt>
                <c:pt idx="10">
                  <c:v>8.0</c:v>
                </c:pt>
                <c:pt idx="11">
                  <c:v>1.0</c:v>
                </c:pt>
                <c:pt idx="12">
                  <c:v>1.0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24205936"/>
        <c:axId val="-1623719744"/>
      </c:barChart>
      <c:catAx>
        <c:axId val="-1624205936"/>
        <c:scaling>
          <c:orientation val="minMax"/>
        </c:scaling>
        <c:delete val="0"/>
        <c:axPos val="b"/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3719744"/>
        <c:crosses val="autoZero"/>
        <c:auto val="1"/>
        <c:lblAlgn val="ctr"/>
        <c:lblOffset val="100"/>
        <c:noMultiLvlLbl val="0"/>
      </c:catAx>
      <c:valAx>
        <c:axId val="-162371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420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266700</xdr:colOff>
      <xdr:row>17</xdr:row>
      <xdr:rowOff>127000</xdr:rowOff>
    </xdr:from>
    <xdr:to>
      <xdr:col>20</xdr:col>
      <xdr:colOff>482600</xdr:colOff>
      <xdr:row>32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workbookViewId="0"/>
  </sheetViews>
  <sheetFormatPr baseColWidth="10" defaultColWidth="8.83203125" defaultRowHeight="16" x14ac:dyDescent="0.2"/>
  <cols>
    <col min="1" max="1" width="18.1640625" style="2" bestFit="1" customWidth="1"/>
    <col min="2" max="2" width="14.6640625" style="2" customWidth="1"/>
    <col min="3" max="3" width="13.83203125" style="2" bestFit="1" customWidth="1"/>
    <col min="4" max="4" width="8.33203125" style="2" customWidth="1"/>
    <col min="5" max="5" width="12.6640625" style="2" bestFit="1" customWidth="1"/>
    <col min="6" max="6" width="11.5" style="2" bestFit="1" customWidth="1"/>
    <col min="7" max="7" width="13.6640625" style="2" customWidth="1"/>
    <col min="8" max="9" width="8.83203125" style="2"/>
    <col min="10" max="10" width="12.6640625" style="2" bestFit="1" customWidth="1"/>
    <col min="11" max="12" width="8.83203125" style="2"/>
    <col min="13" max="13" width="12.1640625" style="26" bestFit="1" customWidth="1"/>
    <col min="14" max="14" width="8.83203125" style="2"/>
    <col min="15" max="15" width="19.6640625" style="2" bestFit="1" customWidth="1"/>
    <col min="16" max="16" width="12.1640625" style="2" bestFit="1" customWidth="1"/>
    <col min="17" max="17" width="8.83203125" style="2"/>
    <col min="18" max="18" width="23" style="2" bestFit="1" customWidth="1"/>
    <col min="19" max="19" width="22.5" style="2" bestFit="1" customWidth="1"/>
    <col min="20" max="20" width="11.1640625" style="2" bestFit="1" customWidth="1"/>
    <col min="21" max="16384" width="8.83203125" style="2"/>
  </cols>
  <sheetData>
    <row r="1" spans="1:20" x14ac:dyDescent="0.2">
      <c r="A1" s="1" t="s">
        <v>0</v>
      </c>
      <c r="C1" s="3"/>
      <c r="E1" s="42" t="s">
        <v>16</v>
      </c>
      <c r="F1" s="42"/>
      <c r="G1" s="42"/>
      <c r="H1" s="42" t="s">
        <v>15</v>
      </c>
      <c r="I1" s="42"/>
      <c r="J1" s="42"/>
      <c r="L1" s="42" t="s">
        <v>27</v>
      </c>
      <c r="M1" s="42"/>
      <c r="O1" s="1" t="s">
        <v>31</v>
      </c>
      <c r="R1" s="1" t="s">
        <v>33</v>
      </c>
      <c r="S1" s="1"/>
      <c r="T1" s="1"/>
    </row>
    <row r="2" spans="1:20" x14ac:dyDescent="0.2">
      <c r="E2" s="25" t="s">
        <v>10</v>
      </c>
      <c r="F2" s="25" t="s">
        <v>12</v>
      </c>
      <c r="G2" s="25" t="s">
        <v>13</v>
      </c>
      <c r="H2" s="44" t="s">
        <v>14</v>
      </c>
      <c r="I2" s="44"/>
      <c r="J2" s="29" t="s">
        <v>10</v>
      </c>
      <c r="L2" s="30"/>
      <c r="M2" s="33">
        <f ca="1">C22</f>
        <v>164942.75916800369</v>
      </c>
      <c r="O2" s="1"/>
      <c r="R2" s="1"/>
      <c r="S2" s="1"/>
      <c r="T2" s="1"/>
    </row>
    <row r="3" spans="1:20" x14ac:dyDescent="0.2">
      <c r="A3" s="1" t="s">
        <v>11</v>
      </c>
      <c r="E3" s="23">
        <v>40000</v>
      </c>
      <c r="F3" s="24">
        <v>0.1</v>
      </c>
      <c r="G3" s="2">
        <f>F3</f>
        <v>0.1</v>
      </c>
      <c r="H3" s="30">
        <v>0</v>
      </c>
      <c r="I3" s="30">
        <v>0.1</v>
      </c>
      <c r="J3" s="31">
        <v>40000</v>
      </c>
      <c r="L3" s="30">
        <v>1</v>
      </c>
      <c r="M3" s="33">
        <f t="dataTable" ref="M3:M102" dt2D="0" dtr="0" r1="A24" ca="1"/>
        <v>194341.53506652021</v>
      </c>
      <c r="O3" s="32" t="s">
        <v>28</v>
      </c>
      <c r="P3" s="33">
        <f>AVERAGE(M3:M102)</f>
        <v>224418.23015718014</v>
      </c>
      <c r="R3" s="41" t="s">
        <v>36</v>
      </c>
      <c r="S3" s="32" t="s">
        <v>37</v>
      </c>
      <c r="T3" s="32" t="s">
        <v>32</v>
      </c>
    </row>
    <row r="4" spans="1:20" x14ac:dyDescent="0.2">
      <c r="E4" s="23">
        <v>45000</v>
      </c>
      <c r="F4" s="24">
        <v>0.3</v>
      </c>
      <c r="G4" s="2">
        <f>G3+F4</f>
        <v>0.4</v>
      </c>
      <c r="H4" s="30">
        <v>0.1</v>
      </c>
      <c r="I4" s="30">
        <v>0.4</v>
      </c>
      <c r="J4" s="31">
        <v>45000</v>
      </c>
      <c r="L4" s="30">
        <v>2</v>
      </c>
      <c r="M4" s="33">
        <v>253695.81759331585</v>
      </c>
      <c r="O4" s="32" t="s">
        <v>34</v>
      </c>
      <c r="P4" s="33">
        <f>_xlfn.STDEV.S(M3:M102)</f>
        <v>59807.739945394176</v>
      </c>
      <c r="R4" s="40">
        <v>75000</v>
      </c>
      <c r="S4" s="30">
        <f>COUNTIF(M$3:M$102,"&lt;=75000")</f>
        <v>0</v>
      </c>
      <c r="T4" s="30">
        <f>S4</f>
        <v>0</v>
      </c>
    </row>
    <row r="5" spans="1:20" x14ac:dyDescent="0.2">
      <c r="A5" s="4" t="s">
        <v>1</v>
      </c>
      <c r="B5" s="5">
        <v>40</v>
      </c>
      <c r="E5" s="23">
        <v>50000</v>
      </c>
      <c r="F5" s="24">
        <v>0.4</v>
      </c>
      <c r="G5" s="2">
        <f t="shared" ref="G5:G7" si="0">G4+F5</f>
        <v>0.8</v>
      </c>
      <c r="H5" s="30">
        <v>0.4</v>
      </c>
      <c r="I5" s="30">
        <v>0.8</v>
      </c>
      <c r="J5" s="31">
        <v>50000</v>
      </c>
      <c r="L5" s="30">
        <v>3</v>
      </c>
      <c r="M5" s="33">
        <v>240500.24445507629</v>
      </c>
      <c r="O5" s="32" t="s">
        <v>29</v>
      </c>
      <c r="P5" s="33">
        <f>MIN(M3:M102)</f>
        <v>89037.825251676026</v>
      </c>
      <c r="R5" s="40">
        <v>100000</v>
      </c>
      <c r="S5" s="30">
        <f>COUNTIF(M$3:M$102,"&lt;=100000")</f>
        <v>1</v>
      </c>
      <c r="T5" s="30">
        <f>S5-S4</f>
        <v>1</v>
      </c>
    </row>
    <row r="6" spans="1:20" x14ac:dyDescent="0.2">
      <c r="A6" s="6" t="s">
        <v>2</v>
      </c>
      <c r="B6" s="7">
        <f ca="1">F11+(G11-F11)*RAND()</f>
        <v>25.440359388059832</v>
      </c>
      <c r="E6" s="23">
        <v>55000</v>
      </c>
      <c r="F6" s="24">
        <v>0.15</v>
      </c>
      <c r="G6" s="2">
        <f t="shared" si="0"/>
        <v>0.95000000000000007</v>
      </c>
      <c r="H6" s="30">
        <v>0.8</v>
      </c>
      <c r="I6" s="30">
        <v>0.95000000000000007</v>
      </c>
      <c r="J6" s="31">
        <v>55000</v>
      </c>
      <c r="L6" s="30">
        <v>4</v>
      </c>
      <c r="M6" s="33">
        <v>178484.3801973252</v>
      </c>
      <c r="O6" s="32" t="s">
        <v>30</v>
      </c>
      <c r="P6" s="33">
        <f>MAX(M3:M102)</f>
        <v>350972.07258510293</v>
      </c>
      <c r="R6" s="40">
        <v>125000</v>
      </c>
      <c r="S6" s="30">
        <f>COUNTIF(M$3:M$102,"&lt;=125000")</f>
        <v>5</v>
      </c>
      <c r="T6" s="30">
        <f t="shared" ref="T6:T17" si="1">S6-S5</f>
        <v>4</v>
      </c>
    </row>
    <row r="7" spans="1:20" x14ac:dyDescent="0.2">
      <c r="A7" s="6" t="s">
        <v>3</v>
      </c>
      <c r="B7" s="7">
        <f ca="1">IF(G17&lt;G18,G14+SQRT(G17*(G15-G14)*(G16-G14)),G15-SQRT((1-G17)*(G15-G14)*(G15-G16)))</f>
        <v>417442.86530960305</v>
      </c>
      <c r="E7" s="23">
        <v>60000</v>
      </c>
      <c r="F7" s="24">
        <v>0.05</v>
      </c>
      <c r="G7" s="2">
        <f t="shared" si="0"/>
        <v>1</v>
      </c>
      <c r="H7" s="30">
        <v>0.95</v>
      </c>
      <c r="I7" s="30">
        <v>1</v>
      </c>
      <c r="J7" s="31">
        <v>60000</v>
      </c>
      <c r="L7" s="30">
        <v>5</v>
      </c>
      <c r="M7" s="33">
        <v>129463.1154461148</v>
      </c>
      <c r="R7" s="40">
        <v>150000</v>
      </c>
      <c r="S7" s="30">
        <f>COUNTIF(M$3:M$102,"&lt;=150000")</f>
        <v>14</v>
      </c>
      <c r="T7" s="30">
        <f t="shared" si="1"/>
        <v>9</v>
      </c>
    </row>
    <row r="8" spans="1:20" x14ac:dyDescent="0.2">
      <c r="A8" s="8" t="s">
        <v>10</v>
      </c>
      <c r="B8" s="9">
        <f ca="1">VLOOKUP(RAND(),H3:J7,3)</f>
        <v>45000</v>
      </c>
      <c r="L8" s="30">
        <v>6</v>
      </c>
      <c r="M8" s="33">
        <v>310888.06700912939</v>
      </c>
      <c r="O8" s="43" t="s">
        <v>35</v>
      </c>
      <c r="P8" s="43"/>
      <c r="R8" s="40">
        <v>175000</v>
      </c>
      <c r="S8" s="30">
        <f>COUNTIF(M$3:M$102,"&lt;=175000")</f>
        <v>22</v>
      </c>
      <c r="T8" s="30">
        <f t="shared" si="1"/>
        <v>8</v>
      </c>
    </row>
    <row r="9" spans="1:20" x14ac:dyDescent="0.2">
      <c r="E9" s="42" t="s">
        <v>17</v>
      </c>
      <c r="F9" s="42"/>
      <c r="G9" s="42"/>
      <c r="L9" s="30">
        <v>7</v>
      </c>
      <c r="M9" s="33">
        <v>288974.56002792617</v>
      </c>
      <c r="O9" s="39">
        <v>0.05</v>
      </c>
      <c r="P9" s="40">
        <f>_xlfn.PERCENTILE.INC(M$3:M$102,O9)</f>
        <v>124526.7518607447</v>
      </c>
      <c r="R9" s="40">
        <v>200000</v>
      </c>
      <c r="S9" s="30">
        <f>COUNTIF(M$3:M$102,"&lt;=200000")</f>
        <v>34</v>
      </c>
      <c r="T9" s="30">
        <f t="shared" si="1"/>
        <v>12</v>
      </c>
    </row>
    <row r="10" spans="1:20" x14ac:dyDescent="0.2">
      <c r="E10" s="1" t="s">
        <v>18</v>
      </c>
      <c r="F10" s="32" t="s">
        <v>19</v>
      </c>
      <c r="G10" s="32" t="s">
        <v>20</v>
      </c>
      <c r="L10" s="30">
        <v>8</v>
      </c>
      <c r="M10" s="33">
        <v>298189.14695551555</v>
      </c>
      <c r="O10" s="39">
        <v>0.1</v>
      </c>
      <c r="P10" s="40">
        <f t="shared" ref="P10:P28" si="2">_xlfn.PERCENTILE.INC(M$3:M$102,O10)</f>
        <v>137432.5681784052</v>
      </c>
      <c r="R10" s="40">
        <v>225000</v>
      </c>
      <c r="S10" s="30">
        <f>COUNTIF(M$3:M$102,"&lt;=225000")</f>
        <v>47</v>
      </c>
      <c r="T10" s="30">
        <f t="shared" si="1"/>
        <v>13</v>
      </c>
    </row>
    <row r="11" spans="1:20" x14ac:dyDescent="0.2">
      <c r="A11" s="1" t="s">
        <v>4</v>
      </c>
      <c r="F11" s="33">
        <v>22</v>
      </c>
      <c r="G11" s="33">
        <v>26</v>
      </c>
      <c r="L11" s="30">
        <v>9</v>
      </c>
      <c r="M11" s="33">
        <v>138382.12742116814</v>
      </c>
      <c r="O11" s="39">
        <v>0.15</v>
      </c>
      <c r="P11" s="40">
        <f t="shared" si="2"/>
        <v>161335.77820952539</v>
      </c>
      <c r="R11" s="40">
        <v>250000</v>
      </c>
      <c r="S11" s="30">
        <f>COUNTIF(M$3:M$102,"&lt;=250000")</f>
        <v>62</v>
      </c>
      <c r="T11" s="30">
        <f t="shared" si="1"/>
        <v>15</v>
      </c>
    </row>
    <row r="12" spans="1:20" x14ac:dyDescent="0.2">
      <c r="L12" s="30">
        <v>10</v>
      </c>
      <c r="M12" s="33">
        <v>163703.08258045895</v>
      </c>
      <c r="O12" s="39">
        <v>0.2</v>
      </c>
      <c r="P12" s="40">
        <f t="shared" si="2"/>
        <v>172320.67331389655</v>
      </c>
      <c r="R12" s="40">
        <v>275000</v>
      </c>
      <c r="S12" s="30">
        <f>COUNTIF(M$3:M$102,"&lt;=275000")</f>
        <v>77</v>
      </c>
      <c r="T12" s="30">
        <f t="shared" si="1"/>
        <v>15</v>
      </c>
    </row>
    <row r="13" spans="1:20" x14ac:dyDescent="0.2">
      <c r="A13" s="10" t="s">
        <v>1</v>
      </c>
      <c r="B13" s="11">
        <f>B5</f>
        <v>40</v>
      </c>
      <c r="C13" s="12"/>
      <c r="E13" s="45" t="s">
        <v>25</v>
      </c>
      <c r="F13" s="45"/>
      <c r="G13" s="45"/>
      <c r="L13" s="30">
        <v>11</v>
      </c>
      <c r="M13" s="33">
        <v>230659.69570617424</v>
      </c>
      <c r="O13" s="39">
        <v>0.25</v>
      </c>
      <c r="P13" s="40">
        <f t="shared" si="2"/>
        <v>178936.62099033428</v>
      </c>
      <c r="R13" s="40">
        <v>300000</v>
      </c>
      <c r="S13" s="30">
        <f>COUNTIF(M$3:M$102,"&lt;=300000")</f>
        <v>90</v>
      </c>
      <c r="T13" s="30">
        <f t="shared" si="1"/>
        <v>13</v>
      </c>
    </row>
    <row r="14" spans="1:20" x14ac:dyDescent="0.2">
      <c r="A14" s="13" t="s">
        <v>5</v>
      </c>
      <c r="B14" s="14">
        <f ca="1">MIN(B8,B18)</f>
        <v>40000</v>
      </c>
      <c r="C14" s="15"/>
      <c r="E14" s="1" t="s">
        <v>26</v>
      </c>
      <c r="F14" s="34" t="s">
        <v>19</v>
      </c>
      <c r="G14" s="35">
        <v>350000</v>
      </c>
      <c r="L14" s="30">
        <v>12</v>
      </c>
      <c r="M14" s="33">
        <v>198519.89139576512</v>
      </c>
      <c r="O14" s="39">
        <v>0.3</v>
      </c>
      <c r="P14" s="40">
        <f t="shared" si="2"/>
        <v>194642.73285029293</v>
      </c>
      <c r="R14" s="40">
        <v>325000</v>
      </c>
      <c r="S14" s="30">
        <f>COUNTIF(M$3:M$102,"&lt;=325000")</f>
        <v>98</v>
      </c>
      <c r="T14" s="30">
        <f t="shared" si="1"/>
        <v>8</v>
      </c>
    </row>
    <row r="15" spans="1:20" x14ac:dyDescent="0.2">
      <c r="A15" s="13" t="s">
        <v>6</v>
      </c>
      <c r="B15" s="14"/>
      <c r="C15" s="16">
        <f ca="1">B13*B14</f>
        <v>1600000</v>
      </c>
      <c r="F15" s="34" t="s">
        <v>21</v>
      </c>
      <c r="G15" s="35">
        <v>500000</v>
      </c>
      <c r="L15" s="30">
        <v>13</v>
      </c>
      <c r="M15" s="33">
        <v>286367.33258849644</v>
      </c>
      <c r="O15" s="39">
        <v>0.35</v>
      </c>
      <c r="P15" s="40">
        <f t="shared" si="2"/>
        <v>201003.4867655563</v>
      </c>
      <c r="R15" s="40">
        <v>350000</v>
      </c>
      <c r="S15" s="30">
        <f>COUNTIF(M$3:M$102,"&lt;=350000")</f>
        <v>99</v>
      </c>
      <c r="T15" s="30">
        <f t="shared" si="1"/>
        <v>1</v>
      </c>
    </row>
    <row r="16" spans="1:20" x14ac:dyDescent="0.2">
      <c r="A16" s="13"/>
      <c r="B16" s="14"/>
      <c r="C16" s="16"/>
      <c r="F16" s="34" t="s">
        <v>22</v>
      </c>
      <c r="G16" s="35">
        <v>400000</v>
      </c>
      <c r="L16" s="30">
        <v>14</v>
      </c>
      <c r="M16" s="33">
        <v>208247.73519017902</v>
      </c>
      <c r="O16" s="39">
        <v>0.4</v>
      </c>
      <c r="P16" s="40">
        <f t="shared" si="2"/>
        <v>208250.50504379362</v>
      </c>
      <c r="R16" s="40">
        <v>375000</v>
      </c>
      <c r="S16" s="30">
        <f>COUNTIF(M$3:M$102,"&lt;=375000")</f>
        <v>100</v>
      </c>
      <c r="T16" s="30">
        <f t="shared" si="1"/>
        <v>1</v>
      </c>
    </row>
    <row r="17" spans="1:20" x14ac:dyDescent="0.2">
      <c r="A17" s="13" t="s">
        <v>2</v>
      </c>
      <c r="B17" s="17">
        <f ca="1">B6</f>
        <v>25.440359388059832</v>
      </c>
      <c r="C17" s="15"/>
      <c r="F17" s="34" t="s">
        <v>23</v>
      </c>
      <c r="G17" s="36">
        <f ca="1">RAND()</f>
        <v>0.54562130078077686</v>
      </c>
      <c r="L17" s="30">
        <v>15</v>
      </c>
      <c r="M17" s="33">
        <v>204154.37770289899</v>
      </c>
      <c r="O17" s="39">
        <v>0.45</v>
      </c>
      <c r="P17" s="40">
        <f t="shared" si="2"/>
        <v>220796.46572865837</v>
      </c>
      <c r="R17" s="40">
        <v>400000</v>
      </c>
      <c r="S17" s="30">
        <f>COUNTIF(M$3:M$102,"&lt;=400000")</f>
        <v>100</v>
      </c>
      <c r="T17" s="30">
        <f t="shared" si="1"/>
        <v>0</v>
      </c>
    </row>
    <row r="18" spans="1:20" x14ac:dyDescent="0.2">
      <c r="A18" s="13" t="s">
        <v>7</v>
      </c>
      <c r="B18" s="14">
        <v>40000</v>
      </c>
      <c r="C18" s="15"/>
      <c r="F18" s="34" t="s">
        <v>24</v>
      </c>
      <c r="G18" s="37">
        <f>(G16-G14)/(G15-G14)</f>
        <v>0.33333333333333331</v>
      </c>
      <c r="L18" s="30">
        <v>16</v>
      </c>
      <c r="M18" s="33">
        <v>330857.56431612518</v>
      </c>
      <c r="O18" s="39">
        <v>0.5</v>
      </c>
      <c r="P18" s="40">
        <f t="shared" si="2"/>
        <v>230818.9577914043</v>
      </c>
    </row>
    <row r="19" spans="1:20" x14ac:dyDescent="0.2">
      <c r="A19" s="13" t="s">
        <v>8</v>
      </c>
      <c r="B19" s="14"/>
      <c r="C19" s="16">
        <f ca="1">B17*B18</f>
        <v>1017614.3755223933</v>
      </c>
      <c r="L19" s="30">
        <v>17</v>
      </c>
      <c r="M19" s="33">
        <v>282628.99057102279</v>
      </c>
      <c r="O19" s="39">
        <v>0.55000000000000004</v>
      </c>
      <c r="P19" s="40">
        <f t="shared" si="2"/>
        <v>242301.9742553003</v>
      </c>
    </row>
    <row r="20" spans="1:20" x14ac:dyDescent="0.2">
      <c r="A20" s="18" t="s">
        <v>3</v>
      </c>
      <c r="B20" s="19"/>
      <c r="C20" s="20">
        <f ca="1">B7</f>
        <v>417442.86530960305</v>
      </c>
      <c r="E20" s="27"/>
      <c r="F20" s="27"/>
      <c r="L20" s="30">
        <v>18</v>
      </c>
      <c r="M20" s="33">
        <v>201288.36699104798</v>
      </c>
      <c r="O20" s="39">
        <v>0.6</v>
      </c>
      <c r="P20" s="40">
        <f t="shared" si="2"/>
        <v>248705.27032934909</v>
      </c>
    </row>
    <row r="21" spans="1:20" x14ac:dyDescent="0.2">
      <c r="E21" s="28"/>
      <c r="L21" s="30">
        <v>19</v>
      </c>
      <c r="M21" s="33">
        <v>244748.06539412541</v>
      </c>
      <c r="O21" s="39">
        <v>0.65</v>
      </c>
      <c r="P21" s="40">
        <f t="shared" si="2"/>
        <v>252947.77524914857</v>
      </c>
    </row>
    <row r="22" spans="1:20" x14ac:dyDescent="0.2">
      <c r="A22" s="21" t="s">
        <v>9</v>
      </c>
      <c r="B22" s="22"/>
      <c r="C22" s="38">
        <f ca="1">C15-C19-C20</f>
        <v>164942.75916800369</v>
      </c>
      <c r="L22" s="30">
        <v>20</v>
      </c>
      <c r="M22" s="33">
        <v>172162.87176960736</v>
      </c>
      <c r="O22" s="39">
        <v>0.7</v>
      </c>
      <c r="P22" s="40">
        <f t="shared" si="2"/>
        <v>260630.9474337539</v>
      </c>
    </row>
    <row r="23" spans="1:20" x14ac:dyDescent="0.2">
      <c r="L23" s="30">
        <v>21</v>
      </c>
      <c r="M23" s="33">
        <v>230302.64430171368</v>
      </c>
      <c r="O23" s="39">
        <v>0.75</v>
      </c>
      <c r="P23" s="40">
        <f t="shared" si="2"/>
        <v>267287.07461299107</v>
      </c>
    </row>
    <row r="24" spans="1:20" x14ac:dyDescent="0.2">
      <c r="L24" s="30">
        <v>22</v>
      </c>
      <c r="M24" s="33">
        <v>111010.38968744117</v>
      </c>
      <c r="O24" s="39">
        <v>0.8</v>
      </c>
      <c r="P24" s="40">
        <f t="shared" si="2"/>
        <v>279348.59957024636</v>
      </c>
    </row>
    <row r="25" spans="1:20" x14ac:dyDescent="0.2">
      <c r="L25" s="30">
        <v>23</v>
      </c>
      <c r="M25" s="33">
        <v>137850.88421347312</v>
      </c>
      <c r="O25" s="39">
        <v>0.85</v>
      </c>
      <c r="P25" s="40">
        <f t="shared" si="2"/>
        <v>289766.80441364675</v>
      </c>
    </row>
    <row r="26" spans="1:20" x14ac:dyDescent="0.2">
      <c r="L26" s="30">
        <v>24</v>
      </c>
      <c r="M26" s="33">
        <v>179087.36792133731</v>
      </c>
      <c r="O26" s="39">
        <v>0.9</v>
      </c>
      <c r="P26" s="40">
        <f t="shared" si="2"/>
        <v>298566.56726553245</v>
      </c>
    </row>
    <row r="27" spans="1:20" x14ac:dyDescent="0.2">
      <c r="L27" s="30">
        <v>25</v>
      </c>
      <c r="M27" s="33">
        <v>259772.71776924428</v>
      </c>
      <c r="O27" s="39">
        <v>0.95</v>
      </c>
      <c r="P27" s="40">
        <f t="shared" si="2"/>
        <v>309254.22094525292</v>
      </c>
    </row>
    <row r="28" spans="1:20" x14ac:dyDescent="0.2">
      <c r="L28" s="30">
        <v>26</v>
      </c>
      <c r="M28" s="33">
        <v>140558.27131602133</v>
      </c>
      <c r="O28" s="39">
        <v>1</v>
      </c>
      <c r="P28" s="40">
        <f t="shared" si="2"/>
        <v>350972.07258510293</v>
      </c>
    </row>
    <row r="29" spans="1:20" x14ac:dyDescent="0.2">
      <c r="L29" s="30">
        <v>27</v>
      </c>
      <c r="M29" s="33">
        <v>133667.72386279376</v>
      </c>
    </row>
    <row r="30" spans="1:20" x14ac:dyDescent="0.2">
      <c r="L30" s="30">
        <v>28</v>
      </c>
      <c r="M30" s="33">
        <v>292331.86486255424</v>
      </c>
    </row>
    <row r="31" spans="1:20" x14ac:dyDescent="0.2">
      <c r="L31" s="30">
        <v>29</v>
      </c>
      <c r="M31" s="33">
        <v>252777.07313310326</v>
      </c>
    </row>
    <row r="32" spans="1:20" x14ac:dyDescent="0.2">
      <c r="L32" s="30">
        <v>30</v>
      </c>
      <c r="M32" s="33">
        <v>244833.15636413195</v>
      </c>
    </row>
    <row r="33" spans="12:13" x14ac:dyDescent="0.2">
      <c r="L33" s="30">
        <v>31</v>
      </c>
      <c r="M33" s="33">
        <v>100060.33332711062</v>
      </c>
    </row>
    <row r="34" spans="12:13" x14ac:dyDescent="0.2">
      <c r="L34" s="30">
        <v>32</v>
      </c>
      <c r="M34" s="33">
        <v>159079.50118887494</v>
      </c>
    </row>
    <row r="35" spans="12:13" x14ac:dyDescent="0.2">
      <c r="L35" s="30">
        <v>33</v>
      </c>
      <c r="M35" s="33">
        <v>301963.35005568404</v>
      </c>
    </row>
    <row r="36" spans="12:13" x14ac:dyDescent="0.2">
      <c r="L36" s="30">
        <v>34</v>
      </c>
      <c r="M36" s="33">
        <v>240687.22569936718</v>
      </c>
    </row>
    <row r="37" spans="12:13" x14ac:dyDescent="0.2">
      <c r="L37" s="30">
        <v>35</v>
      </c>
      <c r="M37" s="33">
        <v>161733.94474258134</v>
      </c>
    </row>
    <row r="38" spans="12:13" x14ac:dyDescent="0.2">
      <c r="L38" s="30">
        <v>36</v>
      </c>
      <c r="M38" s="33">
        <v>253264.79346466128</v>
      </c>
    </row>
    <row r="39" spans="12:13" x14ac:dyDescent="0.2">
      <c r="L39" s="30">
        <v>37</v>
      </c>
      <c r="M39" s="33">
        <v>130240.43462258094</v>
      </c>
    </row>
    <row r="40" spans="12:13" x14ac:dyDescent="0.2">
      <c r="L40" s="30">
        <v>38</v>
      </c>
      <c r="M40" s="33">
        <v>214412.5776370833</v>
      </c>
    </row>
    <row r="41" spans="12:13" x14ac:dyDescent="0.2">
      <c r="L41" s="30">
        <v>39</v>
      </c>
      <c r="M41" s="33">
        <v>250870.57972543751</v>
      </c>
    </row>
    <row r="42" spans="12:13" x14ac:dyDescent="0.2">
      <c r="L42" s="30">
        <v>40</v>
      </c>
      <c r="M42" s="33">
        <v>169105.62792362354</v>
      </c>
    </row>
    <row r="43" spans="12:13" x14ac:dyDescent="0.2">
      <c r="L43" s="30">
        <v>41</v>
      </c>
      <c r="M43" s="33">
        <v>274697.41908378835</v>
      </c>
    </row>
    <row r="44" spans="12:13" x14ac:dyDescent="0.2">
      <c r="L44" s="30">
        <v>42</v>
      </c>
      <c r="M44" s="33">
        <v>247441.20049501536</v>
      </c>
    </row>
    <row r="45" spans="12:13" x14ac:dyDescent="0.2">
      <c r="L45" s="30">
        <v>43</v>
      </c>
      <c r="M45" s="33">
        <v>279831.57701098226</v>
      </c>
    </row>
    <row r="46" spans="12:13" x14ac:dyDescent="0.2">
      <c r="L46" s="30">
        <v>44</v>
      </c>
      <c r="M46" s="33">
        <v>208590.88003621978</v>
      </c>
    </row>
    <row r="47" spans="12:13" x14ac:dyDescent="0.2">
      <c r="L47" s="30">
        <v>45</v>
      </c>
      <c r="M47" s="33">
        <v>231636.28066300316</v>
      </c>
    </row>
    <row r="48" spans="12:13" x14ac:dyDescent="0.2">
      <c r="L48" s="30">
        <v>46</v>
      </c>
      <c r="M48" s="33">
        <v>172360.12369996886</v>
      </c>
    </row>
    <row r="49" spans="12:13" x14ac:dyDescent="0.2">
      <c r="L49" s="30">
        <v>47</v>
      </c>
      <c r="M49" s="33">
        <v>305551.37819311774</v>
      </c>
    </row>
    <row r="50" spans="12:13" x14ac:dyDescent="0.2">
      <c r="L50" s="30">
        <v>48</v>
      </c>
      <c r="M50" s="33">
        <v>194771.81761476694</v>
      </c>
    </row>
    <row r="51" spans="12:13" x14ac:dyDescent="0.2">
      <c r="L51" s="30">
        <v>49</v>
      </c>
      <c r="M51" s="33">
        <v>254463.40882707376</v>
      </c>
    </row>
    <row r="52" spans="12:13" x14ac:dyDescent="0.2">
      <c r="L52" s="30">
        <v>50</v>
      </c>
      <c r="M52" s="33">
        <v>262859.64417143184</v>
      </c>
    </row>
    <row r="53" spans="12:13" x14ac:dyDescent="0.2">
      <c r="L53" s="30">
        <v>51</v>
      </c>
      <c r="M53" s="33">
        <v>279134.92207178962</v>
      </c>
    </row>
    <row r="54" spans="12:13" x14ac:dyDescent="0.2">
      <c r="L54" s="30">
        <v>52</v>
      </c>
      <c r="M54" s="33">
        <v>217957.77317016176</v>
      </c>
    </row>
    <row r="55" spans="12:13" x14ac:dyDescent="0.2">
      <c r="L55" s="30">
        <v>53</v>
      </c>
      <c r="M55" s="33">
        <v>193045.28382883099</v>
      </c>
    </row>
    <row r="56" spans="12:13" x14ac:dyDescent="0.2">
      <c r="L56" s="30">
        <v>54</v>
      </c>
      <c r="M56" s="33">
        <v>292151.90543286019</v>
      </c>
    </row>
    <row r="57" spans="12:13" x14ac:dyDescent="0.2">
      <c r="L57" s="30">
        <v>55</v>
      </c>
      <c r="M57" s="33">
        <v>175060.35908233328</v>
      </c>
    </row>
    <row r="58" spans="12:13" x14ac:dyDescent="0.2">
      <c r="L58" s="30">
        <v>56</v>
      </c>
      <c r="M58" s="33">
        <v>265451.40074291039</v>
      </c>
    </row>
    <row r="59" spans="12:13" x14ac:dyDescent="0.2">
      <c r="L59" s="30">
        <v>57</v>
      </c>
      <c r="M59" s="33">
        <v>302932.31622112275</v>
      </c>
    </row>
    <row r="60" spans="12:13" x14ac:dyDescent="0.2">
      <c r="L60" s="30">
        <v>58</v>
      </c>
      <c r="M60" s="33">
        <v>289801.20099431416</v>
      </c>
    </row>
    <row r="61" spans="12:13" x14ac:dyDescent="0.2">
      <c r="L61" s="30">
        <v>59</v>
      </c>
      <c r="M61" s="33">
        <v>250126.68055800995</v>
      </c>
    </row>
    <row r="62" spans="12:13" x14ac:dyDescent="0.2">
      <c r="L62" s="30">
        <v>60</v>
      </c>
      <c r="M62" s="33">
        <v>200474.4234896432</v>
      </c>
    </row>
    <row r="63" spans="12:13" x14ac:dyDescent="0.2">
      <c r="L63" s="30">
        <v>61</v>
      </c>
      <c r="M63" s="33">
        <v>229094.5432297705</v>
      </c>
    </row>
    <row r="64" spans="12:13" x14ac:dyDescent="0.2">
      <c r="L64" s="30">
        <v>62</v>
      </c>
      <c r="M64" s="33">
        <v>312976.82700255793</v>
      </c>
    </row>
    <row r="65" spans="12:13" x14ac:dyDescent="0.2">
      <c r="L65" s="30">
        <v>63</v>
      </c>
      <c r="M65" s="33">
        <v>207690.19964607223</v>
      </c>
    </row>
    <row r="66" spans="12:13" x14ac:dyDescent="0.2">
      <c r="L66" s="30">
        <v>64</v>
      </c>
      <c r="M66" s="33">
        <v>125185.36889937607</v>
      </c>
    </row>
    <row r="67" spans="12:13" x14ac:dyDescent="0.2">
      <c r="L67" s="30">
        <v>65</v>
      </c>
      <c r="M67" s="33">
        <v>198610.66310399462</v>
      </c>
    </row>
    <row r="68" spans="12:13" x14ac:dyDescent="0.2">
      <c r="L68" s="30">
        <v>66</v>
      </c>
      <c r="M68" s="33">
        <v>189087.51484726509</v>
      </c>
    </row>
    <row r="69" spans="12:13" x14ac:dyDescent="0.2">
      <c r="L69" s="30">
        <v>67</v>
      </c>
      <c r="M69" s="33">
        <v>175126.40752837132</v>
      </c>
    </row>
    <row r="70" spans="12:13" x14ac:dyDescent="0.2">
      <c r="L70" s="30">
        <v>68</v>
      </c>
      <c r="M70" s="33">
        <v>268086.07816184883</v>
      </c>
    </row>
    <row r="71" spans="12:13" x14ac:dyDescent="0.2">
      <c r="L71" s="30">
        <v>69</v>
      </c>
      <c r="M71" s="33">
        <v>267020.74009670515</v>
      </c>
    </row>
    <row r="72" spans="12:13" x14ac:dyDescent="0.2">
      <c r="L72" s="30">
        <v>70</v>
      </c>
      <c r="M72" s="33">
        <v>230978.21987663436</v>
      </c>
    </row>
    <row r="73" spans="12:13" x14ac:dyDescent="0.2">
      <c r="L73" s="30">
        <v>71</v>
      </c>
      <c r="M73" s="33">
        <v>105583.05818034429</v>
      </c>
    </row>
    <row r="74" spans="12:13" x14ac:dyDescent="0.2">
      <c r="L74" s="30">
        <v>72</v>
      </c>
      <c r="M74" s="33">
        <v>171273.12497361592</v>
      </c>
    </row>
    <row r="75" spans="12:13" x14ac:dyDescent="0.2">
      <c r="L75" s="30">
        <v>73</v>
      </c>
      <c r="M75" s="33">
        <v>127077.53346813621</v>
      </c>
    </row>
    <row r="76" spans="12:13" x14ac:dyDescent="0.2">
      <c r="L76" s="30">
        <v>74</v>
      </c>
      <c r="M76" s="33">
        <v>236316.73714055918</v>
      </c>
    </row>
    <row r="77" spans="12:13" x14ac:dyDescent="0.2">
      <c r="L77" s="30">
        <v>75</v>
      </c>
      <c r="M77" s="33">
        <v>308555.1697665946</v>
      </c>
    </row>
    <row r="78" spans="12:13" x14ac:dyDescent="0.2">
      <c r="L78" s="30">
        <v>76</v>
      </c>
      <c r="M78" s="33">
        <v>174131.15798346384</v>
      </c>
    </row>
    <row r="79" spans="12:13" x14ac:dyDescent="0.2">
      <c r="L79" s="30">
        <v>77</v>
      </c>
      <c r="M79" s="33">
        <v>89037.825251676026</v>
      </c>
    </row>
    <row r="80" spans="12:13" x14ac:dyDescent="0.2">
      <c r="L80" s="30">
        <v>78</v>
      </c>
      <c r="M80" s="33">
        <v>138607.73925602675</v>
      </c>
    </row>
    <row r="81" spans="12:13" x14ac:dyDescent="0.2">
      <c r="L81" s="30">
        <v>79</v>
      </c>
      <c r="M81" s="33">
        <v>244275.55582366302</v>
      </c>
    </row>
    <row r="82" spans="12:13" x14ac:dyDescent="0.2">
      <c r="L82" s="30">
        <v>80</v>
      </c>
      <c r="M82" s="33">
        <v>249231.28614707803</v>
      </c>
    </row>
    <row r="83" spans="12:13" x14ac:dyDescent="0.2">
      <c r="L83" s="30">
        <v>81</v>
      </c>
      <c r="M83" s="33">
        <v>209598.95178692683</v>
      </c>
    </row>
    <row r="84" spans="12:13" x14ac:dyDescent="0.2">
      <c r="L84" s="30">
        <v>82</v>
      </c>
      <c r="M84" s="33">
        <v>224596.60410360736</v>
      </c>
    </row>
    <row r="85" spans="12:13" x14ac:dyDescent="0.2">
      <c r="L85" s="30">
        <v>83</v>
      </c>
      <c r="M85" s="33">
        <v>208252.35161287</v>
      </c>
    </row>
    <row r="86" spans="12:13" x14ac:dyDescent="0.2">
      <c r="L86" s="30">
        <v>84</v>
      </c>
      <c r="M86" s="33">
        <v>248565.95058437105</v>
      </c>
    </row>
    <row r="87" spans="12:13" x14ac:dyDescent="0.2">
      <c r="L87" s="30">
        <v>85</v>
      </c>
      <c r="M87" s="33">
        <v>262633.4833176097</v>
      </c>
    </row>
    <row r="88" spans="12:13" x14ac:dyDescent="0.2">
      <c r="L88" s="30">
        <v>86</v>
      </c>
      <c r="M88" s="33">
        <v>112013.02812674857</v>
      </c>
    </row>
    <row r="89" spans="12:13" x14ac:dyDescent="0.2">
      <c r="L89" s="30">
        <v>87</v>
      </c>
      <c r="M89" s="33">
        <v>278051.13141029072</v>
      </c>
    </row>
    <row r="90" spans="12:13" x14ac:dyDescent="0.2">
      <c r="L90" s="30">
        <v>88</v>
      </c>
      <c r="M90" s="33">
        <v>263255.06744873885</v>
      </c>
    </row>
    <row r="91" spans="12:13" x14ac:dyDescent="0.2">
      <c r="L91" s="30">
        <v>89</v>
      </c>
      <c r="M91" s="33">
        <v>223119.0323674283</v>
      </c>
    </row>
    <row r="92" spans="12:13" x14ac:dyDescent="0.2">
      <c r="L92" s="30">
        <v>90</v>
      </c>
      <c r="M92" s="33">
        <v>289760.73442882311</v>
      </c>
    </row>
    <row r="93" spans="12:13" x14ac:dyDescent="0.2">
      <c r="L93" s="30">
        <v>91</v>
      </c>
      <c r="M93" s="33">
        <v>309168.22904715413</v>
      </c>
    </row>
    <row r="94" spans="12:13" x14ac:dyDescent="0.2">
      <c r="L94" s="30">
        <v>92</v>
      </c>
      <c r="M94" s="33">
        <v>206589.3575458228</v>
      </c>
    </row>
    <row r="95" spans="12:13" x14ac:dyDescent="0.2">
      <c r="L95" s="30">
        <v>93</v>
      </c>
      <c r="M95" s="33">
        <v>248914.24994681613</v>
      </c>
    </row>
    <row r="96" spans="12:13" x14ac:dyDescent="0.2">
      <c r="L96" s="30">
        <v>94</v>
      </c>
      <c r="M96" s="33">
        <v>191411.45376834384</v>
      </c>
    </row>
    <row r="97" spans="12:13" x14ac:dyDescent="0.2">
      <c r="L97" s="30">
        <v>95</v>
      </c>
      <c r="M97" s="33">
        <v>279227.85521006235</v>
      </c>
    </row>
    <row r="98" spans="12:13" x14ac:dyDescent="0.2">
      <c r="L98" s="30">
        <v>96</v>
      </c>
      <c r="M98" s="33">
        <v>350972.07258510293</v>
      </c>
    </row>
    <row r="99" spans="12:13" x14ac:dyDescent="0.2">
      <c r="L99" s="30">
        <v>97</v>
      </c>
      <c r="M99" s="33">
        <v>322537.62025288906</v>
      </c>
    </row>
    <row r="100" spans="12:13" x14ac:dyDescent="0.2">
      <c r="L100" s="30">
        <v>98</v>
      </c>
      <c r="M100" s="33">
        <v>295876.16761739569</v>
      </c>
    </row>
    <row r="101" spans="12:13" x14ac:dyDescent="0.2">
      <c r="L101" s="30">
        <v>99</v>
      </c>
      <c r="M101" s="33">
        <v>255264.14667935087</v>
      </c>
    </row>
    <row r="102" spans="12:13" x14ac:dyDescent="0.2">
      <c r="L102" s="30">
        <v>100</v>
      </c>
      <c r="M102" s="33">
        <v>195862.35190975945</v>
      </c>
    </row>
  </sheetData>
  <mergeCells count="7">
    <mergeCell ref="E13:G13"/>
    <mergeCell ref="L1:M1"/>
    <mergeCell ref="H1:J1"/>
    <mergeCell ref="O8:P8"/>
    <mergeCell ref="H2:I2"/>
    <mergeCell ref="E1:G1"/>
    <mergeCell ref="E9:G9"/>
  </mergeCells>
  <phoneticPr fontId="0" type="noConversion"/>
  <printOptions headings="1" gridLines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Microsoft Office User</cp:lastModifiedBy>
  <dcterms:created xsi:type="dcterms:W3CDTF">1998-07-23T11:58:40Z</dcterms:created>
  <dcterms:modified xsi:type="dcterms:W3CDTF">2018-04-26T13:34:29Z</dcterms:modified>
</cp:coreProperties>
</file>